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8.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drawings/drawing9.xml" ContentType="application/vnd.openxmlformats-officedocument.drawing+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drawings/drawing10.xml" ContentType="application/vnd.openxmlformats-officedocument.drawing+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drawings/drawing11.xml" ContentType="application/vnd.openxmlformats-officedocument.drawing+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drawings/drawing12.xml" ContentType="application/vnd.openxmlformats-officedocument.drawing+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cuID"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hal\Dropbox\Development\prescriber\ICAP\"/>
    </mc:Choice>
  </mc:AlternateContent>
  <bookViews>
    <workbookView showHorizontalScroll="0" showSheetTabs="0" xWindow="1847" yWindow="-15" windowWidth="9718" windowHeight="7321" tabRatio="819" firstSheet="14" activeTab="6"/>
  </bookViews>
  <sheets>
    <sheet name="GewMeisje" sheetId="68" r:id="rId1"/>
    <sheet name="GrafGewMeisje" sheetId="66" r:id="rId2"/>
    <sheet name="GrafGewJongen" sheetId="65" r:id="rId3"/>
    <sheet name="GewJongen" sheetId="64" r:id="rId4"/>
    <sheet name="HEIGHTNL.CRF" sheetId="62" r:id="rId5"/>
    <sheet name="WEIGHTNL.CRF" sheetId="61" r:id="rId6"/>
    <sheet name="AcuteOpvang" sheetId="32" r:id="rId7"/>
    <sheet name="ber_Opm" sheetId="35" state="veryHidden" r:id="rId8"/>
    <sheet name="AfsprakenCMV" sheetId="15" r:id="rId9"/>
    <sheet name="AfsprakenPLV" sheetId="58" r:id="rId10"/>
    <sheet name="AfsprakenHFO" sheetId="59" r:id="rId11"/>
    <sheet name="dbBead" sheetId="14" state="veryHidden" r:id="rId12"/>
    <sheet name="Temp" sheetId="39" state="veryHidden" r:id="rId13"/>
    <sheet name="Patienten" sheetId="33" state="veryHidden" r:id="rId14"/>
    <sheet name="AfsprakenTekst" sheetId="70" r:id="rId15"/>
    <sheet name="MedicatieIV" sheetId="2" r:id="rId16"/>
    <sheet name="ber_IVmed" sheetId="7" state="veryHidden" r:id="rId17"/>
    <sheet name="Instellen" sheetId="6" r:id="rId18"/>
    <sheet name="Med_disc" sheetId="25" r:id="rId19"/>
    <sheet name="ber_Med_disc" sheetId="34" state="veryHidden" r:id="rId20"/>
    <sheet name="ber_tijden" sheetId="26" state="veryHidden" r:id="rId21"/>
    <sheet name="Medicatie" sheetId="28" r:id="rId22"/>
    <sheet name="dbForm" sheetId="27" state="veryHidden" r:id="rId23"/>
    <sheet name="Infusen" sheetId="16" r:id="rId24"/>
    <sheet name="ber_Infusen" sheetId="17" state="veryHidden" r:id="rId25"/>
    <sheet name="ber_normaal" sheetId="31" state="veryHidden" r:id="rId26"/>
    <sheet name="validatie" sheetId="38" state="veryHidden" r:id="rId27"/>
    <sheet name="Intake" sheetId="9" r:id="rId28"/>
    <sheet name="ber_TPN" sheetId="11" state="veryHidden" r:id="rId29"/>
    <sheet name="Ber_Lab" sheetId="69" state="veryHidden" r:id="rId30"/>
    <sheet name="Lab" sheetId="18" r:id="rId31"/>
    <sheet name="ber_totalen" sheetId="10" state="veryHidden" r:id="rId32"/>
    <sheet name="ber_bead" sheetId="3" state="veryHidden" r:id="rId33"/>
    <sheet name="conversie" sheetId="13" state="veryHidden" r:id="rId34"/>
    <sheet name="ber_PO" sheetId="12" state="veryHidden" r:id="rId35"/>
    <sheet name="TPN2tot6kg" sheetId="46" r:id="rId36"/>
    <sheet name="TPN7tot15kg" sheetId="54" r:id="rId37"/>
    <sheet name="TPN16tot30kg" sheetId="55" r:id="rId38"/>
    <sheet name="TPN31tot50kg" sheetId="56" r:id="rId39"/>
    <sheet name="TPNboven50kg" sheetId="60" r:id="rId40"/>
  </sheets>
  <functionGroups builtInGroupCount="18"/>
  <definedNames>
    <definedName name="_xlnm._FilterDatabase" localSheetId="22" hidden="1">dbForm!$A$1:$R$2283</definedName>
    <definedName name="_xlnm._FilterDatabase" localSheetId="13" hidden="1">Patienten!$A$1:$Q$754</definedName>
    <definedName name="_xlnm._FilterDatabase" localSheetId="12" hidden="1">Temp!$A$2:$B$515</definedName>
    <definedName name="_FiO2">dbBead!$S$2</definedName>
    <definedName name="AchterNaam">dbBead!$D$2</definedName>
    <definedName name="Afrond_1">ber_IVmed!$K$3</definedName>
    <definedName name="Afrond_10">ber_IVmed!$K$12</definedName>
    <definedName name="Afrond_11">ber_IVmed!$K$13</definedName>
    <definedName name="Afrond_12">ber_IVmed!$K$14</definedName>
    <definedName name="Afrond_13">ber_IVmed!$K$15</definedName>
    <definedName name="Afrond_14">ber_IVmed!$K$16</definedName>
    <definedName name="Afrond_15">ber_IVmed!$K$17</definedName>
    <definedName name="Afrond_16">ber_IVmed!$K$18</definedName>
    <definedName name="Afrond_17">ber_IVmed!$K$19</definedName>
    <definedName name="Afrond_18">ber_IVmed!$K$21</definedName>
    <definedName name="Afrond_19">ber_IVmed!$K$22</definedName>
    <definedName name="Afrond_2">ber_IVmed!$K$4</definedName>
    <definedName name="Afrond_20">ber_IVmed!$K$23</definedName>
    <definedName name="Afrond_21">ber_IVmed!$K$24</definedName>
    <definedName name="Afrond_22">ber_IVmed!$K$25</definedName>
    <definedName name="Afrond_23">ber_IVmed!$K$26</definedName>
    <definedName name="Afrond_3">ber_IVmed!$K$5</definedName>
    <definedName name="Afrond_4">ber_IVmed!$K$6</definedName>
    <definedName name="Afrond_5">ber_IVmed!$K$7</definedName>
    <definedName name="Afrond_6">ber_IVmed!$K$8</definedName>
    <definedName name="Afrond_7">ber_IVmed!$K$9</definedName>
    <definedName name="Afrond_8">ber_IVmed!$K$10</definedName>
    <definedName name="Afrond_9">ber_IVmed!$K$11</definedName>
    <definedName name="AfspraakDatum">dbBead!$B$2</definedName>
    <definedName name="AfsprakenVersie">dbBead!$AQ$2</definedName>
    <definedName name="ApparaatCV">dbBead!$R$2</definedName>
    <definedName name="AutoMode">ber_bead!$I$2</definedName>
    <definedName name="Beademing">dbBead!$Q$2</definedName>
    <definedName name="BedNummer">Patienten!$T$1</definedName>
    <definedName name="CaGluc">ber_TPN!$C$9</definedName>
    <definedName name="CaGlucVol">ber_TPN!$E$9</definedName>
    <definedName name="CDP">dbBead!$AH$2</definedName>
    <definedName name="Comfort">ber_Infusen!$P$8</definedName>
    <definedName name="Controle_1">ber_Infusen!$H$1</definedName>
    <definedName name="Controle_10">ber_Infusen!$H$10</definedName>
    <definedName name="Controle_2">ber_Infusen!$H$2</definedName>
    <definedName name="Controle_3">ber_Infusen!$H$3</definedName>
    <definedName name="Controle_4">ber_Infusen!$H$4</definedName>
    <definedName name="Controle_5">ber_Infusen!$H$5</definedName>
    <definedName name="Controle_6">ber_Infusen!$H$6</definedName>
    <definedName name="Controle_7">ber_Infusen!$H$7</definedName>
    <definedName name="Controle_8">ber_Infusen!$H$8</definedName>
    <definedName name="Controle_9">ber_Infusen!$H$9</definedName>
    <definedName name="dbPatientSave">Patienten!$A$1:$B$771</definedName>
    <definedName name="DeltaP">dbBead!$AG$2</definedName>
    <definedName name="DiscAlarm">dbBead!$AM$2</definedName>
    <definedName name="DosHoev_1">ber_Med_disc!$F$2</definedName>
    <definedName name="DosHoev_10">ber_Med_disc!$F$11</definedName>
    <definedName name="DosHoev_11">ber_Med_disc!$F$12</definedName>
    <definedName name="DosHoev_12">ber_Med_disc!$F$13</definedName>
    <definedName name="DosHoev_13">ber_Med_disc!$F$14</definedName>
    <definedName name="DosHoev_14">ber_Med_disc!$F$15</definedName>
    <definedName name="DosHoev_15">ber_Med_disc!$F$16</definedName>
    <definedName name="DosHoev_16">ber_Med_disc!$F$17</definedName>
    <definedName name="DosHoev_17">ber_Med_disc!$F$18</definedName>
    <definedName name="DosHoev_18">ber_Med_disc!$F$19</definedName>
    <definedName name="DosHoev_19">ber_Med_disc!$F$20</definedName>
    <definedName name="DosHoev_2">ber_Med_disc!$F$3</definedName>
    <definedName name="DosHoev_20">ber_Med_disc!$F$21</definedName>
    <definedName name="DosHoev_3">ber_Med_disc!$F$4</definedName>
    <definedName name="DosHoev_4">ber_Med_disc!$F$5</definedName>
    <definedName name="DosHoev_5">ber_Med_disc!$F$6</definedName>
    <definedName name="DosHoev_6">ber_Med_disc!$F$7</definedName>
    <definedName name="DosHoev_7">ber_Med_disc!$F$8</definedName>
    <definedName name="DosHoev_8">ber_Med_disc!$F$9</definedName>
    <definedName name="DosHoev_9">ber_Med_disc!$F$10</definedName>
    <definedName name="DrukCV">dbBead!$AD$2</definedName>
    <definedName name="DrukPLV">dbBead!$AL$2</definedName>
    <definedName name="Druppelen">dbBead!$L$2</definedName>
    <definedName name="Eenheid_1">ber_Med_disc!$E$2</definedName>
    <definedName name="Eenheid_10">ber_Med_disc!$E$11</definedName>
    <definedName name="Eenheid_11">ber_Med_disc!$E$12</definedName>
    <definedName name="Eenheid_12">ber_Med_disc!$E$13</definedName>
    <definedName name="Eenheid_13">ber_Med_disc!$E$14</definedName>
    <definedName name="Eenheid_14">ber_Med_disc!$E$15</definedName>
    <definedName name="Eenheid_15">ber_Med_disc!$E$16</definedName>
    <definedName name="Eenheid_16">ber_Med_disc!$E$17</definedName>
    <definedName name="Eenheid_17">ber_Med_disc!$E$18</definedName>
    <definedName name="Eenheid_18">ber_Med_disc!$E$19</definedName>
    <definedName name="Eenheid_19">ber_Med_disc!$E$20</definedName>
    <definedName name="Eenheid_2">ber_Med_disc!$E$3</definedName>
    <definedName name="Eenheid_20">ber_Med_disc!$E$21</definedName>
    <definedName name="Eenheid_3">ber_Med_disc!$E$4</definedName>
    <definedName name="Eenheid_4">ber_Med_disc!$E$5</definedName>
    <definedName name="Eenheid_5">ber_Med_disc!$E$6</definedName>
    <definedName name="Eenheid_6">ber_Med_disc!$E$7</definedName>
    <definedName name="Eenheid_7">ber_Med_disc!$E$8</definedName>
    <definedName name="Eenheid_8">ber_Med_disc!$E$9</definedName>
    <definedName name="Eenheid_9">ber_Med_disc!$E$10</definedName>
    <definedName name="EndInspCycl">ber_bead!$J$2</definedName>
    <definedName name="FreqCV">dbBead!$V$2</definedName>
    <definedName name="FreqHFO">dbBead!$AE$2</definedName>
    <definedName name="FreqPLV">dbBead!$AJ$2</definedName>
    <definedName name="FreqPO_1">ber_PO!$L$22</definedName>
    <definedName name="FreqPO_2">ber_PO!$L$23</definedName>
    <definedName name="FreqPO_3">ber_PO!$L$24</definedName>
    <definedName name="FreqPO_4">ber_PO!$L$25</definedName>
    <definedName name="GebDatum">dbBead!$F$2</definedName>
    <definedName name="Gewicht">dbBead!$G$2</definedName>
    <definedName name="HoudingsDrainage">dbBead!$P$2</definedName>
    <definedName name="Infuus_1">ber_Infusen!$E$2</definedName>
    <definedName name="Infuus_2">ber_Infusen!$E$3</definedName>
    <definedName name="Infuus_3">ber_Infusen!$E$4</definedName>
    <definedName name="Infuus_4">ber_Infusen!$E$5</definedName>
    <definedName name="Infuus_5">ber_Infusen!$E$6</definedName>
    <definedName name="Infuus_6">ber_Infusen!$E$7</definedName>
    <definedName name="InspFlow">dbBead!$AK$2</definedName>
    <definedName name="InstMedIVDos_1">ber_IVmed!$F$3</definedName>
    <definedName name="InstMedIVDos_10">ber_IVmed!$F$12</definedName>
    <definedName name="InstMedIVDos_11">ber_IVmed!$F$13</definedName>
    <definedName name="InstMedIVDos_12">ber_IVmed!$F$14</definedName>
    <definedName name="InstMedIVDos_13">ber_IVmed!$F$15</definedName>
    <definedName name="InstMedIVDos_14">ber_IVmed!$F$16</definedName>
    <definedName name="InstMedIVDos_15">ber_IVmed!$F$17</definedName>
    <definedName name="InstMedIVDos_16">ber_IVmed!$F$18</definedName>
    <definedName name="InstMedIVDos_17">ber_IVmed!$F$19</definedName>
    <definedName name="InstMedIVDos_18">ber_IVmed!$F$21</definedName>
    <definedName name="InstMedIVDos_19">ber_IVmed!$F$22</definedName>
    <definedName name="InstMedIVDos_2">ber_IVmed!$F$4</definedName>
    <definedName name="InstMedIVDos_20">ber_IVmed!$F$23</definedName>
    <definedName name="InstMedIVDos_21">ber_IVmed!$F$24</definedName>
    <definedName name="InstMedIVDos_22">ber_IVmed!$F$25</definedName>
    <definedName name="InstMedIVDos_23">ber_IVmed!$F$26</definedName>
    <definedName name="InstMedIVDos_3">ber_IVmed!$F$5</definedName>
    <definedName name="InstMedIVDos_4">ber_IVmed!$F$6</definedName>
    <definedName name="InstMedIVDos_5">ber_IVmed!$F$7</definedName>
    <definedName name="InstMedIVDos_6">ber_IVmed!$F$8</definedName>
    <definedName name="InstMedIVDos_7">ber_IVmed!$F$9</definedName>
    <definedName name="InstMedIVDos_8">ber_IVmed!$F$10</definedName>
    <definedName name="InstMedIVDos_9">ber_IVmed!$F$11</definedName>
    <definedName name="InstMedIVStand_1">ber_IVmed!$E$3</definedName>
    <definedName name="InstMedIVStand_10">ber_IVmed!$E$12</definedName>
    <definedName name="InstMedIVStand_11">ber_IVmed!$E$13</definedName>
    <definedName name="InstMedIVStand_12">ber_IVmed!$E$14</definedName>
    <definedName name="InstMedIVStand_13">ber_IVmed!$E$15</definedName>
    <definedName name="InstMedIVStand_14">ber_IVmed!$E$16</definedName>
    <definedName name="InstMedIVStand_15">ber_IVmed!$E$17</definedName>
    <definedName name="InstMedIVStand_16">ber_IVmed!$E$18</definedName>
    <definedName name="InstMedIVStand_17">ber_IVmed!$E$19</definedName>
    <definedName name="InstMedIVStand_18">ber_IVmed!$E$21</definedName>
    <definedName name="InstMedIVStand_19">ber_IVmed!$E$22</definedName>
    <definedName name="InstMedIVStand_2">ber_IVmed!$E$4</definedName>
    <definedName name="InstMedIVStand_20">ber_IVmed!$E$23</definedName>
    <definedName name="InstMedIVStand_21">ber_IVmed!$E$24</definedName>
    <definedName name="InstMedIVStand_22">ber_IVmed!$E$25</definedName>
    <definedName name="InstMedIVStand_23">ber_IVmed!$E$26</definedName>
    <definedName name="InstMedIVStand_3">ber_IVmed!$E$5</definedName>
    <definedName name="InstMedIVStand_4">ber_IVmed!$E$6</definedName>
    <definedName name="InstMedIVStand_5">ber_IVmed!$E$7</definedName>
    <definedName name="InstMedIVStand_6">ber_IVmed!$E$8</definedName>
    <definedName name="InstMedIVStand_7">ber_IVmed!$E$9</definedName>
    <definedName name="InstMedIVStand_8">ber_IVmed!$E$10</definedName>
    <definedName name="InstMedIVStand_9">ber_IVmed!$E$11</definedName>
    <definedName name="KCl">ber_TPN!$C$8</definedName>
    <definedName name="KCl_2">ber_TPN!$C$21</definedName>
    <definedName name="KClVol">ber_TPN!$E$8</definedName>
    <definedName name="KClVol_2">ber_TPN!$E$21</definedName>
    <definedName name="KeuzePO_1">ber_PO!$P$22</definedName>
    <definedName name="KeuzePO_2">ber_PO!$P$23</definedName>
    <definedName name="KeuzePO_3">ber_PO!$P$24</definedName>
    <definedName name="KeuzePO_4">ber_PO!$P$25</definedName>
    <definedName name="KNaFosfaat">ber_TPN!$C$11</definedName>
    <definedName name="KNaFosfaatVol">ber_TPN!$E$11</definedName>
    <definedName name="Lab12__1">Ber_Lab!$E$5</definedName>
    <definedName name="Lab12__10">Ber_Lab!$E$14</definedName>
    <definedName name="Lab12__11">Ber_Lab!$E$15</definedName>
    <definedName name="Lab12__12">Ber_Lab!$E$16</definedName>
    <definedName name="Lab12__13">Ber_Lab!$E$17</definedName>
    <definedName name="Lab12__14">Ber_Lab!$E$18</definedName>
    <definedName name="Lab12__15">Ber_Lab!$E$19</definedName>
    <definedName name="Lab12__16">Ber_Lab!$E$20</definedName>
    <definedName name="Lab12__17">Ber_Lab!$E$21</definedName>
    <definedName name="Lab12__18">Ber_Lab!$E$22</definedName>
    <definedName name="Lab12__19">Ber_Lab!$E$23</definedName>
    <definedName name="Lab12__2">Ber_Lab!$E$6</definedName>
    <definedName name="Lab12__20">Ber_Lab!$E$24</definedName>
    <definedName name="Lab12__21">Ber_Lab!$E$25</definedName>
    <definedName name="Lab12__22">Ber_Lab!$E$26</definedName>
    <definedName name="Lab12__23">Ber_Lab!$E$27</definedName>
    <definedName name="Lab12__24">Ber_Lab!$E$28</definedName>
    <definedName name="Lab12__25">Ber_Lab!$E$29</definedName>
    <definedName name="Lab12__26">Ber_Lab!$E$30</definedName>
    <definedName name="Lab12__27">Ber_Lab!$E$31</definedName>
    <definedName name="Lab12__3">Ber_Lab!$E$7</definedName>
    <definedName name="Lab12__4">Ber_Lab!$E$8</definedName>
    <definedName name="Lab12__5">Ber_Lab!$E$9</definedName>
    <definedName name="Lab12__6">Ber_Lab!$E$10</definedName>
    <definedName name="Lab12__7">Ber_Lab!$E$11</definedName>
    <definedName name="Lab12__8">Ber_Lab!$E$12</definedName>
    <definedName name="Lab12__9">Ber_Lab!$E$13</definedName>
    <definedName name="Lab16__1">Ber_Lab!$G$5</definedName>
    <definedName name="Lab16__10">Ber_Lab!$G$14</definedName>
    <definedName name="Lab16__11">Ber_Lab!$G$15</definedName>
    <definedName name="Lab16__12">Ber_Lab!$G$16</definedName>
    <definedName name="Lab16__13">Ber_Lab!$G$17</definedName>
    <definedName name="Lab16__14">Ber_Lab!$G$18</definedName>
    <definedName name="Lab16__15">Ber_Lab!$G$19</definedName>
    <definedName name="Lab16__16">Ber_Lab!$G$20</definedName>
    <definedName name="Lab16__17">Ber_Lab!$G$21</definedName>
    <definedName name="Lab16__18">Ber_Lab!$G$22</definedName>
    <definedName name="Lab16__19">Ber_Lab!$G$23</definedName>
    <definedName name="Lab16__2">Ber_Lab!$G$6</definedName>
    <definedName name="Lab16__20">Ber_Lab!$G$24</definedName>
    <definedName name="Lab16__21">Ber_Lab!$G$25</definedName>
    <definedName name="Lab16__22">Ber_Lab!$G$26</definedName>
    <definedName name="Lab16__23">Ber_Lab!$G$27</definedName>
    <definedName name="Lab16__24">Ber_Lab!$G$28</definedName>
    <definedName name="Lab16__25">Ber_Lab!$G$29</definedName>
    <definedName name="Lab16__26">Ber_Lab!$G$30</definedName>
    <definedName name="Lab16__27">Ber_Lab!$G$31</definedName>
    <definedName name="Lab16__3">Ber_Lab!$G$7</definedName>
    <definedName name="Lab16__4">Ber_Lab!$G$8</definedName>
    <definedName name="Lab16__5">Ber_Lab!$G$9</definedName>
    <definedName name="Lab16__6">Ber_Lab!$G$10</definedName>
    <definedName name="Lab16__7">Ber_Lab!$G$11</definedName>
    <definedName name="Lab16__8">Ber_Lab!$G$12</definedName>
    <definedName name="Lab16__9">Ber_Lab!$G$13</definedName>
    <definedName name="Lab20__1">Ber_Lab!$I$5</definedName>
    <definedName name="Lab20__10">Ber_Lab!$I$14</definedName>
    <definedName name="Lab20__11">Ber_Lab!$I$15</definedName>
    <definedName name="Lab20__12">Ber_Lab!$I$16</definedName>
    <definedName name="Lab20__13">Ber_Lab!$I$17</definedName>
    <definedName name="Lab20__14">Ber_Lab!$I$18</definedName>
    <definedName name="Lab20__15">Ber_Lab!$I$19</definedName>
    <definedName name="Lab20__16">Ber_Lab!$I$20</definedName>
    <definedName name="Lab20__17">Ber_Lab!$I$21</definedName>
    <definedName name="Lab20__18">Ber_Lab!$I$22</definedName>
    <definedName name="Lab20__19">Ber_Lab!$I$23</definedName>
    <definedName name="Lab20__2">Ber_Lab!$I$6</definedName>
    <definedName name="Lab20__20">Ber_Lab!$I$24</definedName>
    <definedName name="Lab20__21">Ber_Lab!$I$25</definedName>
    <definedName name="Lab20__22">Ber_Lab!$I$26</definedName>
    <definedName name="Lab20__23">Ber_Lab!$I$27</definedName>
    <definedName name="Lab20__24">Ber_Lab!$I$28</definedName>
    <definedName name="Lab20__25">Ber_Lab!$I$29</definedName>
    <definedName name="Lab20__26">Ber_Lab!$I$30</definedName>
    <definedName name="Lab20__27">Ber_Lab!$I$31</definedName>
    <definedName name="Lab20__3">Ber_Lab!$I$7</definedName>
    <definedName name="Lab20__4">Ber_Lab!$I$8</definedName>
    <definedName name="Lab20__5">Ber_Lab!$I$9</definedName>
    <definedName name="Lab20__6">Ber_Lab!$I$10</definedName>
    <definedName name="Lab20__7">Ber_Lab!$I$11</definedName>
    <definedName name="Lab20__8">Ber_Lab!$I$12</definedName>
    <definedName name="Lab20__9">Ber_Lab!$I$13</definedName>
    <definedName name="Lab24__1">Ber_Lab!$K$5</definedName>
    <definedName name="Lab24__10">Ber_Lab!$K$14</definedName>
    <definedName name="Lab24__11">Ber_Lab!$K$15</definedName>
    <definedName name="Lab24__12">Ber_Lab!$K$16</definedName>
    <definedName name="Lab24__13">Ber_Lab!$K$17</definedName>
    <definedName name="Lab24__14">Ber_Lab!$K$18</definedName>
    <definedName name="Lab24__15">Ber_Lab!$K$19</definedName>
    <definedName name="Lab24__16">Ber_Lab!$K$20</definedName>
    <definedName name="Lab24__17">Ber_Lab!$K$21</definedName>
    <definedName name="Lab24__18">Ber_Lab!$K$22</definedName>
    <definedName name="Lab24__19">Ber_Lab!$K$23</definedName>
    <definedName name="Lab24__2">Ber_Lab!$K$6</definedName>
    <definedName name="Lab24__20">Ber_Lab!$K$24</definedName>
    <definedName name="Lab24__21">Ber_Lab!$K$25</definedName>
    <definedName name="Lab24__22">Ber_Lab!$K$26</definedName>
    <definedName name="Lab24__23">Ber_Lab!$K$27</definedName>
    <definedName name="Lab24__24">Ber_Lab!$K$28</definedName>
    <definedName name="Lab24__25">Ber_Lab!$K$29</definedName>
    <definedName name="Lab24__26">Ber_Lab!$K$30</definedName>
    <definedName name="Lab24__27">Ber_Lab!$K$31</definedName>
    <definedName name="Lab24__3">Ber_Lab!$K$7</definedName>
    <definedName name="Lab24__4">Ber_Lab!$K$8</definedName>
    <definedName name="Lab24__5">Ber_Lab!$K$9</definedName>
    <definedName name="Lab24__6">Ber_Lab!$K$10</definedName>
    <definedName name="Lab24__7">Ber_Lab!$K$11</definedName>
    <definedName name="Lab24__8">Ber_Lab!$K$12</definedName>
    <definedName name="Lab24__9">Ber_Lab!$K$13</definedName>
    <definedName name="LabDag1_1">Ber_Lab!$M$5</definedName>
    <definedName name="LabDag1_10">Ber_Lab!$M$14</definedName>
    <definedName name="LabDag1_11">Ber_Lab!$M$15</definedName>
    <definedName name="LabDag1_12">Ber_Lab!$M$16</definedName>
    <definedName name="LabDag1_13">Ber_Lab!$M$17</definedName>
    <definedName name="LabDag1_14">Ber_Lab!$M$18</definedName>
    <definedName name="LabDag1_15">Ber_Lab!$M$19</definedName>
    <definedName name="LabDag1_16">Ber_Lab!$M$20</definedName>
    <definedName name="LabDag1_17">Ber_Lab!$M$21</definedName>
    <definedName name="LabDag1_18">Ber_Lab!$M$22</definedName>
    <definedName name="LabDag1_19">Ber_Lab!$M$23</definedName>
    <definedName name="LabDag1_2">Ber_Lab!$M$6</definedName>
    <definedName name="LabDag1_20">Ber_Lab!$M$24</definedName>
    <definedName name="LabDag1_21">Ber_Lab!$M$25</definedName>
    <definedName name="LabDag1_22">Ber_Lab!$M$26</definedName>
    <definedName name="LabDag1_23">Ber_Lab!$M$27</definedName>
    <definedName name="LabDag1_24">Ber_Lab!$M$28</definedName>
    <definedName name="LabDag1_25">Ber_Lab!$M$29</definedName>
    <definedName name="LabDag1_26">Ber_Lab!$M$30</definedName>
    <definedName name="LabDag1_27">Ber_Lab!$M$31</definedName>
    <definedName name="LabDag1_3">Ber_Lab!$M$7</definedName>
    <definedName name="LabDag1_4">Ber_Lab!$M$8</definedName>
    <definedName name="LabDag1_5">Ber_Lab!$M$9</definedName>
    <definedName name="LabDag1_6">Ber_Lab!$M$10</definedName>
    <definedName name="LabDag1_7">Ber_Lab!$M$11</definedName>
    <definedName name="LabDag1_8">Ber_Lab!$M$12</definedName>
    <definedName name="LabDag1_9">Ber_Lab!$M$13</definedName>
    <definedName name="LabDag2_1">Ber_Lab!$O$5</definedName>
    <definedName name="LabDag2_10">Ber_Lab!$O$14</definedName>
    <definedName name="LabDag2_11">Ber_Lab!$O$15</definedName>
    <definedName name="LabDag2_12">Ber_Lab!$O$16</definedName>
    <definedName name="LabDag2_13">Ber_Lab!$O$17</definedName>
    <definedName name="LabDag2_14">Ber_Lab!$O$18</definedName>
    <definedName name="LabDag2_15">Ber_Lab!$O$19</definedName>
    <definedName name="LabDag2_16">Ber_Lab!$O$20</definedName>
    <definedName name="LabDag2_17">Ber_Lab!$O$21</definedName>
    <definedName name="LabDag2_18">Ber_Lab!$O$22</definedName>
    <definedName name="LabDag2_19">Ber_Lab!$O$23</definedName>
    <definedName name="LabDag2_2">Ber_Lab!$O$6</definedName>
    <definedName name="LabDag2_20">Ber_Lab!$O$24</definedName>
    <definedName name="LabDag2_21">Ber_Lab!$O$25</definedName>
    <definedName name="LabDag2_22">Ber_Lab!$O$26</definedName>
    <definedName name="LabDag2_23">Ber_Lab!$O$27</definedName>
    <definedName name="LabDag2_24">Ber_Lab!$O$28</definedName>
    <definedName name="LabDag2_25">Ber_Lab!$O$29</definedName>
    <definedName name="LabDag2_26">Ber_Lab!$O$30</definedName>
    <definedName name="LabDag2_27">Ber_Lab!$O$31</definedName>
    <definedName name="LabDag2_3">Ber_Lab!$O$7</definedName>
    <definedName name="LabDag2_4">Ber_Lab!$O$8</definedName>
    <definedName name="LabDag2_5">Ber_Lab!$O$9</definedName>
    <definedName name="LabDag2_6">Ber_Lab!$O$10</definedName>
    <definedName name="LabDag2_7">Ber_Lab!$O$11</definedName>
    <definedName name="LabDag2_8">Ber_Lab!$O$12</definedName>
    <definedName name="LabDag2_9">Ber_Lab!$O$13</definedName>
    <definedName name="LabDag3_1">Ber_Lab!$Q$5</definedName>
    <definedName name="LabDag3_10">Ber_Lab!$Q$14</definedName>
    <definedName name="LabDag3_11">Ber_Lab!$Q$15</definedName>
    <definedName name="LabDag3_12">Ber_Lab!$Q$16</definedName>
    <definedName name="LabDag3_13">Ber_Lab!$Q$17</definedName>
    <definedName name="LabDag3_14">Ber_Lab!$Q$18</definedName>
    <definedName name="LabDag3_15">Ber_Lab!$Q$19</definedName>
    <definedName name="LabDag3_16">Ber_Lab!$Q$20</definedName>
    <definedName name="LabDag3_17">Ber_Lab!$Q$21</definedName>
    <definedName name="LabDag3_18">Ber_Lab!$Q$22</definedName>
    <definedName name="LabDag3_19">Ber_Lab!$Q$23</definedName>
    <definedName name="LabDag3_2">Ber_Lab!$Q$6</definedName>
    <definedName name="LabDag3_20">Ber_Lab!$Q$24</definedName>
    <definedName name="LabDag3_21">Ber_Lab!$Q$25</definedName>
    <definedName name="LabDag3_22">Ber_Lab!$Q$26</definedName>
    <definedName name="LabDag3_23">Ber_Lab!$Q$27</definedName>
    <definedName name="LabDag3_24">Ber_Lab!$Q$28</definedName>
    <definedName name="LabDag3_25">Ber_Lab!$Q$29</definedName>
    <definedName name="LabDag3_26">Ber_Lab!$Q$30</definedName>
    <definedName name="LabDag3_27">Ber_Lab!$Q$31</definedName>
    <definedName name="LabDag3_3">Ber_Lab!$Q$7</definedName>
    <definedName name="LabDag3_4">Ber_Lab!$Q$8</definedName>
    <definedName name="LabDag3_5">Ber_Lab!$Q$9</definedName>
    <definedName name="LabDag3_6">Ber_Lab!$Q$10</definedName>
    <definedName name="LabDag3_7">Ber_Lab!$Q$11</definedName>
    <definedName name="LabDag3_8">Ber_Lab!$Q$12</definedName>
    <definedName name="LabDag3_9">Ber_Lab!$Q$13</definedName>
    <definedName name="LabOpn_1">Ber_Lab!$C$5</definedName>
    <definedName name="LabOpn_10">Ber_Lab!$C$14</definedName>
    <definedName name="LabOpn_11">Ber_Lab!$C$15</definedName>
    <definedName name="LabOpn_12">Ber_Lab!$C$16</definedName>
    <definedName name="LabOpn_13">Ber_Lab!$C$17</definedName>
    <definedName name="LabOpn_14">Ber_Lab!$C$18</definedName>
    <definedName name="LabOpn_15">Ber_Lab!$C$19</definedName>
    <definedName name="LabOpn_16">Ber_Lab!$C$20</definedName>
    <definedName name="LabOpn_17">Ber_Lab!$C$21</definedName>
    <definedName name="LabOpn_18">Ber_Lab!$C$22</definedName>
    <definedName name="LabOpn_19">Ber_Lab!$C$23</definedName>
    <definedName name="LabOpn_2">Ber_Lab!$C$6</definedName>
    <definedName name="LabOpn_20">Ber_Lab!$C$24</definedName>
    <definedName name="LabOpn_21">Ber_Lab!$C$25</definedName>
    <definedName name="LabOpn_22">Ber_Lab!$C$26</definedName>
    <definedName name="LabOpn_23">Ber_Lab!$C$27</definedName>
    <definedName name="LabOpn_24">Ber_Lab!$C$28</definedName>
    <definedName name="LabOpn_25">Ber_Lab!$C$29</definedName>
    <definedName name="LabOpn_26">Ber_Lab!$C$30</definedName>
    <definedName name="LabOpn_27">Ber_Lab!$C$31</definedName>
    <definedName name="LabOpn_3">Ber_Lab!$C$7</definedName>
    <definedName name="LabOpn_4">Ber_Lab!$C$8</definedName>
    <definedName name="LabOpn_5">Ber_Lab!$C$9</definedName>
    <definedName name="LabOpn_6">Ber_Lab!$C$10</definedName>
    <definedName name="LabOpn_7">Ber_Lab!$C$11</definedName>
    <definedName name="LabOpn_8">Ber_Lab!$C$12</definedName>
    <definedName name="LabOpn_9">Ber_Lab!$C$13</definedName>
    <definedName name="Lengte">dbBead!$H$2</definedName>
    <definedName name="LipidenStand">ber_TPN!$D$12</definedName>
    <definedName name="MedDosHoev_1">ber_Med_disc!$F$2</definedName>
    <definedName name="MedDosHoev_10">ber_Med_disc!$F$11</definedName>
    <definedName name="MedDosHoev_11">ber_Med_disc!$F$12</definedName>
    <definedName name="MedDosHoev_12">ber_Med_disc!$F$13</definedName>
    <definedName name="MedDosHoev_13">ber_Med_disc!$F$14</definedName>
    <definedName name="MedDosHoev_14">ber_Med_disc!$F$15</definedName>
    <definedName name="MedDosHoev_15">ber_Med_disc!$F$16</definedName>
    <definedName name="MedDosHoev_16">ber_Med_disc!$F$17</definedName>
    <definedName name="MedDosHoev_17">ber_Med_disc!$F$18</definedName>
    <definedName name="MedDosHoev_18">ber_Med_disc!$F$19</definedName>
    <definedName name="MedDosHoev_19">ber_Med_disc!$F$20</definedName>
    <definedName name="MedDosHoev_2">ber_Med_disc!$F$3</definedName>
    <definedName name="MedDosHoev_20">ber_Med_disc!$F$21</definedName>
    <definedName name="MedDosHoev_3">ber_Med_disc!$F$4</definedName>
    <definedName name="MedDosHoev_4">ber_Med_disc!$F$5</definedName>
    <definedName name="MedDosHoev_5">ber_Med_disc!$F$6</definedName>
    <definedName name="MedDosHoev_6">ber_Med_disc!$F$7</definedName>
    <definedName name="MedDosHoev_7">ber_Med_disc!$F$8</definedName>
    <definedName name="MedDosHoev_8">ber_Med_disc!$F$9</definedName>
    <definedName name="MedDosHoev_9">ber_Med_disc!$F$10</definedName>
    <definedName name="MedInloop_1">ber_Med_disc!$P$2</definedName>
    <definedName name="MedInloop_10">ber_Med_disc!$P$11</definedName>
    <definedName name="MedInloop_11">ber_Med_disc!$P$12</definedName>
    <definedName name="MedInloop_12">ber_Med_disc!$P$13</definedName>
    <definedName name="MedInloop_13">ber_Med_disc!$P$14</definedName>
    <definedName name="MedInloop_14">ber_Med_disc!$P$15</definedName>
    <definedName name="MedInloop_15">ber_Med_disc!$P$16</definedName>
    <definedName name="MedInloop_16">ber_Med_disc!$P$17</definedName>
    <definedName name="MedInloop_17">ber_Med_disc!$P$18</definedName>
    <definedName name="MedInloop_18">ber_Med_disc!$P$19</definedName>
    <definedName name="MedInloop_19">ber_Med_disc!$P$20</definedName>
    <definedName name="MedInloop_2">ber_Med_disc!$P$3</definedName>
    <definedName name="MedInloop_20">ber_Med_disc!$P$21</definedName>
    <definedName name="MedInloop_3">ber_Med_disc!$P$4</definedName>
    <definedName name="MedInloop_4">ber_Med_disc!$P$5</definedName>
    <definedName name="MedInloop_5">ber_Med_disc!$P$6</definedName>
    <definedName name="MedInloop_6">ber_Med_disc!$P$7</definedName>
    <definedName name="MedInloop_7">ber_Med_disc!$P$8</definedName>
    <definedName name="MedInloop_8">ber_Med_disc!$P$9</definedName>
    <definedName name="MedInloop_9">ber_Med_disc!$P$10</definedName>
    <definedName name="MedIVKeuze_1">ber_IVmed!$B$31</definedName>
    <definedName name="MedIVKeuze_10">ber_IVmed!$B$40</definedName>
    <definedName name="MedIVKeuze_11">ber_IVmed!$B$41</definedName>
    <definedName name="MedIVKeuze_12">ber_IVmed!$B$42</definedName>
    <definedName name="MedIVKeuze_13">ber_IVmed!$B$43</definedName>
    <definedName name="MedIVKeuze_14">ber_IVmed!$B$44</definedName>
    <definedName name="MedIVKeuze_15">ber_IVmed!$B$45</definedName>
    <definedName name="MedIVKeuze_2">ber_IVmed!$B$32</definedName>
    <definedName name="MedIVKeuze_3">ber_IVmed!$B$33</definedName>
    <definedName name="MedIVKeuze_4">ber_IVmed!$B$34</definedName>
    <definedName name="MedIVKeuze_5">ber_IVmed!$B$35</definedName>
    <definedName name="MedIVKeuze_6">ber_IVmed!$B$36</definedName>
    <definedName name="MedIVKeuze_7">ber_IVmed!$B$37</definedName>
    <definedName name="MedIVKeuze_8">ber_IVmed!$B$38</definedName>
    <definedName name="MedIVKeuze_9">ber_IVmed!$B$39</definedName>
    <definedName name="MedIVMlOpl_11">ber_IVmed!$C$41</definedName>
    <definedName name="MedIVMlOpl_12">ber_IVmed!$C$42</definedName>
    <definedName name="MedIVMlOpl_13">ber_IVmed!$C$43</definedName>
    <definedName name="MedIVMlOpl_14">ber_IVmed!$C$44</definedName>
    <definedName name="MedIVMlOpl_15">ber_IVmed!$C$45</definedName>
    <definedName name="MedIVMlOpl_16">ber_IVmed!$C$45</definedName>
    <definedName name="MedIVMlSpuit_1">ber_IVmed!$D$3</definedName>
    <definedName name="MedIVMlSpuit_10">ber_IVmed!$D$12</definedName>
    <definedName name="MedIVMlSpuit_11">ber_IVmed!$D$13</definedName>
    <definedName name="MedIVMlSpuit_12">ber_IVmed!$D$14</definedName>
    <definedName name="MedIVMlSpuit_13">ber_IVmed!$D$15</definedName>
    <definedName name="MedIVMlSpuit_14">ber_IVmed!$D$16</definedName>
    <definedName name="MedIVMlSpuit_15">ber_IVmed!$D$17</definedName>
    <definedName name="MedIVMlSpuit_16">ber_IVmed!$D$18</definedName>
    <definedName name="MedIVMlSpuit_17">ber_IVmed!$D$19</definedName>
    <definedName name="MedIVMlSpuit_18">ber_IVmed!$D$21</definedName>
    <definedName name="MedIVMlSpuit_19">ber_IVmed!$D$22</definedName>
    <definedName name="MedIVMlSpuit_2">ber_IVmed!$D$4</definedName>
    <definedName name="MedIVMlSpuit_20">ber_IVmed!$D$23</definedName>
    <definedName name="MedIVMlSpuit_21">ber_IVmed!$D$24</definedName>
    <definedName name="MedIVMlSpuit_22">ber_IVmed!$D$25</definedName>
    <definedName name="MedIVMlSpuit_23">ber_IVmed!$D$26</definedName>
    <definedName name="MedIVMlSpuit_3">ber_IVmed!$D$5</definedName>
    <definedName name="MedIVMlSpuit_4">ber_IVmed!$D$6</definedName>
    <definedName name="MedIVMlSpuit_5">ber_IVmed!$D$7</definedName>
    <definedName name="MedIVMlSpuit_6">ber_IVmed!$D$8</definedName>
    <definedName name="MedIVMlSpuit_7">ber_IVmed!$D$9</definedName>
    <definedName name="MedIVMlSpuit_8">ber_IVmed!$D$10</definedName>
    <definedName name="MedIVMlSpuit_9">ber_IVmed!$D$11</definedName>
    <definedName name="MedIVOplVlst_1">ber_IVmed!$D$31</definedName>
    <definedName name="MedIVOplVlst_10">ber_IVmed!$D$40</definedName>
    <definedName name="MedIVOplVlst_11">ber_IVmed!$D$41</definedName>
    <definedName name="MedIVOplVlst_12">ber_IVmed!$D$42</definedName>
    <definedName name="MedIVOplVlst_13">ber_IVmed!$D$43</definedName>
    <definedName name="MedIVOplVlst_14">ber_IVmed!$D$44</definedName>
    <definedName name="MedIVOplVlst_15">ber_IVmed!$D$45</definedName>
    <definedName name="MedIVOplVlst_2">ber_IVmed!$D$32</definedName>
    <definedName name="MedIVOplVlst_3">ber_IVmed!$D$33</definedName>
    <definedName name="MedIVOplVlst_4">ber_IVmed!$D$34</definedName>
    <definedName name="MedIVOplVlst_5">ber_IVmed!$D$35</definedName>
    <definedName name="MedIVOplVlst_6">ber_IVmed!$D$36</definedName>
    <definedName name="MedIVOplVlst_7">ber_IVmed!$D$37</definedName>
    <definedName name="MedIVOplVlst_8">ber_IVmed!$D$38</definedName>
    <definedName name="MedIVOplVlst_9">ber_IVmed!$D$39</definedName>
    <definedName name="MedIVStand_1">ber_IVmed!$E$31</definedName>
    <definedName name="MedIVStand_10">ber_IVmed!$E$40</definedName>
    <definedName name="MedIVStand_11">ber_IVmed!$E$41</definedName>
    <definedName name="MedIVStand_12">ber_IVmed!$E$42</definedName>
    <definedName name="MedIVStand_13">ber_IVmed!$E$43</definedName>
    <definedName name="MedIVStand_14">ber_IVmed!$E$44</definedName>
    <definedName name="MedIVStand_15">ber_IVmed!$E$45</definedName>
    <definedName name="MedIVStand_2">ber_IVmed!$E$32</definedName>
    <definedName name="MedIVStand_3">ber_IVmed!$E$33</definedName>
    <definedName name="MedIVStand_4">ber_IVmed!$E$34</definedName>
    <definedName name="MedIVStand_5">ber_IVmed!$E$35</definedName>
    <definedName name="MedIVStand_6">ber_IVmed!$E$36</definedName>
    <definedName name="MedIVStand_7">ber_IVmed!$E$37</definedName>
    <definedName name="MedIVStand_8">ber_IVmed!$E$38</definedName>
    <definedName name="MedIVStand_9">ber_IVmed!$E$39</definedName>
    <definedName name="MedIVSterkte_11">ber_IVmed!$N$41</definedName>
    <definedName name="MedIVSterkte_12">ber_IVmed!$N$42</definedName>
    <definedName name="MedIVSterkte_13">ber_IVmed!$N$43</definedName>
    <definedName name="MedIVSterkte_14">ber_IVmed!$N$44</definedName>
    <definedName name="MedIVSterkte_15">ber_IVmed!$N$45</definedName>
    <definedName name="MedKeuze_0">ber_Med_disc!$B$25</definedName>
    <definedName name="MedKeuze_1">ber_Med_disc!$C$2</definedName>
    <definedName name="MedKeuze_10">ber_Med_disc!$C$11</definedName>
    <definedName name="MedKeuze_11">ber_Med_disc!$C$12</definedName>
    <definedName name="MedKeuze_12">ber_Med_disc!$C$13</definedName>
    <definedName name="MedKeuze_13">ber_Med_disc!$C$14</definedName>
    <definedName name="MedKeuze_14">ber_Med_disc!$C$15</definedName>
    <definedName name="MedKeuze_15">ber_Med_disc!$C$16</definedName>
    <definedName name="MedKeuze_16">ber_Med_disc!$C$17</definedName>
    <definedName name="MedKeuze_17">ber_Med_disc!$C$18</definedName>
    <definedName name="MedKeuze_18">ber_Med_disc!$C$19</definedName>
    <definedName name="MedKeuze_19">ber_Med_disc!$C$20</definedName>
    <definedName name="MedKeuze_2">ber_Med_disc!$C$3</definedName>
    <definedName name="MedKeuze_20">ber_Med_disc!$C$21</definedName>
    <definedName name="MedKeuze_3">ber_Med_disc!$C$4</definedName>
    <definedName name="MedKeuze_4">ber_Med_disc!$C$5</definedName>
    <definedName name="MedKeuze_5">ber_Med_disc!$C$6</definedName>
    <definedName name="MedKeuze_6">ber_Med_disc!$C$7</definedName>
    <definedName name="MedKeuze_7">ber_Med_disc!$C$8</definedName>
    <definedName name="MedKeuze_8">ber_Med_disc!$C$9</definedName>
    <definedName name="MedKeuze_9">ber_Med_disc!$C$10</definedName>
    <definedName name="MedOpl_1">ber_Med_disc!$N$2</definedName>
    <definedName name="MedOpl_10">ber_Med_disc!$N$11</definedName>
    <definedName name="MedOpl_11">ber_Med_disc!$N$12</definedName>
    <definedName name="MedOpl_12">ber_Med_disc!$N$13</definedName>
    <definedName name="MedOpl_13">ber_Med_disc!$N$14</definedName>
    <definedName name="MedOpl_14">ber_Med_disc!$N$15</definedName>
    <definedName name="MedOpl_15">ber_Med_disc!$N$16</definedName>
    <definedName name="MedOpl_16">ber_Med_disc!$N$17</definedName>
    <definedName name="MedOpl_17">ber_Med_disc!$N$18</definedName>
    <definedName name="MedOpl_18">ber_Med_disc!$N$19</definedName>
    <definedName name="MedOpl_19">ber_Med_disc!$N$20</definedName>
    <definedName name="MedOpl_2">ber_Med_disc!$N$3</definedName>
    <definedName name="MedOpl_20">ber_Med_disc!$N$21</definedName>
    <definedName name="MedOpl_3">ber_Med_disc!$N$4</definedName>
    <definedName name="MedOpl_4">ber_Med_disc!$N$5</definedName>
    <definedName name="MedOpl_5">ber_Med_disc!$N$6</definedName>
    <definedName name="MedOpl_6">ber_Med_disc!$N$7</definedName>
    <definedName name="MedOpl_7">ber_Med_disc!$N$8</definedName>
    <definedName name="MedOpl_8">ber_Med_disc!$N$9</definedName>
    <definedName name="MedOpl_9">ber_Med_disc!$N$10</definedName>
    <definedName name="MedOplVol_1">ber_Med_disc!$M$2</definedName>
    <definedName name="MedOplVol_10">ber_Med_disc!$M$11</definedName>
    <definedName name="MedOplVol_11">ber_Med_disc!$M$12</definedName>
    <definedName name="MedOplVol_12">ber_Med_disc!$M$13</definedName>
    <definedName name="MedOplVol_13">ber_Med_disc!$M$14</definedName>
    <definedName name="MedOplVol_14">ber_Med_disc!$M$15</definedName>
    <definedName name="MedOplVol_15">ber_Med_disc!$M$16</definedName>
    <definedName name="MedOplVol_16">ber_Med_disc!$M$17</definedName>
    <definedName name="MedOplVol_17">ber_Med_disc!$M$18</definedName>
    <definedName name="MedOplVol_18">ber_Med_disc!$M$19</definedName>
    <definedName name="MedOplVol_19">ber_Med_disc!$M$20</definedName>
    <definedName name="MedOplVol_2">ber_Med_disc!$M$3</definedName>
    <definedName name="MedOplVol_20">ber_Med_disc!$M$21</definedName>
    <definedName name="MedOplVol_3">ber_Med_disc!$M$4</definedName>
    <definedName name="MedOplVol_4">ber_Med_disc!$M$5</definedName>
    <definedName name="MedOplVol_5">ber_Med_disc!$M$6</definedName>
    <definedName name="MedOplVol_6">ber_Med_disc!$M$7</definedName>
    <definedName name="MedOplVol_7">ber_Med_disc!$M$8</definedName>
    <definedName name="MedOplVol_8">ber_Med_disc!$M$9</definedName>
    <definedName name="MedOplVol_9">ber_Med_disc!$M$10</definedName>
    <definedName name="MedStart_1">ber_Med_disc!$B$2</definedName>
    <definedName name="MedStart_10">ber_Med_disc!$B$11</definedName>
    <definedName name="MedStart_11">ber_Med_disc!$B$12</definedName>
    <definedName name="MedStart_12">ber_Med_disc!$B$13</definedName>
    <definedName name="MedStart_13">ber_Med_disc!$B$14</definedName>
    <definedName name="MedStart_14">ber_Med_disc!$B$15</definedName>
    <definedName name="MedStart_15">ber_Med_disc!$B$16</definedName>
    <definedName name="MedStart_16">ber_Med_disc!$B$17</definedName>
    <definedName name="MedStart_17">ber_Med_disc!$B$18</definedName>
    <definedName name="MedStart_18">ber_Med_disc!$B$19</definedName>
    <definedName name="MedStart_19">ber_Med_disc!$B$20</definedName>
    <definedName name="MedStart_2">ber_Med_disc!$B$3</definedName>
    <definedName name="MedStart_20">ber_Med_disc!$B$21</definedName>
    <definedName name="MedStart_3">ber_Med_disc!$B$4</definedName>
    <definedName name="MedStart_4">ber_Med_disc!$B$5</definedName>
    <definedName name="MedStart_5">ber_Med_disc!$B$6</definedName>
    <definedName name="MedStart_6">ber_Med_disc!$B$7</definedName>
    <definedName name="MedStart_7">ber_Med_disc!$B$8</definedName>
    <definedName name="MedStart_8">ber_Med_disc!$B$9</definedName>
    <definedName name="MedStart_9">ber_Med_disc!$B$10</definedName>
    <definedName name="MedTijden_1">ber_Med_disc!$H$2</definedName>
    <definedName name="MedTijden_10">ber_Med_disc!$H$11</definedName>
    <definedName name="MedTijden_11">ber_Med_disc!$H$12</definedName>
    <definedName name="MedTijden_12">ber_Med_disc!$H$13</definedName>
    <definedName name="MedTijden_13">ber_Med_disc!$H$14</definedName>
    <definedName name="MedTijden_14">ber_Med_disc!$H$15</definedName>
    <definedName name="MedTijden_15">ber_Med_disc!$H$16</definedName>
    <definedName name="MedTijden_16">ber_Med_disc!$H$17</definedName>
    <definedName name="MedTijden_17">ber_Med_disc!$H$18</definedName>
    <definedName name="MedTijden_18">ber_Med_disc!$H$19</definedName>
    <definedName name="MedTijden_19">ber_Med_disc!$H$20</definedName>
    <definedName name="MedTijden_2">ber_Med_disc!$H$3</definedName>
    <definedName name="MedTijden_20">ber_Med_disc!$H$21</definedName>
    <definedName name="MedTijden_3">ber_Med_disc!$H$4</definedName>
    <definedName name="MedTijden_4">ber_Med_disc!$H$5</definedName>
    <definedName name="MedTijden_5">ber_Med_disc!$H$6</definedName>
    <definedName name="MedTijden_6">ber_Med_disc!$H$7</definedName>
    <definedName name="MedTijden_7">ber_Med_disc!$H$8</definedName>
    <definedName name="MedTijden_8">ber_Med_disc!$H$9</definedName>
    <definedName name="MedTijden_9">ber_Med_disc!$H$10</definedName>
    <definedName name="MedToed_1">ber_Med_disc!$K$2</definedName>
    <definedName name="MedToed_10">ber_Med_disc!$K$11</definedName>
    <definedName name="MedToed_11">ber_Med_disc!$K$12</definedName>
    <definedName name="MedToed_12">ber_Med_disc!$K$13</definedName>
    <definedName name="MedToed_13">ber_Med_disc!$K$14</definedName>
    <definedName name="MedToed_14">ber_Med_disc!$K$15</definedName>
    <definedName name="MedToed_15">ber_Med_disc!$K$16</definedName>
    <definedName name="MedToed_16">ber_Med_disc!$K$17</definedName>
    <definedName name="MedToed_17">ber_Med_disc!$K$18</definedName>
    <definedName name="MedToed_18">ber_Med_disc!$K$19</definedName>
    <definedName name="MedToed_19">ber_Med_disc!$K$20</definedName>
    <definedName name="MedToed_2">ber_Med_disc!$K$3</definedName>
    <definedName name="MedToed_20">ber_Med_disc!$K$21</definedName>
    <definedName name="MedToed_3">ber_Med_disc!$K$4</definedName>
    <definedName name="MedToed_4">ber_Med_disc!$K$5</definedName>
    <definedName name="MedToed_5">ber_Med_disc!$K$6</definedName>
    <definedName name="MedToed_6">ber_Med_disc!$K$7</definedName>
    <definedName name="MedToed_7">ber_Med_disc!$K$8</definedName>
    <definedName name="MedToed_8">ber_Med_disc!$K$9</definedName>
    <definedName name="MedToed_9">ber_Med_disc!$K$10</definedName>
    <definedName name="MgCl">ber_TPN!$C$10</definedName>
    <definedName name="MgClVol">ber_TPN!$E$10</definedName>
    <definedName name="ModeCV">dbBead!$U$2</definedName>
    <definedName name="NaCl">ber_TPN!$C$7</definedName>
    <definedName name="NaCl_2">ber_TPN!$C$20</definedName>
    <definedName name="NaClVol">ber_TPN!$E$7</definedName>
    <definedName name="NaClVol_2">ber_TPN!$E$20</definedName>
    <definedName name="O2_">dbBead!$N$2</definedName>
    <definedName name="opmAfsprBlad__1">ber_Opm!$C$2</definedName>
    <definedName name="opmAfsprBlad__10">ber_Opm!$C$11</definedName>
    <definedName name="opmAfsprBlad__11">ber_Opm!$C$12</definedName>
    <definedName name="opmAfsprBlad__12">ber_Opm!$C$13</definedName>
    <definedName name="opmAfsprBlad__13">ber_Opm!$C$14</definedName>
    <definedName name="opmAfsprBlad__14">ber_Opm!$C$15</definedName>
    <definedName name="opmAfsprBlad__2">ber_Opm!$C$3</definedName>
    <definedName name="opmAfsprBlad__3">ber_Opm!$C$4</definedName>
    <definedName name="opmAfsprBlad__4">ber_Opm!$C$5</definedName>
    <definedName name="opmAfsprBlad__5">ber_Opm!$C$6</definedName>
    <definedName name="opmAfsprBlad__6">ber_Opm!$C$7</definedName>
    <definedName name="opmAfsprBlad__7">ber_Opm!$C$8</definedName>
    <definedName name="opmAfsprBlad__8">ber_Opm!$C$9</definedName>
    <definedName name="opmAfsprBlad__9">ber_Opm!$C$10</definedName>
    <definedName name="opmMedDisc__1">ber_Opm!$C$16</definedName>
    <definedName name="opmMedDisc__10">ber_Opm!$C$25</definedName>
    <definedName name="opmMedDisc__11">ber_Opm!$C$26</definedName>
    <definedName name="opmMedDisc__12">ber_Opm!$C$27</definedName>
    <definedName name="opmMedDisc__13">ber_Opm!$C$28</definedName>
    <definedName name="opmMedDisc__14">ber_Opm!$C$29</definedName>
    <definedName name="opmMedDisc__15">ber_Opm!$C$30</definedName>
    <definedName name="opmMedDisc__16">ber_Opm!$C$31</definedName>
    <definedName name="opmMedDisc__17">ber_Opm!$C$32</definedName>
    <definedName name="opmMedDisc__18">ber_Opm!$C$33</definedName>
    <definedName name="opmMedDisc__19">ber_Opm!$C$34</definedName>
    <definedName name="opmMedDisc__2">ber_Opm!$C$17</definedName>
    <definedName name="opmMedDisc__20">ber_Opm!$C$35</definedName>
    <definedName name="opmMedDisc__3">ber_Opm!$C$18</definedName>
    <definedName name="opmMedDisc__4">ber_Opm!$C$19</definedName>
    <definedName name="opmMedDisc__5">ber_Opm!$C$20</definedName>
    <definedName name="opmMedDisc__6">ber_Opm!$C$21</definedName>
    <definedName name="opmMedDisc__7">ber_Opm!$C$22</definedName>
    <definedName name="opmMedDisc__8">ber_Opm!$C$23</definedName>
    <definedName name="opmMedDisc__9">ber_Opm!$C$24</definedName>
    <definedName name="OpnDatum">dbBead!$C$2</definedName>
    <definedName name="Overige_1">ber_Infusen!$M$1</definedName>
    <definedName name="Overige_2">ber_Infusen!$M$2</definedName>
    <definedName name="Overige_3">ber_Infusen!$M$3</definedName>
    <definedName name="Overige_4">ber_Infusen!$M$4</definedName>
    <definedName name="Overige_5">ber_Infusen!$M$5</definedName>
    <definedName name="Overige_6">ber_Infusen!$M$6</definedName>
    <definedName name="PatNummer">dbBead!$A$2</definedName>
    <definedName name="patRec">Patienten!$S$1</definedName>
    <definedName name="Peditrace">ber_TPN!$E$5</definedName>
    <definedName name="Peep">dbBead!$T$2</definedName>
    <definedName name="PM">ber_Infusen!$O$1</definedName>
    <definedName name="PM_AO">ber_Infusen!$R$2</definedName>
    <definedName name="PM_AS">ber_Infusen!$R$5</definedName>
    <definedName name="PM_AV">ber_Infusen!$R$4</definedName>
    <definedName name="PM_Freq">ber_Infusen!$R$1</definedName>
    <definedName name="PM_Mod">ber_Infusen!$P$1</definedName>
    <definedName name="PM_VO">ber_Infusen!$R$3</definedName>
    <definedName name="PM_VS">ber_Infusen!$R$6</definedName>
    <definedName name="PresCon">dbBead!$AC$2</definedName>
    <definedName name="PresSup">dbBead!$AB$2</definedName>
    <definedName name="_xlnm.Print_Area" localSheetId="6">AcuteOpvang!$B$2:$G$44</definedName>
    <definedName name="_xlnm.Print_Area" localSheetId="8">AfsprakenCMV!$A$2:$J$160</definedName>
    <definedName name="_xlnm.Print_Area" localSheetId="10">AfsprakenHFO!$A$2:$J$161</definedName>
    <definedName name="_xlnm.Print_Area" localSheetId="9">AfsprakenPLV!$A$2:$J$160</definedName>
    <definedName name="_xlnm.Print_Area" localSheetId="21">Medicatie!$B$1:$AG$22</definedName>
    <definedName name="_xlnm.Print_Area" localSheetId="37">TPN16tot30kg!$A$1:$H$48</definedName>
    <definedName name="_xlnm.Print_Area" localSheetId="35">TPN2tot6kg!$A$1:$H$48</definedName>
    <definedName name="_xlnm.Print_Area" localSheetId="38">TPN31tot50kg!$A$1:$H$49</definedName>
    <definedName name="_xlnm.Print_Area" localSheetId="36">TPN7tot15kg!$A$1:$H$50</definedName>
    <definedName name="_xlnm.Print_Area" localSheetId="39">TPNboven50kg!$A$1:$H$52</definedName>
    <definedName name="RecNo_0">ber_Med_disc!$E$25</definedName>
    <definedName name="RecNo_1">ber_Med_disc!$T$2</definedName>
    <definedName name="RecNo_10">ber_Med_disc!$T$11</definedName>
    <definedName name="RecNo_11">ber_Med_disc!$T$12</definedName>
    <definedName name="RecNo_12">ber_Med_disc!$T$13</definedName>
    <definedName name="RecNo_13">ber_Med_disc!$T$14</definedName>
    <definedName name="RecNo_14">ber_Med_disc!$T$15</definedName>
    <definedName name="RecNo_15">ber_Med_disc!$T$16</definedName>
    <definedName name="RecNo_16">ber_Med_disc!$T$17</definedName>
    <definedName name="RecNo_17">ber_Med_disc!$T$18</definedName>
    <definedName name="RecNo_18">ber_Med_disc!$T$19</definedName>
    <definedName name="RecNo_19">ber_Med_disc!$T$20</definedName>
    <definedName name="RecNo_2">ber_Med_disc!$T$3</definedName>
    <definedName name="RecNo_20">ber_Med_disc!$T$21</definedName>
    <definedName name="RecNo_3">ber_Med_disc!$T$4</definedName>
    <definedName name="RecNo_4">ber_Med_disc!$T$5</definedName>
    <definedName name="RecNo_5">ber_Med_disc!$T$6</definedName>
    <definedName name="RecNo_6">ber_Med_disc!$T$7</definedName>
    <definedName name="RecNo_7">ber_Med_disc!$T$8</definedName>
    <definedName name="RecNo_8">ber_Med_disc!$T$9</definedName>
    <definedName name="RecNo_9">ber_Med_disc!$T$10</definedName>
    <definedName name="reservePat">Patienten!$C$2:$C$591</definedName>
    <definedName name="Risetime">dbBead!$Z$2</definedName>
    <definedName name="Soluvit">ber_TPN!$C$15</definedName>
    <definedName name="SoluvitVol">ber_TPN!$E$15</definedName>
    <definedName name="Sonde">ber_PO!$A$1</definedName>
    <definedName name="SpecVoed_1">ber_PO!$AF$12</definedName>
    <definedName name="SpecVoed_2">ber_PO!$AF$13</definedName>
    <definedName name="SpecVoed_3">ber_PO!$AF$14</definedName>
    <definedName name="SpecVoed_4">ber_PO!$AF$15</definedName>
    <definedName name="SpecVoed_5">ber_PO!$AF$16</definedName>
    <definedName name="SpecVoed_6">ber_PO!$AF$17</definedName>
    <definedName name="SpecVoed_7">ber_PO!$AF$18</definedName>
    <definedName name="SpecVoed_8">ber_PO!$AF$19</definedName>
    <definedName name="SpecVoed_9">ber_PO!$AF$20</definedName>
    <definedName name="SST2Stand">ber_TPN!$D$18</definedName>
    <definedName name="SSTglucose">ber_TPN!$B$6</definedName>
    <definedName name="SSTGlucose_2">ber_TPN!$B$19</definedName>
    <definedName name="SSTStand">ber_TPN!$D$3</definedName>
    <definedName name="StandDos_1">ber_Med_disc!$D$2</definedName>
    <definedName name="StandDos_10">ber_Med_disc!$D$11</definedName>
    <definedName name="StandDos_11">ber_Med_disc!$D$12</definedName>
    <definedName name="StandDos_12">ber_Med_disc!$D$13</definedName>
    <definedName name="StandDos_13">ber_Med_disc!$D$14</definedName>
    <definedName name="StandDos_14">ber_Med_disc!$D$15</definedName>
    <definedName name="StandDos_15">ber_Med_disc!$D$16</definedName>
    <definedName name="StandDos_16">ber_Med_disc!$D$17</definedName>
    <definedName name="StandDos_17">ber_Med_disc!$D$18</definedName>
    <definedName name="StandDos_18">ber_Med_disc!$D$19</definedName>
    <definedName name="StandDos_19">ber_Med_disc!$D$20</definedName>
    <definedName name="StandDos_2">ber_Med_disc!$D$3</definedName>
    <definedName name="StandDos_20">ber_Med_disc!$D$21</definedName>
    <definedName name="StandDos_3">ber_Med_disc!$D$4</definedName>
    <definedName name="StandDos_4">ber_Med_disc!$D$5</definedName>
    <definedName name="StandDos_5">ber_Med_disc!$D$6</definedName>
    <definedName name="StandDos_6">ber_Med_disc!$D$7</definedName>
    <definedName name="StandDos_7">ber_Med_disc!$D$8</definedName>
    <definedName name="StandDos_8">ber_Med_disc!$D$9</definedName>
    <definedName name="StandDos_9">ber_Med_disc!$D$10</definedName>
    <definedName name="StartDatum_1">ber_Med_disc!$B$2</definedName>
    <definedName name="StartDatum_10">ber_Med_disc!$B$11</definedName>
    <definedName name="StartDatum_11">ber_Med_disc!$B$12</definedName>
    <definedName name="StartDatum_12">ber_Med_disc!$B$13</definedName>
    <definedName name="StartDatum_13">ber_Med_disc!$B$14</definedName>
    <definedName name="StartDatum_14">ber_Med_disc!$B$15</definedName>
    <definedName name="StartDatum_15">ber_Med_disc!$B$16</definedName>
    <definedName name="StartDatum_16">ber_Med_disc!$B$17</definedName>
    <definedName name="StartDatum_17">ber_Med_disc!$B$18</definedName>
    <definedName name="StartDatum_18">ber_Med_disc!$B$19</definedName>
    <definedName name="StartDatum_19">ber_Med_disc!$B$20</definedName>
    <definedName name="StartDatum_2">ber_Med_disc!$B$3</definedName>
    <definedName name="StartDatum_20">ber_Med_disc!$B$21</definedName>
    <definedName name="StartDatum_3">ber_Med_disc!$B$4</definedName>
    <definedName name="StartDatum_4">ber_Med_disc!$B$5</definedName>
    <definedName name="StartDatum_5">ber_Med_disc!$B$6</definedName>
    <definedName name="StartDatum_6">ber_Med_disc!$B$7</definedName>
    <definedName name="StartDatum_7">ber_Med_disc!$B$8</definedName>
    <definedName name="StartDatum_8">ber_Med_disc!$B$9</definedName>
    <definedName name="StartDatum_9">ber_Med_disc!$B$10</definedName>
    <definedName name="tblAanvAfspr">ber_Infusen!$J$1:$J$31</definedName>
    <definedName name="tblAdvies">dbForm!$H$2:$H$1013</definedName>
    <definedName name="tblApparaat">ber_bead!$D$2:$D$5</definedName>
    <definedName name="tblBerPO">ber_PO!$B$2:$AF$10</definedName>
    <definedName name="tblBerPoeder">ber_PO!$AH$2:$AX$10</definedName>
    <definedName name="tblBijz">dbForm!$I$2:$I$1013</definedName>
    <definedName name="tblDBFormularium">dbForm!$A$2:$P$2283</definedName>
    <definedName name="tblDosEenh">dbForm!$AD$2:$AD$1015</definedName>
    <definedName name="tblDoseringen">ber_IVmed!$B$2:$J$27</definedName>
    <definedName name="tblDruppelen">ber_bead!$C$2:$C$4</definedName>
    <definedName name="tblGroep">dbForm!$B$2:$B$1013</definedName>
    <definedName name="tblHFO">ber_bead!$F$2:$F$3</definedName>
    <definedName name="tblInfusen">ber_Infusen!$A$1:$A$34</definedName>
    <definedName name="tblInstellen">Instellen!$B$5:$G$20</definedName>
    <definedName name="tblMedicatieIV">ber_IVmed!$B$4:$I$26</definedName>
    <definedName name="tblMerkNaam">dbForm!$C$2:$C$1013</definedName>
    <definedName name="tblMode">ber_bead!$E$2:$E$7</definedName>
    <definedName name="tblOplossing">ber_IVmed!$P$4:$P$7</definedName>
    <definedName name="tblPLV">ber_bead!$G$2:$G$3</definedName>
    <definedName name="tblPrepNaam">dbForm!$Z$2:$Z$1015</definedName>
    <definedName name="tblRecNo">dbForm!$A$2:$A$1013</definedName>
    <definedName name="tblRecNoPrep">dbForm!$V$2:$V$1015</definedName>
    <definedName name="tblSonde">ber_bead!$H$2:$H$5</definedName>
    <definedName name="tblSSTGlucose">ber_TPN!$K$26:$K$39</definedName>
    <definedName name="tblStandDos">dbForm!$AC$2:$AC$1015</definedName>
    <definedName name="tblSterkte">dbForm!$K$2:$K$1013</definedName>
    <definedName name="tblSterkteEenh">dbForm!$L$2:$L$1013</definedName>
    <definedName name="tblStof">dbForm!$D$2:$D$1013</definedName>
    <definedName name="tblTijden">ber_Med_disc!$C$28:$D$38</definedName>
    <definedName name="tblToediening">dbForm!$G$2:$G$1013</definedName>
    <definedName name="tblToegang">ber_bead!$A$2:$A$6</definedName>
    <definedName name="tblTPN">ber_TPN!$A$26:$I$27</definedName>
    <definedName name="tblVoedingPO">ber_PO!$A$22:$A$53</definedName>
    <definedName name="tblZuurstof">ber_bead!$B$2:$B$6</definedName>
    <definedName name="TePLV">dbBead!$AO$2</definedName>
    <definedName name="TiCV">dbBead!$X$2</definedName>
    <definedName name="TidalVolCV">dbBead!$W$2</definedName>
    <definedName name="TidalVolPLV">dbBead!$AI$2</definedName>
    <definedName name="TiHFO">dbBead!$AF$2</definedName>
    <definedName name="TiPLV">dbBead!$AN$2</definedName>
    <definedName name="Toegang">dbBead!$I$2</definedName>
    <definedName name="Tp">dbBead!$Y$2</definedName>
    <definedName name="TPN">ber_TPN!$B$4</definedName>
    <definedName name="TPNVol">ber_TPN!$E$4</definedName>
    <definedName name="Trigger">dbBead!$AA$2</definedName>
    <definedName name="TrigTimeOut">ber_bead!$K$2</definedName>
    <definedName name="TubeLengte">dbBead!$K$2</definedName>
    <definedName name="TubeMaat">dbBead!$J$2</definedName>
    <definedName name="VitIntra">ber_TPN!$C$14</definedName>
    <definedName name="VitIntraVol">ber_TPN!$E$14</definedName>
    <definedName name="VolPO_1">ber_PO!$M$22</definedName>
    <definedName name="VolPO_2">ber_PO!$M$23</definedName>
    <definedName name="VolPO_3">ber_PO!$M$24</definedName>
    <definedName name="VolPO_4">ber_PO!$M$25</definedName>
    <definedName name="VoorNaam">dbBead!$E$2</definedName>
    <definedName name="WisselLigging">dbBead!$O$2</definedName>
    <definedName name="Zuurstof">dbBead!$M$2</definedName>
  </definedNames>
  <calcPr calcId="152511"/>
</workbook>
</file>

<file path=xl/calcChain.xml><?xml version="1.0" encoding="utf-8"?>
<calcChain xmlns="http://schemas.openxmlformats.org/spreadsheetml/2006/main">
  <c r="E5" i="32" l="1"/>
  <c r="D8" i="32" s="1"/>
  <c r="G17" i="46"/>
  <c r="G18" i="46"/>
  <c r="G19" i="46"/>
  <c r="F4" i="11"/>
  <c r="E16" i="9" s="1"/>
  <c r="F8" i="11"/>
  <c r="J8" i="11" s="1"/>
  <c r="F7" i="11"/>
  <c r="G29" i="46" s="1"/>
  <c r="E3" i="11"/>
  <c r="F5" i="11"/>
  <c r="G16" i="9" s="1"/>
  <c r="B20" i="46"/>
  <c r="G20" i="46" s="1"/>
  <c r="G16" i="46"/>
  <c r="G15" i="46" s="1"/>
  <c r="A14" i="46"/>
  <c r="F106" i="15"/>
  <c r="D106" i="15" s="1"/>
  <c r="F10" i="11"/>
  <c r="G33" i="54" s="1"/>
  <c r="A30" i="54" s="1"/>
  <c r="F16" i="11"/>
  <c r="G31" i="60" s="1"/>
  <c r="F17" i="9"/>
  <c r="K20" i="7"/>
  <c r="C20" i="7" s="1"/>
  <c r="G20" i="7" s="1"/>
  <c r="E16" i="32"/>
  <c r="D10" i="32"/>
  <c r="E30" i="32"/>
  <c r="D19" i="32"/>
  <c r="D12" i="32"/>
  <c r="F2" i="15"/>
  <c r="F3" i="15"/>
  <c r="C4" i="70" s="1"/>
  <c r="D29" i="9"/>
  <c r="C63" i="70" s="1"/>
  <c r="E33" i="32"/>
  <c r="E27" i="32"/>
  <c r="E31" i="32"/>
  <c r="E20" i="32"/>
  <c r="E19" i="32"/>
  <c r="D11" i="32"/>
  <c r="E11" i="32"/>
  <c r="E9" i="32"/>
  <c r="D21" i="11"/>
  <c r="D20" i="11"/>
  <c r="E18" i="11"/>
  <c r="F18" i="11" s="1"/>
  <c r="J19" i="9"/>
  <c r="J106" i="15" s="1"/>
  <c r="H106" i="15" s="1"/>
  <c r="J18" i="9"/>
  <c r="J105" i="15" s="1"/>
  <c r="H105" i="15" s="1"/>
  <c r="I15" i="9"/>
  <c r="I103" i="15" s="1"/>
  <c r="H103" i="15" s="1"/>
  <c r="C9" i="2"/>
  <c r="C9" i="7"/>
  <c r="G9" i="7" s="1"/>
  <c r="C16" i="7"/>
  <c r="C16" i="6" s="1"/>
  <c r="C18" i="7"/>
  <c r="G18" i="7" s="1"/>
  <c r="C17" i="7"/>
  <c r="C17" i="6" s="1"/>
  <c r="C21" i="7"/>
  <c r="G21" i="7" s="1"/>
  <c r="C4" i="7"/>
  <c r="G4" i="7" s="1"/>
  <c r="C10" i="2"/>
  <c r="AA10" i="2" s="1"/>
  <c r="AB10" i="2" s="1"/>
  <c r="C7" i="7"/>
  <c r="G7" i="7" s="1"/>
  <c r="C12" i="7"/>
  <c r="G12" i="7" s="1"/>
  <c r="G19" i="7"/>
  <c r="C11" i="2"/>
  <c r="AA11" i="2" s="1"/>
  <c r="C3" i="7"/>
  <c r="G3" i="7" s="1"/>
  <c r="C12" i="2"/>
  <c r="C88" i="15" s="1"/>
  <c r="C6" i="7"/>
  <c r="G6" i="7" s="1"/>
  <c r="C13" i="2"/>
  <c r="AA13" i="2" s="1"/>
  <c r="AB13" i="2" s="1"/>
  <c r="C14" i="2"/>
  <c r="I14" i="2" s="1"/>
  <c r="C8" i="7"/>
  <c r="C8" i="6" s="1"/>
  <c r="C15" i="2"/>
  <c r="C90" i="59" s="1"/>
  <c r="C16" i="2"/>
  <c r="H16" i="2" s="1"/>
  <c r="G23" i="7"/>
  <c r="C17" i="2"/>
  <c r="AA17" i="2" s="1"/>
  <c r="AB17" i="2" s="1"/>
  <c r="C8" i="2"/>
  <c r="G3" i="34"/>
  <c r="I8" i="25" s="1"/>
  <c r="I3" i="34"/>
  <c r="G4" i="34"/>
  <c r="I4" i="34"/>
  <c r="G5" i="34"/>
  <c r="I5" i="34"/>
  <c r="G6" i="34"/>
  <c r="I6" i="34"/>
  <c r="G7" i="34"/>
  <c r="I7" i="34"/>
  <c r="G8" i="34"/>
  <c r="I8" i="34"/>
  <c r="G9" i="34"/>
  <c r="I9" i="34"/>
  <c r="G10" i="34"/>
  <c r="I10" i="34"/>
  <c r="G11" i="34"/>
  <c r="I11" i="34"/>
  <c r="G12" i="34"/>
  <c r="I12" i="34"/>
  <c r="G13" i="34"/>
  <c r="I13" i="34"/>
  <c r="G14" i="34"/>
  <c r="I14" i="34"/>
  <c r="G15" i="34"/>
  <c r="I15" i="34"/>
  <c r="G16" i="34"/>
  <c r="I16" i="34"/>
  <c r="G17" i="34"/>
  <c r="I17" i="34"/>
  <c r="G18" i="34"/>
  <c r="I18" i="34"/>
  <c r="G19" i="34"/>
  <c r="I19" i="34"/>
  <c r="G20" i="34"/>
  <c r="I20" i="34"/>
  <c r="G21" i="34"/>
  <c r="I21" i="34"/>
  <c r="G2" i="34"/>
  <c r="I6" i="25" s="1"/>
  <c r="I2" i="34"/>
  <c r="U21" i="34"/>
  <c r="V21" i="34" s="1"/>
  <c r="U20" i="34"/>
  <c r="W20" i="34" s="1"/>
  <c r="U2" i="34"/>
  <c r="U3" i="34"/>
  <c r="X3" i="34" s="1"/>
  <c r="U4" i="34"/>
  <c r="V4" i="34" s="1"/>
  <c r="U5" i="34"/>
  <c r="W5" i="34" s="1"/>
  <c r="U6" i="34"/>
  <c r="V6" i="34" s="1"/>
  <c r="U7" i="34"/>
  <c r="W7" i="34" s="1"/>
  <c r="U8" i="34"/>
  <c r="V8" i="34" s="1"/>
  <c r="U9" i="34"/>
  <c r="W9" i="34" s="1"/>
  <c r="U10" i="34"/>
  <c r="W10" i="34" s="1"/>
  <c r="U11" i="34"/>
  <c r="V11" i="34" s="1"/>
  <c r="U12" i="34"/>
  <c r="X12" i="34" s="1"/>
  <c r="U13" i="34"/>
  <c r="X13" i="34" s="1"/>
  <c r="U14" i="34"/>
  <c r="V14" i="34" s="1"/>
  <c r="U15" i="34"/>
  <c r="W15" i="34" s="1"/>
  <c r="U16" i="34"/>
  <c r="W16" i="34" s="1"/>
  <c r="U17" i="34"/>
  <c r="V17" i="34" s="1"/>
  <c r="U18" i="34"/>
  <c r="W18" i="34" s="1"/>
  <c r="U19" i="34"/>
  <c r="AB19" i="34" s="1"/>
  <c r="C39" i="70" s="1"/>
  <c r="O3" i="34"/>
  <c r="Y3" i="34" s="1"/>
  <c r="Z3" i="34" s="1"/>
  <c r="AA3" i="34"/>
  <c r="O4" i="34"/>
  <c r="Y4" i="34" s="1"/>
  <c r="Z4" i="34" s="1"/>
  <c r="AA4" i="34"/>
  <c r="O5" i="34"/>
  <c r="Y5" i="34" s="1"/>
  <c r="Z5" i="34" s="1"/>
  <c r="AA5" i="34"/>
  <c r="O6" i="34"/>
  <c r="Y6" i="34" s="1"/>
  <c r="Z6" i="34" s="1"/>
  <c r="AA6" i="34"/>
  <c r="O7" i="34"/>
  <c r="Y7" i="34" s="1"/>
  <c r="Z7" i="34" s="1"/>
  <c r="AA7" i="34"/>
  <c r="O8" i="34"/>
  <c r="Y8" i="34" s="1"/>
  <c r="Z8" i="34" s="1"/>
  <c r="AA8" i="34"/>
  <c r="O9" i="34"/>
  <c r="Y9" i="34" s="1"/>
  <c r="Z9" i="34" s="1"/>
  <c r="AA9" i="34"/>
  <c r="O10" i="34"/>
  <c r="Y10" i="34" s="1"/>
  <c r="Z10" i="34" s="1"/>
  <c r="AA10" i="34"/>
  <c r="O11" i="34"/>
  <c r="Y11" i="34" s="1"/>
  <c r="Z11" i="34" s="1"/>
  <c r="AA11" i="34"/>
  <c r="O12" i="34"/>
  <c r="Y12" i="34" s="1"/>
  <c r="Z12" i="34" s="1"/>
  <c r="AA12" i="34"/>
  <c r="O13" i="34"/>
  <c r="Y13" i="34" s="1"/>
  <c r="Z13" i="34" s="1"/>
  <c r="AA13" i="34"/>
  <c r="O14" i="34"/>
  <c r="Y14" i="34" s="1"/>
  <c r="Z14" i="34" s="1"/>
  <c r="AA14" i="34"/>
  <c r="O15" i="34"/>
  <c r="Y15" i="34" s="1"/>
  <c r="Z15" i="34" s="1"/>
  <c r="AA15" i="34"/>
  <c r="O16" i="34"/>
  <c r="Y16" i="34" s="1"/>
  <c r="Z16" i="34" s="1"/>
  <c r="AA16" i="34"/>
  <c r="O17" i="34"/>
  <c r="Y17" i="34" s="1"/>
  <c r="Z17" i="34" s="1"/>
  <c r="AA17" i="34"/>
  <c r="O2" i="34"/>
  <c r="R3" i="27"/>
  <c r="R4" i="27"/>
  <c r="R5" i="27"/>
  <c r="R6" i="27"/>
  <c r="R7" i="27"/>
  <c r="R8" i="27"/>
  <c r="R9" i="27"/>
  <c r="R10" i="27"/>
  <c r="R11" i="27"/>
  <c r="R12" i="27"/>
  <c r="R13" i="27"/>
  <c r="R14" i="27"/>
  <c r="R15" i="27"/>
  <c r="R16" i="27"/>
  <c r="R17" i="27"/>
  <c r="R18" i="27"/>
  <c r="R19" i="27"/>
  <c r="R20" i="27"/>
  <c r="R21" i="27"/>
  <c r="R22" i="27"/>
  <c r="R23" i="27"/>
  <c r="R24" i="27"/>
  <c r="R25" i="27"/>
  <c r="R26" i="27"/>
  <c r="R27" i="27"/>
  <c r="R28" i="27"/>
  <c r="R29" i="27"/>
  <c r="R30" i="27"/>
  <c r="R31" i="27"/>
  <c r="R32" i="27"/>
  <c r="R33" i="27"/>
  <c r="R34" i="27"/>
  <c r="R35" i="27"/>
  <c r="R36" i="27"/>
  <c r="R37" i="27"/>
  <c r="R38" i="27"/>
  <c r="R39" i="27"/>
  <c r="R40" i="27"/>
  <c r="R41" i="27"/>
  <c r="R42" i="27"/>
  <c r="R43" i="27"/>
  <c r="R44" i="27"/>
  <c r="R45" i="27"/>
  <c r="R46" i="27"/>
  <c r="R47" i="27"/>
  <c r="R48" i="27"/>
  <c r="R49" i="27"/>
  <c r="R50" i="27"/>
  <c r="R51" i="27"/>
  <c r="R52" i="27"/>
  <c r="R53" i="27"/>
  <c r="R54" i="27"/>
  <c r="R55" i="27"/>
  <c r="R56" i="27"/>
  <c r="R57" i="27"/>
  <c r="R58" i="27"/>
  <c r="R59" i="27"/>
  <c r="R60" i="27"/>
  <c r="R61" i="27"/>
  <c r="R62" i="27"/>
  <c r="R63" i="27"/>
  <c r="R64" i="27"/>
  <c r="R65" i="27"/>
  <c r="R66" i="27"/>
  <c r="R67" i="27"/>
  <c r="R68" i="27"/>
  <c r="R69" i="27"/>
  <c r="R70" i="27"/>
  <c r="R71" i="27"/>
  <c r="R72" i="27"/>
  <c r="R73" i="27"/>
  <c r="R74" i="27"/>
  <c r="R75" i="27"/>
  <c r="R76" i="27"/>
  <c r="R77" i="27"/>
  <c r="R78" i="27"/>
  <c r="R79" i="27"/>
  <c r="R80" i="27"/>
  <c r="R81" i="27"/>
  <c r="R82" i="27"/>
  <c r="R83" i="27"/>
  <c r="R84" i="27"/>
  <c r="R85" i="27"/>
  <c r="R86" i="27"/>
  <c r="R87" i="27"/>
  <c r="R88" i="27"/>
  <c r="R89" i="27"/>
  <c r="R90" i="27"/>
  <c r="R91" i="27"/>
  <c r="R92" i="27"/>
  <c r="R93" i="27"/>
  <c r="R94" i="27"/>
  <c r="R95" i="27"/>
  <c r="R96" i="27"/>
  <c r="R97" i="27"/>
  <c r="R98" i="27"/>
  <c r="R99" i="27"/>
  <c r="R100" i="27"/>
  <c r="R101" i="27"/>
  <c r="R102" i="27"/>
  <c r="R103" i="27"/>
  <c r="R104" i="27"/>
  <c r="R105" i="27"/>
  <c r="R106" i="27"/>
  <c r="R107" i="27"/>
  <c r="R108" i="27"/>
  <c r="R109" i="27"/>
  <c r="R110" i="27"/>
  <c r="R111" i="27"/>
  <c r="R112" i="27"/>
  <c r="R113" i="27"/>
  <c r="R114" i="27"/>
  <c r="R115" i="27"/>
  <c r="R116" i="27"/>
  <c r="R117" i="27"/>
  <c r="R118" i="27"/>
  <c r="R119" i="27"/>
  <c r="R120" i="27"/>
  <c r="R121" i="27"/>
  <c r="R122" i="27"/>
  <c r="R123" i="27"/>
  <c r="R124" i="27"/>
  <c r="R125" i="27"/>
  <c r="R126" i="27"/>
  <c r="R127" i="27"/>
  <c r="R128" i="27"/>
  <c r="R129" i="27"/>
  <c r="R130" i="27"/>
  <c r="R131" i="27"/>
  <c r="R132" i="27"/>
  <c r="R133" i="27"/>
  <c r="R134" i="27"/>
  <c r="R135" i="27"/>
  <c r="R136" i="27"/>
  <c r="R137" i="27"/>
  <c r="R138" i="27"/>
  <c r="R139" i="27"/>
  <c r="R140" i="27"/>
  <c r="R141" i="27"/>
  <c r="R142" i="27"/>
  <c r="R143" i="27"/>
  <c r="R144" i="27"/>
  <c r="R145" i="27"/>
  <c r="R146" i="27"/>
  <c r="R147" i="27"/>
  <c r="R148" i="27"/>
  <c r="R149" i="27"/>
  <c r="R150" i="27"/>
  <c r="R151" i="27"/>
  <c r="R152" i="27"/>
  <c r="R153" i="27"/>
  <c r="R154" i="27"/>
  <c r="R155" i="27"/>
  <c r="R156" i="27"/>
  <c r="R157" i="27"/>
  <c r="R158" i="27"/>
  <c r="R159" i="27"/>
  <c r="R160" i="27"/>
  <c r="R161" i="27"/>
  <c r="R162" i="27"/>
  <c r="R163" i="27"/>
  <c r="R164" i="27"/>
  <c r="R165" i="27"/>
  <c r="R166" i="27"/>
  <c r="R167" i="27"/>
  <c r="R168" i="27"/>
  <c r="R169" i="27"/>
  <c r="R170" i="27"/>
  <c r="R171" i="27"/>
  <c r="R172" i="27"/>
  <c r="R173" i="27"/>
  <c r="R174" i="27"/>
  <c r="R175" i="27"/>
  <c r="R176" i="27"/>
  <c r="R177" i="27"/>
  <c r="R178" i="27"/>
  <c r="R179" i="27"/>
  <c r="R180" i="27"/>
  <c r="R181" i="27"/>
  <c r="R182" i="27"/>
  <c r="R183" i="27"/>
  <c r="R184" i="27"/>
  <c r="R185" i="27"/>
  <c r="R186" i="27"/>
  <c r="R187" i="27"/>
  <c r="R188" i="27"/>
  <c r="R189" i="27"/>
  <c r="R190" i="27"/>
  <c r="R191" i="27"/>
  <c r="R192" i="27"/>
  <c r="R193" i="27"/>
  <c r="R194" i="27"/>
  <c r="R195" i="27"/>
  <c r="R196" i="27"/>
  <c r="R197" i="27"/>
  <c r="R198" i="27"/>
  <c r="R199" i="27"/>
  <c r="R200" i="27"/>
  <c r="R201" i="27"/>
  <c r="R202" i="27"/>
  <c r="R203" i="27"/>
  <c r="R204" i="27"/>
  <c r="R205" i="27"/>
  <c r="R206" i="27"/>
  <c r="R207" i="27"/>
  <c r="R208" i="27"/>
  <c r="R209" i="27"/>
  <c r="R210" i="27"/>
  <c r="R211" i="27"/>
  <c r="R212" i="27"/>
  <c r="R213" i="27"/>
  <c r="R214" i="27"/>
  <c r="R215" i="27"/>
  <c r="R216" i="27"/>
  <c r="R217" i="27"/>
  <c r="R218" i="27"/>
  <c r="R219" i="27"/>
  <c r="R220" i="27"/>
  <c r="R221" i="27"/>
  <c r="R222" i="27"/>
  <c r="R223" i="27"/>
  <c r="R224" i="27"/>
  <c r="R225" i="27"/>
  <c r="R226" i="27"/>
  <c r="R227" i="27"/>
  <c r="R228" i="27"/>
  <c r="R229" i="27"/>
  <c r="R230" i="27"/>
  <c r="R231" i="27"/>
  <c r="R232" i="27"/>
  <c r="R233" i="27"/>
  <c r="R234" i="27"/>
  <c r="R235" i="27"/>
  <c r="R236" i="27"/>
  <c r="R237" i="27"/>
  <c r="R238" i="27"/>
  <c r="R239" i="27"/>
  <c r="R240" i="27"/>
  <c r="R241" i="27"/>
  <c r="R242" i="27"/>
  <c r="R243" i="27"/>
  <c r="R244" i="27"/>
  <c r="R245" i="27"/>
  <c r="R246" i="27"/>
  <c r="R247" i="27"/>
  <c r="R248" i="27"/>
  <c r="R249" i="27"/>
  <c r="R250" i="27"/>
  <c r="R251" i="27"/>
  <c r="R252" i="27"/>
  <c r="R253" i="27"/>
  <c r="R254" i="27"/>
  <c r="R255" i="27"/>
  <c r="R256" i="27"/>
  <c r="R257" i="27"/>
  <c r="R258" i="27"/>
  <c r="R259" i="27"/>
  <c r="R260" i="27"/>
  <c r="R261" i="27"/>
  <c r="R262" i="27"/>
  <c r="R263" i="27"/>
  <c r="R264" i="27"/>
  <c r="R265" i="27"/>
  <c r="R266" i="27"/>
  <c r="R267" i="27"/>
  <c r="R268" i="27"/>
  <c r="R269" i="27"/>
  <c r="R270" i="27"/>
  <c r="R271" i="27"/>
  <c r="R272" i="27"/>
  <c r="R273" i="27"/>
  <c r="R274" i="27"/>
  <c r="R275" i="27"/>
  <c r="R276" i="27"/>
  <c r="R277" i="27"/>
  <c r="R278" i="27"/>
  <c r="R279" i="27"/>
  <c r="R280" i="27"/>
  <c r="R281" i="27"/>
  <c r="R282" i="27"/>
  <c r="R283" i="27"/>
  <c r="R284" i="27"/>
  <c r="R285" i="27"/>
  <c r="R286" i="27"/>
  <c r="R287" i="27"/>
  <c r="R288" i="27"/>
  <c r="R289" i="27"/>
  <c r="R290" i="27"/>
  <c r="R291" i="27"/>
  <c r="R292" i="27"/>
  <c r="R293" i="27"/>
  <c r="R294" i="27"/>
  <c r="R295" i="27"/>
  <c r="R296" i="27"/>
  <c r="R297" i="27"/>
  <c r="R298" i="27"/>
  <c r="R299" i="27"/>
  <c r="R300" i="27"/>
  <c r="R301" i="27"/>
  <c r="R302" i="27"/>
  <c r="R303" i="27"/>
  <c r="R304" i="27"/>
  <c r="R305" i="27"/>
  <c r="R306" i="27"/>
  <c r="R307" i="27"/>
  <c r="R308" i="27"/>
  <c r="R309" i="27"/>
  <c r="R310" i="27"/>
  <c r="R311" i="27"/>
  <c r="R312" i="27"/>
  <c r="R313" i="27"/>
  <c r="R314" i="27"/>
  <c r="R315" i="27"/>
  <c r="R316" i="27"/>
  <c r="R317" i="27"/>
  <c r="R318" i="27"/>
  <c r="R319" i="27"/>
  <c r="R320" i="27"/>
  <c r="R321" i="27"/>
  <c r="R322" i="27"/>
  <c r="R323" i="27"/>
  <c r="R324" i="27"/>
  <c r="R325" i="27"/>
  <c r="R326" i="27"/>
  <c r="R327" i="27"/>
  <c r="R328" i="27"/>
  <c r="R329" i="27"/>
  <c r="R330" i="27"/>
  <c r="R331" i="27"/>
  <c r="R332" i="27"/>
  <c r="R333" i="27"/>
  <c r="R334" i="27"/>
  <c r="R335" i="27"/>
  <c r="R336" i="27"/>
  <c r="R337" i="27"/>
  <c r="R338" i="27"/>
  <c r="R339" i="27"/>
  <c r="R340" i="27"/>
  <c r="R341" i="27"/>
  <c r="R342" i="27"/>
  <c r="R343" i="27"/>
  <c r="R344" i="27"/>
  <c r="R345" i="27"/>
  <c r="R346" i="27"/>
  <c r="R347" i="27"/>
  <c r="R348" i="27"/>
  <c r="R349" i="27"/>
  <c r="R350" i="27"/>
  <c r="R351" i="27"/>
  <c r="R352" i="27"/>
  <c r="R353" i="27"/>
  <c r="R354" i="27"/>
  <c r="R355" i="27"/>
  <c r="R356" i="27"/>
  <c r="R357" i="27"/>
  <c r="R358" i="27"/>
  <c r="R359" i="27"/>
  <c r="R360" i="27"/>
  <c r="R361" i="27"/>
  <c r="R362" i="27"/>
  <c r="R363" i="27"/>
  <c r="R364" i="27"/>
  <c r="R365" i="27"/>
  <c r="R366" i="27"/>
  <c r="R367" i="27"/>
  <c r="R368" i="27"/>
  <c r="R369" i="27"/>
  <c r="R370" i="27"/>
  <c r="R371" i="27"/>
  <c r="R372" i="27"/>
  <c r="R373" i="27"/>
  <c r="R374" i="27"/>
  <c r="R375" i="27"/>
  <c r="R376" i="27"/>
  <c r="R377" i="27"/>
  <c r="R378" i="27"/>
  <c r="R379" i="27"/>
  <c r="R380" i="27"/>
  <c r="R381" i="27"/>
  <c r="R382" i="27"/>
  <c r="R383" i="27"/>
  <c r="R384" i="27"/>
  <c r="R385" i="27"/>
  <c r="R386" i="27"/>
  <c r="R387" i="27"/>
  <c r="R388" i="27"/>
  <c r="R389" i="27"/>
  <c r="R390" i="27"/>
  <c r="R391" i="27"/>
  <c r="R392" i="27"/>
  <c r="R393" i="27"/>
  <c r="R394" i="27"/>
  <c r="R395" i="27"/>
  <c r="R396" i="27"/>
  <c r="R397" i="27"/>
  <c r="R398" i="27"/>
  <c r="R399" i="27"/>
  <c r="R400" i="27"/>
  <c r="R401" i="27"/>
  <c r="R402" i="27"/>
  <c r="R403" i="27"/>
  <c r="R404" i="27"/>
  <c r="R405" i="27"/>
  <c r="R406" i="27"/>
  <c r="R407" i="27"/>
  <c r="R408" i="27"/>
  <c r="R409" i="27"/>
  <c r="R410" i="27"/>
  <c r="R411" i="27"/>
  <c r="R412" i="27"/>
  <c r="R413" i="27"/>
  <c r="R414" i="27"/>
  <c r="R415" i="27"/>
  <c r="R416" i="27"/>
  <c r="R417" i="27"/>
  <c r="R418" i="27"/>
  <c r="R419" i="27"/>
  <c r="R420" i="27"/>
  <c r="R421" i="27"/>
  <c r="R422" i="27"/>
  <c r="R423" i="27"/>
  <c r="R424" i="27"/>
  <c r="R425" i="27"/>
  <c r="R426" i="27"/>
  <c r="R427" i="27"/>
  <c r="R428" i="27"/>
  <c r="R429" i="27"/>
  <c r="R430" i="27"/>
  <c r="R431" i="27"/>
  <c r="R432" i="27"/>
  <c r="R433" i="27"/>
  <c r="R434" i="27"/>
  <c r="R435" i="27"/>
  <c r="R436" i="27"/>
  <c r="R437" i="27"/>
  <c r="R438" i="27"/>
  <c r="R439" i="27"/>
  <c r="R440" i="27"/>
  <c r="R441" i="27"/>
  <c r="R442" i="27"/>
  <c r="R443" i="27"/>
  <c r="R444" i="27"/>
  <c r="R445" i="27"/>
  <c r="R446" i="27"/>
  <c r="R447" i="27"/>
  <c r="R448" i="27"/>
  <c r="R449" i="27"/>
  <c r="R450" i="27"/>
  <c r="R451" i="27"/>
  <c r="R452" i="27"/>
  <c r="R453" i="27"/>
  <c r="R454" i="27"/>
  <c r="R455" i="27"/>
  <c r="R456" i="27"/>
  <c r="R457" i="27"/>
  <c r="R458" i="27"/>
  <c r="R459" i="27"/>
  <c r="R460" i="27"/>
  <c r="R461" i="27"/>
  <c r="R462" i="27"/>
  <c r="R463" i="27"/>
  <c r="R464" i="27"/>
  <c r="R465" i="27"/>
  <c r="R466" i="27"/>
  <c r="R467" i="27"/>
  <c r="R468" i="27"/>
  <c r="R469" i="27"/>
  <c r="R470" i="27"/>
  <c r="R471" i="27"/>
  <c r="R472" i="27"/>
  <c r="R473" i="27"/>
  <c r="R474" i="27"/>
  <c r="R475" i="27"/>
  <c r="R476" i="27"/>
  <c r="R477" i="27"/>
  <c r="R478" i="27"/>
  <c r="R479" i="27"/>
  <c r="R480" i="27"/>
  <c r="R481" i="27"/>
  <c r="R482" i="27"/>
  <c r="R483" i="27"/>
  <c r="R484" i="27"/>
  <c r="R485" i="27"/>
  <c r="R486" i="27"/>
  <c r="R487" i="27"/>
  <c r="R488" i="27"/>
  <c r="R489" i="27"/>
  <c r="R490" i="27"/>
  <c r="R491" i="27"/>
  <c r="R492" i="27"/>
  <c r="R493" i="27"/>
  <c r="R494" i="27"/>
  <c r="R495" i="27"/>
  <c r="R496" i="27"/>
  <c r="R497" i="27"/>
  <c r="R498" i="27"/>
  <c r="R499" i="27"/>
  <c r="R500" i="27"/>
  <c r="R501" i="27"/>
  <c r="R502" i="27"/>
  <c r="R503" i="27"/>
  <c r="R504" i="27"/>
  <c r="R505" i="27"/>
  <c r="R506" i="27"/>
  <c r="R507" i="27"/>
  <c r="R508" i="27"/>
  <c r="R509" i="27"/>
  <c r="R510" i="27"/>
  <c r="R511" i="27"/>
  <c r="R512" i="27"/>
  <c r="R513" i="27"/>
  <c r="R514" i="27"/>
  <c r="R515" i="27"/>
  <c r="R516" i="27"/>
  <c r="R517" i="27"/>
  <c r="R518" i="27"/>
  <c r="R519" i="27"/>
  <c r="R520" i="27"/>
  <c r="R521" i="27"/>
  <c r="R522" i="27"/>
  <c r="R523" i="27"/>
  <c r="R524" i="27"/>
  <c r="R525" i="27"/>
  <c r="R526" i="27"/>
  <c r="R527" i="27"/>
  <c r="R528" i="27"/>
  <c r="R529" i="27"/>
  <c r="R530" i="27"/>
  <c r="R531" i="27"/>
  <c r="R532" i="27"/>
  <c r="R533" i="27"/>
  <c r="R534" i="27"/>
  <c r="R535" i="27"/>
  <c r="R536" i="27"/>
  <c r="R537" i="27"/>
  <c r="R538" i="27"/>
  <c r="R539" i="27"/>
  <c r="R540" i="27"/>
  <c r="R541" i="27"/>
  <c r="R542" i="27"/>
  <c r="R543" i="27"/>
  <c r="R544" i="27"/>
  <c r="R545" i="27"/>
  <c r="R546" i="27"/>
  <c r="R547" i="27"/>
  <c r="R548" i="27"/>
  <c r="R549" i="27"/>
  <c r="R550" i="27"/>
  <c r="R551" i="27"/>
  <c r="R552" i="27"/>
  <c r="R553" i="27"/>
  <c r="R554" i="27"/>
  <c r="R555" i="27"/>
  <c r="R556" i="27"/>
  <c r="R557" i="27"/>
  <c r="R558" i="27"/>
  <c r="R559" i="27"/>
  <c r="R560" i="27"/>
  <c r="R561" i="27"/>
  <c r="R562" i="27"/>
  <c r="R563" i="27"/>
  <c r="R564" i="27"/>
  <c r="R565" i="27"/>
  <c r="R566" i="27"/>
  <c r="R567" i="27"/>
  <c r="R568" i="27"/>
  <c r="R569" i="27"/>
  <c r="R570" i="27"/>
  <c r="R571" i="27"/>
  <c r="R572" i="27"/>
  <c r="R573" i="27"/>
  <c r="R574" i="27"/>
  <c r="R575" i="27"/>
  <c r="R576" i="27"/>
  <c r="R577" i="27"/>
  <c r="R578" i="27"/>
  <c r="R579" i="27"/>
  <c r="R580" i="27"/>
  <c r="R581" i="27"/>
  <c r="R582" i="27"/>
  <c r="R583" i="27"/>
  <c r="R584" i="27"/>
  <c r="R585" i="27"/>
  <c r="R586" i="27"/>
  <c r="R587" i="27"/>
  <c r="R588" i="27"/>
  <c r="R589" i="27"/>
  <c r="R590" i="27"/>
  <c r="R591" i="27"/>
  <c r="R592" i="27"/>
  <c r="R593" i="27"/>
  <c r="R594" i="27"/>
  <c r="R595" i="27"/>
  <c r="R596" i="27"/>
  <c r="R597" i="27"/>
  <c r="R598" i="27"/>
  <c r="R599" i="27"/>
  <c r="R600" i="27"/>
  <c r="R601" i="27"/>
  <c r="R602" i="27"/>
  <c r="R603" i="27"/>
  <c r="R604" i="27"/>
  <c r="R605" i="27"/>
  <c r="R606" i="27"/>
  <c r="R607" i="27"/>
  <c r="R608" i="27"/>
  <c r="R609" i="27"/>
  <c r="R610" i="27"/>
  <c r="R611" i="27"/>
  <c r="R612" i="27"/>
  <c r="R613" i="27"/>
  <c r="R614" i="27"/>
  <c r="R615" i="27"/>
  <c r="R616" i="27"/>
  <c r="R617" i="27"/>
  <c r="R618" i="27"/>
  <c r="R619" i="27"/>
  <c r="R620" i="27"/>
  <c r="R621" i="27"/>
  <c r="R622" i="27"/>
  <c r="R623" i="27"/>
  <c r="R624" i="27"/>
  <c r="R625" i="27"/>
  <c r="R626" i="27"/>
  <c r="R627" i="27"/>
  <c r="R628" i="27"/>
  <c r="R629" i="27"/>
  <c r="R630" i="27"/>
  <c r="R631" i="27"/>
  <c r="R632" i="27"/>
  <c r="R633" i="27"/>
  <c r="R634" i="27"/>
  <c r="R635" i="27"/>
  <c r="R636" i="27"/>
  <c r="R637" i="27"/>
  <c r="R638" i="27"/>
  <c r="R639" i="27"/>
  <c r="R640" i="27"/>
  <c r="R641" i="27"/>
  <c r="R642" i="27"/>
  <c r="R643" i="27"/>
  <c r="R644" i="27"/>
  <c r="R645" i="27"/>
  <c r="R646" i="27"/>
  <c r="R647" i="27"/>
  <c r="R648" i="27"/>
  <c r="R649" i="27"/>
  <c r="R650" i="27"/>
  <c r="R651" i="27"/>
  <c r="R652" i="27"/>
  <c r="R653" i="27"/>
  <c r="R654" i="27"/>
  <c r="R655" i="27"/>
  <c r="R656" i="27"/>
  <c r="R657" i="27"/>
  <c r="R658" i="27"/>
  <c r="R659" i="27"/>
  <c r="R660" i="27"/>
  <c r="R661" i="27"/>
  <c r="R662" i="27"/>
  <c r="R663" i="27"/>
  <c r="R664" i="27"/>
  <c r="R665" i="27"/>
  <c r="R666" i="27"/>
  <c r="R667" i="27"/>
  <c r="R668" i="27"/>
  <c r="R669" i="27"/>
  <c r="R670" i="27"/>
  <c r="R671" i="27"/>
  <c r="R672" i="27"/>
  <c r="R673" i="27"/>
  <c r="R674" i="27"/>
  <c r="R675" i="27"/>
  <c r="R676" i="27"/>
  <c r="R677" i="27"/>
  <c r="R678" i="27"/>
  <c r="R679" i="27"/>
  <c r="R680" i="27"/>
  <c r="R681" i="27"/>
  <c r="R682" i="27"/>
  <c r="R683" i="27"/>
  <c r="R684" i="27"/>
  <c r="R685" i="27"/>
  <c r="R686" i="27"/>
  <c r="R687" i="27"/>
  <c r="R688" i="27"/>
  <c r="R689" i="27"/>
  <c r="R690" i="27"/>
  <c r="R691" i="27"/>
  <c r="R692" i="27"/>
  <c r="R693" i="27"/>
  <c r="R694" i="27"/>
  <c r="R695" i="27"/>
  <c r="R696" i="27"/>
  <c r="R697" i="27"/>
  <c r="R698" i="27"/>
  <c r="R699" i="27"/>
  <c r="R700" i="27"/>
  <c r="R701" i="27"/>
  <c r="R702" i="27"/>
  <c r="R703" i="27"/>
  <c r="R704" i="27"/>
  <c r="R705" i="27"/>
  <c r="R706" i="27"/>
  <c r="R707" i="27"/>
  <c r="R708" i="27"/>
  <c r="R709" i="27"/>
  <c r="R710" i="27"/>
  <c r="R711" i="27"/>
  <c r="R712" i="27"/>
  <c r="R713" i="27"/>
  <c r="R714" i="27"/>
  <c r="R715" i="27"/>
  <c r="R716" i="27"/>
  <c r="R717" i="27"/>
  <c r="R718" i="27"/>
  <c r="R719" i="27"/>
  <c r="R720" i="27"/>
  <c r="R721" i="27"/>
  <c r="R722" i="27"/>
  <c r="R723" i="27"/>
  <c r="R724" i="27"/>
  <c r="R725" i="27"/>
  <c r="R726" i="27"/>
  <c r="R727" i="27"/>
  <c r="R728" i="27"/>
  <c r="R729" i="27"/>
  <c r="R730" i="27"/>
  <c r="R731" i="27"/>
  <c r="R732" i="27"/>
  <c r="R733" i="27"/>
  <c r="R734" i="27"/>
  <c r="R735" i="27"/>
  <c r="R736" i="27"/>
  <c r="R737" i="27"/>
  <c r="R738" i="27"/>
  <c r="R739" i="27"/>
  <c r="R740" i="27"/>
  <c r="R741" i="27"/>
  <c r="R742" i="27"/>
  <c r="R743" i="27"/>
  <c r="R744" i="27"/>
  <c r="R745" i="27"/>
  <c r="R746" i="27"/>
  <c r="R747" i="27"/>
  <c r="R748" i="27"/>
  <c r="R749" i="27"/>
  <c r="R750" i="27"/>
  <c r="R751" i="27"/>
  <c r="R752" i="27"/>
  <c r="R753" i="27"/>
  <c r="R754" i="27"/>
  <c r="R755" i="27"/>
  <c r="R756" i="27"/>
  <c r="R757" i="27"/>
  <c r="R758" i="27"/>
  <c r="R759" i="27"/>
  <c r="R760" i="27"/>
  <c r="R761" i="27"/>
  <c r="R762" i="27"/>
  <c r="R763" i="27"/>
  <c r="R764" i="27"/>
  <c r="R765" i="27"/>
  <c r="R766" i="27"/>
  <c r="R767" i="27"/>
  <c r="R768" i="27"/>
  <c r="R769" i="27"/>
  <c r="R770" i="27"/>
  <c r="R771" i="27"/>
  <c r="R772" i="27"/>
  <c r="R773" i="27"/>
  <c r="R774" i="27"/>
  <c r="R775" i="27"/>
  <c r="R776" i="27"/>
  <c r="R777" i="27"/>
  <c r="R778" i="27"/>
  <c r="R779" i="27"/>
  <c r="R780" i="27"/>
  <c r="R781" i="27"/>
  <c r="R782" i="27"/>
  <c r="R783" i="27"/>
  <c r="R784" i="27"/>
  <c r="R785" i="27"/>
  <c r="R786" i="27"/>
  <c r="R787" i="27"/>
  <c r="R788" i="27"/>
  <c r="R789" i="27"/>
  <c r="R790" i="27"/>
  <c r="R791" i="27"/>
  <c r="R792" i="27"/>
  <c r="R793" i="27"/>
  <c r="R794" i="27"/>
  <c r="R795" i="27"/>
  <c r="R796" i="27"/>
  <c r="R797" i="27"/>
  <c r="R798" i="27"/>
  <c r="R799" i="27"/>
  <c r="R800" i="27"/>
  <c r="R801" i="27"/>
  <c r="R802" i="27"/>
  <c r="R803" i="27"/>
  <c r="R804" i="27"/>
  <c r="R805" i="27"/>
  <c r="R806" i="27"/>
  <c r="R807" i="27"/>
  <c r="R808" i="27"/>
  <c r="R809" i="27"/>
  <c r="R810" i="27"/>
  <c r="R811" i="27"/>
  <c r="R812" i="27"/>
  <c r="R813" i="27"/>
  <c r="R814" i="27"/>
  <c r="R815" i="27"/>
  <c r="R816" i="27"/>
  <c r="R817" i="27"/>
  <c r="R818" i="27"/>
  <c r="R819" i="27"/>
  <c r="R820" i="27"/>
  <c r="R821" i="27"/>
  <c r="R822" i="27"/>
  <c r="R823" i="27"/>
  <c r="R824" i="27"/>
  <c r="R825" i="27"/>
  <c r="R826" i="27"/>
  <c r="R827" i="27"/>
  <c r="R828" i="27"/>
  <c r="R829" i="27"/>
  <c r="R830" i="27"/>
  <c r="R831" i="27"/>
  <c r="R832" i="27"/>
  <c r="R833" i="27"/>
  <c r="R834" i="27"/>
  <c r="R835" i="27"/>
  <c r="R836" i="27"/>
  <c r="R837" i="27"/>
  <c r="R838" i="27"/>
  <c r="R839" i="27"/>
  <c r="R840" i="27"/>
  <c r="R841" i="27"/>
  <c r="R842" i="27"/>
  <c r="R843" i="27"/>
  <c r="R844" i="27"/>
  <c r="R845" i="27"/>
  <c r="R846" i="27"/>
  <c r="R847" i="27"/>
  <c r="R848" i="27"/>
  <c r="R849" i="27"/>
  <c r="R850" i="27"/>
  <c r="R851" i="27"/>
  <c r="R852" i="27"/>
  <c r="R853" i="27"/>
  <c r="R854" i="27"/>
  <c r="R855" i="27"/>
  <c r="R856" i="27"/>
  <c r="R857" i="27"/>
  <c r="R858" i="27"/>
  <c r="R859" i="27"/>
  <c r="R860" i="27"/>
  <c r="R861" i="27"/>
  <c r="R862" i="27"/>
  <c r="R863" i="27"/>
  <c r="R864" i="27"/>
  <c r="R865" i="27"/>
  <c r="R866" i="27"/>
  <c r="R867" i="27"/>
  <c r="R868" i="27"/>
  <c r="R869" i="27"/>
  <c r="R870" i="27"/>
  <c r="R871" i="27"/>
  <c r="R872" i="27"/>
  <c r="R873" i="27"/>
  <c r="R874" i="27"/>
  <c r="R875" i="27"/>
  <c r="R876" i="27"/>
  <c r="R877" i="27"/>
  <c r="R878" i="27"/>
  <c r="R879" i="27"/>
  <c r="R880" i="27"/>
  <c r="R881" i="27"/>
  <c r="R882" i="27"/>
  <c r="R883" i="27"/>
  <c r="R884" i="27"/>
  <c r="R885" i="27"/>
  <c r="R886" i="27"/>
  <c r="R887" i="27"/>
  <c r="R888" i="27"/>
  <c r="R889" i="27"/>
  <c r="R890" i="27"/>
  <c r="R891" i="27"/>
  <c r="R892" i="27"/>
  <c r="R893" i="27"/>
  <c r="R894" i="27"/>
  <c r="R895" i="27"/>
  <c r="R896" i="27"/>
  <c r="R897" i="27"/>
  <c r="R898" i="27"/>
  <c r="R899" i="27"/>
  <c r="R900" i="27"/>
  <c r="R901" i="27"/>
  <c r="R902" i="27"/>
  <c r="R903" i="27"/>
  <c r="R904" i="27"/>
  <c r="R905" i="27"/>
  <c r="R906" i="27"/>
  <c r="R907" i="27"/>
  <c r="R908" i="27"/>
  <c r="R909" i="27"/>
  <c r="R910" i="27"/>
  <c r="R911" i="27"/>
  <c r="R912" i="27"/>
  <c r="R913" i="27"/>
  <c r="R914" i="27"/>
  <c r="R915" i="27"/>
  <c r="R916" i="27"/>
  <c r="R917" i="27"/>
  <c r="R918" i="27"/>
  <c r="R919" i="27"/>
  <c r="R920" i="27"/>
  <c r="R921" i="27"/>
  <c r="R922" i="27"/>
  <c r="R923" i="27"/>
  <c r="R924" i="27"/>
  <c r="R925" i="27"/>
  <c r="R926" i="27"/>
  <c r="R927" i="27"/>
  <c r="R928" i="27"/>
  <c r="R929" i="27"/>
  <c r="R930" i="27"/>
  <c r="R931" i="27"/>
  <c r="R932" i="27"/>
  <c r="R933" i="27"/>
  <c r="R934" i="27"/>
  <c r="R935" i="27"/>
  <c r="R936" i="27"/>
  <c r="R937" i="27"/>
  <c r="R938" i="27"/>
  <c r="R939" i="27"/>
  <c r="R940" i="27"/>
  <c r="R941" i="27"/>
  <c r="R942" i="27"/>
  <c r="R943" i="27"/>
  <c r="R944" i="27"/>
  <c r="R945" i="27"/>
  <c r="R946" i="27"/>
  <c r="R947" i="27"/>
  <c r="R948" i="27"/>
  <c r="R949" i="27"/>
  <c r="R950" i="27"/>
  <c r="R951" i="27"/>
  <c r="R952" i="27"/>
  <c r="R953" i="27"/>
  <c r="R954" i="27"/>
  <c r="R955" i="27"/>
  <c r="R956" i="27"/>
  <c r="R957" i="27"/>
  <c r="R958" i="27"/>
  <c r="R959" i="27"/>
  <c r="R960" i="27"/>
  <c r="R961" i="27"/>
  <c r="R962" i="27"/>
  <c r="R963" i="27"/>
  <c r="R964" i="27"/>
  <c r="R965" i="27"/>
  <c r="R966" i="27"/>
  <c r="R967" i="27"/>
  <c r="R968" i="27"/>
  <c r="R969" i="27"/>
  <c r="R970" i="27"/>
  <c r="R971" i="27"/>
  <c r="R972" i="27"/>
  <c r="R973" i="27"/>
  <c r="R974" i="27"/>
  <c r="R975" i="27"/>
  <c r="R976" i="27"/>
  <c r="R977" i="27"/>
  <c r="R978" i="27"/>
  <c r="R979" i="27"/>
  <c r="R980" i="27"/>
  <c r="R981" i="27"/>
  <c r="R982" i="27"/>
  <c r="R983" i="27"/>
  <c r="R984" i="27"/>
  <c r="R985" i="27"/>
  <c r="R986" i="27"/>
  <c r="R987" i="27"/>
  <c r="R988" i="27"/>
  <c r="R989" i="27"/>
  <c r="R990" i="27"/>
  <c r="R991" i="27"/>
  <c r="R992" i="27"/>
  <c r="R993" i="27"/>
  <c r="R994" i="27"/>
  <c r="R995" i="27"/>
  <c r="R996" i="27"/>
  <c r="R997" i="27"/>
  <c r="R998" i="27"/>
  <c r="R999" i="27"/>
  <c r="R1000" i="27"/>
  <c r="R1001" i="27"/>
  <c r="R1002" i="27"/>
  <c r="R1003" i="27"/>
  <c r="R1004" i="27"/>
  <c r="R1005" i="27"/>
  <c r="R1006" i="27"/>
  <c r="R1007" i="27"/>
  <c r="R1008" i="27"/>
  <c r="R1009" i="27"/>
  <c r="R1010" i="27"/>
  <c r="R1011" i="27"/>
  <c r="R1012" i="27"/>
  <c r="R1013" i="27"/>
  <c r="R1014" i="27"/>
  <c r="R1015" i="27"/>
  <c r="R1016" i="27"/>
  <c r="R1017" i="27"/>
  <c r="R1018" i="27"/>
  <c r="R1019" i="27"/>
  <c r="R1020" i="27"/>
  <c r="R1021" i="27"/>
  <c r="R1022" i="27"/>
  <c r="R1023" i="27"/>
  <c r="R1024" i="27"/>
  <c r="R1025" i="27"/>
  <c r="R1026" i="27"/>
  <c r="R1027" i="27"/>
  <c r="R1028" i="27"/>
  <c r="R1029" i="27"/>
  <c r="R1030" i="27"/>
  <c r="R1031" i="27"/>
  <c r="R1032" i="27"/>
  <c r="R1033" i="27"/>
  <c r="R1034" i="27"/>
  <c r="R1035" i="27"/>
  <c r="R1036" i="27"/>
  <c r="R1037" i="27"/>
  <c r="R1038" i="27"/>
  <c r="R1039" i="27"/>
  <c r="R1040" i="27"/>
  <c r="R1041" i="27"/>
  <c r="R1042" i="27"/>
  <c r="R1043" i="27"/>
  <c r="R1044" i="27"/>
  <c r="R1045" i="27"/>
  <c r="R1046" i="27"/>
  <c r="R1047" i="27"/>
  <c r="R1048" i="27"/>
  <c r="R1049" i="27"/>
  <c r="R1050" i="27"/>
  <c r="R1051" i="27"/>
  <c r="R1052" i="27"/>
  <c r="R1053" i="27"/>
  <c r="R1054" i="27"/>
  <c r="R1055" i="27"/>
  <c r="R1056" i="27"/>
  <c r="R1057" i="27"/>
  <c r="R1058" i="27"/>
  <c r="R1059" i="27"/>
  <c r="R1060" i="27"/>
  <c r="R1061" i="27"/>
  <c r="R1062" i="27"/>
  <c r="R1063" i="27"/>
  <c r="R1064" i="27"/>
  <c r="R1065" i="27"/>
  <c r="R1066" i="27"/>
  <c r="R1067" i="27"/>
  <c r="R1068" i="27"/>
  <c r="R1069" i="27"/>
  <c r="R1070" i="27"/>
  <c r="R1071" i="27"/>
  <c r="R1072" i="27"/>
  <c r="R1073" i="27"/>
  <c r="R1074" i="27"/>
  <c r="R1075" i="27"/>
  <c r="R1076" i="27"/>
  <c r="R1077" i="27"/>
  <c r="R1078" i="27"/>
  <c r="R1079" i="27"/>
  <c r="R1080" i="27"/>
  <c r="R1081" i="27"/>
  <c r="R1082" i="27"/>
  <c r="R1083" i="27"/>
  <c r="R1084" i="27"/>
  <c r="R1085" i="27"/>
  <c r="R1086" i="27"/>
  <c r="R1087" i="27"/>
  <c r="R1088" i="27"/>
  <c r="R1089" i="27"/>
  <c r="R1090" i="27"/>
  <c r="R1091" i="27"/>
  <c r="R1092" i="27"/>
  <c r="R1093" i="27"/>
  <c r="R1094" i="27"/>
  <c r="R1095" i="27"/>
  <c r="R1096" i="27"/>
  <c r="R1097" i="27"/>
  <c r="R1098" i="27"/>
  <c r="R1099" i="27"/>
  <c r="R1100" i="27"/>
  <c r="R1101" i="27"/>
  <c r="R1102" i="27"/>
  <c r="R1103" i="27"/>
  <c r="R1104" i="27"/>
  <c r="R1105" i="27"/>
  <c r="R1106" i="27"/>
  <c r="R1107" i="27"/>
  <c r="R1108" i="27"/>
  <c r="R1109" i="27"/>
  <c r="R1110" i="27"/>
  <c r="R1111" i="27"/>
  <c r="R1112" i="27"/>
  <c r="R1113" i="27"/>
  <c r="R1114" i="27"/>
  <c r="R1115" i="27"/>
  <c r="R1116" i="27"/>
  <c r="R1117" i="27"/>
  <c r="R1118" i="27"/>
  <c r="R1119" i="27"/>
  <c r="R1120" i="27"/>
  <c r="R1121" i="27"/>
  <c r="R1122" i="27"/>
  <c r="R1123" i="27"/>
  <c r="R1124" i="27"/>
  <c r="R1125" i="27"/>
  <c r="R1126" i="27"/>
  <c r="R1127" i="27"/>
  <c r="R1128" i="27"/>
  <c r="R1129" i="27"/>
  <c r="R1130" i="27"/>
  <c r="R1131" i="27"/>
  <c r="R1132" i="27"/>
  <c r="R1133" i="27"/>
  <c r="R1134" i="27"/>
  <c r="R1135" i="27"/>
  <c r="R1136" i="27"/>
  <c r="R1137" i="27"/>
  <c r="R1138" i="27"/>
  <c r="R1139" i="27"/>
  <c r="R1140" i="27"/>
  <c r="R1141" i="27"/>
  <c r="R1142" i="27"/>
  <c r="R1143" i="27"/>
  <c r="R1144" i="27"/>
  <c r="R1145" i="27"/>
  <c r="R1146" i="27"/>
  <c r="R1147" i="27"/>
  <c r="R1148" i="27"/>
  <c r="R1149" i="27"/>
  <c r="R1150" i="27"/>
  <c r="R1151" i="27"/>
  <c r="R1152" i="27"/>
  <c r="R1153" i="27"/>
  <c r="R1154" i="27"/>
  <c r="R1155" i="27"/>
  <c r="R1156" i="27"/>
  <c r="R1157" i="27"/>
  <c r="R1158" i="27"/>
  <c r="R1159" i="27"/>
  <c r="R1160" i="27"/>
  <c r="R1161" i="27"/>
  <c r="R1162" i="27"/>
  <c r="R1163" i="27"/>
  <c r="R1164" i="27"/>
  <c r="R1165" i="27"/>
  <c r="R1166" i="27"/>
  <c r="R1167" i="27"/>
  <c r="R1168" i="27"/>
  <c r="R1169" i="27"/>
  <c r="R1170" i="27"/>
  <c r="R1171" i="27"/>
  <c r="R1172" i="27"/>
  <c r="R1173" i="27"/>
  <c r="R1174" i="27"/>
  <c r="R1175" i="27"/>
  <c r="R1176" i="27"/>
  <c r="R1177" i="27"/>
  <c r="R1178" i="27"/>
  <c r="R1179" i="27"/>
  <c r="R1180" i="27"/>
  <c r="R1181" i="27"/>
  <c r="R1182" i="27"/>
  <c r="R1183" i="27"/>
  <c r="R1184" i="27"/>
  <c r="R1185" i="27"/>
  <c r="R1186" i="27"/>
  <c r="R1187" i="27"/>
  <c r="R1188" i="27"/>
  <c r="R1189" i="27"/>
  <c r="R1190" i="27"/>
  <c r="R1191" i="27"/>
  <c r="R1192" i="27"/>
  <c r="R1193" i="27"/>
  <c r="R1194" i="27"/>
  <c r="R1195" i="27"/>
  <c r="R1196" i="27"/>
  <c r="R1197" i="27"/>
  <c r="R1198" i="27"/>
  <c r="R1199" i="27"/>
  <c r="R1200" i="27"/>
  <c r="R1201" i="27"/>
  <c r="R1202" i="27"/>
  <c r="R1203" i="27"/>
  <c r="R1204" i="27"/>
  <c r="R1205" i="27"/>
  <c r="R1206" i="27"/>
  <c r="R1207" i="27"/>
  <c r="R1208" i="27"/>
  <c r="R1209" i="27"/>
  <c r="R1210" i="27"/>
  <c r="R1211" i="27"/>
  <c r="R1212" i="27"/>
  <c r="R1213" i="27"/>
  <c r="R1214" i="27"/>
  <c r="R1215" i="27"/>
  <c r="R1216" i="27"/>
  <c r="R1217" i="27"/>
  <c r="R1218" i="27"/>
  <c r="R1219" i="27"/>
  <c r="R1220" i="27"/>
  <c r="R1221" i="27"/>
  <c r="R1222" i="27"/>
  <c r="R1223" i="27"/>
  <c r="R1224" i="27"/>
  <c r="R1225" i="27"/>
  <c r="R1226" i="27"/>
  <c r="R1227" i="27"/>
  <c r="R1228" i="27"/>
  <c r="R1229" i="27"/>
  <c r="R1230" i="27"/>
  <c r="R1231" i="27"/>
  <c r="R1232" i="27"/>
  <c r="R1233" i="27"/>
  <c r="R1234" i="27"/>
  <c r="R1235" i="27"/>
  <c r="R1236" i="27"/>
  <c r="R1237" i="27"/>
  <c r="R1238" i="27"/>
  <c r="R1239" i="27"/>
  <c r="R1240" i="27"/>
  <c r="R1241" i="27"/>
  <c r="R1242" i="27"/>
  <c r="R1243" i="27"/>
  <c r="R1244" i="27"/>
  <c r="R1245" i="27"/>
  <c r="R1246" i="27"/>
  <c r="R1247" i="27"/>
  <c r="R1248" i="27"/>
  <c r="R1249" i="27"/>
  <c r="R1250" i="27"/>
  <c r="R1251" i="27"/>
  <c r="R1252" i="27"/>
  <c r="R1253" i="27"/>
  <c r="R1254" i="27"/>
  <c r="R1255" i="27"/>
  <c r="R1256" i="27"/>
  <c r="R1257" i="27"/>
  <c r="R1258" i="27"/>
  <c r="R1259" i="27"/>
  <c r="R1260" i="27"/>
  <c r="R1261" i="27"/>
  <c r="R1262" i="27"/>
  <c r="R1263" i="27"/>
  <c r="R1264" i="27"/>
  <c r="R1265" i="27"/>
  <c r="R1266" i="27"/>
  <c r="R1267" i="27"/>
  <c r="R1268" i="27"/>
  <c r="R1269" i="27"/>
  <c r="R1270" i="27"/>
  <c r="R1271" i="27"/>
  <c r="R1272" i="27"/>
  <c r="R1273" i="27"/>
  <c r="R1274" i="27"/>
  <c r="R1275" i="27"/>
  <c r="R1276" i="27"/>
  <c r="R1277" i="27"/>
  <c r="R1278" i="27"/>
  <c r="R1279" i="27"/>
  <c r="R1280" i="27"/>
  <c r="R1281" i="27"/>
  <c r="R1282" i="27"/>
  <c r="R1283" i="27"/>
  <c r="R1284" i="27"/>
  <c r="R1285" i="27"/>
  <c r="R1286" i="27"/>
  <c r="R1287" i="27"/>
  <c r="R1288" i="27"/>
  <c r="R1289" i="27"/>
  <c r="R1290" i="27"/>
  <c r="R1291" i="27"/>
  <c r="R1292" i="27"/>
  <c r="R1293" i="27"/>
  <c r="R1294" i="27"/>
  <c r="R1295" i="27"/>
  <c r="R1296" i="27"/>
  <c r="R1297" i="27"/>
  <c r="R1298" i="27"/>
  <c r="R1299" i="27"/>
  <c r="R1300" i="27"/>
  <c r="R1301" i="27"/>
  <c r="R1302" i="27"/>
  <c r="R1303" i="27"/>
  <c r="R1304" i="27"/>
  <c r="R1305" i="27"/>
  <c r="R1306" i="27"/>
  <c r="R1307" i="27"/>
  <c r="R1308" i="27"/>
  <c r="R1309" i="27"/>
  <c r="R1310" i="27"/>
  <c r="R1311" i="27"/>
  <c r="R1312" i="27"/>
  <c r="R1313" i="27"/>
  <c r="R1314" i="27"/>
  <c r="R1315" i="27"/>
  <c r="R1316" i="27"/>
  <c r="R1317" i="27"/>
  <c r="R1318" i="27"/>
  <c r="R1319" i="27"/>
  <c r="R1320" i="27"/>
  <c r="R1321" i="27"/>
  <c r="R1322" i="27"/>
  <c r="R1323" i="27"/>
  <c r="R1324" i="27"/>
  <c r="R1325" i="27"/>
  <c r="R1326" i="27"/>
  <c r="R1327" i="27"/>
  <c r="R1328" i="27"/>
  <c r="R1329" i="27"/>
  <c r="R1330" i="27"/>
  <c r="R1331" i="27"/>
  <c r="R1332" i="27"/>
  <c r="R1333" i="27"/>
  <c r="R1334" i="27"/>
  <c r="R1335" i="27"/>
  <c r="R1336" i="27"/>
  <c r="R1337" i="27"/>
  <c r="R1338" i="27"/>
  <c r="R1339" i="27"/>
  <c r="R1340" i="27"/>
  <c r="R1341" i="27"/>
  <c r="R1342" i="27"/>
  <c r="R1343" i="27"/>
  <c r="R1344" i="27"/>
  <c r="R1345" i="27"/>
  <c r="R1346" i="27"/>
  <c r="R1347" i="27"/>
  <c r="R1348" i="27"/>
  <c r="R1349" i="27"/>
  <c r="R1350" i="27"/>
  <c r="R1351" i="27"/>
  <c r="R1352" i="27"/>
  <c r="R1353" i="27"/>
  <c r="R1354" i="27"/>
  <c r="R1355" i="27"/>
  <c r="R1356" i="27"/>
  <c r="R1357" i="27"/>
  <c r="R1358" i="27"/>
  <c r="R1359" i="27"/>
  <c r="R1360" i="27"/>
  <c r="R1361" i="27"/>
  <c r="R1362" i="27"/>
  <c r="R1363" i="27"/>
  <c r="R1364" i="27"/>
  <c r="R1365" i="27"/>
  <c r="R1366" i="27"/>
  <c r="R1367" i="27"/>
  <c r="R1368" i="27"/>
  <c r="R1369" i="27"/>
  <c r="R1370" i="27"/>
  <c r="R1371" i="27"/>
  <c r="R1372" i="27"/>
  <c r="R1373" i="27"/>
  <c r="R1374" i="27"/>
  <c r="R1375" i="27"/>
  <c r="R1376" i="27"/>
  <c r="R1377" i="27"/>
  <c r="R1378" i="27"/>
  <c r="R1379" i="27"/>
  <c r="R1380" i="27"/>
  <c r="R1381" i="27"/>
  <c r="R1382" i="27"/>
  <c r="R1383" i="27"/>
  <c r="R1384" i="27"/>
  <c r="R1385" i="27"/>
  <c r="R1386" i="27"/>
  <c r="R1387" i="27"/>
  <c r="R1388" i="27"/>
  <c r="R1389" i="27"/>
  <c r="R1390" i="27"/>
  <c r="R1391" i="27"/>
  <c r="R1392" i="27"/>
  <c r="R1393" i="27"/>
  <c r="R1394" i="27"/>
  <c r="R1395" i="27"/>
  <c r="R1396" i="27"/>
  <c r="R1397" i="27"/>
  <c r="R1398" i="27"/>
  <c r="R1399" i="27"/>
  <c r="R1400" i="27"/>
  <c r="R1401" i="27"/>
  <c r="R1402" i="27"/>
  <c r="R1403" i="27"/>
  <c r="R1404" i="27"/>
  <c r="R1405" i="27"/>
  <c r="R1406" i="27"/>
  <c r="R1407" i="27"/>
  <c r="R1408" i="27"/>
  <c r="R1409" i="27"/>
  <c r="R1410" i="27"/>
  <c r="R1411" i="27"/>
  <c r="R1412" i="27"/>
  <c r="R1413" i="27"/>
  <c r="R1414" i="27"/>
  <c r="R1415" i="27"/>
  <c r="R1416" i="27"/>
  <c r="R1417" i="27"/>
  <c r="R1418" i="27"/>
  <c r="R1419" i="27"/>
  <c r="R1420" i="27"/>
  <c r="R1421" i="27"/>
  <c r="R1422" i="27"/>
  <c r="R1423" i="27"/>
  <c r="R1424" i="27"/>
  <c r="R1425" i="27"/>
  <c r="R1426" i="27"/>
  <c r="R1427" i="27"/>
  <c r="R1428" i="27"/>
  <c r="R1429" i="27"/>
  <c r="R1430" i="27"/>
  <c r="R1431" i="27"/>
  <c r="R1432" i="27"/>
  <c r="R1433" i="27"/>
  <c r="R1434" i="27"/>
  <c r="R1435" i="27"/>
  <c r="R1436" i="27"/>
  <c r="R1437" i="27"/>
  <c r="R1438" i="27"/>
  <c r="R1439" i="27"/>
  <c r="R1440" i="27"/>
  <c r="R1441" i="27"/>
  <c r="R1442" i="27"/>
  <c r="R1443" i="27"/>
  <c r="R1444" i="27"/>
  <c r="R1445" i="27"/>
  <c r="R1446" i="27"/>
  <c r="R1447" i="27"/>
  <c r="R1448" i="27"/>
  <c r="R1449" i="27"/>
  <c r="R1450" i="27"/>
  <c r="R1451" i="27"/>
  <c r="R1452" i="27"/>
  <c r="R1453" i="27"/>
  <c r="R1454" i="27"/>
  <c r="R1455" i="27"/>
  <c r="R1456" i="27"/>
  <c r="R1457" i="27"/>
  <c r="R1458" i="27"/>
  <c r="R1459" i="27"/>
  <c r="R1460" i="27"/>
  <c r="R1461" i="27"/>
  <c r="R1462" i="27"/>
  <c r="R1463" i="27"/>
  <c r="R1464" i="27"/>
  <c r="R1465" i="27"/>
  <c r="R1466" i="27"/>
  <c r="R1467" i="27"/>
  <c r="R1468" i="27"/>
  <c r="R1469" i="27"/>
  <c r="R1470" i="27"/>
  <c r="R1471" i="27"/>
  <c r="R1472" i="27"/>
  <c r="R1473" i="27"/>
  <c r="R1474" i="27"/>
  <c r="R1475" i="27"/>
  <c r="R1476" i="27"/>
  <c r="R1477" i="27"/>
  <c r="R1478" i="27"/>
  <c r="R1479" i="27"/>
  <c r="R1480" i="27"/>
  <c r="R1481" i="27"/>
  <c r="R1482" i="27"/>
  <c r="R1483" i="27"/>
  <c r="R1484" i="27"/>
  <c r="R1485" i="27"/>
  <c r="R1486" i="27"/>
  <c r="R1487" i="27"/>
  <c r="R1488" i="27"/>
  <c r="R1489" i="27"/>
  <c r="R1490" i="27"/>
  <c r="R1491" i="27"/>
  <c r="R1492" i="27"/>
  <c r="R1493" i="27"/>
  <c r="R1494" i="27"/>
  <c r="R1495" i="27"/>
  <c r="R1496" i="27"/>
  <c r="R1497" i="27"/>
  <c r="R1498" i="27"/>
  <c r="R1499" i="27"/>
  <c r="R1500" i="27"/>
  <c r="R1501" i="27"/>
  <c r="R1502" i="27"/>
  <c r="R1503" i="27"/>
  <c r="R1504" i="27"/>
  <c r="R1505" i="27"/>
  <c r="R1506" i="27"/>
  <c r="R1507" i="27"/>
  <c r="R1508" i="27"/>
  <c r="R1509" i="27"/>
  <c r="R1510" i="27"/>
  <c r="R1511" i="27"/>
  <c r="R1512" i="27"/>
  <c r="R1513" i="27"/>
  <c r="R1514" i="27"/>
  <c r="R1515" i="27"/>
  <c r="R1516" i="27"/>
  <c r="R1517" i="27"/>
  <c r="R1518" i="27"/>
  <c r="R1519" i="27"/>
  <c r="R1520" i="27"/>
  <c r="R1521" i="27"/>
  <c r="R1522" i="27"/>
  <c r="R1523" i="27"/>
  <c r="R1524" i="27"/>
  <c r="R1525" i="27"/>
  <c r="R1526" i="27"/>
  <c r="R1527" i="27"/>
  <c r="R1528" i="27"/>
  <c r="R1529" i="27"/>
  <c r="R1530" i="27"/>
  <c r="R1531" i="27"/>
  <c r="R1532" i="27"/>
  <c r="R1533" i="27"/>
  <c r="R1534" i="27"/>
  <c r="R1535" i="27"/>
  <c r="R1536" i="27"/>
  <c r="R1537" i="27"/>
  <c r="R1538" i="27"/>
  <c r="R1539" i="27"/>
  <c r="R1540" i="27"/>
  <c r="R1541" i="27"/>
  <c r="R1542" i="27"/>
  <c r="R1543" i="27"/>
  <c r="R1544" i="27"/>
  <c r="R1545" i="27"/>
  <c r="R1546" i="27"/>
  <c r="R1547" i="27"/>
  <c r="R1548" i="27"/>
  <c r="R1549" i="27"/>
  <c r="R1550" i="27"/>
  <c r="R1551" i="27"/>
  <c r="R1552" i="27"/>
  <c r="R1553" i="27"/>
  <c r="R1554" i="27"/>
  <c r="R1555" i="27"/>
  <c r="R1556" i="27"/>
  <c r="R1557" i="27"/>
  <c r="R1558" i="27"/>
  <c r="R1559" i="27"/>
  <c r="R1560" i="27"/>
  <c r="R1561" i="27"/>
  <c r="R1562" i="27"/>
  <c r="R1563" i="27"/>
  <c r="R1564" i="27"/>
  <c r="R1565" i="27"/>
  <c r="R1566" i="27"/>
  <c r="R1567" i="27"/>
  <c r="R1568" i="27"/>
  <c r="R1569" i="27"/>
  <c r="R1570" i="27"/>
  <c r="R1571" i="27"/>
  <c r="R1572" i="27"/>
  <c r="R1573" i="27"/>
  <c r="R1574" i="27"/>
  <c r="R1575" i="27"/>
  <c r="R1576" i="27"/>
  <c r="R1577" i="27"/>
  <c r="R1578" i="27"/>
  <c r="R1579" i="27"/>
  <c r="R1580" i="27"/>
  <c r="R1581" i="27"/>
  <c r="R1582" i="27"/>
  <c r="R1583" i="27"/>
  <c r="R1584" i="27"/>
  <c r="R1585" i="27"/>
  <c r="R1586" i="27"/>
  <c r="R1587" i="27"/>
  <c r="R1588" i="27"/>
  <c r="R1589" i="27"/>
  <c r="R1590" i="27"/>
  <c r="R1591" i="27"/>
  <c r="R1592" i="27"/>
  <c r="R1593" i="27"/>
  <c r="R1594" i="27"/>
  <c r="R1595" i="27"/>
  <c r="R1596" i="27"/>
  <c r="R1597" i="27"/>
  <c r="R1598" i="27"/>
  <c r="R1599" i="27"/>
  <c r="R1600" i="27"/>
  <c r="R1601" i="27"/>
  <c r="R1602" i="27"/>
  <c r="R1603" i="27"/>
  <c r="R1604" i="27"/>
  <c r="R1605" i="27"/>
  <c r="R1606" i="27"/>
  <c r="R1607" i="27"/>
  <c r="R1608" i="27"/>
  <c r="R1609" i="27"/>
  <c r="R1610" i="27"/>
  <c r="R1611" i="27"/>
  <c r="R1612" i="27"/>
  <c r="R1613" i="27"/>
  <c r="R1614" i="27"/>
  <c r="R1615" i="27"/>
  <c r="R1616" i="27"/>
  <c r="R1617" i="27"/>
  <c r="R1618" i="27"/>
  <c r="R1619" i="27"/>
  <c r="R1620" i="27"/>
  <c r="R1621" i="27"/>
  <c r="R1622" i="27"/>
  <c r="R1623" i="27"/>
  <c r="R1624" i="27"/>
  <c r="R1625" i="27"/>
  <c r="R1626" i="27"/>
  <c r="R1627" i="27"/>
  <c r="R1628" i="27"/>
  <c r="R1629" i="27"/>
  <c r="R1630" i="27"/>
  <c r="R1631" i="27"/>
  <c r="R1632" i="27"/>
  <c r="R1633" i="27"/>
  <c r="R1634" i="27"/>
  <c r="R1635" i="27"/>
  <c r="R1636" i="27"/>
  <c r="R1637" i="27"/>
  <c r="R1638" i="27"/>
  <c r="R1639" i="27"/>
  <c r="R1640" i="27"/>
  <c r="R1641" i="27"/>
  <c r="R1642" i="27"/>
  <c r="R1643" i="27"/>
  <c r="R1644" i="27"/>
  <c r="R1645" i="27"/>
  <c r="R1646" i="27"/>
  <c r="R1647" i="27"/>
  <c r="R1648" i="27"/>
  <c r="R1649" i="27"/>
  <c r="R1650" i="27"/>
  <c r="R1651" i="27"/>
  <c r="R1652" i="27"/>
  <c r="R1653" i="27"/>
  <c r="R1654" i="27"/>
  <c r="R1655" i="27"/>
  <c r="R1656" i="27"/>
  <c r="R1657" i="27"/>
  <c r="R1658" i="27"/>
  <c r="R1659" i="27"/>
  <c r="R1660" i="27"/>
  <c r="R1661" i="27"/>
  <c r="R1662" i="27"/>
  <c r="R1663" i="27"/>
  <c r="R1664" i="27"/>
  <c r="R1665" i="27"/>
  <c r="R1666" i="27"/>
  <c r="R1667" i="27"/>
  <c r="R1668" i="27"/>
  <c r="R1669" i="27"/>
  <c r="R1670" i="27"/>
  <c r="R1671" i="27"/>
  <c r="R1672" i="27"/>
  <c r="R1673" i="27"/>
  <c r="R1674" i="27"/>
  <c r="R1675" i="27"/>
  <c r="R1676" i="27"/>
  <c r="R1677" i="27"/>
  <c r="R1678" i="27"/>
  <c r="R1679" i="27"/>
  <c r="R1680" i="27"/>
  <c r="R1681" i="27"/>
  <c r="R1682" i="27"/>
  <c r="R1683" i="27"/>
  <c r="R1684" i="27"/>
  <c r="R1685" i="27"/>
  <c r="R1686" i="27"/>
  <c r="R1687" i="27"/>
  <c r="R1688" i="27"/>
  <c r="R1689" i="27"/>
  <c r="R1690" i="27"/>
  <c r="R1691" i="27"/>
  <c r="R1692" i="27"/>
  <c r="R1693" i="27"/>
  <c r="R1694" i="27"/>
  <c r="R1695" i="27"/>
  <c r="R1696" i="27"/>
  <c r="R1697" i="27"/>
  <c r="R1698" i="27"/>
  <c r="R1699" i="27"/>
  <c r="R1700" i="27"/>
  <c r="R1701" i="27"/>
  <c r="R1702" i="27"/>
  <c r="R1703" i="27"/>
  <c r="R1704" i="27"/>
  <c r="R1705" i="27"/>
  <c r="R1706" i="27"/>
  <c r="R1707" i="27"/>
  <c r="R1708" i="27"/>
  <c r="R1709" i="27"/>
  <c r="R1710" i="27"/>
  <c r="R1711" i="27"/>
  <c r="R1712" i="27"/>
  <c r="R1713" i="27"/>
  <c r="R1714" i="27"/>
  <c r="R1715" i="27"/>
  <c r="R1716" i="27"/>
  <c r="R1717" i="27"/>
  <c r="R1718" i="27"/>
  <c r="R1719" i="27"/>
  <c r="R1720" i="27"/>
  <c r="R1721" i="27"/>
  <c r="R1722" i="27"/>
  <c r="R1723" i="27"/>
  <c r="R1724" i="27"/>
  <c r="R1725" i="27"/>
  <c r="R1726" i="27"/>
  <c r="R1727" i="27"/>
  <c r="R1728" i="27"/>
  <c r="R1729" i="27"/>
  <c r="R1730" i="27"/>
  <c r="R1731" i="27"/>
  <c r="R1732" i="27"/>
  <c r="R1733" i="27"/>
  <c r="R1734" i="27"/>
  <c r="R1735" i="27"/>
  <c r="R1736" i="27"/>
  <c r="R1737" i="27"/>
  <c r="R1738" i="27"/>
  <c r="R1739" i="27"/>
  <c r="R1740" i="27"/>
  <c r="R1741" i="27"/>
  <c r="R1742" i="27"/>
  <c r="R1743" i="27"/>
  <c r="R1744" i="27"/>
  <c r="R1745" i="27"/>
  <c r="R1746" i="27"/>
  <c r="R1747" i="27"/>
  <c r="R1748" i="27"/>
  <c r="R1749" i="27"/>
  <c r="R1750" i="27"/>
  <c r="R1751" i="27"/>
  <c r="R1752" i="27"/>
  <c r="R1753" i="27"/>
  <c r="R1754" i="27"/>
  <c r="R1755" i="27"/>
  <c r="R1756" i="27"/>
  <c r="R1757" i="27"/>
  <c r="R1758" i="27"/>
  <c r="R1759" i="27"/>
  <c r="R1760" i="27"/>
  <c r="R1761" i="27"/>
  <c r="R1762" i="27"/>
  <c r="R1763" i="27"/>
  <c r="R1764" i="27"/>
  <c r="R1765" i="27"/>
  <c r="R1766" i="27"/>
  <c r="R1767" i="27"/>
  <c r="R1768" i="27"/>
  <c r="R1769" i="27"/>
  <c r="R1770" i="27"/>
  <c r="R1771" i="27"/>
  <c r="R1772" i="27"/>
  <c r="R1773" i="27"/>
  <c r="R1774" i="27"/>
  <c r="R1775" i="27"/>
  <c r="R1776" i="27"/>
  <c r="R1777" i="27"/>
  <c r="R1778" i="27"/>
  <c r="R1779" i="27"/>
  <c r="R1780" i="27"/>
  <c r="R1781" i="27"/>
  <c r="R1782" i="27"/>
  <c r="R1783" i="27"/>
  <c r="R1784" i="27"/>
  <c r="R1785" i="27"/>
  <c r="R1786" i="27"/>
  <c r="R1787" i="27"/>
  <c r="R1788" i="27"/>
  <c r="R1789" i="27"/>
  <c r="R1790" i="27"/>
  <c r="R1791" i="27"/>
  <c r="R1792" i="27"/>
  <c r="R1793" i="27"/>
  <c r="R1794" i="27"/>
  <c r="R1795" i="27"/>
  <c r="R1796" i="27"/>
  <c r="R1797" i="27"/>
  <c r="R1798" i="27"/>
  <c r="R1799" i="27"/>
  <c r="R1800" i="27"/>
  <c r="R1801" i="27"/>
  <c r="R1802" i="27"/>
  <c r="R1803" i="27"/>
  <c r="R1804" i="27"/>
  <c r="R1805" i="27"/>
  <c r="R1806" i="27"/>
  <c r="R1807" i="27"/>
  <c r="R1808" i="27"/>
  <c r="R1809" i="27"/>
  <c r="R1810" i="27"/>
  <c r="R1811" i="27"/>
  <c r="R1812" i="27"/>
  <c r="R1813" i="27"/>
  <c r="R1814" i="27"/>
  <c r="R1815" i="27"/>
  <c r="R1816" i="27"/>
  <c r="R1817" i="27"/>
  <c r="R1818" i="27"/>
  <c r="R1819" i="27"/>
  <c r="R1820" i="27"/>
  <c r="R1821" i="27"/>
  <c r="R1822" i="27"/>
  <c r="R1823" i="27"/>
  <c r="R1824" i="27"/>
  <c r="R1825" i="27"/>
  <c r="R1826" i="27"/>
  <c r="R1827" i="27"/>
  <c r="R1828" i="27"/>
  <c r="R1829" i="27"/>
  <c r="R1830" i="27"/>
  <c r="R1831" i="27"/>
  <c r="R1832" i="27"/>
  <c r="R1833" i="27"/>
  <c r="R1834" i="27"/>
  <c r="R1835" i="27"/>
  <c r="R1836" i="27"/>
  <c r="R1837" i="27"/>
  <c r="R1838" i="27"/>
  <c r="R1839" i="27"/>
  <c r="R1840" i="27"/>
  <c r="R1841" i="27"/>
  <c r="R1842" i="27"/>
  <c r="R1843" i="27"/>
  <c r="R1844" i="27"/>
  <c r="R1845" i="27"/>
  <c r="R1846" i="27"/>
  <c r="R1847" i="27"/>
  <c r="R1848" i="27"/>
  <c r="R1849" i="27"/>
  <c r="R1850" i="27"/>
  <c r="R1851" i="27"/>
  <c r="R1852" i="27"/>
  <c r="R1853" i="27"/>
  <c r="R1854" i="27"/>
  <c r="R1855" i="27"/>
  <c r="R1856" i="27"/>
  <c r="R1857" i="27"/>
  <c r="R1858" i="27"/>
  <c r="R1859" i="27"/>
  <c r="R1860" i="27"/>
  <c r="R1861" i="27"/>
  <c r="R1862" i="27"/>
  <c r="R1863" i="27"/>
  <c r="R1864" i="27"/>
  <c r="R1865" i="27"/>
  <c r="R1866" i="27"/>
  <c r="R1867" i="27"/>
  <c r="R1868" i="27"/>
  <c r="R1869" i="27"/>
  <c r="R1870" i="27"/>
  <c r="R1871" i="27"/>
  <c r="R1872" i="27"/>
  <c r="R1873" i="27"/>
  <c r="R1874" i="27"/>
  <c r="R1875" i="27"/>
  <c r="R1876" i="27"/>
  <c r="R1877" i="27"/>
  <c r="R1878" i="27"/>
  <c r="R1879" i="27"/>
  <c r="R1880" i="27"/>
  <c r="R1881" i="27"/>
  <c r="R1882" i="27"/>
  <c r="R1883" i="27"/>
  <c r="R1884" i="27"/>
  <c r="R1885" i="27"/>
  <c r="R1886" i="27"/>
  <c r="R1887" i="27"/>
  <c r="R1888" i="27"/>
  <c r="R1889" i="27"/>
  <c r="R1890" i="27"/>
  <c r="R1891" i="27"/>
  <c r="R1892" i="27"/>
  <c r="R1893" i="27"/>
  <c r="R1894" i="27"/>
  <c r="R1895" i="27"/>
  <c r="R1896" i="27"/>
  <c r="R1897" i="27"/>
  <c r="R1898" i="27"/>
  <c r="R1899" i="27"/>
  <c r="R1900" i="27"/>
  <c r="R1901" i="27"/>
  <c r="R1902" i="27"/>
  <c r="R1903" i="27"/>
  <c r="R1904" i="27"/>
  <c r="R1905" i="27"/>
  <c r="R1906" i="27"/>
  <c r="R1907" i="27"/>
  <c r="R1908" i="27"/>
  <c r="R1909" i="27"/>
  <c r="R1910" i="27"/>
  <c r="R1911" i="27"/>
  <c r="R1912" i="27"/>
  <c r="R1913" i="27"/>
  <c r="R1914" i="27"/>
  <c r="R1915" i="27"/>
  <c r="R1916" i="27"/>
  <c r="R1917" i="27"/>
  <c r="R1918" i="27"/>
  <c r="R1919" i="27"/>
  <c r="R1920" i="27"/>
  <c r="R1921" i="27"/>
  <c r="R1922" i="27"/>
  <c r="R1923" i="27"/>
  <c r="R1924" i="27"/>
  <c r="R1925" i="27"/>
  <c r="R1926" i="27"/>
  <c r="R1927" i="27"/>
  <c r="R1928" i="27"/>
  <c r="R1929" i="27"/>
  <c r="R1930" i="27"/>
  <c r="R1931" i="27"/>
  <c r="R1932" i="27"/>
  <c r="R1933" i="27"/>
  <c r="R1934" i="27"/>
  <c r="R1935" i="27"/>
  <c r="R1936" i="27"/>
  <c r="R1937" i="27"/>
  <c r="R1938" i="27"/>
  <c r="R1939" i="27"/>
  <c r="R1940" i="27"/>
  <c r="R1941" i="27"/>
  <c r="R1942" i="27"/>
  <c r="R1943" i="27"/>
  <c r="R1944" i="27"/>
  <c r="R1945" i="27"/>
  <c r="R1946" i="27"/>
  <c r="R1947" i="27"/>
  <c r="R1948" i="27"/>
  <c r="R1949" i="27"/>
  <c r="R1950" i="27"/>
  <c r="R1951" i="27"/>
  <c r="R1952" i="27"/>
  <c r="R1953" i="27"/>
  <c r="R1954" i="27"/>
  <c r="R1955" i="27"/>
  <c r="R1956" i="27"/>
  <c r="R1957" i="27"/>
  <c r="R1958" i="27"/>
  <c r="R1959" i="27"/>
  <c r="R1960" i="27"/>
  <c r="R1961" i="27"/>
  <c r="R1962" i="27"/>
  <c r="R1963" i="27"/>
  <c r="R1964" i="27"/>
  <c r="R1965" i="27"/>
  <c r="R1966" i="27"/>
  <c r="R1967" i="27"/>
  <c r="R1968" i="27"/>
  <c r="R1969" i="27"/>
  <c r="R1970" i="27"/>
  <c r="R1971" i="27"/>
  <c r="R1972" i="27"/>
  <c r="R1973" i="27"/>
  <c r="R1974" i="27"/>
  <c r="R1975" i="27"/>
  <c r="R1976" i="27"/>
  <c r="R1977" i="27"/>
  <c r="R1978" i="27"/>
  <c r="R1979" i="27"/>
  <c r="R1980" i="27"/>
  <c r="R1981" i="27"/>
  <c r="R1982" i="27"/>
  <c r="R1983" i="27"/>
  <c r="R1984" i="27"/>
  <c r="R1985" i="27"/>
  <c r="R1986" i="27"/>
  <c r="R1987" i="27"/>
  <c r="R1988" i="27"/>
  <c r="R1989" i="27"/>
  <c r="R1990" i="27"/>
  <c r="R1991" i="27"/>
  <c r="R1992" i="27"/>
  <c r="R1993" i="27"/>
  <c r="R1994" i="27"/>
  <c r="R1995" i="27"/>
  <c r="R1996" i="27"/>
  <c r="R1997" i="27"/>
  <c r="R1998" i="27"/>
  <c r="R1999" i="27"/>
  <c r="R2000" i="27"/>
  <c r="R2001" i="27"/>
  <c r="R2002" i="27"/>
  <c r="R2003" i="27"/>
  <c r="R2004" i="27"/>
  <c r="R2005" i="27"/>
  <c r="R2006" i="27"/>
  <c r="R2007" i="27"/>
  <c r="R2008" i="27"/>
  <c r="R2009" i="27"/>
  <c r="R2010" i="27"/>
  <c r="R2011" i="27"/>
  <c r="R2012" i="27"/>
  <c r="R2013" i="27"/>
  <c r="R2014" i="27"/>
  <c r="R2015" i="27"/>
  <c r="R2016" i="27"/>
  <c r="R2017" i="27"/>
  <c r="R2018" i="27"/>
  <c r="R2019" i="27"/>
  <c r="R2020" i="27"/>
  <c r="R2021" i="27"/>
  <c r="R2022" i="27"/>
  <c r="R2023" i="27"/>
  <c r="R2024" i="27"/>
  <c r="R2025" i="27"/>
  <c r="R2026" i="27"/>
  <c r="R2027" i="27"/>
  <c r="R2028" i="27"/>
  <c r="R2029" i="27"/>
  <c r="R2030" i="27"/>
  <c r="R2031" i="27"/>
  <c r="R2032" i="27"/>
  <c r="R2033" i="27"/>
  <c r="R2034" i="27"/>
  <c r="R2035" i="27"/>
  <c r="R2036" i="27"/>
  <c r="R2037" i="27"/>
  <c r="R2038" i="27"/>
  <c r="R2039" i="27"/>
  <c r="R2040" i="27"/>
  <c r="R2041" i="27"/>
  <c r="R2042" i="27"/>
  <c r="R2043" i="27"/>
  <c r="R2044" i="27"/>
  <c r="R2045" i="27"/>
  <c r="R2046" i="27"/>
  <c r="R2047" i="27"/>
  <c r="R2048" i="27"/>
  <c r="R2049" i="27"/>
  <c r="R2050" i="27"/>
  <c r="R2051" i="27"/>
  <c r="R2052" i="27"/>
  <c r="R2053" i="27"/>
  <c r="R2054" i="27"/>
  <c r="R2055" i="27"/>
  <c r="R2056" i="27"/>
  <c r="R2057" i="27"/>
  <c r="R2058" i="27"/>
  <c r="R2059" i="27"/>
  <c r="R2060" i="27"/>
  <c r="R2061" i="27"/>
  <c r="R2062" i="27"/>
  <c r="R2063" i="27"/>
  <c r="R2064" i="27"/>
  <c r="R2065" i="27"/>
  <c r="R2066" i="27"/>
  <c r="R2067" i="27"/>
  <c r="R2068" i="27"/>
  <c r="R2069" i="27"/>
  <c r="R2070" i="27"/>
  <c r="R2071" i="27"/>
  <c r="R2072" i="27"/>
  <c r="R2073" i="27"/>
  <c r="R2074" i="27"/>
  <c r="R2075" i="27"/>
  <c r="R2076" i="27"/>
  <c r="R2077" i="27"/>
  <c r="R2078" i="27"/>
  <c r="R2079" i="27"/>
  <c r="R2080" i="27"/>
  <c r="R2081" i="27"/>
  <c r="R2082" i="27"/>
  <c r="R2083" i="27"/>
  <c r="R2084" i="27"/>
  <c r="R2085" i="27"/>
  <c r="R2086" i="27"/>
  <c r="R2087" i="27"/>
  <c r="R2088" i="27"/>
  <c r="R2089" i="27"/>
  <c r="R2090" i="27"/>
  <c r="R2091" i="27"/>
  <c r="R2092" i="27"/>
  <c r="R2093" i="27"/>
  <c r="R2094" i="27"/>
  <c r="R2095" i="27"/>
  <c r="R2096" i="27"/>
  <c r="R2097" i="27"/>
  <c r="R2098" i="27"/>
  <c r="R2099" i="27"/>
  <c r="R2100" i="27"/>
  <c r="R2101" i="27"/>
  <c r="R2102" i="27"/>
  <c r="R2103" i="27"/>
  <c r="R2104" i="27"/>
  <c r="R2105" i="27"/>
  <c r="R2106" i="27"/>
  <c r="R2107" i="27"/>
  <c r="R2108" i="27"/>
  <c r="R2109" i="27"/>
  <c r="R2110" i="27"/>
  <c r="R2111" i="27"/>
  <c r="R2112" i="27"/>
  <c r="R2113" i="27"/>
  <c r="R2114" i="27"/>
  <c r="R2115" i="27"/>
  <c r="R2116" i="27"/>
  <c r="R2117" i="27"/>
  <c r="R2118" i="27"/>
  <c r="R2119" i="27"/>
  <c r="R2120" i="27"/>
  <c r="R2121" i="27"/>
  <c r="R2122" i="27"/>
  <c r="R2123" i="27"/>
  <c r="R2124" i="27"/>
  <c r="R2125" i="27"/>
  <c r="R2126" i="27"/>
  <c r="R2127" i="27"/>
  <c r="R2128" i="27"/>
  <c r="R2129" i="27"/>
  <c r="R2130" i="27"/>
  <c r="R2131" i="27"/>
  <c r="R2132" i="27"/>
  <c r="R2133" i="27"/>
  <c r="R2134" i="27"/>
  <c r="R2135" i="27"/>
  <c r="R2136" i="27"/>
  <c r="R2137" i="27"/>
  <c r="R2138" i="27"/>
  <c r="R2139" i="27"/>
  <c r="R2140" i="27"/>
  <c r="R2141" i="27"/>
  <c r="R2142" i="27"/>
  <c r="R2143" i="27"/>
  <c r="R2144" i="27"/>
  <c r="R2145" i="27"/>
  <c r="R2146" i="27"/>
  <c r="R2147" i="27"/>
  <c r="R2148" i="27"/>
  <c r="R2149" i="27"/>
  <c r="R2150" i="27"/>
  <c r="R2151" i="27"/>
  <c r="R2152" i="27"/>
  <c r="R2153" i="27"/>
  <c r="R2154" i="27"/>
  <c r="R2155" i="27"/>
  <c r="R2156" i="27"/>
  <c r="R2157" i="27"/>
  <c r="R2158" i="27"/>
  <c r="R2159" i="27"/>
  <c r="R2160" i="27"/>
  <c r="R2161" i="27"/>
  <c r="R2162" i="27"/>
  <c r="R2163" i="27"/>
  <c r="R2164" i="27"/>
  <c r="R2165" i="27"/>
  <c r="R2166" i="27"/>
  <c r="R2167" i="27"/>
  <c r="R2168" i="27"/>
  <c r="R2169" i="27"/>
  <c r="R2170" i="27"/>
  <c r="R2171" i="27"/>
  <c r="R2172" i="27"/>
  <c r="R2173" i="27"/>
  <c r="R2174" i="27"/>
  <c r="R2175" i="27"/>
  <c r="R2176" i="27"/>
  <c r="R2177" i="27"/>
  <c r="R2178" i="27"/>
  <c r="R2179" i="27"/>
  <c r="R2180" i="27"/>
  <c r="R2181" i="27"/>
  <c r="R2182" i="27"/>
  <c r="R2183" i="27"/>
  <c r="R2184" i="27"/>
  <c r="R2185" i="27"/>
  <c r="R2186" i="27"/>
  <c r="R2187" i="27"/>
  <c r="R2188" i="27"/>
  <c r="R2189" i="27"/>
  <c r="R2190" i="27"/>
  <c r="R2191" i="27"/>
  <c r="R2192" i="27"/>
  <c r="R2193" i="27"/>
  <c r="R2194" i="27"/>
  <c r="R2195" i="27"/>
  <c r="R2196" i="27"/>
  <c r="R2197" i="27"/>
  <c r="R2198" i="27"/>
  <c r="R2199" i="27"/>
  <c r="R2200" i="27"/>
  <c r="R2201" i="27"/>
  <c r="R2202" i="27"/>
  <c r="R2203" i="27"/>
  <c r="R2204" i="27"/>
  <c r="R2205" i="27"/>
  <c r="R2206" i="27"/>
  <c r="R2207" i="27"/>
  <c r="R2208" i="27"/>
  <c r="R2209" i="27"/>
  <c r="R2210" i="27"/>
  <c r="R2211" i="27"/>
  <c r="R2212" i="27"/>
  <c r="R2213" i="27"/>
  <c r="R2214" i="27"/>
  <c r="R2215" i="27"/>
  <c r="R2216" i="27"/>
  <c r="R2217" i="27"/>
  <c r="R2218" i="27"/>
  <c r="R2219" i="27"/>
  <c r="R2220" i="27"/>
  <c r="R2221" i="27"/>
  <c r="R2222" i="27"/>
  <c r="R2223" i="27"/>
  <c r="R2224" i="27"/>
  <c r="R2225" i="27"/>
  <c r="R2226" i="27"/>
  <c r="R2227" i="27"/>
  <c r="R2228" i="27"/>
  <c r="R2229" i="27"/>
  <c r="R2230" i="27"/>
  <c r="R2231" i="27"/>
  <c r="R2232" i="27"/>
  <c r="R2233" i="27"/>
  <c r="R2234" i="27"/>
  <c r="R2235" i="27"/>
  <c r="R2236" i="27"/>
  <c r="R2237" i="27"/>
  <c r="R2238" i="27"/>
  <c r="R2239" i="27"/>
  <c r="R2240" i="27"/>
  <c r="R2241" i="27"/>
  <c r="R2242" i="27"/>
  <c r="R2243" i="27"/>
  <c r="R2244" i="27"/>
  <c r="R2245" i="27"/>
  <c r="R2246" i="27"/>
  <c r="R2247" i="27"/>
  <c r="R2248" i="27"/>
  <c r="R2249" i="27"/>
  <c r="R2250" i="27"/>
  <c r="R2251" i="27"/>
  <c r="R2252" i="27"/>
  <c r="R2253" i="27"/>
  <c r="R2254" i="27"/>
  <c r="R2255" i="27"/>
  <c r="R2256" i="27"/>
  <c r="R2257" i="27"/>
  <c r="R2258" i="27"/>
  <c r="R2259" i="27"/>
  <c r="R2260" i="27"/>
  <c r="R2261" i="27"/>
  <c r="R2262" i="27"/>
  <c r="R2263" i="27"/>
  <c r="R2264" i="27"/>
  <c r="R2265" i="27"/>
  <c r="R2266" i="27"/>
  <c r="R2267" i="27"/>
  <c r="R2268" i="27"/>
  <c r="R2269" i="27"/>
  <c r="R2270" i="27"/>
  <c r="R2271" i="27"/>
  <c r="R2272" i="27"/>
  <c r="R2273" i="27"/>
  <c r="R2274" i="27"/>
  <c r="R2275" i="27"/>
  <c r="R2276" i="27"/>
  <c r="R2277" i="27"/>
  <c r="R2278" i="27"/>
  <c r="R2279" i="27"/>
  <c r="R2280" i="27"/>
  <c r="R2281" i="27"/>
  <c r="R2282" i="27"/>
  <c r="R2283" i="27"/>
  <c r="R2" i="27"/>
  <c r="O18" i="34"/>
  <c r="Y18" i="34" s="1"/>
  <c r="Z18" i="34" s="1"/>
  <c r="O19" i="34"/>
  <c r="Y19" i="34" s="1"/>
  <c r="Z19" i="34" s="1"/>
  <c r="O20" i="34"/>
  <c r="Y20" i="34" s="1"/>
  <c r="Z20" i="34" s="1"/>
  <c r="O21" i="34"/>
  <c r="Y21" i="34" s="1"/>
  <c r="Z21" i="34" s="1"/>
  <c r="AA19" i="34"/>
  <c r="AA20" i="34"/>
  <c r="AA21" i="34"/>
  <c r="AA2" i="34"/>
  <c r="AA18" i="34"/>
  <c r="C22" i="28"/>
  <c r="C21" i="28"/>
  <c r="C20" i="28"/>
  <c r="C19" i="28"/>
  <c r="C18" i="28"/>
  <c r="C17" i="28"/>
  <c r="C16" i="28"/>
  <c r="C15" i="28"/>
  <c r="C14" i="28"/>
  <c r="D28" i="25"/>
  <c r="H28" i="25"/>
  <c r="K29" i="25" s="1"/>
  <c r="C13" i="28"/>
  <c r="D26" i="25"/>
  <c r="H26" i="25"/>
  <c r="N27" i="25" s="1"/>
  <c r="C12" i="28"/>
  <c r="D24" i="25"/>
  <c r="H24" i="25"/>
  <c r="K25" i="25" s="1"/>
  <c r="C11" i="28"/>
  <c r="D22" i="25"/>
  <c r="H22" i="25"/>
  <c r="N23" i="25" s="1"/>
  <c r="C10" i="28"/>
  <c r="D20" i="25"/>
  <c r="H20" i="25"/>
  <c r="D10" i="28" s="1"/>
  <c r="C9" i="28"/>
  <c r="D18" i="25"/>
  <c r="H18" i="25"/>
  <c r="K19" i="25" s="1"/>
  <c r="C8" i="28"/>
  <c r="D16" i="25"/>
  <c r="H16" i="25"/>
  <c r="D8" i="28" s="1"/>
  <c r="C7" i="28"/>
  <c r="H14" i="25"/>
  <c r="D7" i="28" s="1"/>
  <c r="D14" i="25"/>
  <c r="C6" i="28"/>
  <c r="D12" i="25"/>
  <c r="H12" i="25"/>
  <c r="D6" i="28" s="1"/>
  <c r="D10" i="25"/>
  <c r="H10" i="25"/>
  <c r="H8" i="25"/>
  <c r="D8" i="25"/>
  <c r="H6" i="25"/>
  <c r="D3" i="28" s="1"/>
  <c r="L6" i="25"/>
  <c r="D6" i="25"/>
  <c r="D40" i="25"/>
  <c r="L40" i="25"/>
  <c r="G20" i="28" s="1"/>
  <c r="H40" i="25"/>
  <c r="D20" i="28" s="1"/>
  <c r="D38" i="25"/>
  <c r="L38" i="25"/>
  <c r="G19" i="28" s="1"/>
  <c r="H38" i="25"/>
  <c r="D19" i="28" s="1"/>
  <c r="D36" i="25"/>
  <c r="L36" i="25"/>
  <c r="G18" i="28" s="1"/>
  <c r="H36" i="25"/>
  <c r="D18" i="28" s="1"/>
  <c r="F18" i="28" s="1"/>
  <c r="D34" i="25"/>
  <c r="H34" i="25"/>
  <c r="D17" i="28" s="1"/>
  <c r="D32" i="25"/>
  <c r="H32" i="25"/>
  <c r="M33" i="25" s="1"/>
  <c r="H30" i="25"/>
  <c r="N31" i="25" s="1"/>
  <c r="D30" i="25"/>
  <c r="C5" i="70"/>
  <c r="C3" i="70"/>
  <c r="C2" i="70"/>
  <c r="N22" i="12"/>
  <c r="O22" i="12" s="1"/>
  <c r="F33" i="15"/>
  <c r="F34" i="15"/>
  <c r="F35" i="15"/>
  <c r="E32" i="15"/>
  <c r="D11" i="11"/>
  <c r="F11" i="11"/>
  <c r="M11" i="11" s="1"/>
  <c r="E23" i="9"/>
  <c r="D9" i="11"/>
  <c r="F9" i="11"/>
  <c r="D10" i="11"/>
  <c r="G33" i="60"/>
  <c r="G34" i="60"/>
  <c r="E21" i="9"/>
  <c r="F112" i="15" s="1"/>
  <c r="D112" i="15" s="1"/>
  <c r="L112" i="15" s="1"/>
  <c r="E22" i="9"/>
  <c r="F113" i="15" s="1"/>
  <c r="D113" i="15" s="1"/>
  <c r="L113" i="15" s="1"/>
  <c r="O23" i="12"/>
  <c r="H30" i="12" s="1"/>
  <c r="O24" i="12"/>
  <c r="I29" i="12" s="1"/>
  <c r="O25" i="12"/>
  <c r="J30" i="12" s="1"/>
  <c r="J31" i="7"/>
  <c r="J32" i="7"/>
  <c r="J33" i="7"/>
  <c r="J34" i="7"/>
  <c r="J35" i="7"/>
  <c r="J36" i="7"/>
  <c r="J37" i="7"/>
  <c r="J38" i="7"/>
  <c r="J39" i="7"/>
  <c r="J40" i="7"/>
  <c r="I33" i="7"/>
  <c r="I34" i="7"/>
  <c r="I35" i="7"/>
  <c r="I36" i="7"/>
  <c r="I37" i="7"/>
  <c r="I38" i="7"/>
  <c r="I39" i="7"/>
  <c r="I40" i="7"/>
  <c r="J41" i="7"/>
  <c r="C19" i="2"/>
  <c r="C93" i="58" s="1"/>
  <c r="L93" i="58" s="1"/>
  <c r="I41" i="7"/>
  <c r="J42" i="7"/>
  <c r="I42" i="7"/>
  <c r="J43" i="7"/>
  <c r="I43" i="7"/>
  <c r="J44" i="7"/>
  <c r="I44" i="7"/>
  <c r="J45" i="7"/>
  <c r="I45" i="7"/>
  <c r="I8" i="16"/>
  <c r="I9" i="16"/>
  <c r="I10" i="16"/>
  <c r="I11" i="16"/>
  <c r="I12" i="16"/>
  <c r="I13" i="16"/>
  <c r="I14" i="16"/>
  <c r="Q2" i="34"/>
  <c r="Q11" i="34"/>
  <c r="Q12" i="34"/>
  <c r="Q13" i="34"/>
  <c r="Q14" i="34"/>
  <c r="Q15" i="34"/>
  <c r="Q16" i="34"/>
  <c r="Q17" i="34"/>
  <c r="Q18" i="34"/>
  <c r="Q19" i="34"/>
  <c r="Q20" i="34"/>
  <c r="Q3" i="34"/>
  <c r="Q21" i="34"/>
  <c r="Q4" i="34"/>
  <c r="Q5" i="34"/>
  <c r="Q6" i="34"/>
  <c r="Q7" i="34"/>
  <c r="Q8" i="34"/>
  <c r="Q9" i="34"/>
  <c r="Q10" i="34"/>
  <c r="K31" i="7"/>
  <c r="K40" i="7"/>
  <c r="K41" i="7"/>
  <c r="K42" i="7"/>
  <c r="K43" i="7"/>
  <c r="K44" i="7"/>
  <c r="K45" i="7"/>
  <c r="K32" i="7"/>
  <c r="K33" i="7"/>
  <c r="K34" i="7"/>
  <c r="K35" i="7"/>
  <c r="K36" i="7"/>
  <c r="K37" i="7"/>
  <c r="K38" i="7"/>
  <c r="K39" i="7"/>
  <c r="D15" i="11"/>
  <c r="F15" i="11"/>
  <c r="G26" i="55" s="1"/>
  <c r="E12" i="11"/>
  <c r="F12" i="11" s="1"/>
  <c r="H24" i="9" s="1"/>
  <c r="D14" i="11"/>
  <c r="F14" i="11"/>
  <c r="G24" i="46" s="1"/>
  <c r="G31" i="7"/>
  <c r="G32" i="7"/>
  <c r="G33" i="7"/>
  <c r="G34" i="7"/>
  <c r="G35" i="7"/>
  <c r="G36" i="7"/>
  <c r="G37" i="7"/>
  <c r="G38" i="7"/>
  <c r="G39" i="7"/>
  <c r="G40" i="7"/>
  <c r="G41" i="7"/>
  <c r="G42" i="7"/>
  <c r="G43" i="7"/>
  <c r="G44" i="7"/>
  <c r="G45" i="7"/>
  <c r="H31" i="7"/>
  <c r="H32" i="7"/>
  <c r="H33" i="7"/>
  <c r="H34" i="7"/>
  <c r="H35" i="7"/>
  <c r="H36" i="7"/>
  <c r="H37" i="7"/>
  <c r="H38" i="7"/>
  <c r="H39" i="7"/>
  <c r="H40" i="7"/>
  <c r="H41" i="7"/>
  <c r="H42" i="7"/>
  <c r="H43" i="7"/>
  <c r="H44" i="7"/>
  <c r="H45" i="7"/>
  <c r="R2" i="34"/>
  <c r="S2" i="34"/>
  <c r="R11" i="34"/>
  <c r="S11" i="34"/>
  <c r="R12" i="34"/>
  <c r="S12" i="34"/>
  <c r="R13" i="34"/>
  <c r="S13" i="34"/>
  <c r="R14" i="34"/>
  <c r="S14" i="34"/>
  <c r="R15" i="34"/>
  <c r="S15" i="34"/>
  <c r="R16" i="34"/>
  <c r="S16" i="34"/>
  <c r="R17" i="34"/>
  <c r="S17" i="34"/>
  <c r="R18" i="34"/>
  <c r="S18" i="34"/>
  <c r="R19" i="34"/>
  <c r="S19" i="34"/>
  <c r="R20" i="34"/>
  <c r="S20" i="34"/>
  <c r="R3" i="34"/>
  <c r="S3" i="34"/>
  <c r="R21" i="34"/>
  <c r="S21" i="34"/>
  <c r="R4" i="34"/>
  <c r="S4" i="34"/>
  <c r="R5" i="34"/>
  <c r="S5" i="34"/>
  <c r="R6" i="34"/>
  <c r="S6" i="34"/>
  <c r="R7" i="34"/>
  <c r="S7" i="34"/>
  <c r="R8" i="34"/>
  <c r="S8" i="34"/>
  <c r="R9" i="34"/>
  <c r="S9" i="34"/>
  <c r="R10" i="34"/>
  <c r="S10" i="34"/>
  <c r="L31" i="7"/>
  <c r="L32" i="7"/>
  <c r="L33" i="7"/>
  <c r="L34" i="7"/>
  <c r="L35" i="7"/>
  <c r="L36" i="7"/>
  <c r="L37" i="7"/>
  <c r="L38" i="7"/>
  <c r="L39" i="7"/>
  <c r="L40" i="7"/>
  <c r="L41" i="7"/>
  <c r="L42" i="7"/>
  <c r="L43" i="7"/>
  <c r="L44" i="7"/>
  <c r="L45" i="7"/>
  <c r="H25" i="12"/>
  <c r="C20" i="2"/>
  <c r="F42" i="7" s="1"/>
  <c r="I20" i="2" s="1"/>
  <c r="C21" i="2"/>
  <c r="F43" i="7" s="1"/>
  <c r="I21" i="2" s="1"/>
  <c r="C22" i="2"/>
  <c r="C96" i="58" s="1"/>
  <c r="L96" i="58" s="1"/>
  <c r="C23" i="2"/>
  <c r="C97" i="59" s="1"/>
  <c r="L97" i="59" s="1"/>
  <c r="J8" i="16"/>
  <c r="J9" i="16"/>
  <c r="J10" i="16"/>
  <c r="J11" i="16"/>
  <c r="J12" i="16"/>
  <c r="J13" i="16"/>
  <c r="J14" i="16"/>
  <c r="D45" i="15"/>
  <c r="C69" i="70" s="1"/>
  <c r="D5" i="69"/>
  <c r="D6" i="69"/>
  <c r="D7" i="69"/>
  <c r="D8" i="69"/>
  <c r="D9" i="69"/>
  <c r="D10" i="69"/>
  <c r="D11" i="69"/>
  <c r="D12" i="69"/>
  <c r="D13" i="69"/>
  <c r="D14" i="69"/>
  <c r="D15" i="69"/>
  <c r="D16" i="69"/>
  <c r="D17" i="69"/>
  <c r="D18" i="69"/>
  <c r="D19" i="69"/>
  <c r="D20" i="69"/>
  <c r="D21" i="69"/>
  <c r="D22" i="69"/>
  <c r="D23" i="69"/>
  <c r="D24" i="69"/>
  <c r="D25" i="69"/>
  <c r="D26" i="69"/>
  <c r="D27" i="69"/>
  <c r="D28" i="69"/>
  <c r="D29" i="69"/>
  <c r="D30" i="69"/>
  <c r="D31" i="69"/>
  <c r="F5" i="69"/>
  <c r="F6" i="69"/>
  <c r="F7" i="69"/>
  <c r="F8" i="69"/>
  <c r="F9" i="69"/>
  <c r="F10" i="69"/>
  <c r="F11" i="69"/>
  <c r="F12" i="69"/>
  <c r="F13" i="69"/>
  <c r="F14" i="69"/>
  <c r="F15" i="69"/>
  <c r="F16" i="69"/>
  <c r="F17" i="69"/>
  <c r="F18" i="69"/>
  <c r="F19" i="69"/>
  <c r="F20" i="69"/>
  <c r="F21" i="69"/>
  <c r="F22" i="69"/>
  <c r="F23" i="69"/>
  <c r="F24" i="69"/>
  <c r="F25" i="69"/>
  <c r="F26" i="69"/>
  <c r="F27" i="69"/>
  <c r="F28" i="69"/>
  <c r="F29" i="69"/>
  <c r="F30" i="69"/>
  <c r="F31" i="69"/>
  <c r="H5" i="69"/>
  <c r="H6" i="69"/>
  <c r="H7" i="69"/>
  <c r="H8" i="69"/>
  <c r="H9" i="69"/>
  <c r="H10" i="69"/>
  <c r="H11" i="69"/>
  <c r="H12" i="69"/>
  <c r="H13" i="69"/>
  <c r="H14" i="69"/>
  <c r="H15" i="69"/>
  <c r="H16" i="69"/>
  <c r="H17" i="69"/>
  <c r="H18" i="69"/>
  <c r="H19" i="69"/>
  <c r="H20" i="69"/>
  <c r="H21" i="69"/>
  <c r="H22" i="69"/>
  <c r="H23" i="69"/>
  <c r="H24" i="69"/>
  <c r="H25" i="69"/>
  <c r="H26" i="69"/>
  <c r="H27" i="69"/>
  <c r="H28" i="69"/>
  <c r="H29" i="69"/>
  <c r="H30" i="69"/>
  <c r="H31" i="69"/>
  <c r="L5" i="69"/>
  <c r="L6" i="69"/>
  <c r="L7" i="69"/>
  <c r="L8" i="69"/>
  <c r="L9" i="69"/>
  <c r="L10" i="69"/>
  <c r="L11" i="69"/>
  <c r="L12" i="69"/>
  <c r="L13" i="69"/>
  <c r="L14" i="69"/>
  <c r="L15" i="69"/>
  <c r="L16" i="69"/>
  <c r="L17" i="69"/>
  <c r="L18" i="69"/>
  <c r="L19" i="69"/>
  <c r="L20" i="69"/>
  <c r="L21" i="69"/>
  <c r="L22" i="69"/>
  <c r="L23" i="69"/>
  <c r="L24" i="69"/>
  <c r="L25" i="69"/>
  <c r="L26" i="69"/>
  <c r="L27" i="69"/>
  <c r="L28" i="69"/>
  <c r="L29" i="69"/>
  <c r="L30" i="69"/>
  <c r="L31" i="69"/>
  <c r="B5" i="69"/>
  <c r="B6" i="69"/>
  <c r="B7" i="69"/>
  <c r="B8" i="69"/>
  <c r="B9" i="69"/>
  <c r="B10" i="69"/>
  <c r="B11" i="69"/>
  <c r="B12" i="69"/>
  <c r="B13" i="69"/>
  <c r="B14" i="69"/>
  <c r="B15" i="69"/>
  <c r="B16" i="69"/>
  <c r="B17" i="69"/>
  <c r="B18" i="69"/>
  <c r="B19" i="69"/>
  <c r="B20" i="69"/>
  <c r="B21" i="69"/>
  <c r="B22" i="69"/>
  <c r="B23" i="69"/>
  <c r="B24" i="69"/>
  <c r="B25" i="69"/>
  <c r="B26" i="69"/>
  <c r="B27" i="69"/>
  <c r="B28" i="69"/>
  <c r="B29" i="69"/>
  <c r="B30" i="69"/>
  <c r="B31" i="69"/>
  <c r="D24" i="9"/>
  <c r="E119" i="59" s="1"/>
  <c r="D119" i="59" s="1"/>
  <c r="E27" i="9"/>
  <c r="F123" i="15" s="1"/>
  <c r="D123" i="15" s="1"/>
  <c r="L123" i="15" s="1"/>
  <c r="E26" i="9"/>
  <c r="F122" i="15" s="1"/>
  <c r="D122" i="15" s="1"/>
  <c r="L122" i="15" s="1"/>
  <c r="C56" i="15"/>
  <c r="C48" i="70" s="1"/>
  <c r="C33" i="16"/>
  <c r="C35" i="16"/>
  <c r="C36" i="16"/>
  <c r="C38" i="16"/>
  <c r="C40" i="16"/>
  <c r="C41" i="16"/>
  <c r="C54" i="15"/>
  <c r="C47" i="70" s="1"/>
  <c r="D37" i="15"/>
  <c r="C57" i="70" s="1"/>
  <c r="C9" i="9"/>
  <c r="C10" i="9"/>
  <c r="C11" i="9"/>
  <c r="D100" i="15"/>
  <c r="C55" i="70" s="1"/>
  <c r="C73" i="15"/>
  <c r="L73" i="15" s="1"/>
  <c r="C74" i="15"/>
  <c r="C51" i="70" s="1"/>
  <c r="C75" i="15"/>
  <c r="C52" i="70" s="1"/>
  <c r="C76" i="15"/>
  <c r="L76" i="15" s="1"/>
  <c r="C77" i="15"/>
  <c r="C54" i="70" s="1"/>
  <c r="C72" i="15"/>
  <c r="C49" i="70" s="1"/>
  <c r="C50" i="15"/>
  <c r="C43" i="70" s="1"/>
  <c r="C51" i="15"/>
  <c r="C44" i="70" s="1"/>
  <c r="C52" i="15"/>
  <c r="C45" i="70" s="1"/>
  <c r="C23" i="16"/>
  <c r="C24" i="16"/>
  <c r="F23" i="16"/>
  <c r="F24" i="16"/>
  <c r="C53" i="15"/>
  <c r="C46" i="70" s="1"/>
  <c r="C49" i="15"/>
  <c r="L190" i="15" s="1"/>
  <c r="H42" i="25"/>
  <c r="D21" i="28" s="1"/>
  <c r="L42" i="25"/>
  <c r="H44" i="25"/>
  <c r="D22" i="28" s="1"/>
  <c r="L44" i="25"/>
  <c r="G22" i="28" s="1"/>
  <c r="C21" i="70"/>
  <c r="C11" i="7"/>
  <c r="C11" i="6" s="1"/>
  <c r="F9" i="2"/>
  <c r="G5" i="7"/>
  <c r="C13" i="7"/>
  <c r="C13" i="6" s="1"/>
  <c r="D10" i="2"/>
  <c r="F10" i="2"/>
  <c r="D11" i="2"/>
  <c r="F11" i="2"/>
  <c r="D12" i="2"/>
  <c r="F12" i="2"/>
  <c r="D13" i="2"/>
  <c r="F13" i="2"/>
  <c r="D14" i="2"/>
  <c r="F14" i="2"/>
  <c r="D15" i="2"/>
  <c r="F15" i="2"/>
  <c r="D16" i="2"/>
  <c r="F16" i="2"/>
  <c r="D17" i="2"/>
  <c r="F17" i="2"/>
  <c r="F19" i="2"/>
  <c r="D19" i="2"/>
  <c r="F8" i="2"/>
  <c r="G22" i="7"/>
  <c r="G26" i="7"/>
  <c r="J7" i="59"/>
  <c r="G27" i="7"/>
  <c r="C23" i="6"/>
  <c r="D23" i="6"/>
  <c r="B23" i="6"/>
  <c r="H22" i="6"/>
  <c r="G22" i="6"/>
  <c r="F22" i="6"/>
  <c r="E22" i="6"/>
  <c r="D22" i="6"/>
  <c r="C22" i="6"/>
  <c r="B22" i="6"/>
  <c r="I11" i="15"/>
  <c r="G11" i="15"/>
  <c r="E13" i="15"/>
  <c r="C13" i="15" s="1"/>
  <c r="I13" i="15"/>
  <c r="G13" i="15" s="1"/>
  <c r="I14" i="15"/>
  <c r="G14" i="15" s="1"/>
  <c r="C33" i="18"/>
  <c r="N23" i="12"/>
  <c r="D9" i="9"/>
  <c r="F33" i="59"/>
  <c r="F33" i="58"/>
  <c r="J5" i="69"/>
  <c r="J6" i="69"/>
  <c r="J7" i="69"/>
  <c r="J8" i="69"/>
  <c r="J9" i="69"/>
  <c r="J10" i="69"/>
  <c r="J11" i="69"/>
  <c r="J12" i="69"/>
  <c r="J13" i="69"/>
  <c r="J14" i="69"/>
  <c r="J15" i="69"/>
  <c r="J16" i="69"/>
  <c r="J17" i="69"/>
  <c r="J18" i="69"/>
  <c r="J19" i="69"/>
  <c r="J20" i="69"/>
  <c r="J21" i="69"/>
  <c r="J22" i="69"/>
  <c r="J23" i="69"/>
  <c r="J24" i="69"/>
  <c r="J25" i="69"/>
  <c r="J26" i="69"/>
  <c r="J27" i="69"/>
  <c r="J28" i="69"/>
  <c r="J29" i="69"/>
  <c r="J30" i="69"/>
  <c r="J31" i="69"/>
  <c r="P31" i="69"/>
  <c r="N31" i="69"/>
  <c r="P30" i="69"/>
  <c r="N30" i="69"/>
  <c r="P29" i="69"/>
  <c r="N29" i="69"/>
  <c r="P28" i="69"/>
  <c r="N28" i="69"/>
  <c r="P27" i="69"/>
  <c r="N27" i="69"/>
  <c r="P26" i="69"/>
  <c r="N26" i="69"/>
  <c r="P25" i="69"/>
  <c r="N25" i="69"/>
  <c r="P24" i="69"/>
  <c r="N24" i="69"/>
  <c r="P23" i="69"/>
  <c r="N23" i="69"/>
  <c r="P22" i="69"/>
  <c r="N22" i="69"/>
  <c r="P21" i="69"/>
  <c r="N21" i="69"/>
  <c r="P20" i="69"/>
  <c r="N20" i="69"/>
  <c r="P19" i="69"/>
  <c r="N19" i="69"/>
  <c r="P18" i="69"/>
  <c r="N18" i="69"/>
  <c r="P17" i="69"/>
  <c r="N17" i="69"/>
  <c r="P16" i="69"/>
  <c r="N16" i="69"/>
  <c r="P15" i="69"/>
  <c r="N15" i="69"/>
  <c r="P14" i="69"/>
  <c r="N14" i="69"/>
  <c r="P13" i="69"/>
  <c r="N13" i="69"/>
  <c r="P12" i="69"/>
  <c r="N12" i="69"/>
  <c r="P11" i="69"/>
  <c r="N11" i="69"/>
  <c r="P10" i="69"/>
  <c r="N10" i="69"/>
  <c r="P9" i="69"/>
  <c r="N9" i="69"/>
  <c r="P8" i="69"/>
  <c r="N8" i="69"/>
  <c r="P7" i="69"/>
  <c r="N7" i="69"/>
  <c r="P6" i="69"/>
  <c r="N6" i="69"/>
  <c r="P5" i="69"/>
  <c r="N5" i="69"/>
  <c r="N24" i="12"/>
  <c r="N25" i="12"/>
  <c r="D9" i="10"/>
  <c r="E9" i="10" s="1"/>
  <c r="D13" i="10"/>
  <c r="E13" i="10" s="1"/>
  <c r="E104" i="15"/>
  <c r="C15" i="7"/>
  <c r="C14" i="7"/>
  <c r="C14" i="6" s="1"/>
  <c r="C25" i="7"/>
  <c r="G25" i="7" s="1"/>
  <c r="C10" i="7"/>
  <c r="G10" i="7" s="1"/>
  <c r="D11" i="9"/>
  <c r="D10" i="9"/>
  <c r="D20" i="32"/>
  <c r="D16" i="32"/>
  <c r="E25" i="32"/>
  <c r="E24" i="32"/>
  <c r="D25" i="32"/>
  <c r="D24" i="32"/>
  <c r="B3" i="32"/>
  <c r="C3" i="32"/>
  <c r="F5" i="32"/>
  <c r="G5" i="32" s="1"/>
  <c r="B2" i="32"/>
  <c r="D35" i="32"/>
  <c r="D33" i="32"/>
  <c r="E15" i="32"/>
  <c r="D15" i="32"/>
  <c r="E36" i="32"/>
  <c r="D36" i="32"/>
  <c r="D28" i="32"/>
  <c r="D14" i="32"/>
  <c r="D14" i="62"/>
  <c r="D22" i="62"/>
  <c r="T19" i="61"/>
  <c r="T27" i="61"/>
  <c r="F138" i="15"/>
  <c r="I134" i="15"/>
  <c r="I133" i="15"/>
  <c r="E133" i="15"/>
  <c r="I132" i="15"/>
  <c r="E132" i="15"/>
  <c r="C132" i="15"/>
  <c r="D125" i="15"/>
  <c r="I69" i="15"/>
  <c r="I4" i="15"/>
  <c r="E7" i="15"/>
  <c r="C7" i="15" s="1"/>
  <c r="I10" i="15"/>
  <c r="G10" i="15" s="1"/>
  <c r="I68" i="15"/>
  <c r="E68" i="15"/>
  <c r="I67" i="15"/>
  <c r="E67" i="15"/>
  <c r="I2" i="15"/>
  <c r="I3" i="15"/>
  <c r="D79" i="15"/>
  <c r="D18" i="15"/>
  <c r="E3" i="15"/>
  <c r="E2" i="15"/>
  <c r="C129" i="15"/>
  <c r="C130" i="15"/>
  <c r="E129" i="15"/>
  <c r="E130" i="15"/>
  <c r="C131" i="15"/>
  <c r="G130" i="15"/>
  <c r="I129" i="15"/>
  <c r="I130" i="15"/>
  <c r="G129" i="15"/>
  <c r="B31" i="15"/>
  <c r="B102" i="15"/>
  <c r="B5" i="15"/>
  <c r="C67" i="15"/>
  <c r="C2" i="15"/>
  <c r="E10" i="15"/>
  <c r="C10" i="15" s="1"/>
  <c r="E6" i="15"/>
  <c r="C6" i="15" s="1"/>
  <c r="I8" i="15"/>
  <c r="G8" i="15" s="1"/>
  <c r="I12" i="15"/>
  <c r="G12" i="15" s="1"/>
  <c r="E11" i="15"/>
  <c r="C11" i="15" s="1"/>
  <c r="E12" i="15"/>
  <c r="C12" i="15" s="1"/>
  <c r="E14" i="15"/>
  <c r="C14" i="15" s="1"/>
  <c r="I6" i="15"/>
  <c r="G6" i="15" s="1"/>
  <c r="E8" i="58"/>
  <c r="D2" i="15"/>
  <c r="F137" i="59"/>
  <c r="I133" i="59"/>
  <c r="I132" i="59"/>
  <c r="E132" i="59"/>
  <c r="I131" i="59"/>
  <c r="E131" i="59"/>
  <c r="C131" i="59"/>
  <c r="C130" i="59"/>
  <c r="I129" i="59"/>
  <c r="G129" i="59"/>
  <c r="E129" i="59"/>
  <c r="C129" i="59"/>
  <c r="I128" i="59"/>
  <c r="G128" i="59"/>
  <c r="E128" i="59"/>
  <c r="C128" i="59"/>
  <c r="D124" i="59"/>
  <c r="E103" i="59"/>
  <c r="B101" i="59"/>
  <c r="D99" i="59"/>
  <c r="D78" i="59"/>
  <c r="C76" i="59"/>
  <c r="L76" i="59" s="1"/>
  <c r="C75" i="59"/>
  <c r="L75" i="59" s="1"/>
  <c r="C74" i="59"/>
  <c r="L74" i="59" s="1"/>
  <c r="C73" i="59"/>
  <c r="L73" i="59" s="1"/>
  <c r="C72" i="59"/>
  <c r="L72" i="59" s="1"/>
  <c r="C71" i="59"/>
  <c r="L71" i="59" s="1"/>
  <c r="I68" i="59"/>
  <c r="I67" i="59"/>
  <c r="E67" i="59"/>
  <c r="I66" i="59"/>
  <c r="E66" i="59"/>
  <c r="C66" i="59"/>
  <c r="C56" i="59"/>
  <c r="C54" i="59"/>
  <c r="C52" i="59"/>
  <c r="C51" i="59"/>
  <c r="C50" i="59"/>
  <c r="C49" i="59"/>
  <c r="D45" i="59"/>
  <c r="D37" i="59"/>
  <c r="F35" i="59"/>
  <c r="E32" i="59"/>
  <c r="B31" i="59"/>
  <c r="D17" i="59"/>
  <c r="C11" i="59"/>
  <c r="E10" i="59"/>
  <c r="C10" i="59"/>
  <c r="H8" i="59"/>
  <c r="C8" i="59"/>
  <c r="H7" i="59"/>
  <c r="E7" i="59"/>
  <c r="C7" i="59"/>
  <c r="H6" i="59"/>
  <c r="C6" i="59"/>
  <c r="B5" i="59"/>
  <c r="I4" i="59"/>
  <c r="I3" i="59"/>
  <c r="E3" i="59"/>
  <c r="I2" i="59"/>
  <c r="E2" i="59"/>
  <c r="C2" i="59"/>
  <c r="F34" i="59"/>
  <c r="E6" i="59"/>
  <c r="F105" i="59"/>
  <c r="D105" i="59" s="1"/>
  <c r="C53" i="59"/>
  <c r="E13" i="59"/>
  <c r="E12" i="59"/>
  <c r="E15" i="59"/>
  <c r="E14" i="59"/>
  <c r="E11" i="59"/>
  <c r="F137" i="58"/>
  <c r="I133" i="58"/>
  <c r="I132" i="58"/>
  <c r="E132" i="58"/>
  <c r="I131" i="58"/>
  <c r="E131" i="58"/>
  <c r="C131" i="58"/>
  <c r="C130" i="58"/>
  <c r="I129" i="58"/>
  <c r="G129" i="58"/>
  <c r="E129" i="58"/>
  <c r="C129" i="58"/>
  <c r="I128" i="58"/>
  <c r="G128" i="58"/>
  <c r="E128" i="58"/>
  <c r="C128" i="58"/>
  <c r="D124" i="58"/>
  <c r="E103" i="58"/>
  <c r="B101" i="58"/>
  <c r="D99" i="58"/>
  <c r="D78" i="58"/>
  <c r="C76" i="58"/>
  <c r="L76" i="58" s="1"/>
  <c r="C75" i="58"/>
  <c r="L75" i="58" s="1"/>
  <c r="C74" i="58"/>
  <c r="L74" i="58" s="1"/>
  <c r="C73" i="58"/>
  <c r="L73" i="58" s="1"/>
  <c r="C72" i="58"/>
  <c r="L72" i="58" s="1"/>
  <c r="C71" i="58"/>
  <c r="L71" i="58" s="1"/>
  <c r="I68" i="58"/>
  <c r="I67" i="58"/>
  <c r="E67" i="58"/>
  <c r="I66" i="58"/>
  <c r="E66" i="58"/>
  <c r="C66" i="58"/>
  <c r="C56" i="58"/>
  <c r="C54" i="58"/>
  <c r="C52" i="58"/>
  <c r="C51" i="58"/>
  <c r="C50" i="58"/>
  <c r="C49" i="58"/>
  <c r="D45" i="58"/>
  <c r="D37" i="58"/>
  <c r="F35" i="58"/>
  <c r="E32" i="58"/>
  <c r="B31" i="58"/>
  <c r="D17" i="58"/>
  <c r="E10" i="58"/>
  <c r="E14" i="58" s="1"/>
  <c r="C15" i="58"/>
  <c r="C10" i="58"/>
  <c r="H8" i="58"/>
  <c r="C8" i="58"/>
  <c r="H7" i="58"/>
  <c r="E7" i="58"/>
  <c r="C7" i="58"/>
  <c r="H6" i="58"/>
  <c r="C6" i="58"/>
  <c r="B5" i="58"/>
  <c r="I4" i="58"/>
  <c r="I3" i="58"/>
  <c r="E3" i="58"/>
  <c r="I2" i="58"/>
  <c r="E2" i="58"/>
  <c r="C2" i="58"/>
  <c r="F34" i="58"/>
  <c r="E6" i="58"/>
  <c r="F105" i="58"/>
  <c r="D105" i="58" s="1"/>
  <c r="C53" i="58"/>
  <c r="F67" i="58"/>
  <c r="C17" i="17"/>
  <c r="C16" i="17"/>
  <c r="C9" i="17"/>
  <c r="C3" i="17"/>
  <c r="C4" i="17"/>
  <c r="C5" i="17"/>
  <c r="C6" i="17"/>
  <c r="C8" i="17"/>
  <c r="M34" i="7"/>
  <c r="M35" i="7"/>
  <c r="M36" i="7"/>
  <c r="M37" i="7"/>
  <c r="M38" i="7"/>
  <c r="M39" i="7"/>
  <c r="M40" i="7"/>
  <c r="M41" i="7"/>
  <c r="M42" i="7"/>
  <c r="M43" i="7"/>
  <c r="M44" i="7"/>
  <c r="M45" i="7"/>
  <c r="M31" i="7"/>
  <c r="C24" i="7"/>
  <c r="G24" i="7" s="1"/>
  <c r="M33" i="7"/>
  <c r="M32" i="7"/>
  <c r="E25" i="34"/>
  <c r="C25" i="34"/>
  <c r="D25" i="34" s="1"/>
  <c r="F17" i="31"/>
  <c r="A21" i="31" s="1"/>
  <c r="E32" i="9" s="1"/>
  <c r="E26" i="2" s="1"/>
  <c r="F18" i="31"/>
  <c r="AR2" i="12"/>
  <c r="AS2" i="12"/>
  <c r="AT2" i="12"/>
  <c r="AU2" i="12"/>
  <c r="AR3" i="12"/>
  <c r="AS3" i="12"/>
  <c r="AT3" i="12"/>
  <c r="AU3" i="12"/>
  <c r="AR4" i="12"/>
  <c r="AS4" i="12"/>
  <c r="AT4" i="12"/>
  <c r="AU4" i="12"/>
  <c r="AR5" i="12"/>
  <c r="AS5" i="12"/>
  <c r="AT5" i="12"/>
  <c r="AU5" i="12"/>
  <c r="AR6" i="12"/>
  <c r="AS6" i="12"/>
  <c r="AT6" i="12"/>
  <c r="AU6" i="12"/>
  <c r="AR7" i="12"/>
  <c r="AS7" i="12"/>
  <c r="AT7" i="12"/>
  <c r="AU7" i="12"/>
  <c r="AR8" i="12"/>
  <c r="AS8" i="12"/>
  <c r="AT8" i="12"/>
  <c r="AU8" i="12"/>
  <c r="AR9" i="12"/>
  <c r="AS9" i="12"/>
  <c r="AT9" i="12"/>
  <c r="AU9" i="12"/>
  <c r="AR10" i="12"/>
  <c r="AS10" i="12"/>
  <c r="AT10" i="12"/>
  <c r="AU10" i="12"/>
  <c r="AI2" i="12"/>
  <c r="AJ2" i="12"/>
  <c r="AK2" i="12"/>
  <c r="AL2" i="12"/>
  <c r="AM2" i="12"/>
  <c r="AN2" i="12"/>
  <c r="AO2" i="12"/>
  <c r="AP2" i="12"/>
  <c r="AQ2" i="12"/>
  <c r="AX2" i="12"/>
  <c r="AI3" i="12"/>
  <c r="AJ3" i="12"/>
  <c r="AK3" i="12"/>
  <c r="AL3" i="12"/>
  <c r="AM3" i="12"/>
  <c r="AN3" i="12"/>
  <c r="AO3" i="12"/>
  <c r="AP3" i="12"/>
  <c r="AQ3" i="12"/>
  <c r="AX3" i="12"/>
  <c r="AI4" i="12"/>
  <c r="AJ4" i="12"/>
  <c r="AK4" i="12"/>
  <c r="AL4" i="12"/>
  <c r="AM4" i="12"/>
  <c r="AN4" i="12"/>
  <c r="AO4" i="12"/>
  <c r="AP4" i="12"/>
  <c r="AQ4" i="12"/>
  <c r="AX4" i="12"/>
  <c r="AI5" i="12"/>
  <c r="AJ5" i="12"/>
  <c r="AK5" i="12"/>
  <c r="AL5" i="12"/>
  <c r="AM5" i="12"/>
  <c r="AN5" i="12"/>
  <c r="AO5" i="12"/>
  <c r="AP5" i="12"/>
  <c r="AQ5" i="12"/>
  <c r="AX5" i="12"/>
  <c r="AI6" i="12"/>
  <c r="AJ6" i="12"/>
  <c r="AK6" i="12"/>
  <c r="AL6" i="12"/>
  <c r="AM6" i="12"/>
  <c r="AN6" i="12"/>
  <c r="AO6" i="12"/>
  <c r="AP6" i="12"/>
  <c r="AQ6" i="12"/>
  <c r="AX6" i="12"/>
  <c r="AI7" i="12"/>
  <c r="AJ7" i="12"/>
  <c r="AK7" i="12"/>
  <c r="AL7" i="12"/>
  <c r="AM7" i="12"/>
  <c r="AN7" i="12"/>
  <c r="AO7" i="12"/>
  <c r="AP7" i="12"/>
  <c r="AQ7" i="12"/>
  <c r="AX7" i="12"/>
  <c r="AI8" i="12"/>
  <c r="AJ8" i="12"/>
  <c r="AK8" i="12"/>
  <c r="AL8" i="12"/>
  <c r="AM8" i="12"/>
  <c r="AN8" i="12"/>
  <c r="AO8" i="12"/>
  <c r="AP8" i="12"/>
  <c r="AQ8" i="12"/>
  <c r="AX8" i="12"/>
  <c r="AI9" i="12"/>
  <c r="AJ9" i="12"/>
  <c r="AK9" i="12"/>
  <c r="AL9" i="12"/>
  <c r="AM9" i="12"/>
  <c r="AN9" i="12"/>
  <c r="AO9" i="12"/>
  <c r="AP9" i="12"/>
  <c r="AQ9" i="12"/>
  <c r="AX9" i="12"/>
  <c r="AI10" i="12"/>
  <c r="AJ10" i="12"/>
  <c r="AK10" i="12"/>
  <c r="AL10" i="12"/>
  <c r="AM10" i="12"/>
  <c r="AN10" i="12"/>
  <c r="AO10" i="12"/>
  <c r="AP10" i="12"/>
  <c r="AQ10" i="12"/>
  <c r="AX10" i="12"/>
  <c r="AH10" i="12"/>
  <c r="AH9" i="12"/>
  <c r="AH8" i="12"/>
  <c r="AH7" i="12"/>
  <c r="AH6" i="12"/>
  <c r="AH5" i="12"/>
  <c r="AH4" i="12"/>
  <c r="AH3" i="12"/>
  <c r="AH2" i="12"/>
  <c r="AB2" i="12"/>
  <c r="AC2" i="12"/>
  <c r="AD2" i="12"/>
  <c r="AB3" i="12"/>
  <c r="AC3" i="12"/>
  <c r="AD3" i="12"/>
  <c r="AB4" i="12"/>
  <c r="AC4" i="12"/>
  <c r="AD4" i="12"/>
  <c r="AB5" i="12"/>
  <c r="AC5" i="12"/>
  <c r="AD5" i="12"/>
  <c r="AB6" i="12"/>
  <c r="AC6" i="12"/>
  <c r="AD6" i="12"/>
  <c r="AB7" i="12"/>
  <c r="AC7" i="12"/>
  <c r="AD7" i="12"/>
  <c r="AB8" i="12"/>
  <c r="AC8" i="12"/>
  <c r="AD8" i="12"/>
  <c r="AB9" i="12"/>
  <c r="AC9" i="12"/>
  <c r="AD9" i="12"/>
  <c r="AB10" i="12"/>
  <c r="AC10" i="12"/>
  <c r="AD10" i="12"/>
  <c r="C2" i="12"/>
  <c r="C3" i="12"/>
  <c r="C4" i="12"/>
  <c r="C5" i="12"/>
  <c r="C6" i="12"/>
  <c r="S4" i="12"/>
  <c r="AF4" i="12"/>
  <c r="D4" i="12"/>
  <c r="M4" i="12"/>
  <c r="K4" i="12"/>
  <c r="L4" i="12"/>
  <c r="S5" i="12"/>
  <c r="AF5" i="12"/>
  <c r="D5" i="12"/>
  <c r="M5" i="12"/>
  <c r="K5" i="12"/>
  <c r="L5" i="12"/>
  <c r="S6" i="12"/>
  <c r="AF6" i="12"/>
  <c r="D6" i="12"/>
  <c r="M6" i="12"/>
  <c r="K6" i="12"/>
  <c r="L6" i="12"/>
  <c r="U6" i="12"/>
  <c r="S7" i="12"/>
  <c r="AF7" i="12"/>
  <c r="D7" i="12"/>
  <c r="M7" i="12"/>
  <c r="K7" i="12"/>
  <c r="L7" i="12"/>
  <c r="U7" i="12"/>
  <c r="C7" i="12"/>
  <c r="S8" i="12"/>
  <c r="AF8" i="12"/>
  <c r="D8" i="12"/>
  <c r="M8" i="12"/>
  <c r="K8" i="12"/>
  <c r="L8" i="12"/>
  <c r="U8" i="12"/>
  <c r="C8" i="12"/>
  <c r="S9" i="12"/>
  <c r="AF9" i="12"/>
  <c r="D9" i="12"/>
  <c r="M9" i="12"/>
  <c r="K9" i="12"/>
  <c r="L9" i="12"/>
  <c r="U9" i="12"/>
  <c r="C9" i="12"/>
  <c r="S10" i="12"/>
  <c r="AF10" i="12"/>
  <c r="D10" i="12"/>
  <c r="M10" i="12"/>
  <c r="K10" i="12"/>
  <c r="L10" i="12"/>
  <c r="U10" i="12"/>
  <c r="C10" i="12"/>
  <c r="S3" i="12"/>
  <c r="AF3" i="12"/>
  <c r="D3" i="12"/>
  <c r="M3" i="12"/>
  <c r="K3" i="12"/>
  <c r="L3" i="12"/>
  <c r="E6" i="12"/>
  <c r="F6" i="12"/>
  <c r="G6" i="12"/>
  <c r="H6" i="12"/>
  <c r="I6" i="12"/>
  <c r="J6" i="12"/>
  <c r="N6" i="12"/>
  <c r="O6" i="12"/>
  <c r="P6" i="12"/>
  <c r="Q6" i="12"/>
  <c r="R6" i="12"/>
  <c r="T6" i="12"/>
  <c r="V6" i="12"/>
  <c r="W6" i="12"/>
  <c r="X6" i="12"/>
  <c r="Y6" i="12"/>
  <c r="Z6" i="12"/>
  <c r="AA6" i="12"/>
  <c r="E7" i="12"/>
  <c r="F7" i="12"/>
  <c r="G7" i="12"/>
  <c r="H7" i="12"/>
  <c r="I7" i="12"/>
  <c r="J7" i="12"/>
  <c r="N7" i="12"/>
  <c r="O7" i="12"/>
  <c r="P7" i="12"/>
  <c r="Q7" i="12"/>
  <c r="R7" i="12"/>
  <c r="T7" i="12"/>
  <c r="V7" i="12"/>
  <c r="W7" i="12"/>
  <c r="X7" i="12"/>
  <c r="Y7" i="12"/>
  <c r="Z7" i="12"/>
  <c r="AA7" i="12"/>
  <c r="E8" i="12"/>
  <c r="F8" i="12"/>
  <c r="G8" i="12"/>
  <c r="H8" i="12"/>
  <c r="I8" i="12"/>
  <c r="J8" i="12"/>
  <c r="N8" i="12"/>
  <c r="O8" i="12"/>
  <c r="P8" i="12"/>
  <c r="Q8" i="12"/>
  <c r="R8" i="12"/>
  <c r="T8" i="12"/>
  <c r="V8" i="12"/>
  <c r="W8" i="12"/>
  <c r="X8" i="12"/>
  <c r="Y8" i="12"/>
  <c r="Z8" i="12"/>
  <c r="AA8" i="12"/>
  <c r="E9" i="12"/>
  <c r="F9" i="12"/>
  <c r="G9" i="12"/>
  <c r="H9" i="12"/>
  <c r="I9" i="12"/>
  <c r="J9" i="12"/>
  <c r="N9" i="12"/>
  <c r="O9" i="12"/>
  <c r="P9" i="12"/>
  <c r="Q9" i="12"/>
  <c r="R9" i="12"/>
  <c r="T9" i="12"/>
  <c r="V9" i="12"/>
  <c r="W9" i="12"/>
  <c r="X9" i="12"/>
  <c r="Y9" i="12"/>
  <c r="Z9" i="12"/>
  <c r="AA9" i="12"/>
  <c r="E10" i="12"/>
  <c r="F10" i="12"/>
  <c r="G10" i="12"/>
  <c r="H10" i="12"/>
  <c r="I10" i="12"/>
  <c r="J10" i="12"/>
  <c r="N10" i="12"/>
  <c r="O10" i="12"/>
  <c r="P10" i="12"/>
  <c r="Q10" i="12"/>
  <c r="R10" i="12"/>
  <c r="T10" i="12"/>
  <c r="V10" i="12"/>
  <c r="W10" i="12"/>
  <c r="X10" i="12"/>
  <c r="Y10" i="12"/>
  <c r="Z10" i="12"/>
  <c r="AA10" i="12"/>
  <c r="B7" i="12"/>
  <c r="B8" i="12"/>
  <c r="B9" i="12"/>
  <c r="B10" i="12"/>
  <c r="B6" i="12"/>
  <c r="B2" i="12"/>
  <c r="S2" i="12"/>
  <c r="AF2" i="12"/>
  <c r="D2" i="12"/>
  <c r="M2" i="12"/>
  <c r="K2" i="12"/>
  <c r="L2" i="12"/>
  <c r="E2" i="12"/>
  <c r="E3" i="12"/>
  <c r="E4" i="12"/>
  <c r="E5" i="12"/>
  <c r="B3" i="12"/>
  <c r="B4" i="12"/>
  <c r="B5" i="12"/>
  <c r="C25" i="12"/>
  <c r="C26" i="12"/>
  <c r="C27" i="12"/>
  <c r="C28" i="12"/>
  <c r="C29" i="12"/>
  <c r="C30" i="12"/>
  <c r="C31" i="12"/>
  <c r="C32" i="12"/>
  <c r="C33" i="12"/>
  <c r="N3" i="12"/>
  <c r="H3" i="12"/>
  <c r="N4" i="12"/>
  <c r="H4" i="12"/>
  <c r="N5" i="12"/>
  <c r="H5" i="12"/>
  <c r="N2" i="12"/>
  <c r="H2" i="12"/>
  <c r="T3" i="12"/>
  <c r="T4" i="12"/>
  <c r="T5" i="12"/>
  <c r="T2" i="12"/>
  <c r="I2" i="12"/>
  <c r="J2" i="12"/>
  <c r="I3" i="12"/>
  <c r="J3" i="12"/>
  <c r="I4" i="12"/>
  <c r="J4" i="12"/>
  <c r="I5" i="12"/>
  <c r="J5" i="12"/>
  <c r="U2" i="12"/>
  <c r="U3" i="12"/>
  <c r="U4" i="12"/>
  <c r="U5" i="12"/>
  <c r="AA2" i="12"/>
  <c r="X2" i="12"/>
  <c r="Y2" i="12"/>
  <c r="X3" i="12"/>
  <c r="Y3" i="12"/>
  <c r="X4" i="12"/>
  <c r="Y4" i="12"/>
  <c r="X5" i="12"/>
  <c r="Y5" i="12"/>
  <c r="Z2" i="12"/>
  <c r="Z3" i="12"/>
  <c r="Z4" i="12"/>
  <c r="Z5" i="12"/>
  <c r="V2" i="12"/>
  <c r="W2" i="12"/>
  <c r="V3" i="12"/>
  <c r="W3" i="12"/>
  <c r="AA3" i="12"/>
  <c r="V4" i="12"/>
  <c r="W4" i="12"/>
  <c r="AA4" i="12"/>
  <c r="V5" i="12"/>
  <c r="W5" i="12"/>
  <c r="AA5" i="12"/>
  <c r="P2" i="12"/>
  <c r="Q2" i="12"/>
  <c r="P3" i="12"/>
  <c r="Q3" i="12"/>
  <c r="P4" i="12"/>
  <c r="Q4" i="12"/>
  <c r="P5" i="12"/>
  <c r="Q5" i="12"/>
  <c r="F2" i="12"/>
  <c r="G2" i="12"/>
  <c r="F3" i="12"/>
  <c r="G3" i="12"/>
  <c r="F4" i="12"/>
  <c r="G4" i="12"/>
  <c r="F5" i="12"/>
  <c r="G5" i="12"/>
  <c r="O2" i="12"/>
  <c r="R2" i="12"/>
  <c r="O5" i="12"/>
  <c r="R5" i="12"/>
  <c r="O4" i="12"/>
  <c r="R4" i="12"/>
  <c r="O3" i="12"/>
  <c r="R3" i="12"/>
  <c r="D31" i="11"/>
  <c r="D30" i="11"/>
  <c r="E29" i="11"/>
  <c r="D29" i="11"/>
  <c r="G28" i="11"/>
  <c r="D28" i="11"/>
  <c r="E28" i="11"/>
  <c r="D8" i="11"/>
  <c r="D7" i="11"/>
  <c r="D13" i="64"/>
  <c r="C12" i="64"/>
  <c r="B12" i="64"/>
  <c r="C11" i="64"/>
  <c r="B11" i="64"/>
  <c r="C10" i="64"/>
  <c r="B10" i="64"/>
  <c r="C9" i="64"/>
  <c r="B9" i="64"/>
  <c r="C8" i="64"/>
  <c r="B8" i="64"/>
  <c r="C7" i="64"/>
  <c r="B7" i="64"/>
  <c r="C6" i="64"/>
  <c r="B6" i="64"/>
  <c r="C5" i="64"/>
  <c r="B5" i="64"/>
  <c r="C4" i="64"/>
  <c r="B4" i="64"/>
  <c r="C3" i="64"/>
  <c r="B3" i="64"/>
  <c r="C49" i="68"/>
  <c r="B49" i="68"/>
  <c r="C48" i="68"/>
  <c r="B48" i="68"/>
  <c r="C47" i="68"/>
  <c r="B47" i="68"/>
  <c r="C46" i="68"/>
  <c r="B46" i="68"/>
  <c r="C45" i="68"/>
  <c r="B45" i="68"/>
  <c r="C44" i="68"/>
  <c r="B44" i="68"/>
  <c r="C43" i="68"/>
  <c r="B43" i="68"/>
  <c r="C42" i="68"/>
  <c r="B42" i="68"/>
  <c r="C41" i="68"/>
  <c r="B41" i="68"/>
  <c r="C40" i="68"/>
  <c r="B40" i="68"/>
  <c r="C39" i="68"/>
  <c r="B39" i="68"/>
  <c r="C38" i="68"/>
  <c r="B38" i="68"/>
  <c r="C37" i="68"/>
  <c r="B37" i="68"/>
  <c r="C36" i="68"/>
  <c r="B36" i="68"/>
  <c r="C35" i="68"/>
  <c r="B35" i="68"/>
  <c r="C34" i="68"/>
  <c r="B34" i="68"/>
  <c r="C33" i="68"/>
  <c r="B33" i="68"/>
  <c r="C32" i="68"/>
  <c r="B32" i="68"/>
  <c r="C31" i="68"/>
  <c r="B31" i="68"/>
  <c r="C30" i="68"/>
  <c r="B30" i="68"/>
  <c r="C29" i="68"/>
  <c r="B29" i="68"/>
  <c r="C28" i="68"/>
  <c r="B28" i="68"/>
  <c r="C27" i="68"/>
  <c r="B27" i="68"/>
  <c r="C26" i="68"/>
  <c r="B26" i="68"/>
  <c r="C25" i="68"/>
  <c r="B25" i="68"/>
  <c r="C24" i="68"/>
  <c r="B24" i="68"/>
  <c r="C23" i="68"/>
  <c r="B23" i="68"/>
  <c r="C22" i="68"/>
  <c r="B22" i="68"/>
  <c r="C21" i="68"/>
  <c r="B21" i="68"/>
  <c r="C20" i="68"/>
  <c r="B20" i="68"/>
  <c r="C19" i="68"/>
  <c r="B19" i="68"/>
  <c r="C18" i="68"/>
  <c r="B18" i="68"/>
  <c r="C17" i="68"/>
  <c r="B17" i="68"/>
  <c r="C16" i="68"/>
  <c r="B16" i="68"/>
  <c r="C15" i="68"/>
  <c r="B15" i="68"/>
  <c r="C14" i="68"/>
  <c r="B14" i="68"/>
  <c r="C13" i="68"/>
  <c r="B13" i="68"/>
  <c r="C12" i="68"/>
  <c r="B12" i="68"/>
  <c r="C11" i="68"/>
  <c r="B11" i="68"/>
  <c r="C10" i="68"/>
  <c r="B10" i="68"/>
  <c r="C9" i="68"/>
  <c r="B9" i="68"/>
  <c r="C8" i="68"/>
  <c r="B8" i="68"/>
  <c r="C7" i="68"/>
  <c r="B7" i="68"/>
  <c r="C6" i="68"/>
  <c r="B6" i="68"/>
  <c r="C5" i="68"/>
  <c r="B5" i="68"/>
  <c r="C4" i="68"/>
  <c r="B4" i="68"/>
  <c r="C3" i="68"/>
  <c r="B3" i="68"/>
  <c r="D3" i="62"/>
  <c r="D4" i="62"/>
  <c r="D5" i="62"/>
  <c r="D6" i="62"/>
  <c r="D7" i="62"/>
  <c r="D8" i="62"/>
  <c r="D9" i="62"/>
  <c r="D10" i="62"/>
  <c r="D11" i="62"/>
  <c r="D12" i="62"/>
  <c r="D13" i="62"/>
  <c r="D15" i="62"/>
  <c r="D16" i="62"/>
  <c r="D17" i="62"/>
  <c r="D18" i="62"/>
  <c r="D19" i="62"/>
  <c r="D20" i="62"/>
  <c r="D21" i="62"/>
  <c r="D23" i="62"/>
  <c r="D24" i="62"/>
  <c r="D25" i="62"/>
  <c r="D26" i="62"/>
  <c r="D27" i="62"/>
  <c r="D28" i="62"/>
  <c r="D29" i="62"/>
  <c r="D30" i="62"/>
  <c r="D31" i="62"/>
  <c r="D32" i="62"/>
  <c r="D33" i="62"/>
  <c r="D34" i="62"/>
  <c r="D35" i="62"/>
  <c r="D36" i="62"/>
  <c r="D37" i="62"/>
  <c r="D38" i="62"/>
  <c r="D39" i="62"/>
  <c r="D40" i="62"/>
  <c r="D41" i="62"/>
  <c r="D42" i="62"/>
  <c r="D43" i="62"/>
  <c r="D44" i="62"/>
  <c r="D45" i="62"/>
  <c r="D2" i="62"/>
  <c r="H21" i="16"/>
  <c r="B25" i="16"/>
  <c r="C15" i="16"/>
  <c r="H4" i="16"/>
  <c r="C4" i="16"/>
  <c r="I3" i="16"/>
  <c r="G3" i="16"/>
  <c r="F3" i="16"/>
  <c r="C3" i="16"/>
  <c r="F2" i="16"/>
  <c r="F9" i="16"/>
  <c r="F8" i="16"/>
  <c r="F13" i="16"/>
  <c r="F12" i="16"/>
  <c r="F11" i="16"/>
  <c r="F10" i="16"/>
  <c r="H21" i="6"/>
  <c r="F21" i="6"/>
  <c r="F20" i="6"/>
  <c r="F16" i="6"/>
  <c r="H12" i="6"/>
  <c r="F12" i="6"/>
  <c r="F11" i="6"/>
  <c r="F10" i="6"/>
  <c r="H10" i="6"/>
  <c r="H9" i="6"/>
  <c r="B9" i="6"/>
  <c r="D9" i="6"/>
  <c r="E9" i="6"/>
  <c r="F9" i="6"/>
  <c r="G9" i="6"/>
  <c r="F8" i="6"/>
  <c r="F7" i="6"/>
  <c r="H7" i="6"/>
  <c r="H8" i="6"/>
  <c r="H6" i="6"/>
  <c r="B20" i="6"/>
  <c r="H20" i="6"/>
  <c r="G20" i="6"/>
  <c r="E20" i="6"/>
  <c r="D20" i="6"/>
  <c r="H5" i="6"/>
  <c r="B5" i="6"/>
  <c r="G5" i="6"/>
  <c r="F5" i="6"/>
  <c r="E5" i="6"/>
  <c r="D5" i="6"/>
  <c r="F6" i="6"/>
  <c r="H4" i="6"/>
  <c r="G4" i="6"/>
  <c r="F4" i="6"/>
  <c r="E4" i="6"/>
  <c r="D4" i="6"/>
  <c r="B4" i="6"/>
  <c r="H14" i="6"/>
  <c r="F19" i="6"/>
  <c r="F18" i="6"/>
  <c r="F17" i="6"/>
  <c r="F14" i="6"/>
  <c r="F13" i="6"/>
  <c r="H11" i="6"/>
  <c r="F15" i="6"/>
  <c r="D6" i="6"/>
  <c r="D7" i="6"/>
  <c r="D8" i="6"/>
  <c r="D10" i="6"/>
  <c r="D11" i="6"/>
  <c r="D12" i="6"/>
  <c r="D13" i="6"/>
  <c r="D14" i="6"/>
  <c r="D15" i="6"/>
  <c r="D16" i="6"/>
  <c r="D17" i="6"/>
  <c r="D18" i="6"/>
  <c r="D19" i="6"/>
  <c r="D21" i="6"/>
  <c r="E13" i="6"/>
  <c r="E14" i="6"/>
  <c r="G6" i="6"/>
  <c r="G7" i="6"/>
  <c r="G8" i="6"/>
  <c r="G10" i="6"/>
  <c r="G11" i="6"/>
  <c r="G12" i="6"/>
  <c r="G13" i="6"/>
  <c r="G14" i="6"/>
  <c r="G15" i="6"/>
  <c r="G16" i="6"/>
  <c r="G17" i="6"/>
  <c r="G18" i="6"/>
  <c r="G19" i="6"/>
  <c r="G21" i="6"/>
  <c r="B19" i="6"/>
  <c r="E19" i="6"/>
  <c r="H19" i="6"/>
  <c r="B21" i="6"/>
  <c r="E21" i="6"/>
  <c r="H13" i="6"/>
  <c r="H15" i="6"/>
  <c r="H16" i="6"/>
  <c r="H17" i="6"/>
  <c r="H18" i="6"/>
  <c r="B16" i="6"/>
  <c r="E16" i="6"/>
  <c r="E18" i="6"/>
  <c r="B18" i="6"/>
  <c r="E17" i="6"/>
  <c r="B17" i="6"/>
  <c r="B13" i="6"/>
  <c r="B14" i="6"/>
  <c r="B15" i="6"/>
  <c r="B6" i="6"/>
  <c r="B7" i="6"/>
  <c r="B8" i="6"/>
  <c r="B10" i="6"/>
  <c r="B11" i="6"/>
  <c r="B12" i="6"/>
  <c r="E15" i="6"/>
  <c r="E12" i="6"/>
  <c r="E11" i="6"/>
  <c r="E10" i="6"/>
  <c r="E8" i="6"/>
  <c r="E7" i="6"/>
  <c r="E6" i="6"/>
  <c r="H9" i="9"/>
  <c r="F16" i="9"/>
  <c r="G21" i="9"/>
  <c r="D13" i="9"/>
  <c r="E18" i="9"/>
  <c r="I4" i="9"/>
  <c r="D4" i="9"/>
  <c r="J3" i="9"/>
  <c r="H3" i="9"/>
  <c r="G3" i="9"/>
  <c r="D3" i="9"/>
  <c r="G2" i="9"/>
  <c r="H11" i="9"/>
  <c r="H10" i="9"/>
  <c r="N10" i="9"/>
  <c r="N11" i="9"/>
  <c r="N12" i="9"/>
  <c r="N13" i="9"/>
  <c r="N14" i="9"/>
  <c r="N15" i="9"/>
  <c r="N16" i="9"/>
  <c r="N17" i="9"/>
  <c r="N9" i="9"/>
  <c r="D6" i="9"/>
  <c r="J31" i="9"/>
  <c r="I25" i="2" s="1"/>
  <c r="J32" i="9"/>
  <c r="I26" i="2" s="1"/>
  <c r="M4" i="25"/>
  <c r="E4" i="25"/>
  <c r="N3" i="25"/>
  <c r="K3" i="25"/>
  <c r="J3" i="25"/>
  <c r="E3" i="25"/>
  <c r="J2" i="25"/>
  <c r="K6" i="25"/>
  <c r="K8" i="25"/>
  <c r="K10" i="25"/>
  <c r="K12" i="25"/>
  <c r="K14" i="25"/>
  <c r="K16" i="25"/>
  <c r="K18" i="25"/>
  <c r="K20" i="25"/>
  <c r="K22" i="25"/>
  <c r="K24" i="25"/>
  <c r="K26" i="25"/>
  <c r="K28" i="25"/>
  <c r="K30" i="25"/>
  <c r="K32" i="25"/>
  <c r="K34" i="25"/>
  <c r="K36" i="25"/>
  <c r="K38" i="25"/>
  <c r="K40" i="25"/>
  <c r="K42" i="25"/>
  <c r="K44" i="25"/>
  <c r="J6" i="25"/>
  <c r="K7" i="25" s="1"/>
  <c r="J8" i="25"/>
  <c r="J10" i="25"/>
  <c r="I10" i="25"/>
  <c r="J12" i="25"/>
  <c r="I12" i="25"/>
  <c r="J14" i="25"/>
  <c r="I14" i="25"/>
  <c r="J16" i="25"/>
  <c r="I16" i="25"/>
  <c r="J18" i="25"/>
  <c r="I18" i="25"/>
  <c r="J20" i="25"/>
  <c r="I20" i="25"/>
  <c r="J22" i="25"/>
  <c r="I22" i="25"/>
  <c r="J24" i="25"/>
  <c r="I24" i="25"/>
  <c r="J26" i="25"/>
  <c r="I26" i="25"/>
  <c r="J28" i="25"/>
  <c r="I28" i="25"/>
  <c r="J30" i="25"/>
  <c r="I30" i="25"/>
  <c r="J32" i="25"/>
  <c r="I32" i="25"/>
  <c r="J34" i="25"/>
  <c r="I34" i="25"/>
  <c r="J36" i="25"/>
  <c r="I36" i="25"/>
  <c r="J38" i="25"/>
  <c r="I38" i="25"/>
  <c r="J40" i="25"/>
  <c r="I40" i="25"/>
  <c r="J42" i="25"/>
  <c r="I42" i="25"/>
  <c r="D42" i="25"/>
  <c r="J35" i="25"/>
  <c r="J33" i="25"/>
  <c r="J31" i="25"/>
  <c r="J29" i="25"/>
  <c r="J27" i="25"/>
  <c r="J25" i="25"/>
  <c r="J23" i="25"/>
  <c r="J21" i="25"/>
  <c r="J19" i="25"/>
  <c r="J17" i="25"/>
  <c r="J13" i="25"/>
  <c r="J15" i="25"/>
  <c r="D7" i="25"/>
  <c r="H7" i="25"/>
  <c r="M7" i="25"/>
  <c r="N7" i="25"/>
  <c r="D45" i="25"/>
  <c r="D43" i="25"/>
  <c r="D41" i="25"/>
  <c r="D39" i="25"/>
  <c r="D37" i="25"/>
  <c r="D35" i="25"/>
  <c r="D33" i="25"/>
  <c r="D31" i="25"/>
  <c r="D29" i="25"/>
  <c r="D27" i="25"/>
  <c r="D25" i="25"/>
  <c r="D23" i="25"/>
  <c r="D21" i="25"/>
  <c r="D19" i="25"/>
  <c r="D17" i="25"/>
  <c r="D15" i="25"/>
  <c r="D13" i="25"/>
  <c r="D11" i="25"/>
  <c r="D9" i="25"/>
  <c r="K37" i="25"/>
  <c r="D44" i="25"/>
  <c r="C44" i="25"/>
  <c r="C42" i="25"/>
  <c r="C40" i="25"/>
  <c r="N45" i="25"/>
  <c r="M45" i="25"/>
  <c r="J44" i="25"/>
  <c r="K45" i="25"/>
  <c r="J45" i="25"/>
  <c r="H45" i="25"/>
  <c r="I44" i="25"/>
  <c r="N43" i="25"/>
  <c r="M43" i="25"/>
  <c r="K43" i="25"/>
  <c r="J43" i="25"/>
  <c r="H43" i="25"/>
  <c r="N41" i="25"/>
  <c r="M41" i="25"/>
  <c r="K41" i="25"/>
  <c r="J41" i="25"/>
  <c r="H41" i="25"/>
  <c r="N39" i="25"/>
  <c r="M39" i="25"/>
  <c r="K39" i="25"/>
  <c r="J39" i="25"/>
  <c r="H39" i="25"/>
  <c r="N37" i="25"/>
  <c r="M37" i="25"/>
  <c r="J37" i="25"/>
  <c r="H37" i="25"/>
  <c r="C38" i="25"/>
  <c r="C36" i="25"/>
  <c r="C34" i="25"/>
  <c r="C32" i="25"/>
  <c r="C30" i="25"/>
  <c r="C28" i="25"/>
  <c r="C18" i="25"/>
  <c r="C22" i="25"/>
  <c r="C20" i="25"/>
  <c r="C16" i="25"/>
  <c r="C12" i="25"/>
  <c r="C26" i="25"/>
  <c r="C24" i="25"/>
  <c r="C14" i="25"/>
  <c r="B1" i="28"/>
  <c r="F1" i="28"/>
  <c r="I1" i="28"/>
  <c r="D1" i="28"/>
  <c r="AB1" i="28"/>
  <c r="H2" i="2"/>
  <c r="D3" i="2"/>
  <c r="H3" i="2"/>
  <c r="I3" i="2"/>
  <c r="K3" i="2"/>
  <c r="D4" i="2"/>
  <c r="J4" i="2"/>
  <c r="J8" i="2"/>
  <c r="J9" i="2"/>
  <c r="J10" i="2"/>
  <c r="J11" i="2"/>
  <c r="J12" i="2"/>
  <c r="J13" i="2"/>
  <c r="J14" i="2"/>
  <c r="J15" i="2"/>
  <c r="J16" i="2"/>
  <c r="J17" i="2"/>
  <c r="J18" i="2"/>
  <c r="D20" i="2"/>
  <c r="F20" i="2"/>
  <c r="D21" i="2"/>
  <c r="F21" i="2"/>
  <c r="D22" i="2"/>
  <c r="F22" i="2"/>
  <c r="D23" i="2"/>
  <c r="F23" i="2"/>
  <c r="C25" i="2"/>
  <c r="G25" i="2"/>
  <c r="C26" i="2"/>
  <c r="G26" i="2"/>
  <c r="C27" i="2"/>
  <c r="E27" i="2"/>
  <c r="G27" i="2"/>
  <c r="I27" i="2"/>
  <c r="C28" i="2"/>
  <c r="E28" i="2"/>
  <c r="G28" i="2"/>
  <c r="I28" i="2"/>
  <c r="C29" i="2"/>
  <c r="E29" i="2"/>
  <c r="G29" i="2"/>
  <c r="I29" i="2"/>
  <c r="D31" i="2"/>
  <c r="G36" i="55"/>
  <c r="G37" i="55"/>
  <c r="B35" i="55"/>
  <c r="A24" i="55"/>
  <c r="G18" i="55"/>
  <c r="G19" i="55"/>
  <c r="G20" i="55"/>
  <c r="B21" i="55"/>
  <c r="F3" i="55"/>
  <c r="F4" i="55"/>
  <c r="B3" i="55"/>
  <c r="F5" i="55"/>
  <c r="G6" i="55"/>
  <c r="G16" i="55"/>
  <c r="G15" i="55" s="1"/>
  <c r="G21" i="55"/>
  <c r="A14" i="55"/>
  <c r="B34" i="46"/>
  <c r="A10" i="46"/>
  <c r="F3" i="46"/>
  <c r="F4" i="46"/>
  <c r="B3" i="46"/>
  <c r="F5" i="46"/>
  <c r="G6" i="46"/>
  <c r="G16" i="56"/>
  <c r="B35" i="56"/>
  <c r="B21" i="56"/>
  <c r="G17" i="56"/>
  <c r="G18" i="56"/>
  <c r="G19" i="56"/>
  <c r="G20" i="56"/>
  <c r="G36" i="56"/>
  <c r="G37" i="56"/>
  <c r="F3" i="56"/>
  <c r="F4" i="56"/>
  <c r="B3" i="56"/>
  <c r="F5" i="56"/>
  <c r="G6" i="56"/>
  <c r="G15" i="56"/>
  <c r="G14" i="56" s="1"/>
  <c r="G21" i="56"/>
  <c r="G19" i="54"/>
  <c r="B35" i="54"/>
  <c r="G38" i="54"/>
  <c r="G37" i="54"/>
  <c r="G17" i="54"/>
  <c r="G18" i="54"/>
  <c r="G20" i="54"/>
  <c r="B21" i="54"/>
  <c r="A10" i="54"/>
  <c r="F3" i="54"/>
  <c r="F4" i="54"/>
  <c r="B3" i="54"/>
  <c r="F5" i="54"/>
  <c r="G6" i="54"/>
  <c r="G16" i="54"/>
  <c r="G15" i="54" s="1"/>
  <c r="G21" i="54"/>
  <c r="A14" i="54"/>
  <c r="G17" i="60"/>
  <c r="G18" i="60" s="1"/>
  <c r="G19" i="60" s="1"/>
  <c r="A17" i="60" s="1"/>
  <c r="G13" i="60"/>
  <c r="G15" i="60" s="1"/>
  <c r="A13" i="60" s="1"/>
  <c r="B32" i="60"/>
  <c r="A9" i="60"/>
  <c r="F3" i="60"/>
  <c r="F4" i="60"/>
  <c r="B3" i="60"/>
  <c r="F5" i="60"/>
  <c r="G6" i="60"/>
  <c r="T3" i="61"/>
  <c r="T4" i="61"/>
  <c r="T5" i="61"/>
  <c r="T6" i="61"/>
  <c r="T7" i="61"/>
  <c r="T8" i="61"/>
  <c r="T9" i="61"/>
  <c r="T10" i="61"/>
  <c r="T11" i="61"/>
  <c r="T12" i="61"/>
  <c r="T13" i="61"/>
  <c r="T14" i="61"/>
  <c r="T15" i="61"/>
  <c r="T16" i="61"/>
  <c r="T17" i="61"/>
  <c r="T18" i="61"/>
  <c r="T20" i="61"/>
  <c r="T21" i="61"/>
  <c r="T22" i="61"/>
  <c r="T23" i="61"/>
  <c r="T24" i="61"/>
  <c r="T25" i="61"/>
  <c r="T26" i="61"/>
  <c r="T28" i="61"/>
  <c r="T29" i="61"/>
  <c r="T30" i="61"/>
  <c r="T31" i="61"/>
  <c r="T32" i="61"/>
  <c r="T33" i="61"/>
  <c r="T34" i="61"/>
  <c r="T35" i="61"/>
  <c r="T36" i="61"/>
  <c r="T37" i="61"/>
  <c r="T38" i="61"/>
  <c r="T39" i="61"/>
  <c r="T40" i="61"/>
  <c r="T41" i="61"/>
  <c r="T42" i="61"/>
  <c r="T43" i="61"/>
  <c r="T44" i="61"/>
  <c r="T45" i="61"/>
  <c r="T46" i="61"/>
  <c r="T47" i="61"/>
  <c r="T48" i="61"/>
  <c r="T49" i="61"/>
  <c r="T2" i="61"/>
  <c r="B4" i="61"/>
  <c r="B5" i="61"/>
  <c r="B6" i="61"/>
  <c r="B7" i="61"/>
  <c r="B8" i="61"/>
  <c r="B9" i="61"/>
  <c r="B10" i="61"/>
  <c r="B11" i="61"/>
  <c r="B12" i="61"/>
  <c r="B13" i="61"/>
  <c r="B14" i="61"/>
  <c r="B15" i="61"/>
  <c r="B16" i="61"/>
  <c r="B17" i="61"/>
  <c r="B18" i="61"/>
  <c r="B19" i="61"/>
  <c r="B20" i="61"/>
  <c r="B21" i="61"/>
  <c r="B22" i="61"/>
  <c r="B23" i="61"/>
  <c r="B24" i="61"/>
  <c r="B25" i="61"/>
  <c r="B26" i="61"/>
  <c r="B27" i="61"/>
  <c r="B28" i="61"/>
  <c r="B29" i="61"/>
  <c r="B30" i="61"/>
  <c r="B31" i="61"/>
  <c r="B32" i="61"/>
  <c r="B33" i="61"/>
  <c r="B34" i="61"/>
  <c r="B35" i="61"/>
  <c r="B36" i="61"/>
  <c r="B37" i="61"/>
  <c r="B38" i="61"/>
  <c r="B39" i="61"/>
  <c r="B40" i="61"/>
  <c r="B41" i="61"/>
  <c r="B42" i="61"/>
  <c r="B43" i="61"/>
  <c r="B44" i="61"/>
  <c r="B45" i="61"/>
  <c r="B46" i="61"/>
  <c r="B47" i="61"/>
  <c r="B48" i="61"/>
  <c r="B49" i="61"/>
  <c r="B3" i="61"/>
  <c r="C4" i="61"/>
  <c r="C5" i="61"/>
  <c r="C6" i="61"/>
  <c r="C7" i="61"/>
  <c r="C8" i="61"/>
  <c r="C9" i="61"/>
  <c r="C10" i="61"/>
  <c r="C11" i="61"/>
  <c r="C12" i="61"/>
  <c r="C13" i="61"/>
  <c r="C14" i="61"/>
  <c r="C15" i="61"/>
  <c r="C16" i="61"/>
  <c r="C17" i="61"/>
  <c r="C18" i="61"/>
  <c r="C19" i="61"/>
  <c r="C20" i="61"/>
  <c r="C21" i="61"/>
  <c r="C22" i="61"/>
  <c r="C23" i="61"/>
  <c r="C24" i="61"/>
  <c r="C25" i="61"/>
  <c r="C26" i="61"/>
  <c r="C27" i="61"/>
  <c r="C28" i="61"/>
  <c r="C29" i="61"/>
  <c r="C30" i="61"/>
  <c r="C31" i="61"/>
  <c r="C32" i="61"/>
  <c r="C33" i="61"/>
  <c r="C34" i="61"/>
  <c r="C35" i="61"/>
  <c r="C36" i="61"/>
  <c r="C37" i="61"/>
  <c r="C38" i="61"/>
  <c r="C39" i="61"/>
  <c r="C40" i="61"/>
  <c r="C41" i="61"/>
  <c r="C42" i="61"/>
  <c r="C43" i="61"/>
  <c r="C44" i="61"/>
  <c r="C45" i="61"/>
  <c r="C46" i="61"/>
  <c r="C47" i="61"/>
  <c r="C48" i="61"/>
  <c r="C49" i="61"/>
  <c r="C3" i="61"/>
  <c r="B2" i="14"/>
  <c r="D9" i="2" l="1"/>
  <c r="M17" i="25"/>
  <c r="K33" i="25"/>
  <c r="C10" i="25"/>
  <c r="C6" i="25"/>
  <c r="C8" i="25"/>
  <c r="G23" i="2"/>
  <c r="G98" i="15" s="1"/>
  <c r="D8" i="2"/>
  <c r="B3" i="10"/>
  <c r="H8" i="9"/>
  <c r="N21" i="25"/>
  <c r="M35" i="25"/>
  <c r="D2" i="58"/>
  <c r="H21" i="25"/>
  <c r="H33" i="25"/>
  <c r="E119" i="58"/>
  <c r="D119" i="58" s="1"/>
  <c r="C5" i="32"/>
  <c r="C23" i="32" s="1"/>
  <c r="C95" i="59"/>
  <c r="E95" i="59" s="1"/>
  <c r="C96" i="15"/>
  <c r="C18" i="70" s="1"/>
  <c r="J7" i="58"/>
  <c r="M19" i="25"/>
  <c r="N33" i="25"/>
  <c r="AA9" i="2"/>
  <c r="AB9" i="2" s="1"/>
  <c r="E19" i="9"/>
  <c r="K9" i="25"/>
  <c r="J8" i="58"/>
  <c r="C53" i="70"/>
  <c r="C42" i="70"/>
  <c r="L16" i="25"/>
  <c r="M16" i="25" s="1"/>
  <c r="D14" i="28"/>
  <c r="R14" i="28" s="1"/>
  <c r="E120" i="15"/>
  <c r="D120" i="15" s="1"/>
  <c r="F131" i="59"/>
  <c r="H29" i="12"/>
  <c r="X15" i="34"/>
  <c r="L191" i="15"/>
  <c r="K13" i="25"/>
  <c r="D12" i="28"/>
  <c r="V12" i="28" s="1"/>
  <c r="L75" i="15"/>
  <c r="E14" i="32"/>
  <c r="D27" i="32"/>
  <c r="D30" i="32"/>
  <c r="F66" i="59"/>
  <c r="F121" i="58"/>
  <c r="D121" i="58" s="1"/>
  <c r="L121" i="58" s="1"/>
  <c r="F121" i="59"/>
  <c r="D121" i="59" s="1"/>
  <c r="L121" i="59" s="1"/>
  <c r="L193" i="15"/>
  <c r="G33" i="56"/>
  <c r="G30" i="60"/>
  <c r="N17" i="25"/>
  <c r="H17" i="25"/>
  <c r="H15" i="25"/>
  <c r="N15" i="25"/>
  <c r="W18" i="28"/>
  <c r="K35" i="25"/>
  <c r="L34" i="25"/>
  <c r="G17" i="28" s="1"/>
  <c r="H31" i="25"/>
  <c r="K27" i="25"/>
  <c r="AA3" i="28"/>
  <c r="J3" i="28"/>
  <c r="X3" i="28"/>
  <c r="AB3" i="28"/>
  <c r="L3" i="28"/>
  <c r="AB10" i="34"/>
  <c r="C30" i="70" s="1"/>
  <c r="W6" i="34"/>
  <c r="X19" i="34"/>
  <c r="W19" i="34"/>
  <c r="W17" i="34"/>
  <c r="C97" i="58"/>
  <c r="L97" i="58" s="1"/>
  <c r="C96" i="59"/>
  <c r="G22" i="2"/>
  <c r="G97" i="15" s="1"/>
  <c r="E21" i="2"/>
  <c r="C95" i="15"/>
  <c r="C17" i="70" s="1"/>
  <c r="I28" i="12"/>
  <c r="F132" i="59"/>
  <c r="G17" i="7"/>
  <c r="G29" i="12"/>
  <c r="G23" i="60"/>
  <c r="F122" i="59"/>
  <c r="D122" i="59" s="1"/>
  <c r="L122" i="59" s="1"/>
  <c r="V10" i="34"/>
  <c r="V5" i="34"/>
  <c r="AB5" i="34"/>
  <c r="C25" i="70" s="1"/>
  <c r="X4" i="34"/>
  <c r="V20" i="34"/>
  <c r="X16" i="34"/>
  <c r="AB16" i="34"/>
  <c r="C36" i="70" s="1"/>
  <c r="V2" i="34"/>
  <c r="J104" i="58"/>
  <c r="H104" i="58" s="1"/>
  <c r="J104" i="59"/>
  <c r="H104" i="59" s="1"/>
  <c r="G30" i="55"/>
  <c r="I7" i="11"/>
  <c r="G27" i="60"/>
  <c r="F113" i="59" s="1"/>
  <c r="D113" i="59" s="1"/>
  <c r="L113" i="59" s="1"/>
  <c r="G30" i="54"/>
  <c r="G30" i="56"/>
  <c r="G33" i="55"/>
  <c r="F112" i="58"/>
  <c r="D112" i="58" s="1"/>
  <c r="L112" i="58" s="1"/>
  <c r="F112" i="59"/>
  <c r="D112" i="59" s="1"/>
  <c r="L112" i="59" s="1"/>
  <c r="L10" i="11"/>
  <c r="G32" i="46"/>
  <c r="K21" i="25"/>
  <c r="M21" i="25"/>
  <c r="L20" i="25"/>
  <c r="G10" i="28" s="1"/>
  <c r="K17" i="25"/>
  <c r="K15" i="25"/>
  <c r="E22" i="28"/>
  <c r="AD22" i="28"/>
  <c r="V22" i="28"/>
  <c r="N22" i="28"/>
  <c r="Z22" i="28"/>
  <c r="J22" i="28"/>
  <c r="W22" i="28"/>
  <c r="O22" i="28"/>
  <c r="AA22" i="28"/>
  <c r="S22" i="28"/>
  <c r="K22" i="28"/>
  <c r="R22" i="28"/>
  <c r="N9" i="25"/>
  <c r="H9" i="25"/>
  <c r="E20" i="28"/>
  <c r="F20" i="28"/>
  <c r="AA20" i="28"/>
  <c r="S20" i="28"/>
  <c r="K20" i="28"/>
  <c r="P20" i="28"/>
  <c r="H20" i="28"/>
  <c r="O20" i="28"/>
  <c r="AB20" i="28"/>
  <c r="T20" i="28"/>
  <c r="L20" i="28"/>
  <c r="X20" i="28"/>
  <c r="W20" i="28"/>
  <c r="E19" i="28"/>
  <c r="AA19" i="28"/>
  <c r="S19" i="28"/>
  <c r="K19" i="28"/>
  <c r="Y19" i="28"/>
  <c r="Q19" i="28"/>
  <c r="I19" i="28"/>
  <c r="W19" i="28"/>
  <c r="O19" i="28"/>
  <c r="AC19" i="28"/>
  <c r="U19" i="28"/>
  <c r="M19" i="28"/>
  <c r="K18" i="28"/>
  <c r="AA18" i="28"/>
  <c r="O18" i="28"/>
  <c r="S18" i="28"/>
  <c r="K31" i="25"/>
  <c r="M29" i="25"/>
  <c r="M25" i="25"/>
  <c r="T3" i="28"/>
  <c r="P3" i="28"/>
  <c r="O40" i="25"/>
  <c r="X7" i="34"/>
  <c r="AB7" i="34"/>
  <c r="C27" i="70" s="1"/>
  <c r="V7" i="34"/>
  <c r="X5" i="34"/>
  <c r="M38" i="25"/>
  <c r="X17" i="34"/>
  <c r="AB15" i="34"/>
  <c r="C35" i="70" s="1"/>
  <c r="V15" i="34"/>
  <c r="X14" i="34"/>
  <c r="W14" i="34"/>
  <c r="V12" i="34"/>
  <c r="E22" i="2"/>
  <c r="K46" i="7"/>
  <c r="B26" i="10" s="1"/>
  <c r="C26" i="10" s="1"/>
  <c r="I24" i="12"/>
  <c r="H28" i="12"/>
  <c r="G24" i="12"/>
  <c r="G30" i="12"/>
  <c r="G25" i="12"/>
  <c r="G31" i="54"/>
  <c r="G30" i="46"/>
  <c r="G28" i="60"/>
  <c r="L77" i="15"/>
  <c r="L74" i="15"/>
  <c r="L72" i="15"/>
  <c r="G26" i="56"/>
  <c r="F122" i="58"/>
  <c r="D122" i="58" s="1"/>
  <c r="L122" i="58" s="1"/>
  <c r="G26" i="54"/>
  <c r="D31" i="32"/>
  <c r="J25" i="12"/>
  <c r="J31" i="12"/>
  <c r="H22" i="12"/>
  <c r="H27" i="12"/>
  <c r="H26" i="12"/>
  <c r="H24" i="12"/>
  <c r="H31" i="12"/>
  <c r="F67" i="15"/>
  <c r="F2" i="58"/>
  <c r="F132" i="15"/>
  <c r="J29" i="12"/>
  <c r="J26" i="12"/>
  <c r="I30" i="12"/>
  <c r="I10" i="9"/>
  <c r="I34" i="58" s="1"/>
  <c r="I25" i="12"/>
  <c r="I9" i="9"/>
  <c r="I33" i="59" s="1"/>
  <c r="G25" i="56"/>
  <c r="G25" i="55"/>
  <c r="G22" i="60"/>
  <c r="G25" i="54"/>
  <c r="K4" i="11"/>
  <c r="D4" i="11"/>
  <c r="G4" i="11"/>
  <c r="I4" i="11"/>
  <c r="M4" i="11"/>
  <c r="M23" i="11" s="1"/>
  <c r="B32" i="10" s="1"/>
  <c r="C32" i="10" s="1"/>
  <c r="F107" i="59"/>
  <c r="D107" i="59" s="1"/>
  <c r="L107" i="59" s="1"/>
  <c r="J6" i="58"/>
  <c r="J6" i="59"/>
  <c r="I7" i="15"/>
  <c r="G7" i="15" s="1"/>
  <c r="G14" i="46"/>
  <c r="G21" i="46" s="1"/>
  <c r="I102" i="58"/>
  <c r="H102" i="58" s="1"/>
  <c r="I102" i="59"/>
  <c r="H102" i="59" s="1"/>
  <c r="J15" i="9"/>
  <c r="J102" i="58" s="1"/>
  <c r="X10" i="34"/>
  <c r="AB9" i="34"/>
  <c r="C29" i="70" s="1"/>
  <c r="X9" i="34"/>
  <c r="V9" i="34"/>
  <c r="W8" i="34"/>
  <c r="X6" i="34"/>
  <c r="AB6" i="34"/>
  <c r="C26" i="70" s="1"/>
  <c r="X20" i="34"/>
  <c r="AB20" i="34"/>
  <c r="C40" i="70" s="1"/>
  <c r="V19" i="34"/>
  <c r="AB17" i="34"/>
  <c r="C37" i="70" s="1"/>
  <c r="V16" i="34"/>
  <c r="AB14" i="34"/>
  <c r="C34" i="70" s="1"/>
  <c r="AB13" i="34"/>
  <c r="C33" i="70" s="1"/>
  <c r="W13" i="34"/>
  <c r="AB12" i="34"/>
  <c r="C32" i="70" s="1"/>
  <c r="W12" i="34"/>
  <c r="X11" i="34"/>
  <c r="AB11" i="34"/>
  <c r="C31" i="70" s="1"/>
  <c r="W11" i="34"/>
  <c r="L195" i="15"/>
  <c r="L106" i="15"/>
  <c r="L192" i="15"/>
  <c r="D66" i="59"/>
  <c r="D131" i="58"/>
  <c r="D2" i="59"/>
  <c r="D132" i="15"/>
  <c r="D66" i="58"/>
  <c r="D67" i="15"/>
  <c r="J105" i="58"/>
  <c r="H105" i="58" s="1"/>
  <c r="L105" i="58" s="1"/>
  <c r="J105" i="59"/>
  <c r="H105" i="59" s="1"/>
  <c r="L105" i="59" s="1"/>
  <c r="Z10" i="28"/>
  <c r="T10" i="28"/>
  <c r="AB10" i="28"/>
  <c r="L10" i="28"/>
  <c r="X10" i="28"/>
  <c r="H10" i="28"/>
  <c r="P10" i="28"/>
  <c r="J9" i="34"/>
  <c r="AD9" i="34" s="1"/>
  <c r="AC9" i="34" s="1"/>
  <c r="H19" i="25"/>
  <c r="N19" i="25"/>
  <c r="E8" i="28"/>
  <c r="AA8" i="28"/>
  <c r="W8" i="28"/>
  <c r="S8" i="28"/>
  <c r="O8" i="28"/>
  <c r="K8" i="28"/>
  <c r="F8" i="28"/>
  <c r="AD8" i="28"/>
  <c r="Z8" i="28"/>
  <c r="V8" i="28"/>
  <c r="R8" i="28"/>
  <c r="N8" i="28"/>
  <c r="J8" i="28"/>
  <c r="AB8" i="28"/>
  <c r="T8" i="28"/>
  <c r="P8" i="28"/>
  <c r="L8" i="28"/>
  <c r="AC8" i="28"/>
  <c r="Y8" i="28"/>
  <c r="U8" i="28"/>
  <c r="Q8" i="28"/>
  <c r="M8" i="28"/>
  <c r="I8" i="28"/>
  <c r="X8" i="28"/>
  <c r="H8" i="28"/>
  <c r="J7" i="34"/>
  <c r="L7" i="34" s="1"/>
  <c r="AC7" i="28"/>
  <c r="Y7" i="28"/>
  <c r="U7" i="28"/>
  <c r="Q7" i="28"/>
  <c r="M7" i="28"/>
  <c r="I7" i="28"/>
  <c r="AB7" i="28"/>
  <c r="X7" i="28"/>
  <c r="P7" i="28"/>
  <c r="L7" i="28"/>
  <c r="H7" i="28"/>
  <c r="AA7" i="28"/>
  <c r="W7" i="28"/>
  <c r="S7" i="28"/>
  <c r="O7" i="28"/>
  <c r="K7" i="28"/>
  <c r="AD7" i="28"/>
  <c r="Z7" i="28"/>
  <c r="V7" i="28"/>
  <c r="R7" i="28"/>
  <c r="N7" i="28"/>
  <c r="J7" i="28"/>
  <c r="T7" i="28"/>
  <c r="L14" i="25"/>
  <c r="M14" i="25" s="1"/>
  <c r="M15" i="25"/>
  <c r="Q6" i="28"/>
  <c r="AB6" i="28"/>
  <c r="X6" i="28"/>
  <c r="T6" i="28"/>
  <c r="P6" i="28"/>
  <c r="L6" i="28"/>
  <c r="H6" i="28"/>
  <c r="AA6" i="28"/>
  <c r="W6" i="28"/>
  <c r="S6" i="28"/>
  <c r="O6" i="28"/>
  <c r="K6" i="28"/>
  <c r="AD6" i="28"/>
  <c r="Z6" i="28"/>
  <c r="V6" i="28"/>
  <c r="R6" i="28"/>
  <c r="N6" i="28"/>
  <c r="J6" i="28"/>
  <c r="AC6" i="28"/>
  <c r="Y6" i="28"/>
  <c r="U6" i="28"/>
  <c r="M6" i="28"/>
  <c r="I6" i="28"/>
  <c r="M13" i="25"/>
  <c r="H13" i="25"/>
  <c r="N13" i="25"/>
  <c r="L12" i="25"/>
  <c r="O12" i="25" s="1"/>
  <c r="J5" i="34"/>
  <c r="AD5" i="34" s="1"/>
  <c r="AC5" i="34" s="1"/>
  <c r="J21" i="34"/>
  <c r="AD21" i="34" s="1"/>
  <c r="AC21" i="34" s="1"/>
  <c r="H22" i="28"/>
  <c r="L22" i="28"/>
  <c r="P22" i="28"/>
  <c r="T22" i="28"/>
  <c r="X22" i="28"/>
  <c r="AB22" i="28"/>
  <c r="I22" i="28"/>
  <c r="M22" i="28"/>
  <c r="Q22" i="28"/>
  <c r="U22" i="28"/>
  <c r="Y22" i="28"/>
  <c r="AC22" i="28"/>
  <c r="M9" i="25"/>
  <c r="J3" i="34"/>
  <c r="L3" i="34" s="1"/>
  <c r="E21" i="28"/>
  <c r="AA21" i="28"/>
  <c r="W21" i="28"/>
  <c r="S21" i="28"/>
  <c r="O21" i="28"/>
  <c r="K21" i="28"/>
  <c r="AD21" i="28"/>
  <c r="Z21" i="28"/>
  <c r="V21" i="28"/>
  <c r="R21" i="28"/>
  <c r="N21" i="28"/>
  <c r="J21" i="28"/>
  <c r="AC21" i="28"/>
  <c r="Y21" i="28"/>
  <c r="U21" i="28"/>
  <c r="Q21" i="28"/>
  <c r="M21" i="28"/>
  <c r="I21" i="28"/>
  <c r="AB21" i="28"/>
  <c r="X21" i="28"/>
  <c r="T21" i="28"/>
  <c r="P21" i="28"/>
  <c r="L21" i="28"/>
  <c r="H21" i="28"/>
  <c r="J19" i="34"/>
  <c r="AD19" i="34" s="1"/>
  <c r="AC19" i="34" s="1"/>
  <c r="I20" i="28"/>
  <c r="M20" i="28"/>
  <c r="Q20" i="28"/>
  <c r="U20" i="28"/>
  <c r="Y20" i="28"/>
  <c r="AC20" i="28"/>
  <c r="J20" i="28"/>
  <c r="N20" i="28"/>
  <c r="R20" i="28"/>
  <c r="V20" i="28"/>
  <c r="Z20" i="28"/>
  <c r="AD20" i="28"/>
  <c r="H19" i="28"/>
  <c r="L19" i="28"/>
  <c r="P19" i="28"/>
  <c r="T19" i="28"/>
  <c r="X19" i="28"/>
  <c r="AB19" i="28"/>
  <c r="J19" i="28"/>
  <c r="N19" i="28"/>
  <c r="R19" i="28"/>
  <c r="V19" i="28"/>
  <c r="Z19" i="28"/>
  <c r="AD19" i="28"/>
  <c r="F19" i="28"/>
  <c r="X18" i="28"/>
  <c r="J17" i="34"/>
  <c r="AD17" i="34" s="1"/>
  <c r="AC17" i="34" s="1"/>
  <c r="H18" i="28"/>
  <c r="L18" i="28"/>
  <c r="P18" i="28"/>
  <c r="T18" i="28"/>
  <c r="AB18" i="28"/>
  <c r="I18" i="28"/>
  <c r="M18" i="28"/>
  <c r="Q18" i="28"/>
  <c r="U18" i="28"/>
  <c r="Y18" i="28"/>
  <c r="AC18" i="28"/>
  <c r="J18" i="28"/>
  <c r="N18" i="28"/>
  <c r="R18" i="28"/>
  <c r="V18" i="28"/>
  <c r="Z18" i="28"/>
  <c r="AD18" i="28"/>
  <c r="E18" i="28"/>
  <c r="AC17" i="28"/>
  <c r="Y17" i="28"/>
  <c r="U17" i="28"/>
  <c r="Q17" i="28"/>
  <c r="M17" i="28"/>
  <c r="I17" i="28"/>
  <c r="AA17" i="28"/>
  <c r="W17" i="28"/>
  <c r="O17" i="28"/>
  <c r="K17" i="28"/>
  <c r="Z17" i="28"/>
  <c r="N17" i="28"/>
  <c r="AB17" i="28"/>
  <c r="X17" i="28"/>
  <c r="T17" i="28"/>
  <c r="P17" i="28"/>
  <c r="L17" i="28"/>
  <c r="H17" i="28"/>
  <c r="S17" i="28"/>
  <c r="AD17" i="28"/>
  <c r="V17" i="28"/>
  <c r="R17" i="28"/>
  <c r="J17" i="28"/>
  <c r="H35" i="25"/>
  <c r="N35" i="25"/>
  <c r="J15" i="34"/>
  <c r="AD15" i="34" s="1"/>
  <c r="AC15" i="34" s="1"/>
  <c r="H29" i="25"/>
  <c r="N29" i="25"/>
  <c r="L28" i="25"/>
  <c r="M28" i="25" s="1"/>
  <c r="J13" i="34"/>
  <c r="L13" i="34" s="1"/>
  <c r="M27" i="25"/>
  <c r="H27" i="25"/>
  <c r="H25" i="25"/>
  <c r="N25" i="25"/>
  <c r="L24" i="25"/>
  <c r="J11" i="34"/>
  <c r="L11" i="34" s="1"/>
  <c r="H3" i="28"/>
  <c r="M3" i="28"/>
  <c r="Q3" i="28"/>
  <c r="U3" i="28"/>
  <c r="Y3" i="28"/>
  <c r="AC3" i="28"/>
  <c r="I3" i="28"/>
  <c r="N3" i="28"/>
  <c r="R3" i="28"/>
  <c r="V3" i="28"/>
  <c r="Z3" i="28"/>
  <c r="AD3" i="28"/>
  <c r="K3" i="28"/>
  <c r="O3" i="28"/>
  <c r="S3" i="28"/>
  <c r="W3" i="28"/>
  <c r="B6" i="28"/>
  <c r="B19" i="28"/>
  <c r="B18" i="28"/>
  <c r="B15" i="28"/>
  <c r="B13" i="28"/>
  <c r="M44" i="25"/>
  <c r="O38" i="25"/>
  <c r="S23" i="34"/>
  <c r="B11" i="28"/>
  <c r="B10" i="28"/>
  <c r="B9" i="28"/>
  <c r="X8" i="34"/>
  <c r="AB8" i="34"/>
  <c r="C28" i="70" s="1"/>
  <c r="B8" i="28"/>
  <c r="B7" i="28"/>
  <c r="B22" i="28"/>
  <c r="V3" i="34"/>
  <c r="M40" i="25"/>
  <c r="B20" i="28"/>
  <c r="X18" i="34"/>
  <c r="AB18" i="34"/>
  <c r="C38" i="70" s="1"/>
  <c r="V18" i="34"/>
  <c r="M36" i="25"/>
  <c r="O36" i="25"/>
  <c r="B17" i="28"/>
  <c r="B16" i="28"/>
  <c r="B14" i="28"/>
  <c r="V13" i="34"/>
  <c r="B12" i="28"/>
  <c r="G14" i="7"/>
  <c r="E23" i="2"/>
  <c r="E96" i="58"/>
  <c r="C95" i="58"/>
  <c r="E95" i="58" s="1"/>
  <c r="G21" i="2"/>
  <c r="C94" i="58"/>
  <c r="C94" i="59"/>
  <c r="E20" i="2"/>
  <c r="G20" i="2"/>
  <c r="D44" i="15"/>
  <c r="C68" i="70" s="1"/>
  <c r="D44" i="58"/>
  <c r="D42" i="58"/>
  <c r="D42" i="15"/>
  <c r="C66" i="70" s="1"/>
  <c r="D41" i="59"/>
  <c r="G23" i="9"/>
  <c r="J11" i="11"/>
  <c r="J27" i="12"/>
  <c r="I26" i="12"/>
  <c r="I11" i="9"/>
  <c r="I35" i="58" s="1"/>
  <c r="G31" i="55"/>
  <c r="F3" i="11"/>
  <c r="F6" i="11" s="1"/>
  <c r="G31" i="56"/>
  <c r="C50" i="70"/>
  <c r="J15" i="16"/>
  <c r="E105" i="15"/>
  <c r="D104" i="59"/>
  <c r="D105" i="15"/>
  <c r="L105" i="15" s="1"/>
  <c r="E104" i="58"/>
  <c r="E104" i="59"/>
  <c r="D104" i="58"/>
  <c r="G14" i="55"/>
  <c r="G17" i="55"/>
  <c r="F107" i="58"/>
  <c r="D107" i="58" s="1"/>
  <c r="L107" i="58" s="1"/>
  <c r="H4" i="11"/>
  <c r="H23" i="11" s="1"/>
  <c r="B11" i="10" s="1"/>
  <c r="L4" i="11"/>
  <c r="F108" i="15"/>
  <c r="D108" i="15" s="1"/>
  <c r="L108" i="15" s="1"/>
  <c r="G13" i="56"/>
  <c r="G22" i="56" s="1"/>
  <c r="A13" i="56" s="1"/>
  <c r="G11" i="7"/>
  <c r="N4" i="11"/>
  <c r="J4" i="11"/>
  <c r="G33" i="46"/>
  <c r="F115" i="58" s="1"/>
  <c r="D115" i="58" s="1"/>
  <c r="L115" i="58" s="1"/>
  <c r="F132" i="58"/>
  <c r="C1" i="70"/>
  <c r="F3" i="59"/>
  <c r="F133" i="15"/>
  <c r="F68" i="15"/>
  <c r="F3" i="58"/>
  <c r="F67" i="59"/>
  <c r="J24" i="12"/>
  <c r="J22" i="12"/>
  <c r="J28" i="12"/>
  <c r="E15" i="58"/>
  <c r="G34" i="56"/>
  <c r="C21" i="6"/>
  <c r="C20" i="6"/>
  <c r="K9" i="11"/>
  <c r="G32" i="54"/>
  <c r="G32" i="55"/>
  <c r="G31" i="46"/>
  <c r="G32" i="56"/>
  <c r="J12" i="58"/>
  <c r="J11" i="58"/>
  <c r="E12" i="58"/>
  <c r="C6" i="6"/>
  <c r="F66" i="58"/>
  <c r="F131" i="58"/>
  <c r="F2" i="59"/>
  <c r="C7" i="6"/>
  <c r="J8" i="34"/>
  <c r="J6" i="34"/>
  <c r="L6" i="34" s="1"/>
  <c r="B21" i="28"/>
  <c r="J20" i="34"/>
  <c r="L20" i="34" s="1"/>
  <c r="J18" i="34"/>
  <c r="L18" i="34" s="1"/>
  <c r="J16" i="34"/>
  <c r="L16" i="34" s="1"/>
  <c r="J14" i="34"/>
  <c r="AD14" i="34" s="1"/>
  <c r="AC14" i="34" s="1"/>
  <c r="J12" i="34"/>
  <c r="L12" i="34" s="1"/>
  <c r="J2" i="34"/>
  <c r="AD2" i="34" s="1"/>
  <c r="AC2" i="34" s="1"/>
  <c r="E15" i="15"/>
  <c r="E16" i="15" s="1"/>
  <c r="C16" i="15" s="1"/>
  <c r="C9" i="6"/>
  <c r="C4" i="6"/>
  <c r="J10" i="34"/>
  <c r="J4" i="34"/>
  <c r="L4" i="34" s="1"/>
  <c r="L194" i="15"/>
  <c r="G34" i="55"/>
  <c r="F111" i="58"/>
  <c r="D111" i="58" s="1"/>
  <c r="L111" i="58" s="1"/>
  <c r="G29" i="60"/>
  <c r="F111" i="59"/>
  <c r="D111" i="59" s="1"/>
  <c r="L111" i="59" s="1"/>
  <c r="G16" i="11"/>
  <c r="G34" i="54"/>
  <c r="E11" i="58"/>
  <c r="E13" i="58"/>
  <c r="J10" i="58"/>
  <c r="C10" i="6"/>
  <c r="G8" i="7"/>
  <c r="C5" i="6"/>
  <c r="C19" i="6"/>
  <c r="C84" i="59"/>
  <c r="I9" i="2"/>
  <c r="J85" i="15" s="1"/>
  <c r="C18" i="6"/>
  <c r="E10" i="2"/>
  <c r="C85" i="59"/>
  <c r="L85" i="59" s="1"/>
  <c r="I10" i="2"/>
  <c r="J86" i="15" s="1"/>
  <c r="G10" i="2"/>
  <c r="C85" i="15"/>
  <c r="L85" i="15" s="1"/>
  <c r="C85" i="58"/>
  <c r="L85" i="58" s="1"/>
  <c r="C86" i="15"/>
  <c r="C8" i="70" s="1"/>
  <c r="F33" i="7"/>
  <c r="G16" i="7"/>
  <c r="C88" i="59"/>
  <c r="E88" i="59" s="1"/>
  <c r="C89" i="15"/>
  <c r="G89" i="15" s="1"/>
  <c r="I8" i="2"/>
  <c r="J84" i="15" s="1"/>
  <c r="F36" i="7"/>
  <c r="E8" i="2"/>
  <c r="G88" i="15"/>
  <c r="E88" i="15"/>
  <c r="C87" i="58"/>
  <c r="E87" i="58" s="1"/>
  <c r="G8" i="2"/>
  <c r="G15" i="2"/>
  <c r="I12" i="2"/>
  <c r="E12" i="2"/>
  <c r="E9" i="2"/>
  <c r="F32" i="7"/>
  <c r="I32" i="7" s="1"/>
  <c r="H12" i="2"/>
  <c r="C83" i="58"/>
  <c r="C88" i="58"/>
  <c r="E88" i="58" s="1"/>
  <c r="C84" i="15"/>
  <c r="I13" i="2"/>
  <c r="E13" i="2"/>
  <c r="G12" i="2"/>
  <c r="F31" i="7"/>
  <c r="I31" i="7" s="1"/>
  <c r="C84" i="58"/>
  <c r="C90" i="58"/>
  <c r="G90" i="58" s="1"/>
  <c r="C83" i="59"/>
  <c r="C87" i="59"/>
  <c r="G87" i="59" s="1"/>
  <c r="G13" i="2"/>
  <c r="G9" i="2"/>
  <c r="C93" i="15"/>
  <c r="G93" i="15" s="1"/>
  <c r="L46" i="7"/>
  <c r="B12" i="10" s="1"/>
  <c r="C10" i="70"/>
  <c r="G13" i="7"/>
  <c r="C86" i="59"/>
  <c r="C87" i="15"/>
  <c r="C9" i="70" s="1"/>
  <c r="F34" i="7"/>
  <c r="G16" i="2"/>
  <c r="I11" i="2"/>
  <c r="J86" i="58" s="1"/>
  <c r="E11" i="2"/>
  <c r="H10" i="2"/>
  <c r="C12" i="6"/>
  <c r="C86" i="58"/>
  <c r="E86" i="58" s="1"/>
  <c r="L88" i="15"/>
  <c r="G11" i="2"/>
  <c r="H11" i="2"/>
  <c r="J90" i="15"/>
  <c r="J89" i="59"/>
  <c r="J89" i="58"/>
  <c r="G90" i="59"/>
  <c r="E90" i="59"/>
  <c r="L90" i="59"/>
  <c r="C92" i="58"/>
  <c r="C91" i="58"/>
  <c r="C89" i="59"/>
  <c r="G17" i="2"/>
  <c r="E16" i="2"/>
  <c r="I15" i="2"/>
  <c r="J90" i="59" s="1"/>
  <c r="E15" i="2"/>
  <c r="G14" i="2"/>
  <c r="F39" i="7"/>
  <c r="H17" i="2"/>
  <c r="AA15" i="2"/>
  <c r="C89" i="58"/>
  <c r="C92" i="59"/>
  <c r="C91" i="59"/>
  <c r="C92" i="15"/>
  <c r="C91" i="15"/>
  <c r="F38" i="7"/>
  <c r="H15" i="2"/>
  <c r="H14" i="2"/>
  <c r="H13" i="2"/>
  <c r="I17" i="2"/>
  <c r="E17" i="2"/>
  <c r="I16" i="2"/>
  <c r="F40" i="7"/>
  <c r="AA16" i="2"/>
  <c r="D3" i="58"/>
  <c r="H4" i="2"/>
  <c r="G4" i="9"/>
  <c r="J4" i="25"/>
  <c r="N2" i="68"/>
  <c r="D67" i="59"/>
  <c r="K2" i="25"/>
  <c r="F4" i="16"/>
  <c r="D2" i="2"/>
  <c r="C2" i="16"/>
  <c r="D68" i="15"/>
  <c r="D2" i="9"/>
  <c r="D133" i="15"/>
  <c r="D132" i="59"/>
  <c r="A18" i="31"/>
  <c r="E31" i="9" s="1"/>
  <c r="E25" i="2" s="1"/>
  <c r="H2" i="9"/>
  <c r="D132" i="58"/>
  <c r="D5" i="32"/>
  <c r="I2" i="2"/>
  <c r="E2" i="25"/>
  <c r="G2" i="16"/>
  <c r="C13" i="64"/>
  <c r="D67" i="58"/>
  <c r="D3" i="59"/>
  <c r="D3" i="15"/>
  <c r="J96" i="15"/>
  <c r="J95" i="59"/>
  <c r="J95" i="58"/>
  <c r="Q23" i="34"/>
  <c r="B20" i="10" s="1"/>
  <c r="C20" i="10" s="1"/>
  <c r="F41" i="7"/>
  <c r="I19" i="2" s="1"/>
  <c r="C94" i="15"/>
  <c r="E19" i="2"/>
  <c r="L10" i="25"/>
  <c r="D5" i="28"/>
  <c r="K11" i="25"/>
  <c r="N11" i="25"/>
  <c r="H11" i="25"/>
  <c r="D11" i="28"/>
  <c r="L22" i="25"/>
  <c r="M23" i="25"/>
  <c r="G14" i="54"/>
  <c r="G22" i="54" s="1"/>
  <c r="J10" i="28"/>
  <c r="R10" i="28"/>
  <c r="M11" i="25"/>
  <c r="K23" i="25"/>
  <c r="M46" i="7"/>
  <c r="B16" i="10" s="1"/>
  <c r="D16" i="10" s="1"/>
  <c r="E93" i="58"/>
  <c r="C93" i="59"/>
  <c r="E8" i="15"/>
  <c r="C8" i="15" s="1"/>
  <c r="E8" i="59"/>
  <c r="G21" i="28"/>
  <c r="O42" i="25"/>
  <c r="M42" i="25"/>
  <c r="D40" i="15"/>
  <c r="C64" i="70" s="1"/>
  <c r="D40" i="59"/>
  <c r="D40" i="58"/>
  <c r="D41" i="15"/>
  <c r="C65" i="70" s="1"/>
  <c r="D41" i="58"/>
  <c r="F45" i="7"/>
  <c r="I23" i="2" s="1"/>
  <c r="C98" i="15"/>
  <c r="D15" i="28"/>
  <c r="L30" i="25"/>
  <c r="M31" i="25"/>
  <c r="M6" i="25"/>
  <c r="G3" i="28"/>
  <c r="O6" i="25"/>
  <c r="J94" i="59"/>
  <c r="J94" i="58"/>
  <c r="J95" i="15"/>
  <c r="G46" i="7"/>
  <c r="F13" i="11"/>
  <c r="F119" i="59"/>
  <c r="F119" i="58"/>
  <c r="E10" i="28"/>
  <c r="F10" i="28"/>
  <c r="AC10" i="28"/>
  <c r="Y10" i="28"/>
  <c r="U10" i="28"/>
  <c r="Q10" i="28"/>
  <c r="M10" i="28"/>
  <c r="I10" i="28"/>
  <c r="AA10" i="28"/>
  <c r="W10" i="28"/>
  <c r="S10" i="28"/>
  <c r="O10" i="28"/>
  <c r="K10" i="28"/>
  <c r="Y2" i="34"/>
  <c r="Z2" i="34" s="1"/>
  <c r="O23" i="34"/>
  <c r="F21" i="11"/>
  <c r="J21" i="11" s="1"/>
  <c r="N10" i="28"/>
  <c r="V10" i="28"/>
  <c r="AD10" i="28"/>
  <c r="O44" i="25"/>
  <c r="H23" i="25"/>
  <c r="E97" i="59"/>
  <c r="F120" i="15"/>
  <c r="G15" i="7"/>
  <c r="C15" i="6"/>
  <c r="G19" i="2"/>
  <c r="D43" i="15"/>
  <c r="C67" i="70" s="1"/>
  <c r="D43" i="58"/>
  <c r="D43" i="59"/>
  <c r="D131" i="59"/>
  <c r="J8" i="59"/>
  <c r="F22" i="28"/>
  <c r="F21" i="28"/>
  <c r="F17" i="11"/>
  <c r="G17" i="11" s="1"/>
  <c r="N17" i="11" s="1"/>
  <c r="I11" i="11"/>
  <c r="H23" i="9"/>
  <c r="E117" i="58" s="1"/>
  <c r="D117" i="58" s="1"/>
  <c r="L117" i="58" s="1"/>
  <c r="D8" i="9"/>
  <c r="G26" i="12"/>
  <c r="C8" i="9"/>
  <c r="G27" i="12"/>
  <c r="G31" i="12"/>
  <c r="G28" i="12"/>
  <c r="G22" i="12"/>
  <c r="L32" i="25"/>
  <c r="D16" i="28"/>
  <c r="L26" i="25"/>
  <c r="D13" i="28"/>
  <c r="AA14" i="2"/>
  <c r="F37" i="7"/>
  <c r="C90" i="15"/>
  <c r="E14" i="2"/>
  <c r="D44" i="59"/>
  <c r="D42" i="59"/>
  <c r="F44" i="7"/>
  <c r="I22" i="2" s="1"/>
  <c r="C97" i="15"/>
  <c r="H46" i="7"/>
  <c r="I15" i="16"/>
  <c r="B19" i="10" s="1"/>
  <c r="C19" i="10" s="1"/>
  <c r="E17" i="28"/>
  <c r="F17" i="28"/>
  <c r="D4" i="28"/>
  <c r="L8" i="25"/>
  <c r="E6" i="28"/>
  <c r="F6" i="28"/>
  <c r="AB11" i="2"/>
  <c r="AC11" i="2" s="1"/>
  <c r="AC10" i="2"/>
  <c r="F103" i="58"/>
  <c r="D103" i="58" s="1"/>
  <c r="F104" i="15"/>
  <c r="D104" i="15" s="1"/>
  <c r="F103" i="59"/>
  <c r="D103" i="59" s="1"/>
  <c r="I27" i="12"/>
  <c r="I31" i="12"/>
  <c r="I22" i="12"/>
  <c r="E7" i="28"/>
  <c r="F7" i="28"/>
  <c r="L18" i="25"/>
  <c r="D9" i="28"/>
  <c r="AA12" i="2"/>
  <c r="F35" i="7"/>
  <c r="F3" i="28"/>
  <c r="E3" i="28"/>
  <c r="X2" i="34"/>
  <c r="AB21" i="34"/>
  <c r="C41" i="70" s="1"/>
  <c r="W21" i="34"/>
  <c r="X21" i="34"/>
  <c r="AC13" i="2"/>
  <c r="AC17" i="2"/>
  <c r="F20" i="11"/>
  <c r="I20" i="11" s="1"/>
  <c r="L95" i="59" l="1"/>
  <c r="G97" i="59"/>
  <c r="G97" i="58"/>
  <c r="O14" i="28"/>
  <c r="I14" i="28"/>
  <c r="L14" i="28"/>
  <c r="U14" i="28"/>
  <c r="H14" i="28"/>
  <c r="K14" i="28"/>
  <c r="Y14" i="28"/>
  <c r="AA14" i="28"/>
  <c r="E14" i="28"/>
  <c r="M14" i="28"/>
  <c r="AB14" i="28"/>
  <c r="X14" i="28"/>
  <c r="S14" i="28"/>
  <c r="AC14" i="28"/>
  <c r="T14" i="28"/>
  <c r="P14" i="28"/>
  <c r="W14" i="28"/>
  <c r="Q14" i="28"/>
  <c r="F14" i="28"/>
  <c r="E96" i="15"/>
  <c r="L95" i="15"/>
  <c r="L95" i="58"/>
  <c r="L96" i="15"/>
  <c r="Z14" i="28"/>
  <c r="Q12" i="28"/>
  <c r="W2" i="34"/>
  <c r="AB2" i="34" s="1"/>
  <c r="C22" i="70" s="1"/>
  <c r="E95" i="15"/>
  <c r="J14" i="28"/>
  <c r="D9" i="32"/>
  <c r="O12" i="28"/>
  <c r="E3" i="32"/>
  <c r="D39" i="32"/>
  <c r="E23" i="32"/>
  <c r="D23" i="32"/>
  <c r="D7" i="32"/>
  <c r="D38" i="32"/>
  <c r="I12" i="28"/>
  <c r="H12" i="28"/>
  <c r="E12" i="28"/>
  <c r="Y12" i="28"/>
  <c r="AA12" i="28"/>
  <c r="F12" i="28"/>
  <c r="U12" i="28"/>
  <c r="W12" i="28"/>
  <c r="K29" i="12"/>
  <c r="B28" i="10" s="1"/>
  <c r="C28" i="10" s="1"/>
  <c r="AD14" i="28"/>
  <c r="N14" i="28"/>
  <c r="M12" i="28"/>
  <c r="S12" i="28"/>
  <c r="K12" i="28"/>
  <c r="R12" i="28"/>
  <c r="X12" i="28"/>
  <c r="O16" i="25"/>
  <c r="G8" i="28"/>
  <c r="E97" i="58"/>
  <c r="G96" i="58"/>
  <c r="AC9" i="2"/>
  <c r="H9" i="2" s="1"/>
  <c r="G84" i="59" s="1"/>
  <c r="J46" i="7"/>
  <c r="B21" i="10" s="1"/>
  <c r="C21" i="10" s="1"/>
  <c r="E83" i="59"/>
  <c r="E84" i="58"/>
  <c r="L104" i="59"/>
  <c r="G34" i="46"/>
  <c r="G35" i="46"/>
  <c r="G36" i="54"/>
  <c r="J11" i="25"/>
  <c r="C5" i="28"/>
  <c r="B5" i="28" s="1"/>
  <c r="C4" i="28"/>
  <c r="B4" i="28" s="1"/>
  <c r="J9" i="25"/>
  <c r="Z12" i="28"/>
  <c r="J12" i="28"/>
  <c r="P12" i="28"/>
  <c r="AA8" i="2"/>
  <c r="AB8" i="2" s="1"/>
  <c r="AC8" i="2" s="1"/>
  <c r="H8" i="2" s="1"/>
  <c r="E84" i="59"/>
  <c r="T12" i="28"/>
  <c r="E83" i="58"/>
  <c r="V14" i="28"/>
  <c r="K23" i="11"/>
  <c r="B29" i="10" s="1"/>
  <c r="C29" i="10" s="1"/>
  <c r="M34" i="25"/>
  <c r="AC12" i="28"/>
  <c r="AB12" i="28"/>
  <c r="N12" i="28"/>
  <c r="AD12" i="28"/>
  <c r="L12" i="28"/>
  <c r="F114" i="59"/>
  <c r="D114" i="59" s="1"/>
  <c r="L114" i="59" s="1"/>
  <c r="L104" i="58"/>
  <c r="F107" i="15"/>
  <c r="D107" i="15" s="1"/>
  <c r="L107" i="15" s="1"/>
  <c r="O34" i="25"/>
  <c r="G6" i="28"/>
  <c r="M12" i="25"/>
  <c r="M20" i="25"/>
  <c r="G96" i="59"/>
  <c r="E96" i="59"/>
  <c r="L96" i="59"/>
  <c r="AD7" i="34"/>
  <c r="AC7" i="34" s="1"/>
  <c r="L21" i="34"/>
  <c r="K30" i="12"/>
  <c r="B31" i="10" s="1"/>
  <c r="C31" i="10" s="1"/>
  <c r="C30" i="10" s="1"/>
  <c r="I35" i="9" s="1"/>
  <c r="I35" i="59"/>
  <c r="F114" i="58"/>
  <c r="D114" i="58" s="1"/>
  <c r="L114" i="58" s="1"/>
  <c r="AD4" i="34"/>
  <c r="AC4" i="34" s="1"/>
  <c r="W4" i="34" s="1"/>
  <c r="AB4" i="34" s="1"/>
  <c r="C24" i="70" s="1"/>
  <c r="K24" i="12"/>
  <c r="B10" i="10" s="1"/>
  <c r="B9" i="10" s="1"/>
  <c r="C9" i="10" s="1"/>
  <c r="I31" i="9" s="1"/>
  <c r="H25" i="2" s="1"/>
  <c r="F114" i="15"/>
  <c r="D114" i="15" s="1"/>
  <c r="L114" i="15" s="1"/>
  <c r="F113" i="58"/>
  <c r="D113" i="58" s="1"/>
  <c r="L113" i="58" s="1"/>
  <c r="L23" i="11"/>
  <c r="B35" i="10" s="1"/>
  <c r="C35" i="10" s="1"/>
  <c r="O20" i="25"/>
  <c r="G7" i="28"/>
  <c r="O14" i="25"/>
  <c r="AD12" i="34"/>
  <c r="AC12" i="34" s="1"/>
  <c r="AD11" i="34"/>
  <c r="AC11" i="34" s="1"/>
  <c r="L5" i="34"/>
  <c r="AD3" i="34"/>
  <c r="AC3" i="34" s="1"/>
  <c r="W3" i="34" s="1"/>
  <c r="AB3" i="34" s="1"/>
  <c r="C23" i="70" s="1"/>
  <c r="L19" i="34"/>
  <c r="L17" i="34"/>
  <c r="L15" i="34"/>
  <c r="K25" i="12"/>
  <c r="B6" i="10" s="1"/>
  <c r="I33" i="58"/>
  <c r="I33" i="15"/>
  <c r="F115" i="15"/>
  <c r="D115" i="15" s="1"/>
  <c r="L115" i="15" s="1"/>
  <c r="I35" i="15"/>
  <c r="K26" i="12"/>
  <c r="B14" i="10" s="1"/>
  <c r="C14" i="10" s="1"/>
  <c r="I34" i="15"/>
  <c r="C15" i="15"/>
  <c r="K28" i="12"/>
  <c r="B24" i="10" s="1"/>
  <c r="C24" i="10" s="1"/>
  <c r="I34" i="59"/>
  <c r="AD13" i="34"/>
  <c r="AC13" i="34" s="1"/>
  <c r="F106" i="58"/>
  <c r="D106" i="58" s="1"/>
  <c r="L106" i="58" s="1"/>
  <c r="F106" i="59"/>
  <c r="D106" i="59" s="1"/>
  <c r="L106" i="59" s="1"/>
  <c r="J103" i="15"/>
  <c r="J102" i="59"/>
  <c r="G22" i="55"/>
  <c r="F110" i="58"/>
  <c r="D110" i="58" s="1"/>
  <c r="L110" i="58" s="1"/>
  <c r="G6" i="11"/>
  <c r="N6" i="11" s="1"/>
  <c r="F116" i="15"/>
  <c r="D116" i="15" s="1"/>
  <c r="L116" i="15" s="1"/>
  <c r="L9" i="34"/>
  <c r="AD20" i="34"/>
  <c r="AC20" i="34" s="1"/>
  <c r="G14" i="28"/>
  <c r="O28" i="25"/>
  <c r="G12" i="28"/>
  <c r="M24" i="25"/>
  <c r="O24" i="25"/>
  <c r="G96" i="15"/>
  <c r="G95" i="59"/>
  <c r="G95" i="58"/>
  <c r="G95" i="15"/>
  <c r="G94" i="59"/>
  <c r="G94" i="58"/>
  <c r="E94" i="59"/>
  <c r="L94" i="59"/>
  <c r="E94" i="58"/>
  <c r="L94" i="58"/>
  <c r="G35" i="56"/>
  <c r="G38" i="56" s="1"/>
  <c r="A30" i="56" s="1"/>
  <c r="G35" i="55"/>
  <c r="G38" i="55" s="1"/>
  <c r="A30" i="55" s="1"/>
  <c r="D15" i="9"/>
  <c r="E15" i="9" s="1"/>
  <c r="G35" i="54"/>
  <c r="F111" i="15"/>
  <c r="D111" i="15" s="1"/>
  <c r="L111" i="15" s="1"/>
  <c r="E17" i="9"/>
  <c r="I6" i="11"/>
  <c r="G32" i="60"/>
  <c r="G35" i="60" s="1"/>
  <c r="F110" i="59"/>
  <c r="D110" i="59" s="1"/>
  <c r="L110" i="59" s="1"/>
  <c r="J6" i="11"/>
  <c r="F19" i="11"/>
  <c r="J19" i="11" s="1"/>
  <c r="F115" i="59"/>
  <c r="D115" i="59" s="1"/>
  <c r="L115" i="59" s="1"/>
  <c r="K27" i="12"/>
  <c r="B18" i="10" s="1"/>
  <c r="C18" i="10" s="1"/>
  <c r="L2" i="34"/>
  <c r="AD6" i="34"/>
  <c r="AC6" i="34" s="1"/>
  <c r="AD18" i="34"/>
  <c r="AC18" i="34" s="1"/>
  <c r="AD16" i="34"/>
  <c r="AC16" i="34" s="1"/>
  <c r="L14" i="34"/>
  <c r="I16" i="15"/>
  <c r="I15" i="15"/>
  <c r="G15" i="15" s="1"/>
  <c r="G16" i="15"/>
  <c r="L8" i="34"/>
  <c r="AD8" i="34"/>
  <c r="AC8" i="34" s="1"/>
  <c r="L10" i="34"/>
  <c r="AD10" i="34"/>
  <c r="AC10" i="34" s="1"/>
  <c r="L84" i="58"/>
  <c r="J85" i="59"/>
  <c r="J84" i="59"/>
  <c r="J84" i="58"/>
  <c r="L86" i="15"/>
  <c r="J85" i="58"/>
  <c r="E86" i="15"/>
  <c r="L84" i="59"/>
  <c r="G86" i="15"/>
  <c r="L88" i="59"/>
  <c r="E85" i="58"/>
  <c r="G85" i="59"/>
  <c r="G88" i="59"/>
  <c r="G85" i="58"/>
  <c r="J83" i="58"/>
  <c r="G87" i="58"/>
  <c r="L87" i="58"/>
  <c r="L83" i="58"/>
  <c r="E85" i="59"/>
  <c r="E85" i="15"/>
  <c r="E90" i="58"/>
  <c r="E89" i="15"/>
  <c r="L89" i="15"/>
  <c r="C11" i="70"/>
  <c r="L90" i="58"/>
  <c r="L86" i="58"/>
  <c r="J86" i="59"/>
  <c r="G86" i="58"/>
  <c r="J83" i="59"/>
  <c r="L88" i="58"/>
  <c r="G88" i="58"/>
  <c r="J87" i="15"/>
  <c r="J91" i="15"/>
  <c r="E87" i="59"/>
  <c r="L87" i="59"/>
  <c r="E84" i="15"/>
  <c r="L84" i="15"/>
  <c r="C15" i="70"/>
  <c r="J88" i="15"/>
  <c r="J87" i="59"/>
  <c r="J87" i="58"/>
  <c r="J90" i="58"/>
  <c r="L83" i="59"/>
  <c r="J89" i="15"/>
  <c r="J88" i="58"/>
  <c r="J88" i="59"/>
  <c r="L93" i="15"/>
  <c r="E93" i="15"/>
  <c r="G87" i="15"/>
  <c r="L87" i="15"/>
  <c r="E87" i="15"/>
  <c r="E86" i="59"/>
  <c r="L86" i="59"/>
  <c r="G86" i="59"/>
  <c r="J93" i="15"/>
  <c r="J92" i="59"/>
  <c r="J92" i="58"/>
  <c r="G91" i="15"/>
  <c r="C13" i="70"/>
  <c r="E91" i="15"/>
  <c r="L91" i="15"/>
  <c r="G92" i="59"/>
  <c r="E92" i="59"/>
  <c r="L92" i="59"/>
  <c r="AB16" i="2"/>
  <c r="AC16" i="2" s="1"/>
  <c r="AB15" i="2"/>
  <c r="AC15" i="2" s="1"/>
  <c r="G92" i="58"/>
  <c r="E92" i="58"/>
  <c r="L92" i="58"/>
  <c r="B7" i="10"/>
  <c r="D7" i="10" s="1"/>
  <c r="D5" i="10" s="1"/>
  <c r="E5" i="10" s="1"/>
  <c r="L92" i="15"/>
  <c r="E92" i="15"/>
  <c r="C14" i="70"/>
  <c r="G92" i="15"/>
  <c r="E89" i="58"/>
  <c r="G89" i="58"/>
  <c r="L89" i="58"/>
  <c r="G91" i="59"/>
  <c r="E91" i="59"/>
  <c r="L91" i="59"/>
  <c r="G91" i="58"/>
  <c r="E91" i="58"/>
  <c r="L91" i="58"/>
  <c r="F46" i="7"/>
  <c r="J92" i="15"/>
  <c r="J91" i="58"/>
  <c r="J91" i="59"/>
  <c r="E89" i="59"/>
  <c r="L89" i="59"/>
  <c r="G89" i="59"/>
  <c r="C133" i="15"/>
  <c r="C68" i="15"/>
  <c r="C132" i="59"/>
  <c r="C67" i="58"/>
  <c r="C67" i="59"/>
  <c r="C132" i="58"/>
  <c r="E2" i="32"/>
  <c r="G16" i="28"/>
  <c r="M32" i="25"/>
  <c r="O32" i="25"/>
  <c r="O10" i="25"/>
  <c r="M10" i="25"/>
  <c r="G5" i="28"/>
  <c r="E33" i="59"/>
  <c r="C33" i="59" s="1"/>
  <c r="E33" i="15"/>
  <c r="C33" i="15" s="1"/>
  <c r="C56" i="70" s="1"/>
  <c r="G8" i="9"/>
  <c r="E33" i="58"/>
  <c r="C33" i="58" s="1"/>
  <c r="J98" i="15"/>
  <c r="J97" i="59"/>
  <c r="J97" i="58"/>
  <c r="L93" i="59"/>
  <c r="E93" i="59"/>
  <c r="J94" i="15"/>
  <c r="J93" i="59"/>
  <c r="J93" i="58"/>
  <c r="F9" i="28"/>
  <c r="E9" i="28"/>
  <c r="AB9" i="28"/>
  <c r="X9" i="28"/>
  <c r="T9" i="28"/>
  <c r="P9" i="28"/>
  <c r="L9" i="28"/>
  <c r="H9" i="28"/>
  <c r="AD9" i="28"/>
  <c r="Z9" i="28"/>
  <c r="V9" i="28"/>
  <c r="R9" i="28"/>
  <c r="N9" i="28"/>
  <c r="J9" i="28"/>
  <c r="AC9" i="28"/>
  <c r="U9" i="28"/>
  <c r="M9" i="28"/>
  <c r="AA9" i="28"/>
  <c r="S9" i="28"/>
  <c r="K9" i="28"/>
  <c r="Y9" i="28"/>
  <c r="Q9" i="28"/>
  <c r="I9" i="28"/>
  <c r="W9" i="28"/>
  <c r="O9" i="28"/>
  <c r="F13" i="28"/>
  <c r="E13" i="28"/>
  <c r="AB13" i="28"/>
  <c r="X13" i="28"/>
  <c r="T13" i="28"/>
  <c r="P13" i="28"/>
  <c r="L13" i="28"/>
  <c r="H13" i="28"/>
  <c r="AD13" i="28"/>
  <c r="Z13" i="28"/>
  <c r="V13" i="28"/>
  <c r="R13" i="28"/>
  <c r="N13" i="28"/>
  <c r="J13" i="28"/>
  <c r="AA13" i="28"/>
  <c r="S13" i="28"/>
  <c r="K13" i="28"/>
  <c r="Y13" i="28"/>
  <c r="Q13" i="28"/>
  <c r="I13" i="28"/>
  <c r="W13" i="28"/>
  <c r="O13" i="28"/>
  <c r="AC13" i="28"/>
  <c r="U13" i="28"/>
  <c r="M13" i="28"/>
  <c r="E25" i="9"/>
  <c r="O13" i="11"/>
  <c r="G24" i="55"/>
  <c r="G27" i="55" s="1"/>
  <c r="G24" i="54"/>
  <c r="G27" i="54" s="1"/>
  <c r="A24" i="54" s="1"/>
  <c r="G21" i="60"/>
  <c r="G24" i="60" s="1"/>
  <c r="A21" i="60" s="1"/>
  <c r="G23" i="46"/>
  <c r="G26" i="46" s="1"/>
  <c r="A23" i="46" s="1"/>
  <c r="G24" i="56"/>
  <c r="G27" i="56" s="1"/>
  <c r="A24" i="56" s="1"/>
  <c r="G15" i="28"/>
  <c r="O30" i="25"/>
  <c r="M30" i="25"/>
  <c r="G11" i="28"/>
  <c r="O22" i="25"/>
  <c r="M22" i="25"/>
  <c r="E97" i="15"/>
  <c r="C19" i="70"/>
  <c r="L97" i="15"/>
  <c r="L98" i="15"/>
  <c r="E98" i="15"/>
  <c r="C20" i="70"/>
  <c r="E117" i="59"/>
  <c r="D117" i="59" s="1"/>
  <c r="L117" i="59" s="1"/>
  <c r="E94" i="15"/>
  <c r="L94" i="15"/>
  <c r="C16" i="70"/>
  <c r="AB12" i="2"/>
  <c r="AC12" i="2" s="1"/>
  <c r="J96" i="59"/>
  <c r="J96" i="58"/>
  <c r="J97" i="15"/>
  <c r="AB14" i="2"/>
  <c r="AC14" i="2" s="1"/>
  <c r="K22" i="12"/>
  <c r="E102" i="59"/>
  <c r="D102" i="59" s="1"/>
  <c r="E102" i="58"/>
  <c r="D102" i="58" s="1"/>
  <c r="E103" i="15"/>
  <c r="F102" i="58"/>
  <c r="F103" i="15"/>
  <c r="F102" i="59"/>
  <c r="E118" i="15"/>
  <c r="O8" i="25"/>
  <c r="G4" i="28"/>
  <c r="M8" i="25"/>
  <c r="O18" i="25"/>
  <c r="M18" i="25"/>
  <c r="G9" i="28"/>
  <c r="F4" i="28"/>
  <c r="AB4" i="28"/>
  <c r="X4" i="28"/>
  <c r="T4" i="28"/>
  <c r="P4" i="28"/>
  <c r="L4" i="28"/>
  <c r="H4" i="28"/>
  <c r="AA4" i="28"/>
  <c r="W4" i="28"/>
  <c r="S4" i="28"/>
  <c r="O4" i="28"/>
  <c r="K4" i="28"/>
  <c r="E4" i="28"/>
  <c r="AD4" i="28"/>
  <c r="Z4" i="28"/>
  <c r="V4" i="28"/>
  <c r="R4" i="28"/>
  <c r="N4" i="28"/>
  <c r="J4" i="28"/>
  <c r="AC4" i="28"/>
  <c r="Y4" i="28"/>
  <c r="U4" i="28"/>
  <c r="Q4" i="28"/>
  <c r="M4" i="28"/>
  <c r="I4" i="28"/>
  <c r="E90" i="15"/>
  <c r="G90" i="15"/>
  <c r="C12" i="70"/>
  <c r="L90" i="15"/>
  <c r="O26" i="25"/>
  <c r="M26" i="25"/>
  <c r="G13" i="28"/>
  <c r="F16" i="28"/>
  <c r="E16" i="28"/>
  <c r="AA16" i="28"/>
  <c r="W16" i="28"/>
  <c r="S16" i="28"/>
  <c r="O16" i="28"/>
  <c r="K16" i="28"/>
  <c r="AC16" i="28"/>
  <c r="Y16" i="28"/>
  <c r="U16" i="28"/>
  <c r="Q16" i="28"/>
  <c r="M16" i="28"/>
  <c r="I16" i="28"/>
  <c r="AD16" i="28"/>
  <c r="V16" i="28"/>
  <c r="N16" i="28"/>
  <c r="AB16" i="28"/>
  <c r="T16" i="28"/>
  <c r="L16" i="28"/>
  <c r="Z16" i="28"/>
  <c r="R16" i="28"/>
  <c r="J16" i="28"/>
  <c r="X16" i="28"/>
  <c r="P16" i="28"/>
  <c r="H16" i="28"/>
  <c r="K31" i="12"/>
  <c r="B34" i="10" s="1"/>
  <c r="G94" i="15"/>
  <c r="G93" i="58"/>
  <c r="G93" i="59"/>
  <c r="F23" i="11"/>
  <c r="E15" i="28"/>
  <c r="AD15" i="28"/>
  <c r="Z15" i="28"/>
  <c r="V15" i="28"/>
  <c r="R15" i="28"/>
  <c r="N15" i="28"/>
  <c r="J15" i="28"/>
  <c r="F15" i="28"/>
  <c r="AB15" i="28"/>
  <c r="X15" i="28"/>
  <c r="T15" i="28"/>
  <c r="P15" i="28"/>
  <c r="L15" i="28"/>
  <c r="H15" i="28"/>
  <c r="AC15" i="28"/>
  <c r="U15" i="28"/>
  <c r="M15" i="28"/>
  <c r="AA15" i="28"/>
  <c r="S15" i="28"/>
  <c r="K15" i="28"/>
  <c r="Y15" i="28"/>
  <c r="Q15" i="28"/>
  <c r="I15" i="28"/>
  <c r="W15" i="28"/>
  <c r="O15" i="28"/>
  <c r="F11" i="28"/>
  <c r="E11" i="28"/>
  <c r="AD11" i="28"/>
  <c r="Z11" i="28"/>
  <c r="V11" i="28"/>
  <c r="R11" i="28"/>
  <c r="N11" i="28"/>
  <c r="J11" i="28"/>
  <c r="AB11" i="28"/>
  <c r="X11" i="28"/>
  <c r="T11" i="28"/>
  <c r="P11" i="28"/>
  <c r="L11" i="28"/>
  <c r="H11" i="28"/>
  <c r="W11" i="28"/>
  <c r="O11" i="28"/>
  <c r="AC11" i="28"/>
  <c r="U11" i="28"/>
  <c r="M11" i="28"/>
  <c r="AA11" i="28"/>
  <c r="S11" i="28"/>
  <c r="K11" i="28"/>
  <c r="Y11" i="28"/>
  <c r="Q11" i="28"/>
  <c r="I11" i="28"/>
  <c r="F5" i="28"/>
  <c r="E5" i="28"/>
  <c r="AD5" i="28"/>
  <c r="Z5" i="28"/>
  <c r="V5" i="28"/>
  <c r="R5" i="28"/>
  <c r="N5" i="28"/>
  <c r="AC5" i="28"/>
  <c r="X5" i="28"/>
  <c r="S5" i="28"/>
  <c r="M5" i="28"/>
  <c r="I5" i="28"/>
  <c r="AB5" i="28"/>
  <c r="W5" i="28"/>
  <c r="Q5" i="28"/>
  <c r="L5" i="28"/>
  <c r="H5" i="28"/>
  <c r="AA5" i="28"/>
  <c r="U5" i="28"/>
  <c r="P5" i="28"/>
  <c r="K5" i="28"/>
  <c r="Y5" i="28"/>
  <c r="T5" i="28"/>
  <c r="O5" i="28"/>
  <c r="J5" i="28"/>
  <c r="C27" i="10" l="1"/>
  <c r="I33" i="9" s="1"/>
  <c r="H27" i="2" s="1"/>
  <c r="G84" i="58"/>
  <c r="G85" i="15"/>
  <c r="C7" i="70" s="1"/>
  <c r="G36" i="46"/>
  <c r="A29" i="46" s="1"/>
  <c r="B27" i="10"/>
  <c r="G39" i="54"/>
  <c r="C3" i="28"/>
  <c r="B3" i="28" s="1"/>
  <c r="J7" i="25"/>
  <c r="G84" i="15"/>
  <c r="C6" i="70" s="1"/>
  <c r="G83" i="59"/>
  <c r="G83" i="58"/>
  <c r="B30" i="10"/>
  <c r="I19" i="11"/>
  <c r="I23" i="11" s="1"/>
  <c r="B22" i="10" s="1"/>
  <c r="C22" i="10" s="1"/>
  <c r="C17" i="10" s="1"/>
  <c r="D34" i="9" s="1"/>
  <c r="D129" i="59"/>
  <c r="D129" i="58"/>
  <c r="D130" i="15"/>
  <c r="C71" i="70" s="1"/>
  <c r="J23" i="11"/>
  <c r="B25" i="10" s="1"/>
  <c r="C25" i="10" s="1"/>
  <c r="C23" i="10" s="1"/>
  <c r="D35" i="9" s="1"/>
  <c r="H129" i="15" s="1"/>
  <c r="C75" i="70" s="1"/>
  <c r="G19" i="11"/>
  <c r="N19" i="11" s="1"/>
  <c r="J17" i="9"/>
  <c r="J103" i="59" s="1"/>
  <c r="H103" i="59" s="1"/>
  <c r="L103" i="59" s="1"/>
  <c r="A27" i="60"/>
  <c r="C10" i="55"/>
  <c r="C10" i="46"/>
  <c r="C10" i="54"/>
  <c r="C9" i="60"/>
  <c r="C9" i="56"/>
  <c r="C34" i="10"/>
  <c r="C33" i="10" s="1"/>
  <c r="I34" i="9" s="1"/>
  <c r="B33" i="10"/>
  <c r="D118" i="15"/>
  <c r="L118" i="15" s="1"/>
  <c r="C60" i="70"/>
  <c r="D103" i="15"/>
  <c r="C58" i="70"/>
  <c r="J130" i="15"/>
  <c r="C79" i="70" s="1"/>
  <c r="J129" i="59"/>
  <c r="J129" i="58"/>
  <c r="H29" i="2"/>
  <c r="O23" i="11"/>
  <c r="B15" i="10" s="1"/>
  <c r="N13" i="11"/>
  <c r="D33" i="15"/>
  <c r="D33" i="59"/>
  <c r="D33" i="58"/>
  <c r="F120" i="59"/>
  <c r="D120" i="59" s="1"/>
  <c r="L120" i="59" s="1"/>
  <c r="F120" i="58"/>
  <c r="D120" i="58" s="1"/>
  <c r="L120" i="58" s="1"/>
  <c r="F121" i="15"/>
  <c r="B4" i="10"/>
  <c r="B2" i="10" s="1"/>
  <c r="C2" i="10" s="1"/>
  <c r="H129" i="59" l="1"/>
  <c r="H129" i="58"/>
  <c r="H130" i="15"/>
  <c r="C76" i="70" s="1"/>
  <c r="F109" i="59"/>
  <c r="D109" i="59" s="1"/>
  <c r="E109" i="59"/>
  <c r="F109" i="58"/>
  <c r="D109" i="58" s="1"/>
  <c r="F110" i="15"/>
  <c r="D110" i="15" s="1"/>
  <c r="G23" i="11"/>
  <c r="B8" i="10" s="1"/>
  <c r="B5" i="10" s="1"/>
  <c r="C5" i="10" s="1"/>
  <c r="D33" i="9" s="1"/>
  <c r="N23" i="11"/>
  <c r="D36" i="10" s="1"/>
  <c r="E36" i="10" s="1"/>
  <c r="E38" i="10" s="1"/>
  <c r="D32" i="9" s="1"/>
  <c r="F128" i="58" s="1"/>
  <c r="B17" i="10"/>
  <c r="B23" i="10"/>
  <c r="J104" i="15"/>
  <c r="H104" i="15" s="1"/>
  <c r="L104" i="15" s="1"/>
  <c r="E110" i="15"/>
  <c r="J103" i="58"/>
  <c r="H103" i="58" s="1"/>
  <c r="L103" i="58" s="1"/>
  <c r="H128" i="59"/>
  <c r="E109" i="58"/>
  <c r="H128" i="58"/>
  <c r="D29" i="2"/>
  <c r="H131" i="15"/>
  <c r="C77" i="70" s="1"/>
  <c r="H130" i="59"/>
  <c r="H130" i="58"/>
  <c r="H28" i="2"/>
  <c r="J129" i="15"/>
  <c r="C78" i="70" s="1"/>
  <c r="J128" i="59"/>
  <c r="D28" i="2"/>
  <c r="J128" i="58"/>
  <c r="D31" i="9"/>
  <c r="F31" i="9"/>
  <c r="D121" i="15"/>
  <c r="L121" i="15" s="1"/>
  <c r="C61" i="70"/>
  <c r="C15" i="10"/>
  <c r="C13" i="10" s="1"/>
  <c r="I32" i="9" s="1"/>
  <c r="B13" i="10"/>
  <c r="C59" i="70" l="1"/>
  <c r="F33" i="9"/>
  <c r="F129" i="15"/>
  <c r="C73" i="70" s="1"/>
  <c r="D26" i="2"/>
  <c r="F128" i="59"/>
  <c r="C62" i="70"/>
  <c r="D128" i="58"/>
  <c r="D129" i="15"/>
  <c r="C70" i="70" s="1"/>
  <c r="D128" i="59"/>
  <c r="D25" i="2"/>
  <c r="D130" i="58"/>
  <c r="D131" i="15"/>
  <c r="C72" i="70" s="1"/>
  <c r="D27" i="2"/>
  <c r="D130" i="59"/>
  <c r="F130" i="15"/>
  <c r="C74" i="70" s="1"/>
  <c r="F129" i="58"/>
  <c r="F129" i="59"/>
  <c r="H26" i="2"/>
</calcChain>
</file>

<file path=xl/sharedStrings.xml><?xml version="1.0" encoding="utf-8"?>
<sst xmlns="http://schemas.openxmlformats.org/spreadsheetml/2006/main" count="28232" uniqueCount="5097">
  <si>
    <t>LabDag3_1</t>
  </si>
  <si>
    <t>LabDag3_10</t>
  </si>
  <si>
    <t>LabDag3_11</t>
  </si>
  <si>
    <t>LabDag3_12</t>
  </si>
  <si>
    <t>LabDag3_13</t>
  </si>
  <si>
    <t>LabDag3_14</t>
  </si>
  <si>
    <t>LabDag3_15</t>
  </si>
  <si>
    <t>LabDag3_16</t>
  </si>
  <si>
    <t>LabDag3_17</t>
  </si>
  <si>
    <t>LabDag3_18</t>
  </si>
  <si>
    <t>LabDag3_2</t>
  </si>
  <si>
    <t>LabDag3_3</t>
  </si>
  <si>
    <t>LabDag3_4</t>
  </si>
  <si>
    <t>LabDag3_5</t>
  </si>
  <si>
    <t>LabDag3_6</t>
  </si>
  <si>
    <t>LabDag3_7</t>
  </si>
  <si>
    <t>LabDag3_8</t>
  </si>
  <si>
    <t>LabDag3_9</t>
  </si>
  <si>
    <t>E.coli-asparaginase (Paronal).Cave allergische reacties: bij overgevoeligheid overgaan op Erwinia-asparaginase._x000D_
Extravasatie: ernstige reacties zijn niet te verwachten.</t>
  </si>
  <si>
    <t xml:space="preserve">STOFWISSELINGSZIEKTEN transportdefecten                                                                                                                                                                                                                        </t>
  </si>
  <si>
    <t>premedicatie: or 0,01-0,02 mg/kg max 0,6 mg/dosis, 1/2-1 uur voor ingreep_x000D_
_x000D_
spasmolyticum: or :0,01 mg/kg, max 0,4 mg elke 4-6 uur_x000D_
_x000D_
Neon.: premedicatie: or 0,01-0,02 mg/kg, 1/2-1 uur voor de ingreep</t>
  </si>
  <si>
    <t xml:space="preserve">bruistablet         </t>
  </si>
  <si>
    <t xml:space="preserve">caps                </t>
  </si>
  <si>
    <t xml:space="preserve">mg/caps        </t>
  </si>
  <si>
    <t xml:space="preserve">granulaat           </t>
  </si>
  <si>
    <t xml:space="preserve">mg/zakje       </t>
  </si>
  <si>
    <t xml:space="preserve">ANTITHROMBOTICA trombocytenaggregatieremmers                                                                                                                                                                                                                   </t>
  </si>
  <si>
    <t xml:space="preserve">creme 10 g              </t>
  </si>
  <si>
    <t xml:space="preserve">cutaan         </t>
  </si>
  <si>
    <t xml:space="preserve">creme               </t>
  </si>
  <si>
    <t xml:space="preserve">mg/g           </t>
  </si>
  <si>
    <t xml:space="preserve">g              </t>
  </si>
  <si>
    <t xml:space="preserve">OOG-MIDDELEN lokale antimicrobiële therapie                                                                                                                                                                                                                    </t>
  </si>
  <si>
    <t xml:space="preserve">oogzalf 4,5 g              </t>
  </si>
  <si>
    <t xml:space="preserve">lokaal                        </t>
  </si>
  <si>
    <t xml:space="preserve">oogzalf             </t>
  </si>
  <si>
    <t xml:space="preserve">drank 125 ml             </t>
  </si>
  <si>
    <t>4 Joule/kg, max 150 Joule</t>
  </si>
  <si>
    <t>0,01 mg/kg, max 1 mg</t>
  </si>
  <si>
    <t>0,5 mmol/kg, max 50 mmol</t>
  </si>
  <si>
    <t>0,2 g/kg, max 25 g</t>
  </si>
  <si>
    <t>20 ml/kg, max 500 ml</t>
  </si>
  <si>
    <t>0,5 mg/kg, max 20 mg</t>
  </si>
  <si>
    <t>1 mg/kg, max 100 mg</t>
  </si>
  <si>
    <t>0,02 mg/kg, max 0,5 mg</t>
  </si>
  <si>
    <t>0,02 mg/kg, max 0,3 mg</t>
  </si>
  <si>
    <t>0,01 mg/kg max 0,4 mg</t>
  </si>
  <si>
    <t>5 mg/kg, max 300 mg</t>
  </si>
  <si>
    <t>0,05 mmol/kg, max 5 mmol</t>
  </si>
  <si>
    <t>0,5 mg/kg, max 10 mg</t>
  </si>
  <si>
    <t>0,1 mg/kg, max 10 mg</t>
  </si>
  <si>
    <t>1 mg/kg, max 25 mg</t>
  </si>
  <si>
    <t>0,5 gram/kg, max 50 g</t>
  </si>
  <si>
    <t>monotherapie &gt;12 jr or _x000D_
week 1 en 2: 25 mg/dag in 1 dosis _x000D_
week 3 en 4: 50 mg/dag in 1 dosis dan stapsgewijs per 1-2 wkn omhoog tot 100-200 mg/dag in 1-2 doses_x000D_
_x000D_
combinatie met valproaat: 2-12 jr or _x000D_
week 1 en 2: 0,15 mg/kg/dag in 1 dosis_x000D_
week 3 en 4: 0,3 mg/kg/dag in 1 dosis dan stapsgewijs per 1-2 wkn omhoog met max 0,3 mg/kg tot 1-5 mg/kg/dag in 1-2 doses, max 200 mg/dag_x000D_
&gt;12 jr or_x000D_
week 1 en 2: 25 mg per 2 dagen _x000D_
week 3 en 4: 25 mg/dag in 1 dosis dan stapsgewijs per 1-2 wkn omhoog tot 100-200 mg/dag in 1-2 doses_x000D_
_x000D_
combinatie met enzyminduc. anti-epileptica (geen valproaat): 2-12 jr or _x000D_
week 1 en 2: 0,6 mg/kg/dag in 2 doses _x000D_
week 3 en 4: 1,2 mg/kg/dag in 2 doses _x000D_
dan stapsgewijs per 1-2 wkn omhoog met max 1,2 mg/kg tot 5-15 mg/kg/dag in 2 doses, max 400 mg/dag_x000D_
&gt;12 jr or_x000D_
week 1 en 2: 50 mg/dag in 1 dosis_x000D_
week 3 en 4: 100 mg/dag in 2 doses dan stapsgewijs per 1-2 wkn omhoog tot 200-400 mg/dag in 2 doses</t>
  </si>
  <si>
    <t>Neon.: opladen: iv 2 mg/kg in 10 min onder ECG bewaking_x000D_
onderhoud: continu iv 6 mg/kg/uur_x000D_
na 24 uur afbouwen tot 0 gedurende de volgende 24 uur (t = 24: 4 mg/kg/uur, t = 36: 2 mg/kg/uur, t = 48: stop)._x000D_
_x000D_
antiarrhhythmicum: zie blz ?_x000D_
lokaalanestheticum: zie blz ?</t>
  </si>
  <si>
    <t>+ adrenaline_x000D_
epiduraal (caudaal), infiltratie:_x000D_
&lt; 6 mnd: max 2 mg/kg_x000D_
&gt; 6 mnd: max 3 mg/kg</t>
  </si>
  <si>
    <t>Toepassing bij Candida spp infecties. Dringt door in centraal zenuwstelsel en kan daarom tevens gebruikt worden bij cryptococcen-infecties._x000D_
Cave interactie met ciclosporine, cisapride, fenytoïne._x000D_
Dosis bij nierinsuff.: zie tabel blz ?</t>
  </si>
  <si>
    <t>or 3-6 mg/kg/dag in 1 dosis,_x000D_
max 400 mg/dag</t>
  </si>
  <si>
    <t>SDD: or 4 dd 10 mg</t>
  </si>
  <si>
    <t>StartDatum_13</t>
  </si>
  <si>
    <t>StartDatum_14</t>
  </si>
  <si>
    <t>StartDatum_15</t>
  </si>
  <si>
    <t>StartDatum_16</t>
  </si>
  <si>
    <t>StartDatum_17</t>
  </si>
  <si>
    <t>=ber_bead!$C$2:$C$10</t>
  </si>
  <si>
    <t>DosHoev_13</t>
  </si>
  <si>
    <t>DosHoev_14</t>
  </si>
  <si>
    <t>ketanserine</t>
  </si>
  <si>
    <t>INTRAVENEUZE VOEDING</t>
  </si>
  <si>
    <t>or 50.000-100.000 IE/kg/dag in 3-6 doses max 6 milj. IE/dag_x000D_
_x000D_
geïntubeerde kinderen:_x000D_
&lt; 1 jr: 6 dd 100.000 IE in de mond en per sonde_x000D_
&gt; 1 jr: 6 dd 200.000 IE in de mond en per sonde_x000D_
_x000D_
Neon.: or 6 dd 50.000-100.000 IE/kg</t>
  </si>
  <si>
    <t>dag 1 en dag 2 iv opladen:_x000D_
6-10 mg/kg/dag in 2 doses,_x000D_
vanaf dag 3: 3-5 mg/kg/dag in 1 dosis,_x000D_
max 200 mg/dag</t>
  </si>
  <si>
    <t>or 3-5 mg/kg/dag in 1 dosis,_x000D_
max 400 mg/dag</t>
  </si>
  <si>
    <t>Friso 1 comfort</t>
  </si>
  <si>
    <t>Friso 2 normaal</t>
  </si>
  <si>
    <t>Friso 1 normaal</t>
  </si>
  <si>
    <t>Friso 2 comfort</t>
  </si>
  <si>
    <t>Friso 1 hypoall</t>
  </si>
  <si>
    <t>Friso 2 hypoall</t>
  </si>
  <si>
    <t>Nutramigen 2 LGG</t>
  </si>
  <si>
    <t>Pregestimil</t>
  </si>
  <si>
    <t>Flexical</t>
  </si>
  <si>
    <t>Nutrilon Soya 1</t>
  </si>
  <si>
    <t>Nutrilon Soya 2</t>
  </si>
  <si>
    <t>Infatrini</t>
  </si>
  <si>
    <t>Nutrini</t>
  </si>
  <si>
    <t>Nutrini MultiFib</t>
  </si>
  <si>
    <t xml:space="preserve">Nutrini Energy </t>
  </si>
  <si>
    <t>Tentrini</t>
  </si>
  <si>
    <t>Tentrini EnergyFib</t>
  </si>
  <si>
    <t>Nutrison MultiFib</t>
  </si>
  <si>
    <t>1 sachet oplossen in 50 ml water._x000D_
Bevat per sachet:_x000D_
macrogol 3350    2,95g_x000D_
na-sulfaat           284 mg_x000D_
na-bicarbonaat   84 mg_x000D_
na-chloride         73 mg_x000D_
k-chloride            37,5 mg</t>
  </si>
  <si>
    <t>or:_x000D_
6-12 jr: 1-2 dd 1 sachet_x000D_
&gt; 12 jr: 1-3 dd 1 sachet</t>
  </si>
  <si>
    <t xml:space="preserve">drank 300 ml             </t>
  </si>
  <si>
    <t xml:space="preserve">drup vl 60 ml             </t>
  </si>
  <si>
    <t xml:space="preserve">tabl chrono         </t>
  </si>
  <si>
    <t xml:space="preserve">drup fl 2,5 ml             </t>
  </si>
  <si>
    <t xml:space="preserve">intranasaal                   </t>
  </si>
  <si>
    <t xml:space="preserve">spray 50 doses/verp     </t>
  </si>
  <si>
    <t xml:space="preserve">spray               </t>
  </si>
  <si>
    <t>antiarrhythmicum:_x000D_
iv 0,01-0,05 mg/kg/dosis in 5-10 min,_x000D_
3-4 daags_x000D_
_x000D_
ter coupering van cyanotic spell:_x000D_
iv 0,01-0,25 mg/kg/dosis in 5-10 min,_x000D_
gemiddeld 0,05 mg/kg_x000D_
_x000D_
Neon.:_x000D_
persisterende ernstige hypertensie:_x000D_
iv 0,01 mg/kg/dosis in 10 minuten 3-4 dd</t>
  </si>
  <si>
    <t>megaloblastaire anemie:_x000D_
or 1 mg/dag in 1 dosis_x000D_
or onderhoud: 0,5 mg/dag in 1 dosis,_x000D_
max 1 mg/dag of 5 mg/week_x000D_
_x000D_
aminozuurstofwisselingsziekte:_x000D_
zie blz ?</t>
  </si>
  <si>
    <t>Foliumzuur (Vit B11) wordt omgezet in het werkzame folinezuur._x000D_
Vit B12-deficiëntie dient uitgesloten te zijn. Foliumzuurantagonisten (methotrexaat, trimethoprim) remmen deze omzetting. Bij toxiciteit door deze stoffen folinezuur toepassen.</t>
  </si>
  <si>
    <t>im/diep sc: 1000 microg eenmaal per week gedurende 5 weken, dan onderhoud 1000 microg per 2 maanden_x000D_
_x000D_
metabole ziekte: zie blz ?</t>
  </si>
  <si>
    <t xml:space="preserve">drank 75 ml             </t>
  </si>
  <si>
    <t xml:space="preserve">inh vl 250 ml             </t>
  </si>
  <si>
    <t xml:space="preserve">zakje 100 ml             </t>
  </si>
  <si>
    <t xml:space="preserve">zakje               </t>
  </si>
  <si>
    <t xml:space="preserve">susp 250 ml             </t>
  </si>
  <si>
    <t xml:space="preserve">amp forte 1 ml             </t>
  </si>
  <si>
    <t xml:space="preserve">amp forte           </t>
  </si>
  <si>
    <t xml:space="preserve">amp forte 5 ml             </t>
  </si>
  <si>
    <t xml:space="preserve">flac 10 g              </t>
  </si>
  <si>
    <t>MedIVMlSpuit_20</t>
  </si>
  <si>
    <t>MedIVMlSpuit_21</t>
  </si>
  <si>
    <t>MedIVMlSpuit_22</t>
  </si>
  <si>
    <t>MedIVMlSpuit_23</t>
  </si>
  <si>
    <t>MedIVMlSpuit_17</t>
  </si>
  <si>
    <t>MedIVMlSpuit_18</t>
  </si>
  <si>
    <t>MedIVMlSpuit_19</t>
  </si>
  <si>
    <t>06:00 uur dag 1</t>
  </si>
  <si>
    <t>06:00 uur dag 2</t>
  </si>
  <si>
    <t>06:00 uur dag 3</t>
  </si>
  <si>
    <t>Hypothalamushormoon stimuleert afgifte gonadotropine (FSH, LH). Diagnostiek van adenohypofysefunctiestoornissen, in het bijzonder ter differentiëring pubertas praecox (versus pseudopubertas praecox).</t>
  </si>
  <si>
    <t>Oplossen in een glas water of lepel vla/yoghurt en direct opdrinken/-eten. Daarna nog een glas water drinken. De werking treedt na 1 dag in. Neemt veel water op en maakt faeces zachter.</t>
  </si>
  <si>
    <t>uitsluitend bij ontlediging van de darm voor onderzoek:_x000D_
or max 1 ml/kg eenmalig, max 60 ml</t>
  </si>
  <si>
    <t>Sterkwerkend conctactlaxans, bevat anthrachinonen. Werking treedt in  binnen 6-12 uur._x000D_
Kan alkalische urine rood en zure urine bruin verkleuren.</t>
  </si>
  <si>
    <t>Goedkoop en effectief osmotisch laxans en antacidum._x000D_
Magnesium wordt in geringe mate geabsorbeerd._x000D_
Werking treedt binnen 2-8 uur in._x000D_
Niet toepassen bij slechte nierfunctie (GFR &lt; 30 ml/min).</t>
  </si>
  <si>
    <t>or:_x000D_
6-12 jr: 1-2 dd 1 poeder_x000D_
&gt; 12 jr: 1-3 dd 1 poeder</t>
  </si>
  <si>
    <t>Oplossen in een glas water en direct opdrinken. Daarna nog een glas water drinken. De werking treedt na 1 dag in. Neemt veel water op en maakt faeces zachter.</t>
  </si>
  <si>
    <t>rect:_x000D_
1-12 mnd: 1/2 klysma toedienen_x000D_
&gt; 1 jr: 1 klysma toedienen</t>
  </si>
  <si>
    <t>06:00 uur</t>
  </si>
  <si>
    <t>X-thorax</t>
  </si>
  <si>
    <t>Pacemaker</t>
  </si>
  <si>
    <t>Clindamycine dringt niet goed door in centrale zenuwstelsel. Bij opportunistische infecties zijn hoge doses geïndiceerd._x000D_
Cave pseudomembraneuze colitis._x000D_
De drank is niet geregistreerd.</t>
  </si>
  <si>
    <t>or 25 mg/kg/dag in 3-4 doses,_x000D_
max 2 g/dag</t>
  </si>
  <si>
    <t>huid: 3 maal daags aanbrengen</t>
  </si>
  <si>
    <t>or 5-6 mg/kg/dag in 4 doses,_x000D_
max 400 mg/dag_x000D_
_x000D_
profylaxe or:_x000D_
2 mg/kg/dag in een dosis 's avonds</t>
  </si>
  <si>
    <t>=ber_lab!$C$11</t>
  </si>
  <si>
    <t>=ber_lab!$C$3</t>
  </si>
  <si>
    <t>=ber_lab!$C$5</t>
  </si>
  <si>
    <t>=ber_lab!$C$6</t>
  </si>
  <si>
    <t>Lab16u_7</t>
  </si>
  <si>
    <t>Lab16u_8</t>
  </si>
  <si>
    <t>Lab16u_9</t>
  </si>
  <si>
    <t>Lab20u_1</t>
  </si>
  <si>
    <t>Injectie geschikt voor couperen jicht- aanval, koorts, kolieken. Intraveneus in 24-48 ml fys. zout in 30 min.</t>
  </si>
  <si>
    <t>profylaxe trombo-embolische compl._x000D_
sc 5-10 jr: 5000 IE/dag in 2 doses_x000D_
sc &gt;10 jr: 10000 IE/dag in 2 doses</t>
  </si>
  <si>
    <t>J.I.A.:_x000D_
medium dose s.c.: 15 mg/m2/week in een dosis, max 20 mg/week_x000D_
_x000D_
uitsluitend overleg immunoloog:_x000D_
high dose s.c.: 30 mg/m2/week in een dosis, max 40 mg/week</t>
  </si>
  <si>
    <t>J.I.A./S.L.E.: or 3-5 mg/kg/dag in 1 dosis, eventueel 1 maal per twee dagen, max 6,5 mg/kg LBM_x000D_
dosering opgeven als base!</t>
  </si>
  <si>
    <t>iv op geleide van effect in 2-6 uur_x000D_
start: testdosis 0,1 mg/kg, max 1 mg over 10-20 min, indien geen reacties kan na 4 uur de dosis gegeven worden: 1 mg/kg/dag in 1 dosis in 2-6 uur_x000D_
_x000D_
Neon.: iv in 6 uur toedienen_x000D_
dag 1: 0,5 mg/kg in 1 dosis_x000D_
dag 2: 0,75 mg/kg in 1 dosis_x000D_
dag 3 e.v.: 1 mg/kg in 1 dosis, cumul. dosis 20 mg/kg; overweeg bij zeer kleine prematuren dosis om de dag</t>
  </si>
  <si>
    <t>pneumocystosis:_x000D_
iv 4 mg/kg/dag in 1 dosis, bij goede klinische respons dosis na 5 dagen verminderen tot 3 mg/kg/dag, cumulatieve dosis &lt; 56 mg/kg_x000D_
_x000D_
leishmaniasis:_x000D_
iv 4 mg/kg/48 uur in 1 dosis_x000D_
_x000D_
inhalatie PCP-profylaxe:_x000D_
&lt; 5 jr 8 mg/kg/keer; &gt; 5 jr 300 mg/keer, 1 maal per 4 weken</t>
  </si>
  <si>
    <t xml:space="preserve">blaasspoeling                 </t>
  </si>
  <si>
    <t xml:space="preserve">urotainer           </t>
  </si>
  <si>
    <t>acute ontregeling organisch zuursyndroom: 200-400 mg/kg/dag continu iv of in 4-6 doses iv,_x000D_
onderhoud 50-100 mg/kg/dag_x000D_
_x000D_
bij carnitine deficiëntie: zie blz ?</t>
  </si>
  <si>
    <t>Zie inleiding</t>
  </si>
  <si>
    <t>bij organisch zuursyndroom:_x000D_
or 10-20 mg/kg/dag in 1 dosis_x000D_
_x000D_
bij infectieziekten zie blz ?</t>
  </si>
  <si>
    <t>Zie inleiding. Dosering aanpassen bij nierinsufficiëntie volgens tabel blz ?</t>
  </si>
  <si>
    <t>isovaleriaan acidemie:_x000D_
or 250-600 mg/kg/dag in 4-8 doses</t>
  </si>
  <si>
    <t>Ad-hoc receptuur, prijs per g.</t>
  </si>
  <si>
    <t xml:space="preserve">DERMATICA bij acne                                                                                                                                                                                                                                             </t>
  </si>
  <si>
    <t xml:space="preserve">creme 20 g              </t>
  </si>
  <si>
    <t>=ber_Med_disc!$P$20</t>
  </si>
  <si>
    <t>StandDos_18</t>
  </si>
  <si>
    <t>StandDos_19</t>
  </si>
  <si>
    <t>StandDos_2</t>
  </si>
  <si>
    <t>StandDos_20</t>
  </si>
  <si>
    <t>StandDos_3</t>
  </si>
  <si>
    <t>StandDos_4</t>
  </si>
  <si>
    <t>StandDos_5</t>
  </si>
  <si>
    <t>StandDos_6</t>
  </si>
  <si>
    <t>StandDos_7</t>
  </si>
  <si>
    <t>StandDos_8</t>
  </si>
  <si>
    <t>StandDos_9</t>
  </si>
  <si>
    <t>Afrond_1</t>
  </si>
  <si>
    <t>Afrond_10</t>
  </si>
  <si>
    <t>Afrond_11</t>
  </si>
  <si>
    <t>Leeftijd (jaren)</t>
  </si>
  <si>
    <t>Leeftijd (maanden)</t>
  </si>
  <si>
    <t>Man</t>
  </si>
  <si>
    <t>Vrouw</t>
  </si>
  <si>
    <t>a</t>
  </si>
  <si>
    <t>b</t>
  </si>
  <si>
    <t>c</t>
  </si>
  <si>
    <t>d</t>
  </si>
  <si>
    <t>e</t>
  </si>
  <si>
    <t>f</t>
  </si>
  <si>
    <t>kaliumcitraat</t>
  </si>
  <si>
    <t xml:space="preserve">Wordt op aanvraag bereid._x000D_
</t>
  </si>
  <si>
    <t>natriumwaterstof­carbonaat</t>
  </si>
  <si>
    <t>StartDatum_20</t>
  </si>
  <si>
    <t>StartDatum_3</t>
  </si>
  <si>
    <t>StartDatum_4</t>
  </si>
  <si>
    <t>StartDatum_5</t>
  </si>
  <si>
    <t>onderzoek van spijsverteringskanaal;_x000D_
bij gevaar van aspiratie of perforatie wordt verdunde johexol/jopromide gebruikt</t>
  </si>
  <si>
    <t>Kan gecombineerd worden met laxantia en geneesmiddelen die de motiliteit van de darm beïnvloeden.</t>
  </si>
  <si>
    <t>Laag osmolair niet ionogeen contrastmiddel: 640 mosm/kg H2O._x000D_
Joodgehalte 300 mg/ml._x000D_
Op aanvraag.</t>
  </si>
  <si>
    <t>joxitalaminezuur</t>
  </si>
  <si>
    <t>&gt; 12 jaar: gastrografie, voorbereiding CT-buik:_x000D_
oraal 40 ml Telebrix gastro verdund met 950 ml water</t>
  </si>
  <si>
    <t>Joodgehalte 300 mg/ml</t>
  </si>
  <si>
    <t xml:space="preserve">sachet 8,4 g              </t>
  </si>
  <si>
    <t>De dosering wordt verder getitreerd op vetresorptie-coëfficiënt en klachtenpatroon (let op max dosering)._x000D_
Maagsapresistente capsule bevat:_x000D_
lipase       25.000 FIP-E_x000D_
amylase   22.500   FIP-E_x000D_
protease  1250   FIP-E</t>
  </si>
  <si>
    <t>&gt; 10 jr: 1-2 caps bij tussendoortjes, max 10.000 FIP-E lipase/kg/dag met een maximum van 300.000 FIP-E per dag</t>
  </si>
  <si>
    <t>De dosering wordt verder getitreerd op vetresorptie-coëfficiënt en klachtenpatroon (let op max dosering)._x000D_
Maagsapresistente capsule bevat:_x000D_
lipase       10.000 FIP-E_x000D_
amylase     9000   FIP-E_x000D_
protease      500   FIP-E</t>
  </si>
  <si>
    <t>or:_x000D_
 3-10 jr: 5 mg/dag in 1 dosis ’s avonds_x000D_
&gt; 10 jr: 5-10 mg/dag in 1 dosis ’s avonds</t>
  </si>
  <si>
    <t>Kaliumsparend diureticum._x000D_
Alleen in combinatie met lis- of thiazidediuretica bij hypokaliëmie. Werkt 7-9 uur._x000D_
Bijw.: megaloblastaire anemie.</t>
  </si>
  <si>
    <t>or 1-4 mg/kg/dag in 2-3 doses, bij chronische nierinsufficientie of proteïnurie doses tot 12 mg/kg/dag_x000D_
_x000D_
Neon.: incidenteel: or 1 mg/kg</t>
  </si>
  <si>
    <t>Neon.: hydrocephalus or:_x000D_
8 g/kg/dag in 6 doses volgens een opbouwschema 2,4,6 en 8 g/kg/dag_x000D_
waarbij ophoging om de 2 dagen</t>
  </si>
  <si>
    <t>Hypno-sedatief en zwak anticholinergisch. Stabiliseert ook mestcel. Profylaxe van allergisch astma. Drank is suikervrij.</t>
  </si>
  <si>
    <t>kinidine</t>
  </si>
  <si>
    <t>etoposide</t>
  </si>
  <si>
    <t>Voornamelijk actief tegen grampositieve bacteriën, zoals stafylokokken en streptokokken (ook tegen MRSA).</t>
  </si>
  <si>
    <t>inhalatie 3-4 dd 5-10 mg</t>
  </si>
  <si>
    <t>Intravasale toegang</t>
  </si>
  <si>
    <t>=ber_IVmed!$F$4</t>
  </si>
  <si>
    <t>NaCl_2</t>
  </si>
  <si>
    <t>NaClVol_2</t>
  </si>
  <si>
    <t>=ber_lab!$B$14</t>
  </si>
  <si>
    <t>=ber_lab!$B$15</t>
  </si>
  <si>
    <t>=ber_lab!$B$16</t>
  </si>
  <si>
    <t>=ber_lab!$B$17</t>
  </si>
  <si>
    <t>=ber_lab!$B$3</t>
  </si>
  <si>
    <t>=ber_lab!$B$4</t>
  </si>
  <si>
    <t>=ber_lab!$B$5</t>
  </si>
  <si>
    <t>=ber_lab!$B$6</t>
  </si>
  <si>
    <t>=ber_lab!$B$7</t>
  </si>
  <si>
    <t>=ber_lab!$B$8</t>
  </si>
  <si>
    <t>=ber_lab!$B$9</t>
  </si>
  <si>
    <t>=ber_lab!$B$10</t>
  </si>
  <si>
    <t>=dbBead!$H$2</t>
  </si>
  <si>
    <t>=ber_TPN!$D$12</t>
  </si>
  <si>
    <t>=ber_Med_disc!$P$2</t>
  </si>
  <si>
    <t>=ber_Med_disc!$P$11</t>
  </si>
  <si>
    <t xml:space="preserve">HORMONEN mineralocorticoïden                                                                                                                                                                                                                                   </t>
  </si>
  <si>
    <t>Cave overdosering, systemische opname!_x000D_
Strikt volgens voorschrift._x000D_
Cave opname bij moeder tijdens smeren (handschoenen)._x000D_
Ad-hoc bereiding.</t>
  </si>
  <si>
    <t>rectale stressdosering: 100 mg/m2 hydrocortison (base) in Wittepsol</t>
  </si>
  <si>
    <t>triamcinolon-acetonide</t>
  </si>
  <si>
    <t>Inf. 100 ml t.b.v. opl. vancomycine intrathecaal._x000D_
Fles van 1000 ml voor laboratoriumdoeleinden.</t>
  </si>
  <si>
    <t>neuszalf 2-3 maal daags in beide neusgaten aanbrengen</t>
  </si>
  <si>
    <t>Neuszalf als profylaxe bij MRSA.</t>
  </si>
  <si>
    <t>cystic fibrosis:_x000D_
verneveling 2 dd 80-160 mg</t>
  </si>
  <si>
    <t>Verneveling alleen op strikte indicatie bij chronische infectie Ps.aeruginosa.</t>
  </si>
  <si>
    <t>A</t>
  </si>
  <si>
    <t>Na K</t>
  </si>
  <si>
    <t>Gluc</t>
  </si>
  <si>
    <t>bij nasendoscopie, laryngoscopie en bronchoscopie sprayen_x000D_
max 3 mg/kg/keer</t>
  </si>
  <si>
    <t>1-2 dr per keer in het oor, minimaal 2 uur tussenpoos</t>
  </si>
  <si>
    <t>geleidings- of infiltratieanesthesie,_x000D_
max 3 mg/kg/keer</t>
  </si>
  <si>
    <t>bacitracine + colistine + hydrocortison</t>
  </si>
  <si>
    <t>oor: 3 dd 3 dr,_x000D_
max 14 dagen</t>
  </si>
  <si>
    <t>polymyxine B + trimethoprim</t>
  </si>
  <si>
    <t>oor: 2-3 dd 2-3 dr,_x000D_
max 14 dagen</t>
  </si>
  <si>
    <t>Breed werkingsspectrum waaronder Ps aeruginosa._x000D_
Goede keuze bij chronische loopoor bij open en gesloten trommelvlies._x000D_
Is geregistreerd als oogdruppel.</t>
  </si>
  <si>
    <t>huid: meermalen per dag</t>
  </si>
  <si>
    <t>huid: 1-2 dd</t>
  </si>
  <si>
    <t>eucerine</t>
  </si>
  <si>
    <t>huid: 1-2 dd.</t>
  </si>
  <si>
    <t>W/O-creme. Eucerine bevat 5% wolvetalcoholen en 95% paraffine-vaseline.</t>
  </si>
  <si>
    <t>lanettewas</t>
  </si>
  <si>
    <t>huid: meermalen per dag.</t>
  </si>
  <si>
    <t>= vaste lanettecreme FNA. O/W-creme. Conserv. sorbinezuur. Standaardbasiscreme is cetomacrogolcreme FNA. Lanette II is voor verwerking van o.a. fenolen. Het is onverenigbaar met kationaktieve stoffen.</t>
  </si>
  <si>
    <t>huid: zo nodig</t>
  </si>
  <si>
    <t>Is paraffinum perliquidum. Ter verwijdering van zalven bij overgevoeligheid van arachide olie.</t>
  </si>
  <si>
    <t>ketotifen</t>
  </si>
  <si>
    <t>&gt; 2 jr: or  0,05 mg/kg/dag in 2 doses</t>
  </si>
  <si>
    <t>=ber_Med_disc!$H$15</t>
  </si>
  <si>
    <t>=ber_Med_disc!$H$16</t>
  </si>
  <si>
    <t>=ber_Med_disc!$H$17</t>
  </si>
  <si>
    <t>=ber_Med_disc!$H$18</t>
  </si>
  <si>
    <t>=ber_Med_disc!$H$19</t>
  </si>
  <si>
    <t>=ber_Med_disc!$H$20</t>
  </si>
  <si>
    <t>=ber_Med_disc!$H$3</t>
  </si>
  <si>
    <t>=ber_Med_disc!$H$21</t>
  </si>
  <si>
    <t>=ber_Med_disc!$H$4</t>
  </si>
  <si>
    <t>=ber_Med_disc!$H$5</t>
  </si>
  <si>
    <t>=ber_Med_disc!$H$6</t>
  </si>
  <si>
    <t>=ber_Med_disc!$H$7</t>
  </si>
  <si>
    <t>24 dd</t>
  </si>
  <si>
    <t>één laag verband</t>
  </si>
  <si>
    <t>vancomycine</t>
  </si>
  <si>
    <t>salbutamol</t>
  </si>
  <si>
    <t>cefuroxim</t>
  </si>
  <si>
    <t>riboflavine</t>
  </si>
  <si>
    <t>foliumzuur</t>
  </si>
  <si>
    <t>MedStart_5</t>
  </si>
  <si>
    <t>MedStart_6</t>
  </si>
  <si>
    <t>MedStart_7</t>
  </si>
  <si>
    <t>MedOplVol_3</t>
  </si>
  <si>
    <t>MedOplVol_4</t>
  </si>
  <si>
    <t>Naam:</t>
  </si>
  <si>
    <t>Hevelen</t>
  </si>
  <si>
    <t>Hevelen + spoelen</t>
  </si>
  <si>
    <t>L-carnitine</t>
  </si>
  <si>
    <t>status epilepticus, koortsconvulsies:_x000D_
rect: 0,3-0,5 mg/kg, max 30 mg/15 min en 60 mg/dag, d.w.z. 1-3 jr 5 mg en &gt; 3 jr 10 mg</t>
  </si>
  <si>
    <t>=ber_Opm!$C$26</t>
  </si>
  <si>
    <t>=ber_Opm!$C$27</t>
  </si>
  <si>
    <t>=ber_Opm!$C$28</t>
  </si>
  <si>
    <t>=ber_Opm!$C$29</t>
  </si>
  <si>
    <t>=ber_Opm!$C$30</t>
  </si>
  <si>
    <t>=ber_Opm!$C$31</t>
  </si>
  <si>
    <t>=ber_Opm!$C$32</t>
  </si>
  <si>
    <t>=ber_Opm!$C$33</t>
  </si>
  <si>
    <t>=ber_Opm!$C$34</t>
  </si>
  <si>
    <t>=ber_Opm!$C$17</t>
  </si>
  <si>
    <t>=ber_Opm!$C$35</t>
  </si>
  <si>
    <t>=ber_Opm!$C$18</t>
  </si>
  <si>
    <t>=ber_Opm!$C$19</t>
  </si>
  <si>
    <t>=ber_Opm!$C$20</t>
  </si>
  <si>
    <t>=ber_Opm!$C$21</t>
  </si>
  <si>
    <t>or:_x000D_
2-8 jr: 0,05-0,1 mg/kg/keer, 2-3 dd,_x000D_
max 0,3 mg/kg/dag_x000D_
&gt; 8 jr: aanvankelijk 2 mg, onderhoud 2-4 mg/dag, zo nodig 8 mg/dag</t>
  </si>
  <si>
    <t>ORS rehydratiedrank</t>
  </si>
  <si>
    <t>or: &gt; 6 jr: na iedere waterdunne ontlasting 1 sachet opgelost in lauw water innemen</t>
  </si>
  <si>
    <t>or 50 mg/kg/dag in 4 doses,_x000D_
max 3 g/dag in 4 doses</t>
  </si>
  <si>
    <t>metoclopramide</t>
  </si>
  <si>
    <t xml:space="preserve">iv 0,3-0,5 mg/kg/dag in 2-4 doses,_x000D_
max 40 mg/dag_x000D_
_x000D_
_x000D_
_x000D_
_x000D_
_x000D_
</t>
  </si>
  <si>
    <t xml:space="preserve">VACCINS/IMMUNOGLOBULINEN VOOR IMMUNISATIE                                                                                                                                                                                                                      </t>
  </si>
  <si>
    <t xml:space="preserve">sc                            </t>
  </si>
  <si>
    <t xml:space="preserve">TRACTUS RESPIRATORIUS bronchusverwijders 1.ß2-sympathicomimetica                                                                                                                                                                                               </t>
  </si>
  <si>
    <t>Bij afstotingsreacties na orgaantransplantatie, aplastische anemie._x000D_
Cave anafylactische reacties, overvulling.</t>
  </si>
  <si>
    <t>immunoglobuline intraveneus 6%</t>
  </si>
  <si>
    <t>bij hyperfosfatemie:_x000D_
or 40-200 mg/kg/dag in 3-4 doses,_x000D_
max 10 g/dag</t>
  </si>
  <si>
    <t>Werkt obstiperend._x000D_
Op indicatie als fosfaatbinder bij hyperfosfatemie indien calciumcarbonaat hypercalciëmie veroorzaakt.</t>
  </si>
  <si>
    <t>or 50-100 mg/kg/dag in 3 doses,_x000D_
max 12 g/dag, afhankelijk van dieet (calcium/fosfaat-intake)</t>
  </si>
  <si>
    <t xml:space="preserve">Een tablet bevat 500 mg calciumcarbonaat = 200 mg calcium = 5 mmol Ca._x000D_
_x000D_
_x000D_
</t>
  </si>
  <si>
    <t>calciumacetaat</t>
  </si>
  <si>
    <t>volw.: start 1 dd 1 tabl_x000D_
op geleide serum fosfaatconc._x000D_
2-3 dd 2 tabl,_x000D_
max 10 tabl/dag</t>
  </si>
  <si>
    <t>1,1 g Phos-ex bevat 250 mg Ca_x000D_
Niet geregistreerd bij kinderen._x000D_
In combinatie met algeldraat lager doseren.</t>
  </si>
  <si>
    <t xml:space="preserve">fles 60 ml             </t>
  </si>
  <si>
    <t>8.</t>
  </si>
  <si>
    <t xml:space="preserve">VITAMINES vitamine A groep, enkelvoudige preparaten                                                                                                                                                                                                            </t>
  </si>
  <si>
    <t xml:space="preserve">flac 12 ml             </t>
  </si>
  <si>
    <t xml:space="preserve">mg/sachet      </t>
  </si>
  <si>
    <t xml:space="preserve">inh vl 20 ml             </t>
  </si>
  <si>
    <t xml:space="preserve">nebule 2,5 ml             </t>
  </si>
  <si>
    <t xml:space="preserve">nebule              </t>
  </si>
  <si>
    <t xml:space="preserve">drank 150 ml             </t>
  </si>
  <si>
    <t xml:space="preserve">DERMATICA keratolytica                            </t>
  </si>
  <si>
    <t>cystic fibrosis:_x000D_
&gt; 6 jaar: 2 dd 300mg vernevelen, gedurende 1 mnd, gevolgd door een therapievrij interval van 1 mnd, evaluatie na 6 mnd</t>
  </si>
  <si>
    <t>SDD: or:_x000D_
&lt; 10 kg:  4 dd 20 mg_x000D_
10-25 kg:  4 dd 40 mg_x000D_
25-50 kg:  4 dd 80 mg_x000D_
NB bij &lt; 6 mnd en bij nierfunctiestoornis spiegels meten!</t>
  </si>
  <si>
    <t>SDD: or 10 mg/kg/dag in 3-4 doses, max 800 mg/dag</t>
  </si>
  <si>
    <t>2 maal daags insmeren</t>
  </si>
  <si>
    <t>20 mg/kg, max 1500 mg</t>
  </si>
  <si>
    <t>or 62,5-250 microg/dag in 2-3 doses op geleide van plasma-renine-activiteit i.o.m. endocrinoloog</t>
  </si>
  <si>
    <t>Bij kinderen tot 0,5 jaar meestal relatief hoge doses nodig, daarna snel verminderen (op geleide plasma-renine activiteit)._x000D_
Cave hypertensie.</t>
  </si>
  <si>
    <t>Belangrijk!</t>
  </si>
  <si>
    <t>Gebruik algoritme?</t>
  </si>
  <si>
    <t>iv 20 mg/kg/dag in 1 dosis, indien toepassing anders dan tuberculose in 2 doses, max 1,2 g/dag  _x000D_
_x000D_
Neon.:_x000D_
therapie: iv 10 mg/kg/dag in 2 doses</t>
  </si>
  <si>
    <t>J.I.A.:_x000D_
low dose or: 8-12,5 mg/m2/week in een dosis, max 20 mg/week_x000D_
_x000D_
doses &gt;20 mg parenteraal toedienen i.v.m. verlaagde biol. beschikb. bij hoge doses</t>
  </si>
  <si>
    <t xml:space="preserve">ANTITHROMBOTICA anticoangulantia indirect werkend                                                                                                                                                                                                              </t>
  </si>
  <si>
    <t xml:space="preserve">tabl mitis          </t>
  </si>
  <si>
    <t>status epilepticus:_x000D_
iv 0,25 mg/kg, evt 3 maal herhalen_x000D_
bij snel repeterende convulsies (dreigende status epilepticus):_x000D_
continu iv (IC/ onder bewaking): doseren op geleide van effect_x000D_
_x000D_
spierrelaxatie: zie blz ?</t>
  </si>
  <si>
    <t>&gt; 7 jr: inhalatie: 2 dd 50-100 microg</t>
  </si>
  <si>
    <t>&lt; 12 jr: or 3 ml, 2-4 maal/dag_x000D_
&gt; 12 jr: or 8 ml, 2-4 maal/dag</t>
  </si>
  <si>
    <t>Neon.: toepassen volgens aanwijzingen surfactant protocol NICU._x000D_
50 mg/kg/keer, zonodig herhalen, max 200 mg/kg totaal</t>
  </si>
  <si>
    <t>Neon.: prematuren continu iv:_x000D_
bij apneu start met 0,5 mg/kg/uur, evt. ophogen tot 1 mg/kg/uur</t>
  </si>
  <si>
    <t>or 2 mg/kg/uur elk uur</t>
  </si>
  <si>
    <t>cystic fibrosis:_x000D_
&gt; 5 jr: inhalatie 's ochtends 2500 E_x000D_
(2,5 ml) met daarvoor bestemde jet-vernevelaar</t>
  </si>
  <si>
    <t>Uitsluitend op voorschrift (kinder)longarts._x000D_
Niet geregistreerd voor &lt; 5 jaar._x000D_
In beginfase van gebruik kunnen passagère stemverandering en faryngitis optreden.</t>
  </si>
  <si>
    <t>bij blaasaugmentatie na operatie:_x000D_
intravesicaal 3 dd 50-100 ml</t>
  </si>
  <si>
    <t>Ad-hoc receptuur. Oplossing in fys.zout.</t>
  </si>
  <si>
    <t>Ad-hoc receptuur, standaardbrief voor openbare apotheker meegeven.</t>
  </si>
  <si>
    <t>Cave systemische opname._x000D_
1% povidon-jood bevat 0,1% vrij jood._x000D_
Ad-hoc receptuur.</t>
  </si>
  <si>
    <t>solutio G urotainer</t>
  </si>
  <si>
    <t>intubatie: iv 0,08-0,1 mg/kg_x000D_
onderhoud: iv  0,05-0,1 mg/kg/uur_x000D_
_x000D_
Neon.:_x000D_
intubatie: iv 0,1 mg/kg_x000D_
onderhoud: iv:_x000D_
prematuur: 0,025-0,05 mg/kg/uur_x000D_
à terme: 0,04-0,1 mg/kg/uur</t>
  </si>
  <si>
    <t>intubatie: iv 0,1 mg/kg_x000D_
vervolgdoses: iv 0,01 mg/kg/keer</t>
  </si>
  <si>
    <t>intubatie: iv 0,5 mg/kg_x000D_
onderhoud: iv 0,3-0,6 mg/kg/uur_x000D_
_x000D_
Neon.:_x000D_
intubatie: iv 0,3 mg/kg_x000D_
onderhoud: iv 0,3-0,6 mg/kg/uur</t>
  </si>
  <si>
    <t>&gt; 6 jr: or start 0,2 mg voor het slapen gaan, zonodig tot 0,4 mg_x000D_
_x000D_
hematologische indicatie: zie blz ?_x000D_
diabetes insipidus: zie blz ?</t>
  </si>
  <si>
    <t xml:space="preserve">Wateremulgerende zalf. Bij droge, schilferende huid.                                                                                                                                                                                                                                                                                                                                                                                                                                                                                                                                                                                                                                                                                                                                                                                                                                                                                                                                                                                                            </t>
  </si>
  <si>
    <t>DosHoev_4</t>
  </si>
  <si>
    <t>DosHoev_5</t>
  </si>
  <si>
    <t>DosHoev_6</t>
  </si>
  <si>
    <t>DosHoev_7</t>
  </si>
  <si>
    <t>DosHoev_8</t>
  </si>
  <si>
    <t>gram</t>
  </si>
  <si>
    <t>im/iv/rect</t>
  </si>
  <si>
    <t>natriumcarbonaat</t>
  </si>
  <si>
    <t>X-BOZ</t>
  </si>
  <si>
    <t>ECG</t>
  </si>
  <si>
    <t>Geïnactiveerd tetanustoxoïde.</t>
  </si>
  <si>
    <t>tetracaine</t>
  </si>
  <si>
    <t>KNaFosfaatVol</t>
  </si>
  <si>
    <t>=ber_TPN!$E$10</t>
  </si>
  <si>
    <t>=dbBead!$U$2</t>
  </si>
  <si>
    <t>=ber_TPN!$C$7</t>
  </si>
  <si>
    <t>=ber_TPN!$C$19</t>
  </si>
  <si>
    <t>=ber_TPN!$E$7</t>
  </si>
  <si>
    <t>=ber_TPN!$E$19</t>
  </si>
  <si>
    <t>=dbBead!$N$2</t>
  </si>
  <si>
    <t>=ber_Opm!$C$2</t>
  </si>
  <si>
    <t>=ber_Opm!$C$11</t>
  </si>
  <si>
    <t>=ber_Opm!$C$12</t>
  </si>
  <si>
    <t>=ber_Opm!$C$13</t>
  </si>
  <si>
    <t>=ber_Opm!$C$14</t>
  </si>
  <si>
    <t>=ber_Opm!$C$15</t>
  </si>
  <si>
    <t>=ber_Opm!$C$3</t>
  </si>
  <si>
    <t>=ber_Opm!$C$4</t>
  </si>
  <si>
    <t>=ber_Opm!$C$5</t>
  </si>
  <si>
    <t>=ber_Opm!$C$6</t>
  </si>
  <si>
    <t>bij hypertensie:_x000D_
iv 2-5 mg/kg/keer in 15 min infunderen onder continue bewaking bloeddruk cave hypotensie_x000D_
_x000D_
bij hypoglykemie: orale toedieningsvorm is Proglicem_x000D_
(endocrinologie zie blz ?)</t>
  </si>
  <si>
    <t>iv 0,5-5 microg/kg/min,_x000D_
max 150 mg/dag</t>
  </si>
  <si>
    <t>Selectieve serotonine-antagonist van de 5HT2-receptor. Verlaagt met name de perifere weerstand. Trombocyten-aggregatieremmer._x000D_
Bijw.: hypotensie; cave hypovolaemie.</t>
  </si>
  <si>
    <t>bij acute hypertensie eenmalig or:_x000D_
0,1-0,2 mg/kg_x000D_
of:_x000D_
10 mg/1,73 m2 d.w.z. _x000D_
&gt; 15 kg 2,5 mg;_x000D_
30-50 kg 5 mg; volw 5-10 mg</t>
  </si>
  <si>
    <t>Bij acute hypertensie in principe eenmalig._x000D_
Ad-hoc receptuur (1 mg).</t>
  </si>
  <si>
    <t xml:space="preserve">sachet 13,2 g              </t>
  </si>
  <si>
    <t>Overleg arts metabole ziekten._x000D_
Niet bij organische acidurie._x000D_
Zo mogelijk op geleide plasma concentratie._x000D_
250 mg natriumbenzoaat bevat 1,7 mmol natrium</t>
  </si>
  <si>
    <t>5-hydroxytryptofaan</t>
  </si>
  <si>
    <t xml:space="preserve">OOG-MIDDELEN bij glaucoom                                                                                                                                                                                                                                      </t>
  </si>
  <si>
    <t xml:space="preserve">flac 0,5 ml             </t>
  </si>
  <si>
    <t xml:space="preserve">minim 0,4 ml             </t>
  </si>
  <si>
    <t xml:space="preserve">urotainer 110 ml             </t>
  </si>
  <si>
    <t>Lab20u_12</t>
  </si>
  <si>
    <t>Lab20u_13</t>
  </si>
  <si>
    <t>0,05-0,1 E/kg/uur</t>
  </si>
  <si>
    <t>iv 100-200 mg/kg/dag in 4 doses, max 12 g/dag_x000D_
_x000D_
Neon.: bij meningitis iv:_x000D_
1e levensweek: 100 mg/kg/dag in 2 doses_x000D_
na 1e levensweek: 200 mg/kg/dag in 3 doses</t>
  </si>
  <si>
    <t>or 50-100 mg/kg/dag in 3 doses,_x000D_
max 4 g/dag</t>
  </si>
  <si>
    <t>iv 200 mg/kg/dag in 4 doses,_x000D_
max 12 g/dag_x000D_
_x000D_
Neon.: iv:_x000D_
1e levensweek:_x000D_
&lt; 1500 g:  50 mg/kg/dag in 2 doses_x000D_
&gt; 1500 g: 100 mg/kg/dag in 3 doses_x000D_
na 1e levensweek:_x000D_
&lt; 1500 g: 100 mg/kg/dag in 3 doses_x000D_
&gt; 1500 g: 150 mg/kg/dag in 3 doses</t>
  </si>
  <si>
    <t>or 50-100 mg/kg/dag in 4 doses,_x000D_
max 4 g/dag</t>
  </si>
  <si>
    <t>fytomenadion</t>
  </si>
  <si>
    <t>NaCl 2,9% (0,5 mmol/ml)</t>
  </si>
  <si>
    <t>Gluc/zout 2/3 – 1/3  (3,3% / 0,3% Na 51 mmol/l)</t>
  </si>
  <si>
    <t>Gluc/zout 2/3 – 1/3  (3,3% / 0,3% Na 51 mmol/l)  met  KCl 30 mmol/l</t>
  </si>
  <si>
    <t>Lab20u_7</t>
  </si>
  <si>
    <t>MedStart_12</t>
  </si>
  <si>
    <t>MedStart_13</t>
  </si>
  <si>
    <t>CVL lijn lumen I: meting + (&lt; 5 kg) flush 5 E heparine/ml FZ: 0,5 ml/uur</t>
  </si>
  <si>
    <t>CVL lijn lumen I: meting + (&gt; 5 kg) flush 1E heparine via drukzak FZ: 3 ml/uur</t>
  </si>
  <si>
    <t>CVL lijn lumen II: meting + (&lt; 5 kg) flush 5 E heparine/ml FZ: 0,5 ml/uur</t>
  </si>
  <si>
    <t>CVL lijn lumen II: meting + (&gt; 5 kg) flush 1E heparine via drukzak FZ: 3 ml/uur</t>
  </si>
  <si>
    <t>Bij pasgeborenen mits &gt; 35 weken zwangerschapsduur. Bij prematuren risico op hypotensie en verminderde cerebrale perfusie. Dan is clonazepam te overwegen.</t>
  </si>
  <si>
    <t>or: 20-40 mg/kg/dag in 2 doses, max 1000 mg/dag</t>
  </si>
  <si>
    <t>Bij absences als valproaat niet werkt, evt. in combinatie. Kan tonisch-clonische aanvallen provoceren._x000D_
Bijw.: maagdarmklachten, vermoeidheid, soms gedragsafwijkingen, psychotische reacties.</t>
  </si>
  <si>
    <t>Zie boven.</t>
  </si>
  <si>
    <t>Als adjuvans bij therapie-resistente aanvallen en als monotherapie. Minder sedatief en spierverslappend dan diazepam. t1/2 = 18-30 uur.</t>
  </si>
  <si>
    <t>inhalatie 2 dd 125-500 microg_x000D_
_x000D_
Neon.: inhalatie 2 dd 125-500 microg</t>
  </si>
  <si>
    <t>Bij laryngitis subglottica 2000 microg vernevelen, evt. 1 of 2 keer herhalen.</t>
  </si>
  <si>
    <t>Remt afgifte van histamine en andere mediatoren. Inhalatie profylactisch bij allergische vormen van astma._x000D_
Evt. met voorzetkamer (Fisonair).</t>
  </si>
  <si>
    <t>Remt afgifte van histamine en andere mediatoren. Inhalatie profylactisch bij allergische vormen van astma.</t>
  </si>
  <si>
    <t>&gt; 7 jr: inhalatie: zonodig, max 8 dd 250-500 microg</t>
  </si>
  <si>
    <t>Kort werkend ß2-sympathicomimeticum. Werking treedt snel in en houdt 4-6 uur aan.</t>
  </si>
  <si>
    <t>Kort werkend ß2-sympathicomimeticum. Werking treedt snel in en houdt 4-6 uur aan. Gebruik van voorzetkamer (Nebuhaler) wordt aangeraden.</t>
  </si>
  <si>
    <t>Lang werkend ß2-sympathicomimeticum (min. 12 uur). Toepassing als onderhoudstherapie bij kinderen ouder dan 4 jaar in combinatie met inhalatiecorticosteroïden. Niet toepassen als aanvalsbehandeling.</t>
  </si>
  <si>
    <t>MedOplVol_13</t>
  </si>
  <si>
    <t>MedOplVol_14</t>
  </si>
  <si>
    <t>MedOplVol_15</t>
  </si>
  <si>
    <t>MedOplVol_16</t>
  </si>
  <si>
    <t>MedOplVol_17</t>
  </si>
  <si>
    <t>MedOplVol_18</t>
  </si>
  <si>
    <t>pancuronium</t>
  </si>
  <si>
    <t>or 50-250 mg/kg/dag in 3 doses, afhankelijk van kalium-intake</t>
  </si>
  <si>
    <t>lorazepam</t>
  </si>
  <si>
    <t>docusinezuur</t>
  </si>
  <si>
    <t>l-serine</t>
  </si>
  <si>
    <t>MedDosHoev_1</t>
  </si>
  <si>
    <t>MedDosHoev_10</t>
  </si>
  <si>
    <t>pizotifeen</t>
  </si>
  <si>
    <t xml:space="preserve">       salt</t>
  </si>
  <si>
    <t>or 250-650 mg/kg/dag in 3-6 doses</t>
  </si>
  <si>
    <t>Orphan drug-status</t>
  </si>
  <si>
    <t>pilocarpine</t>
  </si>
  <si>
    <t>DosHoev_1</t>
  </si>
  <si>
    <t>DosHoev_10</t>
  </si>
  <si>
    <t>DosHoev_11</t>
  </si>
  <si>
    <t>DosHoev_12</t>
  </si>
  <si>
    <t>InstMedIVStand_8</t>
  </si>
  <si>
    <t>InstMedIVStand_9</t>
  </si>
  <si>
    <t>Bij extrapiramidale stoornissen t.g.v. geneesmiddelen; bv haloperidol, metoclopramide, alizapride.</t>
  </si>
  <si>
    <t>bisacodyl</t>
  </si>
  <si>
    <t xml:space="preserve">TRACTUS UROGENITALIS blaasinstillaties en -spoelingen                                                                                                                                                                                                          </t>
  </si>
  <si>
    <t xml:space="preserve">opl 50 ml             </t>
  </si>
  <si>
    <t xml:space="preserve">blaasinstillatie              </t>
  </si>
  <si>
    <t xml:space="preserve">opl                 </t>
  </si>
  <si>
    <t xml:space="preserve">%              </t>
  </si>
  <si>
    <t xml:space="preserve">sc/im                         </t>
  </si>
  <si>
    <t xml:space="preserve">KOOLHYDRATEN                                                                                        </t>
  </si>
  <si>
    <t xml:space="preserve">zak 3 L              </t>
  </si>
  <si>
    <t xml:space="preserve">irrigatievloeistof            </t>
  </si>
  <si>
    <t xml:space="preserve">zak                 </t>
  </si>
  <si>
    <t xml:space="preserve">E              </t>
  </si>
  <si>
    <t xml:space="preserve">amp 0,4 ml             </t>
  </si>
  <si>
    <t xml:space="preserve">IE/0,4 ml      </t>
  </si>
  <si>
    <t xml:space="preserve">amp 1,5 ml             </t>
  </si>
  <si>
    <t>bij acute astma-aanval iv:_x000D_
start 4 microg/kg in 10 min,_x000D_
onderhoud 0,2 microg/kg/min, opho-_x000D_
gen met 0,1 microg/kg/min tot max 2 _x000D_
microg/kg/min op geleide kliniek, _x000D_
tachycardie en arteriële bloedgassen</t>
  </si>
  <si>
    <t>Cave hypokaliëmie.</t>
  </si>
  <si>
    <t>Nutrison Soya</t>
  </si>
  <si>
    <t>Peptisorb</t>
  </si>
  <si>
    <t>Nutrison Conc 40</t>
  </si>
  <si>
    <t>Nutrison Conc</t>
  </si>
  <si>
    <t>Pepti Junior</t>
  </si>
  <si>
    <t>Caprilon Formula</t>
  </si>
  <si>
    <t>Solagen</t>
  </si>
  <si>
    <t>Liquigen</t>
  </si>
  <si>
    <t>Nenatal BMF</t>
  </si>
  <si>
    <t>Friso BMF</t>
  </si>
  <si>
    <t>Friso 1 Normaal pdr</t>
  </si>
  <si>
    <t>Friso 2 Normaal pdr</t>
  </si>
  <si>
    <t>Friso 1 Comfort pdr</t>
  </si>
  <si>
    <t>Friso 2 Comfort pdr</t>
  </si>
  <si>
    <t>Friso 1 hypoall pdr</t>
  </si>
  <si>
    <t>Friso 2 hypoall pdr</t>
  </si>
  <si>
    <t>Nutramigen pdr</t>
  </si>
  <si>
    <t>Nutramigen 2 LGG pdr</t>
  </si>
  <si>
    <t>Flexical pdr</t>
  </si>
  <si>
    <t>Nutrilon Soya 1 pdr</t>
  </si>
  <si>
    <t>Nutrilon Soya 2 pdr</t>
  </si>
  <si>
    <t>Peptisorb pdr</t>
  </si>
  <si>
    <t>Pepti Junior pdr</t>
  </si>
  <si>
    <t>Caprilon pdr</t>
  </si>
  <si>
    <t>Fantomalt pdr</t>
  </si>
  <si>
    <t>or: _x000D_
0-2 jr:   2-4 dd 0,1 mg/kg, max 1 mg_x000D_
2-6 jr:   2-4 dd 1-2 mg_x000D_
6-12 jr: 2-4 dd   2 mg_x000D_
&gt;12 jr:  2-4 dd   4 mg</t>
  </si>
  <si>
    <t>dexamethason + framycetine + gramicidine</t>
  </si>
  <si>
    <t>tolterodine</t>
  </si>
  <si>
    <t>5-10 jr: 2 dd 1 mg_x000D_
&gt; 10 jr: 2 dd 1-2 mg</t>
  </si>
  <si>
    <t>In onderzoek bij kinderen.</t>
  </si>
  <si>
    <t>&lt; 12 jr: or 0,4 mg/kg/dag in 3 doses_x000D_
&gt; 12 jr: or 7,5-15 mg/dag in 3 doses,_x000D_
indien nodig een dosis extra_x000D_
_x000D_
toepassing in de blaas: zie blz ?</t>
  </si>
  <si>
    <t>Parasympaticolyticum. Spasmolyticum gladde musculatuur detrusorspier van de blaas. Werkt 6 uur. Anticholinerge bijwerkingen. Cave urineretentie._x000D_
Niet geven bij buitentemperatuur &gt; 30 gradenC._x000D_
Cave bijwerkingen op de gemoedstoestand.</t>
  </si>
  <si>
    <t>Bij jeuk t.g.v. allergische (huid)aandoeningen._x000D_
1 ml = 1 mg = ong. 20 druppels.</t>
  </si>
  <si>
    <t>Geen eerste keuze middel._x000D_
Niet combineren met deptropine._x000D_
Sterk sederend antihistaminicum._x000D_
Tevens hypno-sedatief, anticholinergisch, antiemetisch en antitussief._x000D_
Bijw.: hypotonie, slechte coördinatie, kans op cholest.icterus, fotosensibiliteit.</t>
  </si>
  <si>
    <t>&gt; 2 jr: im/iv 0,5 mg/kg/keer max 25 mg/keer evt. tot 3 dd</t>
  </si>
  <si>
    <t>&gt; 2 jr: or 0,5 mg/kg/keer max 25 mg/keer evt. tot 3 dd</t>
  </si>
  <si>
    <t>=ber_Med_disc!$B$12</t>
  </si>
  <si>
    <t>=ber_Med_disc!$B$13</t>
  </si>
  <si>
    <t>=ber_Med_disc!$B$14</t>
  </si>
  <si>
    <t>=ber_Med_disc!$B$15</t>
  </si>
  <si>
    <t>=ber_Med_disc!$B$16</t>
  </si>
  <si>
    <t>=ber_Med_disc!$B$17</t>
  </si>
  <si>
    <t>=ber_Med_disc!$B$18</t>
  </si>
  <si>
    <t>=ber_Med_disc!$B$19</t>
  </si>
  <si>
    <t>=ber_Med_disc!$B$20</t>
  </si>
  <si>
    <t>=ber_Med_disc!$B$3</t>
  </si>
  <si>
    <t>=ber_Med_disc!$B$21</t>
  </si>
  <si>
    <t>=ber_Med_disc!$B$4</t>
  </si>
  <si>
    <t>=ber_Med_disc!$B$5</t>
  </si>
  <si>
    <t>=ber_Med_disc!$B$6</t>
  </si>
  <si>
    <t>=ber_Med_disc!$B$7</t>
  </si>
  <si>
    <t>=ber_Med_disc!$B$8</t>
  </si>
  <si>
    <t>=ber_Med_disc!$B$9</t>
  </si>
  <si>
    <t>=ber_Med_disc!$B$10</t>
  </si>
  <si>
    <t>=ber_Med_disc!$H$2</t>
  </si>
  <si>
    <t>mupirocin</t>
  </si>
  <si>
    <t>colistine sulfaat</t>
  </si>
  <si>
    <t>im</t>
  </si>
  <si>
    <t>terbutaline</t>
  </si>
  <si>
    <t>ibuprofen</t>
  </si>
  <si>
    <t>carbamazepine</t>
  </si>
  <si>
    <t>rect</t>
  </si>
  <si>
    <t>chlooramfenicol</t>
  </si>
  <si>
    <t>ciprofloxacine</t>
  </si>
  <si>
    <t>amoxicilline</t>
  </si>
  <si>
    <t>clonidine</t>
  </si>
  <si>
    <t xml:space="preserve">STOFWISSELINGSZIEKTEN stoornissen in de mitochondriele energiehuishouding                                                                                                                                                                                      </t>
  </si>
  <si>
    <t xml:space="preserve">drank 10 ml             </t>
  </si>
  <si>
    <t xml:space="preserve">ANTIMICROBIËLE MIDDELEN cefalosporines                                                                                                                                                                                                                         </t>
  </si>
  <si>
    <t xml:space="preserve">flac 1 g              </t>
  </si>
  <si>
    <t xml:space="preserve">drank 110 g              </t>
  </si>
  <si>
    <t xml:space="preserve">drank 200 ml             </t>
  </si>
  <si>
    <t xml:space="preserve">tube 50 g              </t>
  </si>
  <si>
    <t xml:space="preserve">tube                </t>
  </si>
  <si>
    <t xml:space="preserve">pot 50 g              </t>
  </si>
  <si>
    <t>=ber_Med_disc!$D$20</t>
  </si>
  <si>
    <t>=ber_Med_disc!$D$3</t>
  </si>
  <si>
    <t>=ber_Med_disc!$D$21</t>
  </si>
  <si>
    <t>=ber_Med_disc!$D$4</t>
  </si>
  <si>
    <t>=ber_Med_disc!$D$5</t>
  </si>
  <si>
    <t>paracetamolintoxicatie:_x000D_
iv 150 mg/kg in 15 min,_x000D_
gevolgd door 50 mg/kg, iedere 4 uur tot de paracetamol plasmaconcentratie voldoende laag is</t>
  </si>
  <si>
    <t>1 flacon Fluimucil (5 g acetylcysteïne) wordt toegediend in 100 ml glucose 5%._x000D_
_x000D_
_x000D_
_x000D_
_x000D_
Bij reflexdystrofie: toepassing als radicalenscavenger, echter experimentele therapie.</t>
  </si>
  <si>
    <t>bij reflexdystrofie:_x000D_
or &lt; 7 jr: 600 mg/dag in 3 doses_x000D_
or &gt; 7 jr: 1800 mg/dag in 3 doses_x000D_
_x000D_
als hoestmiddel zie blz ?_x000D_
blaasspoeling zie blz ?</t>
  </si>
  <si>
    <t>ß1-selectief. Zeer korte t1/2 = 9 min._x000D_
Onder OK/IC bewaking._x000D_
Bij supraventriculaire tachycardieën._x000D_
Cave (kortdurende) tensiedaling.</t>
  </si>
  <si>
    <t>Effect waarschijnlijk door beïnvloeding ammoniakhuishouding van bacteriën in de darm.</t>
  </si>
  <si>
    <t>lamivudine</t>
  </si>
  <si>
    <t>lamotrigine</t>
  </si>
  <si>
    <t>ACTH-analogon met korte werkingsduur. Het depot-preparaat geeft veel bijwerkingen: niet in WKZ-assortiment.</t>
  </si>
  <si>
    <t>paraffine</t>
  </si>
  <si>
    <t>Samenstelling D</t>
  </si>
  <si>
    <t>Samenstelling E</t>
  </si>
  <si>
    <t>1,5 ml</t>
  </si>
  <si>
    <t>25 ml</t>
  </si>
  <si>
    <t>35 ml</t>
  </si>
  <si>
    <t>120 ml</t>
  </si>
  <si>
    <t>2-6 kg</t>
  </si>
  <si>
    <t>105 ml</t>
  </si>
  <si>
    <t>90 ml</t>
  </si>
  <si>
    <t>labetalol</t>
  </si>
  <si>
    <t>oculair</t>
  </si>
  <si>
    <t xml:space="preserve">or vanaf 12 jr 10 mg voor de nacht </t>
  </si>
  <si>
    <t>Bij gingivitis, gaat tandplak tegen. Verkleuring van tanden en tong kan optreden.</t>
  </si>
  <si>
    <t>lokaal: 2,5 mg iedere 1-2 uur</t>
  </si>
  <si>
    <t>chloormethine</t>
  </si>
  <si>
    <t>Neon.: iv 5-30 nanogram/kg/min</t>
  </si>
  <si>
    <t>=dbBead!$R$2</t>
  </si>
  <si>
    <t>Stand</t>
  </si>
  <si>
    <t>Oppervlak</t>
  </si>
  <si>
    <t>Tube</t>
  </si>
  <si>
    <t>Defribilleren</t>
  </si>
  <si>
    <t>NaBic 8,4%</t>
  </si>
  <si>
    <t>vullen</t>
  </si>
  <si>
    <t>RecNo</t>
  </si>
  <si>
    <t>Hoeveelheid</t>
  </si>
  <si>
    <t>flucytosine</t>
  </si>
  <si>
    <t>iv 150 mg/kg/dag in 4 doses</t>
  </si>
  <si>
    <t>fludrocortison</t>
  </si>
  <si>
    <t>=ber_Med_disc!$H$8</t>
  </si>
  <si>
    <t>=ber_Med_disc!$H$9</t>
  </si>
  <si>
    <t>=ber_Med_disc!$H$10</t>
  </si>
  <si>
    <t>dosis na staken van carbamazepine: or:_x000D_
&lt; 2 jr: 35-60 mg/kg/dag in 2-3 doses _x000D_
2-10 jr: 15-35 mg/kg/dag in 2-3 doses _x000D_
&gt; 10 jr: 12-20 mg/kg/dag in 2-3 doses, max 2,7 g/dag.</t>
  </si>
  <si>
    <t xml:space="preserve">intracutaan                   </t>
  </si>
  <si>
    <t xml:space="preserve">ANTITHROMBOTICA fibrinolytica                                                                       </t>
  </si>
  <si>
    <t>Cutaan gebruik is alleen zinvol wanneer kort na prodromale verschijnselen behandeling gestart wordt.</t>
  </si>
  <si>
    <t>oog 5 maal daags aanbrengen</t>
  </si>
  <si>
    <t>cefazoline</t>
  </si>
  <si>
    <t>Breed werkingsspectrum waaronder Ps aeruginosa. Op voorschrift van de oogarts._x000D_
Kan ook als oordruppel worden gebruikt.</t>
  </si>
  <si>
    <t>oog: voornamelijk eenmalig postoperatief op OK</t>
  </si>
  <si>
    <t>nitroprusside</t>
  </si>
  <si>
    <t>5-30 nanogram/kg/min (moet in zout!)</t>
  </si>
  <si>
    <t>0,5-8 mcg/kg/min</t>
  </si>
  <si>
    <t>Bijw: hyperkaliëmie, cave nierinsufficiëntie en kaliumsparende diuretica, maagdarmstoornissen, darmulcera.</t>
  </si>
  <si>
    <t>mercaptoethaan-sulfonzuur</t>
  </si>
  <si>
    <t>=ber_IVmed!$K$3</t>
  </si>
  <si>
    <t>=ber_IVmed!$K$12</t>
  </si>
  <si>
    <t>=ber_IVmed!$K$13</t>
  </si>
  <si>
    <t>=ber_IVmed!$K$14</t>
  </si>
  <si>
    <t>=ber_IVmed!$K$15</t>
  </si>
  <si>
    <t>=ber_IVmed!$K$16</t>
  </si>
  <si>
    <t>=ber_IVmed!$K$17</t>
  </si>
  <si>
    <t>=ber_IVmed!$K$4</t>
  </si>
  <si>
    <t>=ber_IVmed!$K$5</t>
  </si>
  <si>
    <t>=ber_IVmed!$K$6</t>
  </si>
  <si>
    <t>=ber_IVmed!$K$7</t>
  </si>
  <si>
    <t>=ber_IVmed!$K$8</t>
  </si>
  <si>
    <t xml:space="preserve">ELEKTROLYTEN  kaliumzouten                                                                                                                                                                                                                                     </t>
  </si>
  <si>
    <t>=dbForm!$W$2:$W$1018</t>
  </si>
  <si>
    <t>tblDoseringen</t>
  </si>
  <si>
    <t>=ber_IVmed!$B$2:$I$20</t>
  </si>
  <si>
    <t>tblDruppelen</t>
  </si>
  <si>
    <t>=dbBead!$Y$2</t>
  </si>
  <si>
    <t>=ber_TPN!$B$4</t>
  </si>
  <si>
    <t>=ber_TPN!$E$4</t>
  </si>
  <si>
    <t>=dbBead!$AA$2</t>
  </si>
  <si>
    <t>=dbBead!$K$2</t>
  </si>
  <si>
    <t>=dbBead!$J$2</t>
  </si>
  <si>
    <t>=ber_TPN!$C$14</t>
  </si>
  <si>
    <t>=ber_TPN!$E$14</t>
  </si>
  <si>
    <t>=ber_PO!$M$22</t>
  </si>
  <si>
    <t>=ber_PO!$M$23</t>
  </si>
  <si>
    <t>=ber_PO!$M$24</t>
  </si>
  <si>
    <t>=ber_PO!$M$25</t>
  </si>
  <si>
    <t>=dbBead!$E$2</t>
  </si>
  <si>
    <t>=dbBead!$O$2</t>
  </si>
  <si>
    <t>=dbBead!$M$2</t>
  </si>
  <si>
    <t>triamtereen</t>
  </si>
  <si>
    <t>aciclovir</t>
  </si>
  <si>
    <t>albumine</t>
  </si>
  <si>
    <t>individueel</t>
  </si>
  <si>
    <t>hepatitis B-vaccin</t>
  </si>
  <si>
    <t>mEq/mmole</t>
  </si>
  <si>
    <t>neomycine sulfaat</t>
  </si>
  <si>
    <t>norfloxacine</t>
  </si>
  <si>
    <t>profylaxe van dermale necrose:_x000D_
0,1 mg/kg in fys. zout infiltratie in aangedane gebied_x000D_
Op de injectieplaats infiltreren</t>
  </si>
  <si>
    <t>HD-MTX: high dose methotrexaat._x000D_
Bepaling MTX-conc. op 24, 36, 42 en 48 uur na start HD-MTX-infuus._x000D_
Bij nog verhoogde MTX-conc. op T48 (&gt;0,4 micromol/l) dient de rescue iedere 6 uur te worden voortgezet tot MTX-conc &lt;0,25 micromol/l bedraagt.</t>
  </si>
  <si>
    <t>HD-MTX rescue: zie boven</t>
  </si>
  <si>
    <t>iv 4-8 mg/kg in 5-10 min; evt. na 1-2 uur herhalen</t>
  </si>
  <si>
    <t>Modus:</t>
  </si>
  <si>
    <t>Atriale output:</t>
  </si>
  <si>
    <t>Ventriculaire output:</t>
  </si>
  <si>
    <t>AV interval:</t>
  </si>
  <si>
    <t>Atriale sens.:</t>
  </si>
  <si>
    <t>Ventriculaire sens.:</t>
  </si>
  <si>
    <t>PM_Mod</t>
  </si>
  <si>
    <t>PM_Freq</t>
  </si>
  <si>
    <t>PM_AO</t>
  </si>
  <si>
    <t>PM_VO</t>
  </si>
  <si>
    <t>PM_AV</t>
  </si>
  <si>
    <t>PM_AS</t>
  </si>
  <si>
    <t>PM_VS</t>
  </si>
  <si>
    <t>MedIVMlSpuit_14</t>
  </si>
  <si>
    <t>MedIVMlSpuit_15</t>
  </si>
  <si>
    <t>oxybutynine</t>
  </si>
  <si>
    <t>azathioprine</t>
  </si>
  <si>
    <t>lactulose</t>
  </si>
  <si>
    <t>MedStart_14</t>
  </si>
  <si>
    <t>MedStart_15</t>
  </si>
  <si>
    <t>ciclosporine</t>
  </si>
  <si>
    <t>dosering op geleide bloedconcentratie afhankelijk van indicatie en stadium behandeling</t>
  </si>
  <si>
    <t>=ber_Med_disc!$F$15</t>
  </si>
  <si>
    <t>iv 1-2 mg/kg/dosis, zonodig tot 4 mg/kg/dosis_x000D_
_x000D_
continu iv 2-4 mg/kg/dag (bij ernstige therapieresistentie max 12 mg/kg/dag)_x000D_
_x000D_
Neon.: incidenteel: iv 1 mg/kg</t>
  </si>
  <si>
    <t>or 1-2 mg/kg/dag in 2 doses, max 200 mg/dag_x000D_
_x000D_
Neon.: or 1-2 mg/kg/dag in 2 doses_x000D_
&lt; 30 wkn: or 1 mg/kg/dag in 1 dosis,_x000D_
indien na enkele dagen geen hyponatriëmie: 2 mg/kg/dag in 2 doses</t>
  </si>
  <si>
    <t>Calciumantagonist. Goed te combineren met ß-blokkeerders._x000D_
t1/2 = 2-5 uur, echter na retard tablet schijnbaar 11 uur._x000D_
Biol. beschikbaarheid is 50%._x000D_
Bijw.: flushing, duizeligheid, oedeem, bij chronisch gebruik tandvleeshypertrofie.</t>
  </si>
  <si>
    <t>ACE-remmer. Alleen geven bij voldoende hydratie._x000D_
Cave nierarteriestenose en combinatie met diuretica._x000D_
Bijw.: smaakverlies, exantheem, bloedbeeldafwijkingen. Let op nierfunctie._x000D_
Cave bij neonaten en bij verdenking nierarteriestenose.</t>
  </si>
  <si>
    <t>Bij acute rejectie na orgaan-transplantatie. Cave overvulling._x000D_
Acuut cytokine release syndroom kan optreden (koorts, anafylaxe).</t>
  </si>
  <si>
    <t>Zie Neoral.</t>
  </si>
  <si>
    <t>basiliximab</t>
  </si>
  <si>
    <t>niertransplantatie iv:_x000D_
&lt; 35 kg 10 mg eenmalig binnen 2 uur voor de transplantatie, vervolgens 10 mg eenmalig 4 dagen erna_x000D_
&gt; 35 kg 20 mg eenmalig binnen 2 uur voor de transplantatie, vervolgens 20 mg eenmalig 4 dagen erna</t>
  </si>
  <si>
    <t>Bij begin behandeling zijn overgevoeligheidsreacties gemeld: anafylaxie.</t>
  </si>
  <si>
    <t>niertransplantatie:_x000D_
volgens protocol en onder supervisie nefroloog_x000D_
_x000D_
aplastische anemie en voorbereiding BMT: volgens protocol en onder supervisie hematoloog/immunoloog</t>
  </si>
  <si>
    <t xml:space="preserve">unit dose           </t>
  </si>
  <si>
    <t xml:space="preserve">inh caps            </t>
  </si>
  <si>
    <t xml:space="preserve">KNO-MIDDELEN voor lokale toepassing bij ooraandoeningen                                                                                                                                                                                                        </t>
  </si>
  <si>
    <t xml:space="preserve">drup vl 10 ml             </t>
  </si>
  <si>
    <t xml:space="preserve">ANTIMICROBIËLE MIDDELEN macroliden                </t>
  </si>
  <si>
    <t xml:space="preserve">drank 15 ml             </t>
  </si>
  <si>
    <t xml:space="preserve">ANTITHROMBOTICA anticoagulantia direct werkend                                                                                                                                                                                                                 </t>
  </si>
  <si>
    <t xml:space="preserve">sc/iv          </t>
  </si>
  <si>
    <t xml:space="preserve">spuit 0,2 ml             </t>
  </si>
  <si>
    <t xml:space="preserve">IE/0,2 ml      </t>
  </si>
  <si>
    <t xml:space="preserve">drup vl 25 ml             </t>
  </si>
  <si>
    <t xml:space="preserve">VITAMINES vitamine E groep, enkelvoudige preparaten                                                                                                                                                                                                            </t>
  </si>
  <si>
    <t>Werkzaam tegen Gram-negatieve bacteriëen. Geen eerste keus middel. Kans op sensibilisatie en kruisresistentie met andere aminoglycosiden. Uitsluitend op voorschrift oogarts. Toepassing in combinatie met prednisolon forte na intraoculaire ingrepen.</t>
  </si>
  <si>
    <t>oogdr: 4-6 dd 1 dr, max 14 dagen_x000D_
oogzalf: 1 dd a.n., max 14 dagen</t>
  </si>
  <si>
    <t>=ber_IVmed!$F$11</t>
  </si>
  <si>
    <t>=ber_IVmed!$E$3</t>
  </si>
  <si>
    <t>=ber_IVmed!$E$12</t>
  </si>
  <si>
    <t>johexol</t>
  </si>
  <si>
    <t>MedicatieIV 1</t>
  </si>
  <si>
    <t>MedicatieIV 2</t>
  </si>
  <si>
    <t>MedicatieIV 3</t>
  </si>
  <si>
    <t>MedicatieIV 4</t>
  </si>
  <si>
    <t>MedicatieIV 5</t>
  </si>
  <si>
    <t>intake IV</t>
  </si>
  <si>
    <t>=ber_Med_disc!$M$2</t>
  </si>
  <si>
    <t>=ber_Med_disc!$M$11</t>
  </si>
  <si>
    <t>=ber_Med_disc!$M$12</t>
  </si>
  <si>
    <t>=ber_Med_disc!$M$13</t>
  </si>
  <si>
    <t>thiamazol</t>
  </si>
  <si>
    <t>Keuze:</t>
  </si>
  <si>
    <t>influenzavaccin</t>
  </si>
  <si>
    <t>microlax (comb.prep.)</t>
  </si>
  <si>
    <t>loratadine</t>
  </si>
  <si>
    <t>MedDosHoev_15</t>
  </si>
  <si>
    <t>MedDosHoev_16</t>
  </si>
  <si>
    <t>MedDosHoev_17</t>
  </si>
  <si>
    <t>Innemen tenminste 2 uur na de maaltijd. DDI wordt afgebroken in zuur milieu en voedsel vermindert de absorptie. Het granulaat in de capsule is maagsapresistent._x000D_
Dosis bij nierinsuff.: zie tabel ?</t>
  </si>
  <si>
    <t xml:space="preserve">HORMONEN insuline en glucagon                                                                                                                                                                                                                                  </t>
  </si>
  <si>
    <t xml:space="preserve">flac 10 ml             </t>
  </si>
  <si>
    <t xml:space="preserve">iv/sc                         </t>
  </si>
  <si>
    <t xml:space="preserve">IE/ml          </t>
  </si>
  <si>
    <t>profylaxe: or 50 mg/dag in 1 dosis_x000D_
deficiëntie: or 500 mg/dag in 2 doses</t>
  </si>
  <si>
    <t>Vitamine D-3-analoog. Bijw: huidir-ritatie, vooral op het gezicht. Overmatig gebruik (50-100 g bij volw.) kan hypercalciëmie veroorzaken. Creme is minder sterk dan de zalf.</t>
  </si>
  <si>
    <t>or: start: 3-5 mg/kg/dag in 2 doses,_x000D_
onderhoud: &lt; 3 mg/kg/dag in 2 doses,_x000D_
uitsluitend door dermatoloog met ervaring met het middel</t>
  </si>
  <si>
    <t>betamethason-17-valeraat</t>
  </si>
  <si>
    <t>huid: 1-3x per dag</t>
  </si>
  <si>
    <t>huid: 2 dd</t>
  </si>
  <si>
    <t xml:space="preserve">KNO-MIDDELEN voor lokale toepassing in de neus: anti-allergica                                                                                                                                                                                                 </t>
  </si>
  <si>
    <t xml:space="preserve">neusspray 150 doses/verp     </t>
  </si>
  <si>
    <t xml:space="preserve">neusspray           </t>
  </si>
  <si>
    <t xml:space="preserve">puff 120 doses/verp     </t>
  </si>
  <si>
    <t xml:space="preserve">diskus 60 doses/verp     </t>
  </si>
  <si>
    <t xml:space="preserve">diskus              </t>
  </si>
  <si>
    <t xml:space="preserve">blister 4 blisters/disk  </t>
  </si>
  <si>
    <t xml:space="preserve">CONTRASTMIDDELEN                                                                                                                                                                                                                                               </t>
  </si>
  <si>
    <t xml:space="preserve">flac 250 ml             </t>
  </si>
  <si>
    <t xml:space="preserve">intra-vesicaal </t>
  </si>
  <si>
    <t>iv 0,5-2,5 microg/kg/min</t>
  </si>
  <si>
    <t>bij hypertensie:_x000D_
or 0,1-0,6 mg/kg/dag in 1-2 doses,_x000D_
max 0,6 mg/kg/dag (20 mg/dag)</t>
  </si>
  <si>
    <t>Eerste keus calciumantagonist. Zie WKZ hypertensieprotocol._x000D_
Bij chronisch gebruik tandvlees-hypertrofie._x000D_
Jonge kinderen 2 maal daags doseren, effectiviteit neemt toe met de leeftijd._x000D_
Dosisaanpassing niet vaker dan eens per 5-7 dagen.</t>
  </si>
  <si>
    <t>hypertensie &gt; 6 mnd:_x000D_
start: or 0,1 mg/kg/dag in 2 doses_x000D_
onderhoud: or 0,1-0,5 mg/kg/dag in 1-2 doses op geleide effect</t>
  </si>
  <si>
    <t>ACE-remmer. Niet bij verdenking nierarteriestenose._x000D_
Niet toedienen bij neonaten. Alleen geven bij voldoende hydratie. Cave combinatie met diuretica._x000D_
Bijw.: smaakverlies, exantheem, bloedbeeld. Let op nierfunctie.</t>
  </si>
  <si>
    <t>continu iv 0,15-0,7 microg/kg/min_x000D_
geen oplaaddosis</t>
  </si>
  <si>
    <t xml:space="preserve">STOFWISSELINGSZIEKTEN cystinosis                                                                                                                                                                                                                               </t>
  </si>
  <si>
    <t xml:space="preserve">iv/ith         </t>
  </si>
  <si>
    <t xml:space="preserve">VITAMINES vitamines, combinatiepreparaten                                                                                                                                                                                                                      </t>
  </si>
  <si>
    <t xml:space="preserve">creme 15 g              </t>
  </si>
  <si>
    <t>opladen iv 1 mg/kg in 10 minuten, evt_x000D_
per 10 min 0,2 mg/kg extra tot max 2 mg/kg_x000D_
_x000D_
onderhoud iv 4-7 microg/kg/min</t>
  </si>
  <si>
    <t xml:space="preserve">OOGMIDDELEN corticosteroïden                                                                                                                                                                                                                                   </t>
  </si>
  <si>
    <t xml:space="preserve">TRACTUS CIRCULATORIUS antiarrhythmica                                                                                                                                                                                                                          </t>
  </si>
  <si>
    <t xml:space="preserve">amp 2 ml             </t>
  </si>
  <si>
    <t>E/kg/uur</t>
  </si>
  <si>
    <t xml:space="preserve">suspensie           </t>
  </si>
  <si>
    <t xml:space="preserve">weefsellijm 1 ml             </t>
  </si>
  <si>
    <t xml:space="preserve">weefsellijm         </t>
  </si>
  <si>
    <t xml:space="preserve">flac 1 ml             </t>
  </si>
  <si>
    <t xml:space="preserve">microg/flacon  </t>
  </si>
  <si>
    <t xml:space="preserve">creme 50 g              </t>
  </si>
  <si>
    <t xml:space="preserve">creme 500 g              </t>
  </si>
  <si>
    <t xml:space="preserve">flecaïnide </t>
  </si>
  <si>
    <t xml:space="preserve">amp 15 ml             </t>
  </si>
  <si>
    <t>Bevat per poeder voor infusievloeistof: thiamine 3 mg, riboflavine 5 mg, nicotinamide 40 mg, Na-pantothenaat 16,5 mg, pyridoxine 5 mg, foliumzuur 0,4 mg, cyanocobalamine 5 microg, biotine 60 microg, ascorbinezuur 100 mg (Vit C)</t>
  </si>
  <si>
    <t>iv 1 ml/kg/dag, max 10 ml/dag toegevoegd aan Intralipid 20%_x000D_
_x000D_
Neon.: iv 2 ml/kg/dag toegevoegd aan Intralipid 20%</t>
  </si>
  <si>
    <t>=ber_Opm!$C$10</t>
  </si>
  <si>
    <t>=ber_Opm!$C$16</t>
  </si>
  <si>
    <t xml:space="preserve">Bijw. sedatie (vooral bij begin behandeling) braken en diarree. Bij spierhypotonie dosering verlagen. Bij staken na langdurige therapie dosering afbouwen._x000D_
_x000D_
</t>
  </si>
  <si>
    <t xml:space="preserve">HORMONEN glucocorticoïden                                                                                                                                                                                                                                      </t>
  </si>
  <si>
    <t xml:space="preserve">drup fl 8 ml             </t>
  </si>
  <si>
    <t xml:space="preserve">amp 20 ml             </t>
  </si>
  <si>
    <t>Orphan drug bij cystinurie bij overgevoeligheid voor of onvoldoende effectiviteit van D-penicillamine.</t>
  </si>
  <si>
    <t>tobramycine</t>
  </si>
  <si>
    <t>domperidon</t>
  </si>
  <si>
    <t>piperacilline + tazobactam</t>
  </si>
  <si>
    <t>TRACTUS RESPIRATORIUS overige</t>
  </si>
  <si>
    <t>colfosceril</t>
  </si>
  <si>
    <t>ibopamine</t>
  </si>
  <si>
    <t>TRACTUS DIGESTIVUS middelen bij leveraandoeningen</t>
  </si>
  <si>
    <t>colestyramine</t>
  </si>
  <si>
    <t>inhalatie 3-4 dd 20 mg</t>
  </si>
  <si>
    <t>cromoglicaat</t>
  </si>
  <si>
    <t>=ber_IVmed!$F$20</t>
  </si>
  <si>
    <t>Lab24u_12</t>
  </si>
  <si>
    <t>amfotericine B</t>
  </si>
  <si>
    <t>Lab24u_2</t>
  </si>
  <si>
    <t>Lab24u_3</t>
  </si>
  <si>
    <t>Lab24u_4</t>
  </si>
  <si>
    <t>Lab24u_5</t>
  </si>
  <si>
    <t>Lab24u_6</t>
  </si>
  <si>
    <t>Lab24u_7</t>
  </si>
  <si>
    <t>Lab24u_8</t>
  </si>
  <si>
    <t>CS/VAS score a 8 uur (8-16-24 uur) en bij (toenemende) onrust</t>
  </si>
  <si>
    <t>profylaxe: &lt; 4 jr or: tekort in voeding suppleren tot 200 IE/dag_x000D_
voor kinderen die weinig buiten komen en kinderen met een donkere huidskleur tot 400 IE/dag_x000D_
_x000D_
cystic fibrosis: or 400-800 IE/dag</t>
  </si>
  <si>
    <t>dialysepatiënten:_x000D_
iv 1-6 microg/1,73 m2/dosis na de dialyse, max 12 microg/1,73 m2/week</t>
  </si>
  <si>
    <t>Synoniem: 1-hydroxyvitamine D3, wordt in de lever omgezet in aktief calcitriol._x000D_
Tevens bij hypofosfatemische vitamine D-resistente rachitis en bij hypoparathyreoïdie. Werkt 1-2 weken na._x000D_
Cave hypercalciëmie.</t>
  </si>
  <si>
    <t xml:space="preserve">klysma              </t>
  </si>
  <si>
    <t xml:space="preserve">ANESTHETICA lokaalanesthetica                                                                       </t>
  </si>
  <si>
    <t>deficiëntie:_x000D_
or 5-10 mg/kg/dag in 2 doses,_x000D_
max 300 mg/dag_x000D_
_x000D_
cystic fibrosis:_x000D_
or 50 mg/dag in 1 dosis, indien deficiëntie zonodig 100-400 mg/dag in 2 doses op geleide plasmaconc.</t>
  </si>
  <si>
    <t>or:_x000D_
&lt; 2 jr: 200 mg/dag in 2 doses_x000D_
2-7 jr: 400 mg/dag in 2 doses_x000D_
&gt; 7 jr: 600 mg/dag in 1-3 doses,_x000D_
max 1200 mg in 6 doses</t>
  </si>
  <si>
    <t>Granulaat (suikervrij) oplossen in glas water. Gebruik van granulaat is gecontraïndiceerd bij kinderen met fenylketonurie (i.v.m. aanwezigheid aspartaam).</t>
  </si>
  <si>
    <t>cystic fibrosis:_x000D_
1-4 dd 500 mg d.w.z._x000D_
5 ml + 5 ml fysiol. zout vernevelen</t>
  </si>
  <si>
    <t>Mesna: tweede keus na acetylcysteïne bij vernevelen. Irritatie en broncho-spasmen kunnen optreden.</t>
  </si>
  <si>
    <t>toediening op I.C._x000D_
oplossen van slijm in tube: 0,3-2 ml van 5% Mistabron oplossing (zie bijzonderheden) in tube druppelen</t>
  </si>
  <si>
    <t>Mistabron: 1 ml voor gebruik verdunnen met 3 ml NaCl 0,9% (= 4 ml 5% inh vl)._x000D_
Minstens 1 uur in tube houden.</t>
  </si>
  <si>
    <t>=ber_TPN!$C$10</t>
  </si>
  <si>
    <t>betaine</t>
  </si>
  <si>
    <t>E</t>
  </si>
  <si>
    <t>g</t>
  </si>
  <si>
    <t>esmolol</t>
  </si>
  <si>
    <t>DTP vaccin</t>
  </si>
  <si>
    <t>im 1 ml boostervaccinatie voor school­kinderen op 4- en 9-jarige leeftijd</t>
  </si>
  <si>
    <t>efedrine</t>
  </si>
  <si>
    <t>iv 0,1-0,3 mg/kg/keer</t>
  </si>
  <si>
    <t xml:space="preserve">inhaler 200 doses/verp     </t>
  </si>
  <si>
    <t xml:space="preserve">inhaler             </t>
  </si>
  <si>
    <t xml:space="preserve">VITAMINES vitamine C groep, enkelvoudige preparaten                                                                                                                                                                                                            </t>
  </si>
  <si>
    <t xml:space="preserve">amp 5 ml             </t>
  </si>
  <si>
    <t xml:space="preserve">amp                 </t>
  </si>
  <si>
    <t xml:space="preserve">STOFWISSELINGSZIEKTEN aminozuurstofwisselingsziekten                                                                                                                                                                                                           </t>
  </si>
  <si>
    <t xml:space="preserve">VITAMINES vitamine B groep, enkelvoudige preparaten                                                                                                                                                                                                            </t>
  </si>
  <si>
    <t xml:space="preserve">ANTIMICROBIËLE MIDDELEN penicillines                                                                                                                                                                                                                           </t>
  </si>
  <si>
    <t>Aldosteronantagonist. Keuzemiddel bij bijnierhyperplasie._x000D_
In combinatie met thiazidediureticum bij een kalium lager dan 3,5 mmol/l._x000D_
Bijw.: hyperkaliëmie, bij chronisch gebruik gynaecomastie.</t>
  </si>
  <si>
    <t>opladen iv 500 microg/kg/min_x000D_
onderhoud iv 50 microg/kg/min,_x000D_
stapsgewijze verhogen, tot max 200 microg/kg/min</t>
  </si>
  <si>
    <t>Aanvullende afspraken</t>
  </si>
  <si>
    <t>6.</t>
  </si>
  <si>
    <t>7.</t>
  </si>
  <si>
    <t>MedOplVol_2</t>
  </si>
  <si>
    <t>MedOplVol_20</t>
  </si>
  <si>
    <t>tioguanine</t>
  </si>
  <si>
    <t>tiopronine</t>
  </si>
  <si>
    <t>valaciclovir</t>
  </si>
  <si>
    <t>DosHoev_9</t>
  </si>
  <si>
    <t>Eenheid_1</t>
  </si>
  <si>
    <t>Eenheid_10</t>
  </si>
  <si>
    <t>Eenheid_11</t>
  </si>
  <si>
    <t>Eenheid_12</t>
  </si>
  <si>
    <t>Eenheid_13</t>
  </si>
  <si>
    <t>Eenheid_14</t>
  </si>
  <si>
    <t>Eenheid_15</t>
  </si>
  <si>
    <t>Eenheid_16</t>
  </si>
  <si>
    <t>Eenheid_17</t>
  </si>
  <si>
    <t>Eenheid_18</t>
  </si>
  <si>
    <t>Eenheid_19</t>
  </si>
  <si>
    <t>Eenheid_2</t>
  </si>
  <si>
    <t>Eenheid_20</t>
  </si>
  <si>
    <t>Eenheid_3</t>
  </si>
  <si>
    <t>Eenheid_4</t>
  </si>
  <si>
    <t>Eenheid_5</t>
  </si>
  <si>
    <t>Eenheid_6</t>
  </si>
  <si>
    <t>LabDag1_16</t>
  </si>
  <si>
    <t>LabDag1_17</t>
  </si>
  <si>
    <t>LabDag1_18</t>
  </si>
  <si>
    <t>LabDag1_19</t>
  </si>
  <si>
    <t>LabDag1_2</t>
  </si>
  <si>
    <t>LabDag1_20</t>
  </si>
  <si>
    <t>LabDag1_21</t>
  </si>
  <si>
    <t>LabDag1_22</t>
  </si>
  <si>
    <t>LabDag1_23</t>
  </si>
  <si>
    <t>LabDag1_24</t>
  </si>
  <si>
    <t>LabDag1_25</t>
  </si>
  <si>
    <t>LabDag1_26</t>
  </si>
  <si>
    <t>LabDag1_27</t>
  </si>
  <si>
    <t>LabDag1_3</t>
  </si>
  <si>
    <t>LabDag1_4</t>
  </si>
  <si>
    <t>LabDag1_5</t>
  </si>
  <si>
    <t>LabDag1_6</t>
  </si>
  <si>
    <t>LabDag1_7</t>
  </si>
  <si>
    <t>LabDag1_8</t>
  </si>
  <si>
    <t>LabDag1_9</t>
  </si>
  <si>
    <t>LabDag2_19</t>
  </si>
  <si>
    <t>LabDag2_20</t>
  </si>
  <si>
    <t>LabDag2_21</t>
  </si>
  <si>
    <t>LabDag2_22</t>
  </si>
  <si>
    <t>LabDag2_23</t>
  </si>
  <si>
    <t>LabDag2_24</t>
  </si>
  <si>
    <t>LabDag2_25</t>
  </si>
  <si>
    <t>LabDag2_26</t>
  </si>
  <si>
    <t>Synthetisch somatostatine-analogon._x000D_
Bijw.: galstenen, malabsorptie, glucose-intolerantie._x000D_
Sterkere ampullen zijn verkrijgbaar, echter niet in standaard WKZ assortiment.</t>
  </si>
  <si>
    <t>als diagnosticum: im/iv 250 microg_x000D_
_x000D_
bij syndroom van West: zie blz ?</t>
  </si>
  <si>
    <t>insuline kortwerkend</t>
  </si>
  <si>
    <t xml:space="preserve">STOFWISSELINGSZIEKTEN glycogeen stapelingsziekten                                                                                                                                                                                                              </t>
  </si>
  <si>
    <t xml:space="preserve">flac 1,2 ml             </t>
  </si>
  <si>
    <t xml:space="preserve">zuigtabl            </t>
  </si>
  <si>
    <t xml:space="preserve">drank 40 ml             </t>
  </si>
  <si>
    <t>premedicatie:_x000D_
iv 0,05 mg/kg/keer, max 10 mg/keer_x000D_
im 0,15 mg/kg/keer, max 10 mg/keer_x000D_
_x000D_
sedatie bij invasieve procedures (BMP, LP), voorwaarden en bewaking volgens WKZ-sedatieprotocol:_x000D_
iv 0,1 mg/kg/keer, max 15 mg/keer_x000D_
_x000D_
anesthesie en sedatie IC:_x000D_
inleiden: iv 0,1-0,2 mg/kg_x000D_
onderhoud: iv 0,05-0,2 mg/kg/uur_x000D_
_x000D_
N.B.: de antagonist flumazenil (Anexate) dient aanwezig te zijn:_x000D_
iv 0,01 mg/kg zonodig na 1 min. herhalen_x000D_
_x000D_
Neon.: convulsies zie blz ?</t>
  </si>
  <si>
    <t>vit. B6 ongevoelige homocystinurie:_x000D_
or 100 mg/kg/dag in 2 doses, max 20 g/dag</t>
  </si>
  <si>
    <t>=ber_Opm!$C$7</t>
  </si>
  <si>
    <t>=ber_Opm!$C$8</t>
  </si>
  <si>
    <t>=ber_Opm!$C$9</t>
  </si>
  <si>
    <t>Lab20u_14</t>
  </si>
  <si>
    <t>Lab20u_2</t>
  </si>
  <si>
    <t>Lab20u_3</t>
  </si>
  <si>
    <t>Lab20u_4</t>
  </si>
  <si>
    <t>Lab20u_5</t>
  </si>
  <si>
    <t>Lab20u_6</t>
  </si>
  <si>
    <t>butylscopolamine</t>
  </si>
  <si>
    <t>metronidazol</t>
  </si>
  <si>
    <t>100 ml</t>
  </si>
  <si>
    <t>Nutriflex 70/240 speciaal</t>
  </si>
  <si>
    <t>700 ml</t>
  </si>
  <si>
    <t>1000 ml</t>
  </si>
  <si>
    <t>1500 ml</t>
  </si>
  <si>
    <t>150 ml</t>
  </si>
  <si>
    <t>300 ml</t>
  </si>
  <si>
    <t>500 ml</t>
  </si>
  <si>
    <t>max 10 ml</t>
  </si>
  <si>
    <t>Nutriflex 70/240</t>
  </si>
  <si>
    <t>Paraaf arts:</t>
  </si>
  <si>
    <t>procarbazine</t>
  </si>
  <si>
    <t>Zwakke MAO-remmer, niet combineren met tyraminerijk voedsel, tricycl. antidepressiva, sympathicomimetica, lokale anesthetica, alcohol.</t>
  </si>
  <si>
    <t>promethazine</t>
  </si>
  <si>
    <t>Vaatverwijder uit hydralazinegroep._x000D_
Combineren met ß-blokkeerder._x000D_
Bijw.: tachycardie, depressie, sufheid._x000D_
De intraveneuze vloeistof wordt afgeleverd op bewustheidsverklaring.</t>
  </si>
  <si>
    <t>bij hypertensieve crisis:_x000D_
iv 0,1-0,5 microg/kg/min_x000D_
onderhoud 1-3 microg/kg/min,_x000D_
max 5 microg/kg/min</t>
  </si>
  <si>
    <t>Vasodilatator t1/2 = 1-4 minuten._x000D_
Bijw.: hypotensie. Alleen op I.C. Binnen 24 uur kan gewenning optreden.</t>
  </si>
  <si>
    <t>Wordt bij toxoplasmose toegepast in combinatie met sulfadiazine. Remt in vivo de omzetting van foliumzuur in folinezuur. Bij langdurig gebruik folinezuur profylaxe geven.</t>
  </si>
  <si>
    <t>Giardia lamblia: 50-75 mg/kg in één enkele dosis, max 2 g</t>
  </si>
  <si>
    <t>iv 20-30 mg/kg/dag in 3 doses,_x000D_
max 4 g/dag_x000D_
_x000D_
Neon.: iv:_x000D_
1e levensweek: 10 mg/kg/dag in 1 dosis_x000D_
na 1e levensweek:_x000D_
&lt; 1500 g: 15 mg/kg/dag in 2 doses_x000D_
&gt; 1500 g: 30 mg/kg/dag in 2 doses</t>
  </si>
  <si>
    <t>Dosis bij nierinsuff.: zie tabel blz ?</t>
  </si>
  <si>
    <t>or 20-30 mg/kg/dag in 3 doses,_x000D_
max 2 g/dag</t>
  </si>
  <si>
    <t>Extravasatie: afwachtend beleid, evt. koelen met ijs. Risico op hemorragische cystitis wordt verminderd door mesna zie blz ?, ruime diurese en alkaliniseren urine.</t>
  </si>
  <si>
    <t>Wordt in vivo snel afgebroken tot 6-mercaptopurine. Bij gelijktijdig gebruik allopurinol wordt azathioprine dosering verlaagd.</t>
  </si>
  <si>
    <t>bij J.I.A. zie blz ?</t>
  </si>
  <si>
    <t>Extravasatie: afwachtend beleid, bij tekenen van huidnecrose behandelen met hypochlorietsmeersel (Eusol, zie blz ?)_x000D_
Urine kan blauw/groen kleuren.</t>
  </si>
  <si>
    <t>neus: 2-3 dd in beide neusgaten aanbrengen, 5 max 7 dagen</t>
  </si>
  <si>
    <t>Standaard plasmavervangingsmiddel, in principe eerste keus.</t>
  </si>
  <si>
    <t>urokinase</t>
  </si>
  <si>
    <t>intravesicaal 2-3 dd</t>
  </si>
  <si>
    <t>1 ml</t>
  </si>
  <si>
    <t>urostoma</t>
  </si>
  <si>
    <t>magnesiumchloride</t>
  </si>
  <si>
    <t>magnesiumcitraat</t>
  </si>
  <si>
    <t>tijdens endoresectie</t>
  </si>
  <si>
    <t>CVL lijn lumen I: medicatie</t>
  </si>
  <si>
    <t>Bloedprodukt, normaal donorbloed. Uitsluitend na overleg met immunoloog/hematoloog/neuroloog.</t>
  </si>
  <si>
    <t>indinavir</t>
  </si>
  <si>
    <t>tranexaminezuur</t>
  </si>
  <si>
    <t>or aanvankelijk 10-20 mg/dag in 2 doses, op geleide van effect en bijwerkingen dosis vaststellen, max 80 mg/dag</t>
  </si>
  <si>
    <t>sulfasalazine</t>
  </si>
  <si>
    <t>im/iv 1 mg/kg/keer, max 3 dd</t>
  </si>
  <si>
    <t>didanosine</t>
  </si>
  <si>
    <t>tetanusvaccin</t>
  </si>
  <si>
    <t>volgens schema im 0,5 ml per keer</t>
  </si>
  <si>
    <t>atenolol</t>
  </si>
  <si>
    <t>Instelling verder afhankelijk van cystine concentratie in leucocyten. Verkrijgbaar bij Orphan Europe op artsenverklaring en toestemming ziektekostenverzekeraar.</t>
  </si>
  <si>
    <t>cytarabine</t>
  </si>
  <si>
    <t>De spons geeft snel gentamicine af, een goede nierfunctie is noodzakelijk! Cave additief effect op plasmaconc. bij systemische aminoglycosiden.</t>
  </si>
  <si>
    <t>Osmotisch diureticum. Effect op proximale tubulus. Mogelijk minder maagbezwaren dan mannitol (or). Effect binnen 30 min. werkt 6 uur._x000D_
Cave uitdroging. Ad-hoc receptuur, brief voor openbare apotheker mee._x000D_
Bufa art. nr.117812.</t>
  </si>
  <si>
    <t xml:space="preserve">PSYCHOFARMACA benzodiazepines                                                                                                                                                                                                                                  </t>
  </si>
  <si>
    <t xml:space="preserve">DERMATICA bases                                                                                                                                                                                                                                                </t>
  </si>
  <si>
    <t xml:space="preserve">smeersel 50 ml             </t>
  </si>
  <si>
    <t xml:space="preserve">smeersel            </t>
  </si>
  <si>
    <t xml:space="preserve">BLOED cytokinen                                                                                                                                                                                                                                                </t>
  </si>
  <si>
    <t xml:space="preserve">spuit 0,375 ml             </t>
  </si>
  <si>
    <t xml:space="preserve">spuit               </t>
  </si>
  <si>
    <t xml:space="preserve">TRACTUS DIGESTIVUS laxantia                                                                                                                                                                                                                                    </t>
  </si>
  <si>
    <t xml:space="preserve">tabl enteric        </t>
  </si>
  <si>
    <t xml:space="preserve">rect                          </t>
  </si>
  <si>
    <t xml:space="preserve">zetp                </t>
  </si>
  <si>
    <t xml:space="preserve">mg/zetp        </t>
  </si>
  <si>
    <t xml:space="preserve">opl 40 ml             </t>
  </si>
  <si>
    <t xml:space="preserve">or/inhalatie   </t>
  </si>
  <si>
    <t xml:space="preserve">U/flac         </t>
  </si>
  <si>
    <t>=ber_Opm!$C$25</t>
  </si>
  <si>
    <t>Alternatief voor hypromellose-oogdr (Viskeuze oogdruppels).</t>
  </si>
  <si>
    <t>cetirizine</t>
  </si>
  <si>
    <t>Zwak antipsychotisch. Bij agressie in het kader van kinderschizofrenie of pervasieve ontwikkelingsstoornissen. Cave cardiovasculaire bijwerkingen (hypotensie).</t>
  </si>
  <si>
    <t>Lab24u_9</t>
  </si>
  <si>
    <t>Verwijzing</t>
  </si>
  <si>
    <t>dextromethorfan</t>
  </si>
  <si>
    <t>clobazam</t>
  </si>
  <si>
    <t>omeprazol</t>
  </si>
  <si>
    <t>ranitidine</t>
  </si>
  <si>
    <t>sucralfaat</t>
  </si>
  <si>
    <t>Glucose 17,5%</t>
  </si>
  <si>
    <t>Glucose 12,5 %</t>
  </si>
  <si>
    <t>k</t>
  </si>
  <si>
    <t>=ber_lab!$C$7</t>
  </si>
  <si>
    <t>hypochloriet</t>
  </si>
  <si>
    <t>ipratropium</t>
  </si>
  <si>
    <t>zie bijsluiter</t>
  </si>
  <si>
    <t>itraconazol</t>
  </si>
  <si>
    <t>Anti-convulsiva</t>
  </si>
  <si>
    <t>Diversen</t>
  </si>
  <si>
    <t>hoeveelheid</t>
  </si>
  <si>
    <t>sterkte</t>
  </si>
  <si>
    <t>advies</t>
  </si>
  <si>
    <t>iv</t>
  </si>
  <si>
    <t>or</t>
  </si>
  <si>
    <t>biperideen</t>
  </si>
  <si>
    <t>alcohol</t>
  </si>
  <si>
    <t>amikacine</t>
  </si>
  <si>
    <t>flumazenil</t>
  </si>
  <si>
    <t>carbasalaat calcium</t>
  </si>
  <si>
    <t>oog: 4-6 dd, max 14 dagen</t>
  </si>
  <si>
    <t>Lab20u_11</t>
  </si>
  <si>
    <t xml:space="preserve">PSYCHOFARMACA antipsychotica                                                                                                                                                                                                                                   </t>
  </si>
  <si>
    <t xml:space="preserve">klysma 100 ml             </t>
  </si>
  <si>
    <t xml:space="preserve">inh vl 2,5 ml             </t>
  </si>
  <si>
    <t xml:space="preserve">oogzalf 3,5 g/tube         </t>
  </si>
  <si>
    <t xml:space="preserve">g/tube         </t>
  </si>
  <si>
    <t xml:space="preserve">creme 5 g              </t>
  </si>
  <si>
    <t xml:space="preserve">pleister            </t>
  </si>
  <si>
    <t xml:space="preserve">mg/pleister    </t>
  </si>
  <si>
    <t xml:space="preserve">lotion 25 ml             </t>
  </si>
  <si>
    <t xml:space="preserve">lotion              </t>
  </si>
  <si>
    <t xml:space="preserve">spuit 0,3 ml             </t>
  </si>
  <si>
    <t xml:space="preserve">iv/ip/sc                      </t>
  </si>
  <si>
    <t xml:space="preserve">STOFWISSELINGSZIEKTEN organische zuur syndromen                                                                                                                                                                                                                </t>
  </si>
  <si>
    <t>Bijw.: water- en zoutretentie; afwijkingen aan bloedbeeld,  hyperurikemie; hypertrichose._x000D_
Combinatie met hydrochlorothiazide versterkt het bloedsuikerverhogend effect.</t>
  </si>
  <si>
    <t>substitutietherapie bij gonadale insufficiëntie:_x000D_
dosis wordt getitreerd</t>
  </si>
  <si>
    <t>Niet geregistreerd, op artsenverklaring endocrinoloog (Novo-Nordisk). _x000D_
O.a. voor inductie puberteit en bij syndroom van Turner.</t>
  </si>
  <si>
    <t xml:space="preserve">2-12 jr: or:_x000D_
dag 1: 2 dd 6 mg/kg_x000D_
dag 2 e.v.: 2 dd 4 mg/kg, max 400 mg/dag_x000D_
_x000D_
&gt; 40 kg: or:_x000D_
dag 1: 2 dd 400 mg_x000D_
dag 2 e.v.: 2 dd 200 mg_x000D_
</t>
  </si>
  <si>
    <t>toxoplasmosis:_x000D_
or oplaad 1e dag 2 mg/kg in 1 dosis, max 50 mg_x000D_
gevolgd door 1 mg/kg/dag in 1 dosis, max 25 mg/dag</t>
  </si>
  <si>
    <t>Toepassing bij de behandeling van uveïtis en na intra-oculaire ingrepen.</t>
  </si>
  <si>
    <t>Lokaal zwak werkzaam.</t>
  </si>
  <si>
    <t>Tijdens de maaltijd innemen. Bij oneven aantal capsules de hoogste dosis 's ochtends.</t>
  </si>
  <si>
    <t>nystatine</t>
  </si>
  <si>
    <t>algeldraat</t>
  </si>
  <si>
    <t>epoprostenol</t>
  </si>
  <si>
    <t>Lab16u_6</t>
  </si>
  <si>
    <t>Neon.:_x000D_
im 10 microg = 1 ml op de leeftijd van 2, 3, 4 en 11 mnd (simultaan met D(K)TP vaccin d.w.z. binnen 24 uur._x000D_
Indien niet binnen dit tijdsbestek mogelijk dan minimaal een interval van 14 dagen aanhouden)</t>
  </si>
  <si>
    <t>Overige_1</t>
  </si>
  <si>
    <t>=ber_Infusen!$M$1</t>
  </si>
  <si>
    <t>Glucose 20%</t>
  </si>
  <si>
    <t>Glucose 50%</t>
  </si>
  <si>
    <t>Glucose 15%</t>
  </si>
  <si>
    <t>LabDag2_1</t>
  </si>
  <si>
    <t>LabDag2_10</t>
  </si>
  <si>
    <t>LabDag2_11</t>
  </si>
  <si>
    <t>LabDag2_12</t>
  </si>
  <si>
    <t>LabDag2_13</t>
  </si>
  <si>
    <t>LabDag2_14</t>
  </si>
  <si>
    <t>LabDag2_15</t>
  </si>
  <si>
    <t>LabDag2_16</t>
  </si>
  <si>
    <t>LabDag2_17</t>
  </si>
  <si>
    <t>LabDag2_18</t>
  </si>
  <si>
    <t>LabDag2_2</t>
  </si>
  <si>
    <t>LabDag2_3</t>
  </si>
  <si>
    <t>LabDag2_4</t>
  </si>
  <si>
    <t>LabDag2_5</t>
  </si>
  <si>
    <t>LabDag2_6</t>
  </si>
  <si>
    <t>LabDag2_7</t>
  </si>
  <si>
    <t>LabDag2_8</t>
  </si>
  <si>
    <t>LabDag2_9</t>
  </si>
  <si>
    <t>170 mg kaliumjodaat komt overeen met 130 mg kaliumjodide en met 100 mg jood._x000D_
Voor stralingsprofylaxe bij neonaten is de Lugoloplossing meer geschikt.</t>
  </si>
  <si>
    <t>startdosis: or:_x000D_
150 mg/m2/dag in 3 doses of_x000D_
10 mg/kg/dag in 3 doses</t>
  </si>
  <si>
    <t>iv bij deficiëntie op geleide Zn conc._x000D_
_x000D_
iv onderhoudsbehoefte zink in TPN per dag continu iv _x000D_
&lt;2-15 kg: 250 microg/kg (in Peditrace)_x000D_
&gt;15 kg: 3,8 mg/dag (in Peditrace)</t>
  </si>
  <si>
    <t>M. Wilson: volw: or 3 dd 200 mg (range: 3 dd 100-400 mg) _x000D_
dosis titreren op geleide vrij koper in serum en urine-koperuitscheiding, niet gelijktijdig met D-penicillinamine geven</t>
  </si>
  <si>
    <t>Zinksulfaat = ZnSO4.7H2O_x000D_
1 ml drank  = 13,3 mg zinksulfaat = 3 mg zink = 45 micromol zink;_x000D_
15 ml = 200 mg zinksulfaat_x000D_
Kan op aanvraag bereid worden._x000D_
Bijw.: maagbezwaren (alt: zinkgluconaat als gelijke dosis Zn).</t>
  </si>
  <si>
    <t>or &lt; 1 jr: 1 dd 0,25 mg F_x000D_
2-4 jr: 2 dd 0,25 mg F</t>
  </si>
  <si>
    <t>Alternatief bij delier i.p.v. haloperidol, lorazepam (i.v.) of diazepam rectiole. Prodrug, wordt langzaam omgezet in desmethyldiazepam._x000D_
Werkt na 2-3 uur t1/2 = 42-120 uur.</t>
  </si>
  <si>
    <t>or 40 mg/kg/dag in 3 doses,_x000D_
max 2 g/dag._x000D_
_x000D_
Neon.: or:_x000D_
à terme: 40 mg/kg/dag in 4 doses</t>
  </si>
  <si>
    <t>or 15 mg/kg/dag in 2 doses,_x000D_
max 1 g/dag</t>
  </si>
  <si>
    <t xml:space="preserve">pot                 </t>
  </si>
  <si>
    <t xml:space="preserve">mondspoeling 300 ml             </t>
  </si>
  <si>
    <t xml:space="preserve">mondspoeling        </t>
  </si>
  <si>
    <t xml:space="preserve">huidspray 150 ml             </t>
  </si>
  <si>
    <t xml:space="preserve">huidspray           </t>
  </si>
  <si>
    <t xml:space="preserve">oogzalf 5 g              </t>
  </si>
  <si>
    <t xml:space="preserve">mondspoeling 200 ml             </t>
  </si>
  <si>
    <t xml:space="preserve">zeepoplossing 500 ml             </t>
  </si>
  <si>
    <t xml:space="preserve">zeepoplossing       </t>
  </si>
  <si>
    <t xml:space="preserve">ANESTHETICA niet vluchtige anesthetica            </t>
  </si>
  <si>
    <t>Onder ECG-controle i.v.m. mogelijk optreden van ritmestoornissen._x000D_
Werkt na ongeveer 1-1,5 uur.</t>
  </si>
  <si>
    <t>or: _x000D_
&lt; 2 jr: 7-10 mg/kg/dag in 1-2 doses_x000D_
2-10 jr: 3-7 mg/kg/dag in 1-2 doses _x000D_
&gt; 10 jr: 2-3 mg/kg/dag in 1-2 doses</t>
  </si>
  <si>
    <t>Neon.: iv 50 mg/kg onder EEG controle</t>
  </si>
  <si>
    <t>Neon.: or evt. onderhoud 10-30 mg/kg/dag in 1-3 doses</t>
  </si>
  <si>
    <t>or 40-80 mg/kg/dag in 1-2 doses, max 4 g/dag_x000D_
bij syndroom van West 50-150 mg/kg/dag, max 4 g/dag.</t>
  </si>
  <si>
    <t>Actieve immunisatie hepatitis A._x000D_
Geïnactiveerd virus vaccin, beschermend na 2-4 weken._x000D_
Niet gelijktijdig toedienen met levende vaccins.</t>
  </si>
  <si>
    <t xml:space="preserve">CYTOSTATICA                                                                                                                                                                                                                                                    </t>
  </si>
  <si>
    <t>inhalatie zonodig, max 8 dd 100-400 microg_x000D_
_x000D_
Neon.: zie boven</t>
  </si>
  <si>
    <t>Werking treedt snel in en houdt 4-6 uur aan. Gebruik van voorzetkamer (Volumatic, Babyhaler) wordt aangeraden.</t>
  </si>
  <si>
    <t>&gt; 7 jr: inhalatie zonodig, max 8 dd 200-400 microg</t>
  </si>
  <si>
    <t>Werking treedt snel in en houdt 4-6 uur aan.</t>
  </si>
  <si>
    <t>or 7,5-10 mg/kg/dag in 3-4 doses,_x000D_
max 800 mg/dag</t>
  </si>
  <si>
    <t>Orale toepassing als onderdeel van selectieve darmdecontaminatie.</t>
  </si>
  <si>
    <t>iv 40 mg/kg/dag in 3-4 doses,_x000D_
max 4,8 g/dag</t>
  </si>
  <si>
    <t>Bijw.: hyperglycemie, ritmestoornissen.</t>
  </si>
  <si>
    <t>bij diagnose en behandeling diabetes insipidus: dosering i.o.m. endocrinoloog/nefroloog_x000D_
_x000D_
enuresis nocturna: zie blz ?_x000D_
hematologische indicatie: zie blz ?</t>
  </si>
  <si>
    <t>Bijw.: maagdarmklachten, huid-afwijkingen, haarverlies, myopathie, duizeligheid, tinnitis._x000D_
Eerste effect na 4-6 weken. Na enige tijd dosisreductie toepassen._x000D_
Plasmaconcentratie meting mogelijk: dal: 0,2-0,5 mg/l.</t>
  </si>
  <si>
    <t>J.I.A.: or 30-50 mg/kg/dag in 2 doses max 2-3 g/dag_x000D_
de dosis met 1/4 einddosis per week insluipen_x000D_
_x000D_
bij colitis: zie blz ?</t>
  </si>
  <si>
    <t>chirurgisch handendesinfectans_x000D_
_x000D_
blaasspoeling: zie blz ?</t>
  </si>
  <si>
    <t>cetrimide</t>
  </si>
  <si>
    <t>rect: 10-15 mg/kg/dag in 2-3 doses, max 1250 mg/dag</t>
  </si>
  <si>
    <t>Test</t>
  </si>
  <si>
    <t>Chronische pijn: or/rect max 60 mg/kg/dag, max 3 g/dag</t>
  </si>
  <si>
    <t>Neon: à terme: or 60  mg/kg/dag in 4 doses; rect 60 mg/kg/dag in 3 doses.</t>
  </si>
  <si>
    <t>paracetamol + codeïne</t>
  </si>
  <si>
    <t>zie paracetamol, codeïne dosering</t>
  </si>
  <si>
    <t>5-Aminosalicylzuur (5-ASA)._x000D_
Mesalazine komt vrij vanaf het duodenum of het proximale jejunum.</t>
  </si>
  <si>
    <t>GroepNaam</t>
  </si>
  <si>
    <t>Adviestekst</t>
  </si>
  <si>
    <t>VormTekst</t>
  </si>
  <si>
    <t>Eenheid</t>
  </si>
  <si>
    <t xml:space="preserve">KOOLHYDRATEN  comb.prep.                                                                                                                                                                                                                                       </t>
  </si>
  <si>
    <t xml:space="preserve">inf 500 ml             </t>
  </si>
  <si>
    <t xml:space="preserve">iv                            </t>
  </si>
  <si>
    <t xml:space="preserve">inf                 </t>
  </si>
  <si>
    <t xml:space="preserve">ml             </t>
  </si>
  <si>
    <t xml:space="preserve">inf 1000 ml             </t>
  </si>
  <si>
    <t xml:space="preserve">inf 250 ml             </t>
  </si>
  <si>
    <t xml:space="preserve">inf 400 ml             </t>
  </si>
  <si>
    <t xml:space="preserve">ANTIDOTA                                                                                                                                                                                                                                                       </t>
  </si>
  <si>
    <t xml:space="preserve">flac 5 ml             </t>
  </si>
  <si>
    <t xml:space="preserve">flac                </t>
  </si>
  <si>
    <t xml:space="preserve">mg/ml          </t>
  </si>
  <si>
    <t>Kortwerkend ß2-sympathicomimeticum._x000D_
Cave paradoxale hypoxemie bij jonge zuigelingen. Bij acuut astma met zuurstof vernevelen._x000D_
Inhalatievloeistof 5 mg/ml bevat benzalkoniumchloride._x000D_
Nebule (inhalatievloeistof 1 mg/ml) is vrij van conservans.</t>
  </si>
  <si>
    <t>or &gt; 1 jr: 0,2-0,5 mg/kg/dosis_x000D_
's avonds, max 10 mg/dosis</t>
  </si>
  <si>
    <t>or 2-6 jr: 5 mg/dag in 2 doses_x000D_
&gt; 6 jr: 10 mg/dag in 2 doses_x000D_
&gt; 12 jr: 10 mg/dag in 1 dosis ('s avonds)</t>
  </si>
  <si>
    <t>inhalatie:_x000D_
normale dosis: 2 dd 100-400 microg_x000D_
hoge dosis: 2 dd 500-750 microg</t>
  </si>
  <si>
    <t>Cave candidiasis, dysfonie._x000D_
Mondkeelholte spoelen na inhalatie._x000D_
Gebruik van voorzetkamer (Volumatic, Babyhaler) wordt aangeraden._x000D_
Titreren tot de laagste effectieve dosis.</t>
  </si>
  <si>
    <t>&gt; 7 jr: inhalatie:_x000D_
normale dosis: 2 dd 100-400 microg_x000D_
hoge dosis: 2 dd 400-800 microg</t>
  </si>
  <si>
    <t>Cave candidiasis, dysfonie._x000D_
Mondkeelholte spoelen na inhalatie._x000D_
Titreren tot de laagste effectieve dosis.</t>
  </si>
  <si>
    <t>inhalatie:_x000D_
&lt; 7 jr: 2 dd 50-250 microg_x000D_
&gt; 7 jr: 2 dd 100-500 microg,_x000D_
max 1000 microg/dag_x000D_
_x000D_
Neon.: zie boven</t>
  </si>
  <si>
    <t>Zuurvormende stof, tevens toepassing bij hyperammoniëmie zie blz ?</t>
  </si>
  <si>
    <t>groeihorm. secretietest: or 0,15 mg/m2 naar boven afronden op een halve tabl._x000D_
_x000D_
adjuvans bij sedatie op IC zie blz ?</t>
  </si>
  <si>
    <t>Tevens intraveneuze toepassing op IC als adjuvans bij de sedatie in combinatie met benzodiazepinen.</t>
  </si>
  <si>
    <t>bepaling GH/ACTH reserve:_x000D_
0,05-0,1 mg/kg max 1,5 mg sc of im volgens protocol endocrinologie_x000D_
_x000D_
bepaling C-peptide (insuline reserve):_x000D_
15 microg/kg iv max 1 mg_x000D_
_x000D_
bij hyperinsulinisme:_x000D_
0,1 mg/kg im, max 1mg_x000D_
_x000D_
bij diabetesbehandeling: zie blz ?</t>
  </si>
  <si>
    <t>Bij ernstige hypoglykemie._x000D_
Bij onbekende oorzaak verdient toediening van glucose altijd de voorkeur.</t>
  </si>
  <si>
    <t>375 mg/m2 1x per week in 3 uur iv</t>
  </si>
  <si>
    <t xml:space="preserve">Tijdens de eerste infusie kunnen koorts, rillingen of rigor optreden. Cave tensiedalingen, bronchospasmen. Daarom infusiesnelheid van eerste infusie langzaam opvoeren._x000D_
Niet geregistreerd bij kinderen._x000D_
_x000D_
</t>
  </si>
  <si>
    <t>volgens diverse protocollen_x000D_
voor- en nazorg volgens protocol</t>
  </si>
  <si>
    <t xml:space="preserve">DERMATICA bij psoriasis                                                                                                                                                                                                                                        </t>
  </si>
  <si>
    <t xml:space="preserve">zalf 100 g              </t>
  </si>
  <si>
    <t xml:space="preserve">calciumgluconaat </t>
  </si>
  <si>
    <t xml:space="preserve">mmol Ca/ml     </t>
  </si>
  <si>
    <t xml:space="preserve">drank 50 ml             </t>
  </si>
  <si>
    <t>Bevat per tablet:_x000D_
 90 microg = 300 E vit A_x000D_
2,5 microg = 100 E vit D _x000D_
_x000D_
Bevat per druppel:_x000D_
36 microg = 120 E vit A_x000D_
  1 microg =   40 E vit D</t>
  </si>
  <si>
    <t>iv 1 ml/kg/dag, max 10 ml/dag toegevoegd aan TPN_x000D_
_x000D_
Neon.: 1 ml/kg/dag toegevoegd aan TPN</t>
  </si>
  <si>
    <t>spierverslapper:_x000D_
or 0,1-0,8 mg/kg/dag in 4 doses,_x000D_
max 40 mg/dag_x000D_
_x000D_
bij koortsconvulsies, status epilepticus:_x000D_
zie blz ?</t>
  </si>
  <si>
    <t>LabOpn_17</t>
  </si>
  <si>
    <t>LabOpn_18</t>
  </si>
  <si>
    <t>LabOpn_19</t>
  </si>
  <si>
    <t>LabOpn_20</t>
  </si>
  <si>
    <t>LabOpn_21</t>
  </si>
  <si>
    <t>LabOpn_22</t>
  </si>
  <si>
    <t>LabOpn_23</t>
  </si>
  <si>
    <t>LabOpn_24</t>
  </si>
  <si>
    <t>LabOpn_25</t>
  </si>
  <si>
    <t>LabOpn_26</t>
  </si>
  <si>
    <t>LabOpn_27</t>
  </si>
  <si>
    <t>Lab12__1</t>
  </si>
  <si>
    <t>Lab12__2</t>
  </si>
  <si>
    <t>Lab12__3</t>
  </si>
  <si>
    <t>Lab12__4</t>
  </si>
  <si>
    <t>Lab12__5</t>
  </si>
  <si>
    <t>Lab16u_12</t>
  </si>
  <si>
    <t>Lab16u_13</t>
  </si>
  <si>
    <t>Vit B12. Alleen bij aangetoonde deficiëntie (megaloblastaire anemie).</t>
  </si>
  <si>
    <t>hydroxychloroquine</t>
  </si>
  <si>
    <t>phenylbutyraat</t>
  </si>
  <si>
    <t>vitamine A/D/E/K</t>
  </si>
  <si>
    <t>miconazol</t>
  </si>
  <si>
    <t>DosGew</t>
  </si>
  <si>
    <t>dopa(dobuta-)mine</t>
  </si>
  <si>
    <t>(nor)adrenaline</t>
  </si>
  <si>
    <t xml:space="preserve">diazepam </t>
  </si>
  <si>
    <t xml:space="preserve">mannitol </t>
  </si>
  <si>
    <t>Beademing</t>
  </si>
  <si>
    <t>FiO2 60%</t>
  </si>
  <si>
    <t>insp. Time 40%</t>
  </si>
  <si>
    <t>instellen: or:_x000D_
&lt; 2 jr:  ong. 0,1 mg/kg/dag in 3-4 doses _x000D_
2-10 jr: ong. 0,05 mg/kg/dag in 3-4 doses _x000D_
&gt; 10 jr: 0,5 mg/dag in 3-4 doses; _x000D_
stapsgewijs verhogen met max 0,5 mg in 3 dagen _x000D_
_x000D_
onderhoud: or:_x000D_
&lt; 2 jr: 0,3-0,5 mg/kg/dag in 3-4 doses_x000D_
2-10 jr: 0,2-0,4 mg/kg/dag in 3-4 doses _x000D_
&gt; 10 jr: 0,1-0,2 mg/kg/dag in 3-4 doses, max 10 mg/dag</t>
  </si>
  <si>
    <t>=ber_bead!$F$2:$F$3</t>
  </si>
  <si>
    <t>tblInfusen</t>
  </si>
  <si>
    <t>=ber_Infusen!$A$1:$A$34</t>
  </si>
  <si>
    <t>tblInstellen</t>
  </si>
  <si>
    <t>=Instellen!$B$4:$G$21</t>
  </si>
  <si>
    <t>tblMedicatieIV</t>
  </si>
  <si>
    <t>=ber_IVmed!$B$3:$I$20</t>
  </si>
  <si>
    <t>tblMerkNaam</t>
  </si>
  <si>
    <t>=dbForm!$C$2:$C$1016</t>
  </si>
  <si>
    <t>tblMode</t>
  </si>
  <si>
    <t>=ber_bead!$E$2:$E$7</t>
  </si>
  <si>
    <t>tblOplossing</t>
  </si>
  <si>
    <t>=ber_IVmed!$P$3:$P$6</t>
  </si>
  <si>
    <t>tblPLV</t>
  </si>
  <si>
    <t>=ber_bead!$G$2:$G$3</t>
  </si>
  <si>
    <t>tblPrepNaam</t>
  </si>
  <si>
    <t>=dbForm!$U$2:$U$1018</t>
  </si>
  <si>
    <t>tblRecNo</t>
  </si>
  <si>
    <t>Reverse transcriptase remmer._x000D_
Voedsel heeft geen invloed op de biologische beschikbaarheid._x000D_
Dosis bij nierinsuff.: zie tabel blz ?</t>
  </si>
  <si>
    <t>Afrond_12</t>
  </si>
  <si>
    <t>Afrond_13</t>
  </si>
  <si>
    <t>Afrond_14</t>
  </si>
  <si>
    <t>=ber_lab!$D$16</t>
  </si>
  <si>
    <t>=ber_lab!$D$17</t>
  </si>
  <si>
    <t>=ber_lab!$D$4</t>
  </si>
  <si>
    <t>=ber_lab!$D$11</t>
  </si>
  <si>
    <t>=ber_lab!$D$3</t>
  </si>
  <si>
    <t>=ber_lab!$D$5</t>
  </si>
  <si>
    <t>=ber_lab!$D$6</t>
  </si>
  <si>
    <t>=ber_lab!$D$7</t>
  </si>
  <si>
    <t>=ber_lab!$D$8</t>
  </si>
  <si>
    <t>=ber_lab!$D$9</t>
  </si>
  <si>
    <t>=ber_lab!$D$10</t>
  </si>
  <si>
    <t>=ber_lab!$D$12</t>
  </si>
  <si>
    <t>=ber_lab!$E$2</t>
  </si>
  <si>
    <t>kaliumchloride</t>
  </si>
  <si>
    <t>calciumcarbonaat</t>
  </si>
  <si>
    <t>7-15 kg</t>
  </si>
  <si>
    <t>16-30 kg</t>
  </si>
  <si>
    <t>31-50 kg</t>
  </si>
  <si>
    <t>daunorubicine</t>
  </si>
  <si>
    <t>MedToed_9</t>
  </si>
  <si>
    <t>Infusen</t>
  </si>
  <si>
    <t>acenocoumarol</t>
  </si>
  <si>
    <t>or 0,6-1,2 mg/kg/dag in 3 doses, max 48 mg/dag</t>
  </si>
  <si>
    <t>fluconazol</t>
  </si>
  <si>
    <t>oxybuprocaine</t>
  </si>
  <si>
    <t>oog: 1 dr</t>
  </si>
  <si>
    <t>Bij persisteren van de neonatale convulsies e.c.i.</t>
  </si>
  <si>
    <t>MedIVSterkte_15</t>
  </si>
  <si>
    <t>MedKeuze_1</t>
  </si>
  <si>
    <t>MedKeuze_10</t>
  </si>
  <si>
    <t>MedKeuze_11</t>
  </si>
  <si>
    <t>MedKeuze_12</t>
  </si>
  <si>
    <t>MedKeuze_13</t>
  </si>
  <si>
    <t>MedOpl_7</t>
  </si>
  <si>
    <t>=ber_IVmed!$D$3</t>
  </si>
  <si>
    <t>=ber_IVmed!$D$12</t>
  </si>
  <si>
    <t>=ber_IVmed!$D$13</t>
  </si>
  <si>
    <t>=ber_IVmed!$D$14</t>
  </si>
  <si>
    <t>=ber_IVmed!$D$20</t>
  </si>
  <si>
    <t>=ber_IVmed!$D$4</t>
  </si>
  <si>
    <t>=ber_IVmed!$D$5</t>
  </si>
  <si>
    <t>=ber_IVmed!$D$6</t>
  </si>
  <si>
    <t>=ber_IVmed!$D$7</t>
  </si>
  <si>
    <t>vigabatrine</t>
  </si>
  <si>
    <t>salmeterol</t>
  </si>
  <si>
    <t>framycetine</t>
  </si>
  <si>
    <t>sulfadiazine</t>
  </si>
  <si>
    <t>teicoplanine</t>
  </si>
  <si>
    <t>theofylline</t>
  </si>
  <si>
    <t>berMedDisc</t>
  </si>
  <si>
    <t>opmerkingen bij discontinue medicatie</t>
  </si>
  <si>
    <t>opmAfsprBlad__1</t>
  </si>
  <si>
    <t>opmAfsprBlad__10</t>
  </si>
  <si>
    <t>Per 100 ml:</t>
  </si>
  <si>
    <t>methotrexaat</t>
  </si>
  <si>
    <t>hydroxocobalamine</t>
  </si>
  <si>
    <t>=dbBead!$D$2</t>
  </si>
  <si>
    <t>renale osteodystrofie:_x000D_
or start 0,04-0,08 microg/kg/dag, max 2 microg/dag, dosis titreren op geleide calcium- en fosfaathuishouding</t>
  </si>
  <si>
    <t>tocoferolacet. dl-a</t>
  </si>
  <si>
    <t>huid: 1-2 dd ged. 2-5- weken</t>
  </si>
  <si>
    <t>fenol + menthol</t>
  </si>
  <si>
    <t>huid: &gt; 2 jr:_x000D_
meermalen per dag op jeukende plek</t>
  </si>
  <si>
    <t>levomenthol</t>
  </si>
  <si>
    <t>huid: &gt; 2 jr: _x000D_
meermalen per dag op jeukende plek</t>
  </si>
  <si>
    <t>Bevat menthol en talk. Alleen op intacte huid aanbrengen._x000D_
Toepassing in de neus bij zuigelingen en jonge kinderen kan collaps veroorzaken.</t>
  </si>
  <si>
    <t>calcipotriol</t>
  </si>
  <si>
    <t>huid: volw.: 2 dd, max. 100 g per week</t>
  </si>
  <si>
    <t>=ber_Opm!$C$22</t>
  </si>
  <si>
    <t>=ber_Opm!$C$23</t>
  </si>
  <si>
    <t>=ber_Opm!$C$24</t>
  </si>
  <si>
    <t>=dbBead!$C$2</t>
  </si>
  <si>
    <t>glu</t>
  </si>
  <si>
    <t>na</t>
  </si>
  <si>
    <t>Volume stand</t>
  </si>
  <si>
    <t>extra glucose 5%</t>
  </si>
  <si>
    <t>aminozuren</t>
  </si>
  <si>
    <t>calorieen</t>
  </si>
  <si>
    <t>Totaal</t>
  </si>
  <si>
    <t>frequentie</t>
  </si>
  <si>
    <t>Wel/niet</t>
  </si>
  <si>
    <t>acetylcysteïne</t>
  </si>
  <si>
    <t>ELECTROLYT/GLUCOSE MENGSEL</t>
  </si>
  <si>
    <t>Lab</t>
  </si>
  <si>
    <t>0,05-0,5 mg/kg/uur</t>
  </si>
  <si>
    <t>morfine</t>
  </si>
  <si>
    <t>albumine 20%</t>
  </si>
  <si>
    <t>0,125-0,25 mg/kg/dag</t>
  </si>
  <si>
    <t>nicotinamide</t>
  </si>
  <si>
    <t>diclofenac</t>
  </si>
  <si>
    <t>erytromycine</t>
  </si>
  <si>
    <t>cefixim</t>
  </si>
  <si>
    <t>fluticason</t>
  </si>
  <si>
    <t>flucloxacilline</t>
  </si>
  <si>
    <t>ceftazidim</t>
  </si>
  <si>
    <t>fusidinezuur</t>
  </si>
  <si>
    <t>dosering afhankelijk van de periode gedurende welke bescherming nodig is (zie bijsluiter)</t>
  </si>
  <si>
    <t>Adrenaline</t>
  </si>
  <si>
    <t xml:space="preserve">Arterielijn: (&gt; 5 kg) flush 1E heparine/ml FZ met NaBic 8,4% 5 ml/500ml: 3 ml/uur </t>
  </si>
  <si>
    <t>CVL lijn lumenI:</t>
  </si>
  <si>
    <t>CVL lijn lumen II:</t>
  </si>
  <si>
    <t>zout</t>
  </si>
  <si>
    <t>Pols/AH om de</t>
  </si>
  <si>
    <t xml:space="preserve">NIBP om de </t>
  </si>
  <si>
    <t>natriumbenzoaat</t>
  </si>
  <si>
    <t>opmMedDisc__16</t>
  </si>
  <si>
    <t>opmMedDisc__17</t>
  </si>
  <si>
    <t>opmMedDisc__18</t>
  </si>
  <si>
    <t>opmMedDisc__19</t>
  </si>
  <si>
    <t>opmMedDisc__2</t>
  </si>
  <si>
    <t>Lab24u_1</t>
  </si>
  <si>
    <t>Lab24u_10</t>
  </si>
  <si>
    <t>Lab24u_11</t>
  </si>
  <si>
    <t>Huiddesinfectans, inwerkingsduur ca. 30 seconden. Snelle virusinactiverende werking, geen nawerking.</t>
  </si>
  <si>
    <t>ENDOCRINOLOGIE Overige</t>
  </si>
  <si>
    <t>alendroninezuur</t>
  </si>
  <si>
    <t xml:space="preserve">KNO-MIDDELEN voor lokale toepassing in de neus: antibioticum                                                                                                                                                                                                   </t>
  </si>
  <si>
    <t xml:space="preserve">mg/gram        </t>
  </si>
  <si>
    <t xml:space="preserve">neus                          </t>
  </si>
  <si>
    <t xml:space="preserve">zalf 35 g              </t>
  </si>
  <si>
    <t xml:space="preserve">drup vl 12 ml             </t>
  </si>
  <si>
    <t xml:space="preserve">drup vl 5 ml             </t>
  </si>
  <si>
    <t xml:space="preserve">patroon 1,8 ml             </t>
  </si>
  <si>
    <t xml:space="preserve">patroon             </t>
  </si>
  <si>
    <t xml:space="preserve">perineuraal    </t>
  </si>
  <si>
    <t xml:space="preserve">flac 30 ml             </t>
  </si>
  <si>
    <t xml:space="preserve">lotion 59 ml             </t>
  </si>
  <si>
    <t xml:space="preserve">lotion 60 ml             </t>
  </si>
  <si>
    <t xml:space="preserve">ANTISEPTICA EN DESINFECTANTIA                                                                                                                                                                                                                                  </t>
  </si>
  <si>
    <t xml:space="preserve">opl 100 ml             </t>
  </si>
  <si>
    <t xml:space="preserve">% v/v          </t>
  </si>
  <si>
    <t xml:space="preserve">opl 1000 ml             </t>
  </si>
  <si>
    <t>Score</t>
  </si>
  <si>
    <t>Datum en tijd</t>
  </si>
  <si>
    <t>Morfine</t>
  </si>
  <si>
    <t>Bolus (mg)</t>
  </si>
  <si>
    <t>Pompstand (ml/u) + dosering (mg/kg/dag)</t>
  </si>
  <si>
    <t>Pompstand (ml/u) + dosering (mg/kg/uur)</t>
  </si>
  <si>
    <t>Score: Getal is CS/VAS anders "V" verpleegkundig of "M" medische handeling</t>
  </si>
  <si>
    <t>AVEA</t>
  </si>
  <si>
    <t>or 1-6 mnd: 125 mg per voeding_x000D_
7-12 mnd: 250 mg per voeding</t>
  </si>
  <si>
    <t>Neon.: rect voor oplossen meconium_x000D_
&lt; 1 kg: 125 mg in 5 ml NaCl 0,9%_x000D_
&gt; 1 kg: 250 mg in 10 ml NaCl 0,9%</t>
  </si>
  <si>
    <t>huid: 1-2x per dag</t>
  </si>
  <si>
    <t>Bevat antimycoticum miconazol (Daktarin).</t>
  </si>
  <si>
    <t>momethason</t>
  </si>
  <si>
    <t>huid: 1x per dag</t>
  </si>
  <si>
    <t>tracheaal canule</t>
  </si>
  <si>
    <t>Lengte</t>
  </si>
  <si>
    <t>Druppelen</t>
  </si>
  <si>
    <t>iv 100 mg/kg/dag in 3-4 doses,_x000D_
max 6 g/dag_x000D_
_x000D_
cystic fibrosis:_x000D_
iv 100-150 mg/kg/dag in 3-4 doses, max 6 g/dag</t>
  </si>
  <si>
    <t>Tweede generatie cefalosporine._x000D_
t1/2 = 1-2 uur, bij neonaten 4-7 uur._x000D_
Dosis bij nierinsuff.: zie blz ?</t>
  </si>
  <si>
    <t>cefotaxim</t>
  </si>
  <si>
    <t>or 8 mg/kg/dag in 2 doses,_x000D_
max 400 mg/dag</t>
  </si>
  <si>
    <t>iv 50-150 mg/kg/dag in 4 doses,_x000D_
max 6 g/dag</t>
  </si>
  <si>
    <t>Tweede generatie cefalosporine._x000D_
t1/2 = ong. 1 uur. Neutropenie en thrombocytopenie zijn in zeldzame gevallen opgemerkt. Hypoprothrombinemie met of zonder bloedingen komt voor._x000D_
Dosis bij nierinsuff.: zie blz ?</t>
  </si>
  <si>
    <t>mondslijmvlies: 1-3 dd (na eten, voor slapen)</t>
  </si>
  <si>
    <t>volw. or: aanvankelijk 2 sachets in een keer 's morgens, na enkele dagen 1-3 sachets per dag</t>
  </si>
  <si>
    <t>Niet onverdund toedienen._x000D_
Cave ritmestoornissen en hypotensie._x000D_
Sterk hypertoon: minimaal 1 op 5 verdunnen met glucose 5%._x000D_
_x000D_
_x000D_
Bij neonaten: cave ritmestoornissen en hypotensie.</t>
  </si>
  <si>
    <t>Wordt niet geabsorbeerd na toediening via huid of slijmvliezen._x000D_
_x000D_
_x000D_
Wordt na orale toediening vrijwel niet geabsorbeerd._x000D_
Toepassing bij selectieve darmdecontaminatie.</t>
  </si>
  <si>
    <t>Oppervlak:</t>
  </si>
  <si>
    <t>acute ijzerintoxicatie:_x000D_
iv 10-15 mg/kg/uur gedurende 12 uur, max 6 g/dag_x000D_
_x000D_
chelatietherapie:_x000D_
sc: 25-50 mg/kg/nacht (ong. 10 uur) gedurende 3-5 dagen per week, bij voorkeur als 10% opl._x000D_
iv: 500 mg na elke transfusie van gefiltreerde ery's</t>
  </si>
  <si>
    <t>digoxine-intoxicatie:_x000D_
dosering altijd naar aanleiding van digoxineconcentratie: pas na de verdelingsfase (6 uur) geeft monster een representatieve waarde</t>
  </si>
  <si>
    <t>Extravasatie: direct hyaluronidase (zie blz ?) injecteren in het gebied. Bedek de extravasatieplaats met warme compressen. Overleg met plastisch chirurg.</t>
  </si>
  <si>
    <t>Extravasatie: ernstige reacties zijn niet te verwachten._x000D_
Infuus controleren op neerslagvorming.</t>
  </si>
  <si>
    <t>olie</t>
  </si>
  <si>
    <t>1 ml/kg;      max 15 ml</t>
  </si>
  <si>
    <t>60-50 ml</t>
  </si>
  <si>
    <t>50-40 ml</t>
  </si>
  <si>
    <t>40-30 ml</t>
  </si>
  <si>
    <t>Samenstelling E (z.o.z.)</t>
  </si>
  <si>
    <t xml:space="preserve"> 8 ml</t>
  </si>
  <si>
    <t>55-35 ml</t>
  </si>
  <si>
    <t>50-30 ml</t>
  </si>
  <si>
    <t>Glucose 25% (31 – 35 kg)</t>
  </si>
  <si>
    <t>Glucose 40% (36 – 50 kg)</t>
  </si>
  <si>
    <t>12 ml</t>
  </si>
  <si>
    <t>mycofenolaat</t>
  </si>
  <si>
    <t>MedOplVol_19</t>
  </si>
  <si>
    <t>KCl</t>
  </si>
  <si>
    <t>KClVol</t>
  </si>
  <si>
    <t>=ber_Med_disc!$B$11</t>
  </si>
  <si>
    <t>estradiol-17beta</t>
  </si>
  <si>
    <t>sojaolie-gefractioneerd</t>
  </si>
  <si>
    <t>arachide-olie</t>
  </si>
  <si>
    <t>interferon-alfa</t>
  </si>
  <si>
    <t>Amfotericine-B</t>
  </si>
  <si>
    <t>Insuline-kortwerkend</t>
  </si>
  <si>
    <t>alcohol-gedenatureerd</t>
  </si>
  <si>
    <t>carbasalaat-calcium</t>
  </si>
  <si>
    <t>multivitamine-preparaten</t>
  </si>
  <si>
    <t>vitamine-A/D</t>
  </si>
  <si>
    <t>vitamine-A/D/E/K</t>
  </si>
  <si>
    <t>gaviscon-(comb.prep)</t>
  </si>
  <si>
    <t>microlax-(comb.prep)</t>
  </si>
  <si>
    <t>morfine+bupivacaïne-(comb.prep)</t>
  </si>
  <si>
    <t>resorcinol-(comb.prep)</t>
  </si>
  <si>
    <t>transipeg-(comb.prep)</t>
  </si>
  <si>
    <t>pancreatine-(comb.prep.)</t>
  </si>
  <si>
    <t>neomycine-sulfaat</t>
  </si>
  <si>
    <t>nitisinon-ntbc</t>
  </si>
  <si>
    <t>nitroprusside-natrium</t>
  </si>
  <si>
    <t>oestrogenen-geconjugeerd</t>
  </si>
  <si>
    <t>ORS-rehydratiedrank</t>
  </si>
  <si>
    <t>polymyxine-B+trimethoprim</t>
  </si>
  <si>
    <t>retinol-acetaat</t>
  </si>
  <si>
    <t>sennosiden-a-b</t>
  </si>
  <si>
    <t>solutio-G-urotainer</t>
  </si>
  <si>
    <t>vitamine-B/C</t>
  </si>
  <si>
    <t>tetanus-immunoglobuline</t>
  </si>
  <si>
    <t xml:space="preserve">urotainer-fys.zout  </t>
  </si>
  <si>
    <t>varicella-zoster</t>
  </si>
  <si>
    <t>vitamine-B-complex</t>
  </si>
  <si>
    <t>digoxine-Fab-fragmenten</t>
  </si>
  <si>
    <t>DKTP-vaccin</t>
  </si>
  <si>
    <t>dornase-alfa</t>
  </si>
  <si>
    <t>DTP-vaccin</t>
  </si>
  <si>
    <t>fosfaat-gebufferd-zout-pH 7,4</t>
  </si>
  <si>
    <t>fosfaatdrank-AZU</t>
  </si>
  <si>
    <t>fysiologisch-zout</t>
  </si>
  <si>
    <t>fysostigmine-sulfaat</t>
  </si>
  <si>
    <t>gelatine-gemodificeerd</t>
  </si>
  <si>
    <t>Haemophilus-influenzae-b-vaccin</t>
  </si>
  <si>
    <t>heparine-natrium</t>
  </si>
  <si>
    <t>hepatitis-A-vaccin</t>
  </si>
  <si>
    <t>hepatitis-B-immunoglobuline</t>
  </si>
  <si>
    <t>hepatitis-B-vaccin</t>
  </si>
  <si>
    <t>immunoglobuline-intramusculair</t>
  </si>
  <si>
    <t>immunoglobuline-intraveneus-6%</t>
  </si>
  <si>
    <t>insuline-aspart</t>
  </si>
  <si>
    <t>insuline-lispro</t>
  </si>
  <si>
    <t>insuline-isofaan</t>
  </si>
  <si>
    <t>insuline-isofaan+kortwerkend</t>
  </si>
  <si>
    <t>kaliumfosfaat-drank-WKZ</t>
  </si>
  <si>
    <t>klean-prep-(comb.prep)</t>
  </si>
  <si>
    <t>kool-geactiveerd</t>
  </si>
  <si>
    <t>levodopa+carbidopa-10:1</t>
  </si>
  <si>
    <t>pethidine-cocktail-(comb.prep)</t>
  </si>
  <si>
    <t>Lab20__19</t>
  </si>
  <si>
    <t>Lab20__20</t>
  </si>
  <si>
    <t>Lab20__21</t>
  </si>
  <si>
    <t>Lab20__22</t>
  </si>
  <si>
    <t>Lab20__23</t>
  </si>
  <si>
    <t>Lab20__24</t>
  </si>
  <si>
    <t>Lab20__25</t>
  </si>
  <si>
    <t>Lab20__26</t>
  </si>
  <si>
    <t>Lab20__27</t>
  </si>
  <si>
    <t>opladen or: 10 mg/kg/dag in 2 doses_x000D_
gedurende 10 dagen_x000D_
_x000D_
onderhoud or: 2,5-5 mg/kg/dag in 1-3 doses, max 600 mg/dag</t>
  </si>
  <si>
    <t>Wordt in colon gesplitst in mesalazine en sulfapyridine (cave bijwerkingen). Controle bloedbeeld, lever- en nierfunctie en sulfaconc. bij nierfunctiestoornissen._x000D_
Tablet EC kan niet gepulveriseerd worden.</t>
  </si>
  <si>
    <t xml:space="preserve">Alkaliserende stoffen en buffers                                                                                                                                                                                                                               </t>
  </si>
  <si>
    <t xml:space="preserve">inf 100 ml             </t>
  </si>
  <si>
    <t xml:space="preserve">opl. 1000 ml             </t>
  </si>
  <si>
    <t xml:space="preserve">opl.                </t>
  </si>
  <si>
    <t xml:space="preserve">klysma 130 ml             </t>
  </si>
  <si>
    <t xml:space="preserve">ELEKTROLYTEN  fosfaten                                                                                                                                                                                                                                         </t>
  </si>
  <si>
    <t xml:space="preserve">verband             </t>
  </si>
  <si>
    <t xml:space="preserve">ooggel 5 g              </t>
  </si>
  <si>
    <t xml:space="preserve">amp 25 ml             </t>
  </si>
  <si>
    <t xml:space="preserve">ELEKTROLYTEN  natriumzouten                                                                                                                                                                                                                                    </t>
  </si>
  <si>
    <t xml:space="preserve">klysma 10 ml             </t>
  </si>
  <si>
    <t xml:space="preserve">amp 0,2 ml             </t>
  </si>
  <si>
    <t xml:space="preserve">implantatie                   </t>
  </si>
  <si>
    <t xml:space="preserve">spons               </t>
  </si>
  <si>
    <t>Heparine Beleid: zie TPN protocol WKZ mei/juni '93 (bijlage)._x000D_
_x000D_
CVC: centraal veneuze catheter.</t>
  </si>
  <si>
    <t>hepariniseren iv:_x000D_
opladen: 50 IE/kg in 15 min_x000D_
onderhoud: 20 IE/kg/uur_x000D_
_x000D_
Neon.: hepariniseren iv:_x000D_
opladen: 50 IE/kg in 15 min_x000D_
onderhoud: prematuur 15-20 IE/kg/uur_x000D_
à terme 25 IE/kg/uur</t>
  </si>
  <si>
    <t>Gezien toxiciteit en aanwezigheid van goede alternatieven wordt miconazol niet systemisch toegepast</t>
  </si>
  <si>
    <t>iv 3-6 mg/kg/dag in 1 dosis,_x000D_
max 400 mg/dag, in ernstige gevallen tot 12 mg/kg/dag_x000D_
_x000D_
Neon.: systemische candiasis iv:_x000D_
&lt; 2 weken: 4 mg/kg/dag in 1 dosis_x000D_
2-4 weken: 6 mg/kg/dag in 1 dosis</t>
  </si>
  <si>
    <t>Alternatief bij acute hypertensie voor kortdurend gebruik. Overleg nefroloog, ervaring bij kinderen zeer beperkt._x000D_
Cave reflextachycardie.</t>
  </si>
  <si>
    <t>bij hypertensie:_x000D_
or 25-100 mg/1,73 m2/dag in 1 dosis</t>
  </si>
  <si>
    <t>Synoniem: prostacycline._x000D_
Vaatverwijdende en trombocytenaggregatie remmende eigenschappen. Uitsluitend na overleg bij persisterende pulmonale hypertensie.</t>
  </si>
  <si>
    <t xml:space="preserve">TRACTUS CIRCULATORIUS diuretica                                                                                                                                                                                                                                </t>
  </si>
  <si>
    <t xml:space="preserve">mg/flac        </t>
  </si>
  <si>
    <t>500 mg = 200 mg Ca = 5 mmol Ca._x000D_
Eerste keus bij hypocalciëmie en als fosfaatbinder.</t>
  </si>
  <si>
    <t>500 mg Ca = 12,5 mmol Ca._x000D_
Niet tegelijk met fosfaat.</t>
  </si>
  <si>
    <t>Cave reactie met fosfaat._x000D_
_x000D_
_x000D_
_x000D_
_x000D_
_x000D_
_x000D_
Cave een hypomagnesiaemie, pre-existent of ten gevolge van het toegediende calcium.</t>
  </si>
  <si>
    <t>diabetes:_x000D_
&lt; 20 kg: sc/im 0,5 mg/dosis_x000D_
&gt; 20 kg: sc/im 1 mg/dosis, zonodig herhalen na 20 min_x000D_
_x000D_
diagnostische secretietesten: zie blz ?</t>
  </si>
  <si>
    <t>Werkt sneller en korter dan Actrapid.</t>
  </si>
  <si>
    <t>insuline isofaan</t>
  </si>
  <si>
    <t>Mengsels van gewone insuline en isofane protamine-insuline. Vaste combinaties variëren van 10/90 tot 40/60. Naarmate het percentage gewone insuline stijgt ligt het maximum van de werking eerder. Totale werkingsduur 16 uur.</t>
  </si>
  <si>
    <t>insuline aspart</t>
  </si>
  <si>
    <t>Niet op voorraad in AZU/WKZ</t>
  </si>
  <si>
    <t xml:space="preserve">DERMATICA bij eczeem                                                                                                                                                                                                                                           </t>
  </si>
  <si>
    <t xml:space="preserve">hoofdgel 60 g              </t>
  </si>
  <si>
    <t xml:space="preserve">hoofdgel            </t>
  </si>
  <si>
    <t xml:space="preserve">poeder 1 zakje          </t>
  </si>
  <si>
    <t xml:space="preserve">zakje          </t>
  </si>
  <si>
    <t xml:space="preserve">susp 500 ml             </t>
  </si>
  <si>
    <t xml:space="preserve">dispers             </t>
  </si>
  <si>
    <t xml:space="preserve">mg/dispers     </t>
  </si>
  <si>
    <t xml:space="preserve">OOG-MIDDELEN anti-allergica                                                                                                                                                                                                                                    </t>
  </si>
  <si>
    <t xml:space="preserve">drup fl 4 ml             </t>
  </si>
  <si>
    <t xml:space="preserve">strooipoeder 75 g              </t>
  </si>
  <si>
    <t xml:space="preserve">strooipoeder        </t>
  </si>
  <si>
    <t xml:space="preserve">fles 50 ml             </t>
  </si>
  <si>
    <t xml:space="preserve">zakje 50 ml             </t>
  </si>
  <si>
    <t xml:space="preserve">pot 100 g              </t>
  </si>
  <si>
    <t xml:space="preserve">huid: meermalen per dag. </t>
  </si>
  <si>
    <t xml:space="preserve">ANTIRHEUMATICA                                                                                                                                                                                                                                                 </t>
  </si>
  <si>
    <t xml:space="preserve">flac 15 ml             </t>
  </si>
  <si>
    <t xml:space="preserve">spuit 2 ml             </t>
  </si>
  <si>
    <t xml:space="preserve">INTRAVENEUS IMMUNOGLOBULINE                                                                         </t>
  </si>
  <si>
    <t xml:space="preserve">TRACTUS DIGESTIVUS middelen bij diarree                                                             </t>
  </si>
  <si>
    <t xml:space="preserve">caps retard         </t>
  </si>
  <si>
    <t xml:space="preserve">spuit 6 ml             </t>
  </si>
  <si>
    <t xml:space="preserve">milj.IE/st     </t>
  </si>
  <si>
    <t xml:space="preserve">flac 4 ml             </t>
  </si>
  <si>
    <t xml:space="preserve">ith            </t>
  </si>
  <si>
    <t xml:space="preserve">TRACTUS UROGENITALIS spasmolytische therapie                                                        </t>
  </si>
  <si>
    <t xml:space="preserve">im/iv                         </t>
  </si>
  <si>
    <t xml:space="preserve">dragee              </t>
  </si>
  <si>
    <t xml:space="preserve">mg/drag        </t>
  </si>
  <si>
    <t xml:space="preserve">PLASMACOMPONENTEN                                                                                                                                                                                                                                              </t>
  </si>
  <si>
    <t>=ber_Med_disc!$K$8</t>
  </si>
  <si>
    <t>=ber_Med_disc!$K$9</t>
  </si>
  <si>
    <t>=ber_Med_disc!$K$10</t>
  </si>
  <si>
    <t>Voor inductie: werkt 4-5 min._x000D_
Bijw.: spiertrekkingen door subcorticale ontremming._x000D_
Hemodynamisch stabiel. Adrenocorticale suppressie bij langdurig gebruik.</t>
  </si>
  <si>
    <t>esketamine</t>
  </si>
  <si>
    <t>iv 0,5-1 mg/kg in 1 min_x000D_
_x000D_
im/rect 3-5 mg/kg</t>
  </si>
  <si>
    <t>Extravasatie: ernstige necrose. IJs­compressen tegen de pijn. Overleg met plastisch chirurg voor excisie bij een ernstige reactie. De urine kleurt oranje.</t>
  </si>
  <si>
    <t>DIAGNOSTICA</t>
  </si>
  <si>
    <t>Beperkte indicatie: kortdurend tijdens specifieke perioden (zie inleiding)._x000D_
Cave waterintoxicatie.</t>
  </si>
  <si>
    <t>ter coupering van kolieken:_x000D_
iv/im: &gt; 2 jr 5 mg; volw 20 mg</t>
  </si>
  <si>
    <t>Parasympaticolyticum. Toepassing parenteraal als spasmolyticum in zeldzame gevallen. (orale absorptie zeer slecht)._x000D_
Voor pijnstilling: diclofenac blz ?.</t>
  </si>
  <si>
    <t>groeihormoon secretietest:_x000D_
iv 0,5 g/kg in 30 min, max 25 g</t>
  </si>
  <si>
    <t>2 maal daags 0,4 mg im_x000D_
afbouwschema als volgt_x000D_
5 dagen 0,4 en 0,2 mg im per dag _x000D_
5 dagen 0,2 en 0,2 mg im per dag _x000D_
5 dagen 0,2 mg im dan stop_x000D_
_x000D_
als diagnosticum: zie blz ?</t>
  </si>
  <si>
    <t xml:space="preserve">IE/dr          </t>
  </si>
  <si>
    <t xml:space="preserve">IE/tabl        </t>
  </si>
  <si>
    <t>=ber_Med_disc!$D$6</t>
  </si>
  <si>
    <t>=ber_Med_disc!$D$7</t>
  </si>
  <si>
    <t>clemastine</t>
  </si>
  <si>
    <t>or 25-50 microg/kg/dosis, max 2 dd</t>
  </si>
  <si>
    <t>im/iv 25-50 microg/kg/dosis, max 2 dd</t>
  </si>
  <si>
    <t>vitamine A/D</t>
  </si>
  <si>
    <t>Eerste keuze bij neonatale apneu, op geleide plasmaconcentratie (10-15 mg/l). Symptomen intoxicatie: tachycardie, braken, dehydratie met polyurie, hyperexitabiliteit, convulsies, hyperglycemie.</t>
  </si>
  <si>
    <t>colchicine</t>
  </si>
  <si>
    <t>=ber_IVmed!$F$5</t>
  </si>
  <si>
    <t>DosHoev</t>
  </si>
  <si>
    <t>DosTot</t>
  </si>
  <si>
    <t>Toed</t>
  </si>
  <si>
    <t>bloedende oesophagusvarices:_x000D_
start: iv 1 microg/kg gevolgd door onderhoud: continu iv 0,5-1 microg/kg/uur_x000D_
_x000D_
endocrinologische indicaties zie blz ?</t>
  </si>
  <si>
    <t xml:space="preserve">ANTIMICROBIËLE MIDDELEN tuberculostatica                                                                                                                                                                                                                       </t>
  </si>
  <si>
    <t>Bevat per ml (36 druppels): Vit A 1000 IE, thiamine 2 mg, riboflavine 2 mg, nicotinamide 15 mg, dexpanthenol 4 mg, pyridoxine 2 mg, ascorbinezuur 70 mg,  Vit D3 400 IE</t>
  </si>
  <si>
    <t>profylaxe or:_x000D_
1 tabl/dag of 3 dr/dag_x000D_
_x000D_
galgangatresie or:_x000D_
vit A/D 600/600 IE per dag (= 2 tabl Davitamon AD + 1 tabl Devaron 400 IE vitamine D)</t>
  </si>
  <si>
    <t xml:space="preserve">mg/spons       </t>
  </si>
  <si>
    <t>Zowel bij normale als bij verminderde nierfunctie doseren op geleide van plasmaconcentratie-metingen._x000D_
Plasmaconc. dal 5-8 mg/l_x000D_
Plasmaconc. top 15-30 mg/l (bij afname 0,5 uur na einde infusie)._x000D_
Bij nierinsuff. dosering aanpassen op geleide spiegel.</t>
  </si>
  <si>
    <t>de implantatiespons wordt geabsorbeerd</t>
  </si>
  <si>
    <t>=ber_lab!$E$15</t>
  </si>
  <si>
    <t>=ber_lab!$E$16</t>
  </si>
  <si>
    <t>=ber_lab!$E$17</t>
  </si>
  <si>
    <t>=ber_lab!$E$4</t>
  </si>
  <si>
    <t>=ber_lab!$E$11</t>
  </si>
  <si>
    <t>=ber_lab!$E$3</t>
  </si>
  <si>
    <t>=ber_lab!$E$5</t>
  </si>
  <si>
    <t>=ber_lab!$E$6</t>
  </si>
  <si>
    <t>=ber_lab!$E$7</t>
  </si>
  <si>
    <t>=ber_lab!$E$8</t>
  </si>
  <si>
    <t>glucose/zout</t>
  </si>
  <si>
    <t>Urine bepaling:</t>
  </si>
  <si>
    <t>Sediment</t>
  </si>
  <si>
    <t>Urinekweek</t>
  </si>
  <si>
    <t>Laboratorium</t>
  </si>
  <si>
    <t>12:00 uur</t>
  </si>
  <si>
    <t>16:00 uur</t>
  </si>
  <si>
    <t>20:00 uur</t>
  </si>
  <si>
    <t>24:00 uur</t>
  </si>
  <si>
    <t>LabOpn_4</t>
  </si>
  <si>
    <t>LabOpn_5</t>
  </si>
  <si>
    <t>LabOpn_6</t>
  </si>
  <si>
    <t>LabOpn_7</t>
  </si>
  <si>
    <t>Infuus_1</t>
  </si>
  <si>
    <t>Infuus_2</t>
  </si>
  <si>
    <t>Infuus_3</t>
  </si>
  <si>
    <t>Infuus_4</t>
  </si>
  <si>
    <t>Infuus_5</t>
  </si>
  <si>
    <t xml:space="preserve">ENDOCRINOLOGIE/GYNAECOLOGIE geslachtshormonen                                                       </t>
  </si>
  <si>
    <t>Na bereiken euthyreoïdie (4-6 weken) combineren met levothyroxine, of dosis titreren._x000D_
Bijw.: agranulocytose, myositis, myalgie, arthralgie, huidrash en leverfunctiestoornissen._x000D_
Bij overgevoeligheid kan propylthiouracil gebruikt worden.</t>
  </si>
  <si>
    <t>beenmergtransplantatie:_x000D_
volgens protocol en onder supervisie hematoloog</t>
  </si>
  <si>
    <t>Cave anafylactische reacties, overvulling._x000D_
Hematologische/immunologische indicatie.</t>
  </si>
  <si>
    <t>alleen indien orale toepassing onmogelijk is_x000D_
dosering gelijk aan orale dosis</t>
  </si>
  <si>
    <t xml:space="preserve">spuit 0,4 ml             </t>
  </si>
  <si>
    <t xml:space="preserve">microg/0,4 ml  </t>
  </si>
  <si>
    <t xml:space="preserve">spuit 0,5 ml             </t>
  </si>
  <si>
    <t xml:space="preserve">microg/0,5 ml  </t>
  </si>
  <si>
    <t>Na bereiken euthyreoïdie (4-6 weken) combineren met levothyroxine, of dosis titreren._x000D_
Bijw.: agranulocytose, myositis, myalgie, arthralgie, huidrash en leverfunctiestoornissen._x000D_
Bij overgevoeligheid kan thiamazol gebruikt worden</t>
  </si>
  <si>
    <t>Bijw.: extrapyramidale verschijnselen, met name bij jonge kinderen. Antidotum: biperideen.</t>
  </si>
  <si>
    <t xml:space="preserve">Wordt oraal slecht (ca 20%) geabsorbeerd. Wisselende plasmaspiegels zijn het gevolg. Orale toediening bij niet-ernstige infecties._x000D_
_x000D_
_x000D_
_x000D_
</t>
  </si>
  <si>
    <t>or 1800 mg/m2/dag in 3 doses_x000D_
volw: 2400 mg/dag in 3 doses</t>
  </si>
  <si>
    <t>CMV: aanvangstherapie: iv 10 mg/kg/dag in 2 doses, gedurende 2-3 weken,_x000D_
vervolgtherapie: iv 6 mg/kg/dag in 1 dosis, 5 maal per week</t>
  </si>
  <si>
    <t>amfotericine-B-liposomaal</t>
  </si>
  <si>
    <t>Ambisome (amfotericine-B-liposomaal)</t>
  </si>
  <si>
    <t>Kortwerkend lokaalanestheticum van het ester-type. Sterke vasoconstrictie._x000D_
Valt onder opiumwet, verslavend._x000D_
Uitsluitend voor oppervlakte-anesthesie tijdens operatieve KNO-ingrepen.</t>
  </si>
  <si>
    <t>Middellang werkend lokaalanestheticum van het amide-type. Licht vaatverwijdend.</t>
  </si>
  <si>
    <t xml:space="preserve">BLOED plasmavervangingsmiddelen                                                                                                                                                                                                                                </t>
  </si>
  <si>
    <t xml:space="preserve">flac 100 ml             </t>
  </si>
  <si>
    <t xml:space="preserve">flac 1000 ml             </t>
  </si>
  <si>
    <t xml:space="preserve">ml/1000ml      </t>
  </si>
  <si>
    <t>overige afspraken 2</t>
  </si>
  <si>
    <t>overige afspraken 3</t>
  </si>
  <si>
    <t>overige afspraken 4</t>
  </si>
  <si>
    <t>overige afspraken 5</t>
  </si>
  <si>
    <t>intake PO</t>
  </si>
  <si>
    <t>FreqPO_1</t>
  </si>
  <si>
    <t>FreqPO_2</t>
  </si>
  <si>
    <t>FreqPO_3</t>
  </si>
  <si>
    <t>FreqPO_4</t>
  </si>
  <si>
    <t>KeuzePO_1</t>
  </si>
  <si>
    <t>KeuzePO_2</t>
  </si>
  <si>
    <t>KeuzePO_3</t>
  </si>
  <si>
    <t>KeuzePO_4</t>
  </si>
  <si>
    <t>VolPO_1</t>
  </si>
  <si>
    <t>MedDosHoev_12</t>
  </si>
  <si>
    <t>MedDosHoev_13</t>
  </si>
  <si>
    <t>MedDosHoev_14</t>
  </si>
  <si>
    <t>Fosfaatdrank AZU bevat:_x000D_
fosfaat:   1   mmol/ml_x000D_
kalium :  0,7 mmol/ml_x000D_
natrium:  0,7 mmol/ml_x000D_
30 ml = 32 mmol fosfaat = 1 gram fosfor. Niet gelijktijdig met calcium.</t>
  </si>
  <si>
    <t>mmol fosfaat/ml</t>
  </si>
  <si>
    <t>Neon.:_x000D_
bij prematuren die borstvoeding krijgen en bij anderen op indicatie:_x000D_
or 4 ml/kg/dag in 4 doses</t>
  </si>
  <si>
    <t xml:space="preserve">TRACTUS DIGESTIVUS middelen bij chronische darmontstekingen                                                                                                                                                                                                    </t>
  </si>
  <si>
    <t xml:space="preserve">TRACTUS DIGESTIVUS middelen bij peptische aandoeningen                                                                                                                                                                                                         </t>
  </si>
  <si>
    <t xml:space="preserve">inf vl 500 ml             </t>
  </si>
  <si>
    <t xml:space="preserve">inf vl              </t>
  </si>
  <si>
    <t xml:space="preserve">ketting 30 kralen         </t>
  </si>
  <si>
    <t xml:space="preserve">ketting             </t>
  </si>
  <si>
    <t xml:space="preserve">mg/kraal       </t>
  </si>
  <si>
    <t xml:space="preserve">kralen         </t>
  </si>
  <si>
    <t xml:space="preserve">miniketting 10 kralen         </t>
  </si>
  <si>
    <t xml:space="preserve">miniketting         </t>
  </si>
  <si>
    <t xml:space="preserve">amp pediatrie 2 ml             </t>
  </si>
  <si>
    <t xml:space="preserve">amp pediatrie       </t>
  </si>
  <si>
    <t>bij acute astma-aanval inhalatie:_x000D_
&lt; 4 jr:  125 microg_x000D_
   4 jr:  125 microg_x000D_
&gt; 4 jr:  250 microg_x000D_
zonodig elk half uur herhalen_x000D_
bij eerste opvang in combinatie met kortwerkend ß2-sympathicomimeticum_x000D_
_x000D_
Neon.:_x000D_
inhalatie 125 microg</t>
  </si>
  <si>
    <t>or:_x000D_
1-2 mg/kg/dag in 1-2 doses, dit komt neer op:_x000D_
2-3 kg:     5 mg/dag in 1 dosis_x000D_
4-10 kg:   10-20 mg/dag in 1-2 doses_x000D_
11-20 kg: 20-40 mg/dag in 1-2 doses_x000D_
&gt; 20 kg:        40 mg/dag in 1-2 doses_x000D_
max 80 mg/dag</t>
  </si>
  <si>
    <t>Combinatiepreparaat (natriumalginaat + antacidum). Innemen na de maaltijd en voor het slapen gaan. Drank bevat veel natrium (6,3 mmol/10 ml) en wordt daarom niet in het eerste levensjaar gebruikt.</t>
  </si>
  <si>
    <t>rect:_x000D_
3-10 jr: 5 mg/dag in 1 dosis ’s avonds_x000D_
&gt; 10 jr: 5-10 mg/dag in 1 dosis ’s avonds</t>
  </si>
  <si>
    <t>Actieve immunisatie tegen hepatitis B._x000D_
Bij kinderen van HBsAg positieve moeders._x000D_
Vaccins niet mengen, op verschillende plaatsen inspuiten.</t>
  </si>
  <si>
    <t>hepatitis B immunoglobuline</t>
  </si>
  <si>
    <t>na incidentele besmetting:_x000D_
im 8 IE/kg_x000D_
na massale besmetting:_x000D_
im 50 IE/kg_x000D_
_x000D_
Neon.: im 300 IE direct post-partum,_x000D_
gevolgd door actieve immunisatie vanaf de 2e maand volgens schema met HB-Vax DNA</t>
  </si>
  <si>
    <t>Passieve immunisatie hepatitis B. Uiterlijk binnen 48 uur na vermeende besmetting toepassen._x000D_
_x000D_
Bij kinderen van HBsAg- en  HBeAg-positieve moeders.</t>
  </si>
  <si>
    <t>Conjugaat van polysacchariden van kapselantigeen van H.influenzae b. en geïnactiveerd tetanus toxoïde. Vaccinatie is vóór 5e jaar zinvol._x000D_
Vaccins niet mengen, op verschillende plaatsen inspuiten.</t>
  </si>
  <si>
    <t>immunoglobuline intramusculair</t>
  </si>
  <si>
    <t>Passieve immunisatie hepatitis A._x000D_
Ter preventie van reizigers naar gebieden waar hepatitis A endemisch is. Preventie tegen mazelen.</t>
  </si>
  <si>
    <t>voor kinderen dezelfde dosis als voor volwassenen,_x000D_
&lt; 6 jr: indien nooit in aanraking geweest met influenzavirus na 4 weken een tweede dosis geven, (niet bij hen die in een van de twee voorafgaande seizoenen gevaccineerd zijn)</t>
  </si>
  <si>
    <t>Bij toediening via perifere aderen een verdunde oplossing (tot 12 mg/ml) gebruiken i.v.m. thrombophlebitis, bij toediening via centraal veneuze catheter is dit niet nodig (opl. 24 mg/ml)._x000D_
Dosis bij nierinsuff. aanpassen volgens bijsluiter.</t>
  </si>
  <si>
    <t>lopinavir + ritonavir</t>
  </si>
  <si>
    <t>Lab16u_15</t>
  </si>
  <si>
    <t>Lab16u_16</t>
  </si>
  <si>
    <t>Lab20u_15</t>
  </si>
  <si>
    <t>Lab20u_16</t>
  </si>
  <si>
    <t>Lab24u_15</t>
  </si>
  <si>
    <t>Lab24u_16</t>
  </si>
  <si>
    <t>ursodeoxycholzuur</t>
  </si>
  <si>
    <t>MedInloop_1</t>
  </si>
  <si>
    <t>MedInloop_10</t>
  </si>
  <si>
    <t>MedInloop_11</t>
  </si>
  <si>
    <t>MedInloop_12</t>
  </si>
  <si>
    <t>MedInloop_13</t>
  </si>
  <si>
    <t>MedInloop_14</t>
  </si>
  <si>
    <t>1-4 mg/kg/dag</t>
  </si>
  <si>
    <t xml:space="preserve">penfill 3 ml             </t>
  </si>
  <si>
    <t xml:space="preserve">penfill             </t>
  </si>
  <si>
    <t>bij arthritis intra-articulair dosering afhankelijk van (aantal) aangedane gewrichten:_x000D_
&lt; 20 kg: 10 mg/gewricht_x000D_
&gt; 20 kg: 20 mg/gewricht_x000D_
max 40 mg/gewicht</t>
  </si>
  <si>
    <t>20 mg komt overeen met ca. 100 mg hydrocortison._x000D_
Niet voor intraveneus gebruik. Lang werkzaam (1-3 mnd.).</t>
  </si>
  <si>
    <t>corticosteroïdtherapie bij immunolo-gische/hematologische ziekte:_x000D_
lage dosis: or 0,25-1 mg/kg/dag in 3 doses_x000D_
hoge dosis: or 2 mg/kg/dag in 3 doses, max 80 mg/dag, afbouwschema individueel op geleide klinisch effect_x000D_
_x000D_
stressdosering zie inleiding blz ?</t>
  </si>
  <si>
    <t>5 mg komt overeen met ca. 20 mg hydrocortison._x000D_
Prednison wordt in de lever in actief  prednisolon omgezet: zie opmerking inleiding._x000D_
Tevens onderdeel van triple-therapie na niertransplantatie, zie protocol._x000D_
Bijw.: hyperglycemie, ritmestoornissen.</t>
  </si>
  <si>
    <t>Neon.: bronchopulmonale dysplasie:_x000D_
iv/or 5 mg/kg/dag in 4 doses ged. 7 dagen, afbouwfase: vermindering met 1 dosis om de 5 dagen op kliniek_x000D_
_x000D_
afbouwschema, stressdosering: zie inleiding blz ? , ?</t>
  </si>
  <si>
    <t xml:space="preserve">doses/verp     </t>
  </si>
  <si>
    <t xml:space="preserve">unit dose 2 ml             </t>
  </si>
  <si>
    <t>opmAfsprBlad__14</t>
  </si>
  <si>
    <t>opmAfsprBlad__2</t>
  </si>
  <si>
    <t>opmAfsprBlad__3</t>
  </si>
  <si>
    <t>opmAfsprBlad__4</t>
  </si>
  <si>
    <t>opmAfsprBlad__5</t>
  </si>
  <si>
    <t>oog</t>
  </si>
  <si>
    <t>lokaal</t>
  </si>
  <si>
    <t>intra-articulair</t>
  </si>
  <si>
    <t>lidocaïne</t>
  </si>
  <si>
    <t>cyclofosfamide</t>
  </si>
  <si>
    <t>cyclopentolaat</t>
  </si>
  <si>
    <t xml:space="preserve">Anticholinergicum met een werkingsduur van 24 uur. </t>
  </si>
  <si>
    <t>InstMedIVStand_4</t>
  </si>
  <si>
    <t>ethosuximide</t>
  </si>
  <si>
    <t>lynestrenol</t>
  </si>
  <si>
    <t>alprostadil</t>
  </si>
  <si>
    <t>Antihistaminicum met weinig depressie van CZS en nauwelijks anticholinerge bijwerkingen.</t>
  </si>
  <si>
    <t>=ber_Med_disc!$P$3</t>
  </si>
  <si>
    <t>=ber_Med_disc!$P$21</t>
  </si>
  <si>
    <t>=ber_Med_disc!$P$4</t>
  </si>
  <si>
    <t>=ber_Med_disc!$P$5</t>
  </si>
  <si>
    <t>=ber_Med_disc!$P$6</t>
  </si>
  <si>
    <t>=ber_Med_disc!$P$7</t>
  </si>
  <si>
    <t>=ber_Med_disc!$P$8</t>
  </si>
  <si>
    <t>=ber_Med_disc!$P$9</t>
  </si>
  <si>
    <t>=ber_Med_disc!$P$10</t>
  </si>
  <si>
    <t>=ber_IVmed!$B$26</t>
  </si>
  <si>
    <t>=ber_IVmed!$B$35</t>
  </si>
  <si>
    <t>=ber_IVmed!$B$36</t>
  </si>
  <si>
    <t>=ber_IVmed!$B$37</t>
  </si>
  <si>
    <t>=ber_IVmed!$B$38</t>
  </si>
  <si>
    <t>=ber_IVmed!$B$39</t>
  </si>
  <si>
    <t>=ber_IVmed!$B$40</t>
  </si>
  <si>
    <t>=ber_IVmed!$B$27</t>
  </si>
  <si>
    <t>=ber_IVmed!$B$28</t>
  </si>
  <si>
    <t>=ber_IVmed!$B$29</t>
  </si>
  <si>
    <t>=ber_IVmed!$B$30</t>
  </si>
  <si>
    <t>=ber_IVmed!$B$31</t>
  </si>
  <si>
    <t>=ber_IVmed!$B$32</t>
  </si>
  <si>
    <t>=ber_IVmed!$B$33</t>
  </si>
  <si>
    <t>=ber_IVmed!$B$34</t>
  </si>
  <si>
    <t>=ber_IVmed!$C$36</t>
  </si>
  <si>
    <t>=ber_IVmed!$C$37</t>
  </si>
  <si>
    <t>=ber_IVmed!$C$38</t>
  </si>
  <si>
    <t>=ber_IVmed!$C$39</t>
  </si>
  <si>
    <t>=ber_IVmed!$C$40</t>
  </si>
  <si>
    <t>ganciclovir</t>
  </si>
  <si>
    <t>opmMedDisc__1</t>
  </si>
  <si>
    <t>opmMedDisc__10</t>
  </si>
  <si>
    <t>Lab06u_10</t>
  </si>
  <si>
    <t>Lab06u_11</t>
  </si>
  <si>
    <t>Oplossing</t>
  </si>
  <si>
    <t>hydrochloorthiazide</t>
  </si>
  <si>
    <t>mmol/mg</t>
  </si>
  <si>
    <t>povidon-jood</t>
  </si>
  <si>
    <t>laxans: doseren op geleide effect_x000D_
aanvankelijk or 1-2 ml/kg/dag in 2-3 doses, max 100 ml/dag_x000D_
_x000D_
bij precoma/coma hepaticum:_x000D_
or 1,5 ml/kg/dag in 3 doses, max 150 ml/dag_x000D_
_x000D_
Neon.: or 0,5 ml/kg/dag in 1 dosis, zo nodig tot 1 ml/kg/dag in 2 doses</t>
  </si>
  <si>
    <t>&gt; 1 jr: rect 2,5 ml/kg/keer,_x000D_
max 130 ml/keer</t>
  </si>
  <si>
    <t>or aanvang:_x000D_
1-6 jr: 0,5-1,5 g/kg/dag in 2-3 doses_x000D_
6-12 jr: 10-30 g/dag in 2-3 doses_x000D_
12-16 jr: 20-60 g/dag in 2-3 doses,_x000D_
dosis instellen op behoefte patiënt</t>
  </si>
  <si>
    <t>1 poeder oplossen in 1 liter water_x000D_
dosering: zie protocol afdeling chirurgie/gastro-enterologie</t>
  </si>
  <si>
    <t>Colonlavage, voorafgaand aan operatie van de darm._x000D_
Bevat per sachet:_x000D_
macrogol 3350   59 g_x000D_
na-sulfaat           5,7 g_x000D_
na-carbonaat     1,7 g_x000D_
na-chloride         1,5 g_x000D_
kaliumchloride    0,7 g_x000D_
Cave electrolytstoornissen.</t>
  </si>
  <si>
    <t>or:           dag 1     dag 2      dag 3_x000D_
tot 5 kg    1 mg    0,5 mg   0,25 mg_x000D_
5-10 kg:   1 mg       1 mg     0,5 mg_x000D_
10-20 kg: 2 mg    1,5 mg        1 mg_x000D_
20-30 kg: 3 mg       2 mg        1 mg_x000D_
30-40 kg: 4 mg       3 mg        2 mg _x000D_
40-60 kg: 6 mg       4 mg        3 mg_x000D_
&gt; 60 kg:   8 mg       4 mg        4 mg</t>
  </si>
  <si>
    <t xml:space="preserve">Het AZU-klysma is een heldere oplossing (beperkt houdbaar) en is niet gelijk aan het FNA-klysma._x000D_
_x000D_
_x000D_
_x000D_
</t>
  </si>
  <si>
    <t>Breed werkingsspectrum waaronder Ps aeruginosa. Op voorschrift oogarts. Wordt ook toegepast in het oor.</t>
  </si>
  <si>
    <t>oog: 5 dd aanbrengen in onderste conjunctivaalzak</t>
  </si>
  <si>
    <t>=ber_lab!$G$4</t>
  </si>
  <si>
    <t>=ber_lab!$G$11</t>
  </si>
  <si>
    <t>=ber_lab!$G$3</t>
  </si>
  <si>
    <t>=dbBead!$AM$2</t>
  </si>
  <si>
    <t>=ber_Med_disc!$F$2</t>
  </si>
  <si>
    <t>=ber_Med_disc!$F$11</t>
  </si>
  <si>
    <t>MedDosHoev_11</t>
  </si>
  <si>
    <t>StandDos_1</t>
  </si>
  <si>
    <t>StandDos_10</t>
  </si>
  <si>
    <t>StandDos_11</t>
  </si>
  <si>
    <t>StandDos_12</t>
  </si>
  <si>
    <t>StandDos_13</t>
  </si>
  <si>
    <t>StandDos_14</t>
  </si>
  <si>
    <t>StandDos_15</t>
  </si>
  <si>
    <t>StandDos_16</t>
  </si>
  <si>
    <t>StandDos_17</t>
  </si>
  <si>
    <t>fenoxymethyl-penicilline</t>
  </si>
  <si>
    <t>Tijdens conditionering profylactisch clonazepam geven.</t>
  </si>
  <si>
    <t>MedInloop_4</t>
  </si>
  <si>
    <t>MedInloop_5</t>
  </si>
  <si>
    <t>MedInloop_6</t>
  </si>
  <si>
    <t xml:space="preserve">klysma 1 ml             </t>
  </si>
  <si>
    <t xml:space="preserve">klysma 2,5 ml             </t>
  </si>
  <si>
    <t>galgangatresie:_x000D_
or 15-20 IE/kg/dag in 1 dosis</t>
  </si>
  <si>
    <t>Neon.: onderhoud (alleen bij borstvoeding zonder Breast Milk Fortifier) begin 7 dagen na geboorte: or 25 microg/dag = 5 dr, doorgaan tot en met de derde levensmaand</t>
  </si>
  <si>
    <t>Vit K is betrokken bij de bloedstolling. _x000D_
Plasmaspiegels zijn bij neonaten lager dan bij volwassenen. Vit K profylaxe verkleint de kans op bloedingen bij pasgeborenen.</t>
  </si>
  <si>
    <t>or 2-6 jr: 5 mg/keer max 6 dd_x000D_
   6-12 jr: 10 mg/keer max 6 dd_x000D_
   &gt;12 jr: 20 mg/keer max 6 dd</t>
  </si>
  <si>
    <t>als diagnosticum: im 1500 IE éénmalig (Pregnyltest) i.o.m. endocrinoloog</t>
  </si>
  <si>
    <t>Glycoproteïne met vooral LH-effect._x000D_
Bijw: huiduitslag, hoofdpijn, irritatie.</t>
  </si>
  <si>
    <t xml:space="preserve">Dosis bij nierinsuff.: zie tabel blz ?_x000D_
_x000D_
_x000D_
_x000D_
_x000D_
Bij cystic fibrosis op stricte indicatie, altijd in combinatie met aminoglycoside._x000D_
</t>
  </si>
  <si>
    <t xml:space="preserve">chorion-gonadotrofine </t>
  </si>
  <si>
    <t xml:space="preserve">ANTIMICROBIËLE MIDDELEN fluorochinolonen                                                                                                                                                                                                                       </t>
  </si>
  <si>
    <t xml:space="preserve">flac 50 ml             </t>
  </si>
  <si>
    <t xml:space="preserve">drank 80 ml             </t>
  </si>
  <si>
    <t xml:space="preserve">drup fl 10 ml             </t>
  </si>
  <si>
    <t xml:space="preserve">microg/tabl    </t>
  </si>
  <si>
    <t>profylactisch: langzaam, diep im:_x000D_
250 IE, altijd simultaan met 0,5 ml tetanusvaccin, bij ernstige wonden of indien &gt; 24 uur geleden en bij adipeuze volw 500 IE_x000D_
_x000D_
therapeutisch: langzaam, diep im:_x000D_
3000 IE/dag ged. 2 dagen, na herstel actieve immunisatie</t>
  </si>
  <si>
    <t>Op voorraad in WKZ.</t>
  </si>
  <si>
    <t>im volgens bijsluiter:_x000D_
&lt; 20 kg 2 ml_x000D_
&gt; 20 kg 4 ml,_x000D_
bij hernieuwde blootstelling later dan 3 weken dosis herhalen</t>
  </si>
  <si>
    <t>onderhoudsbehoefte in TPN in g/kg/dag continu iv opklimmen in 3-5 dagen_x000D_
2-30 kg: 3 (= 15 ml/kg/dag)_x000D_
31-50 kg:  2 (= 10 ml/kg/dag)_x000D_
_x000D_
Neon.:_x000D_
2,4 g/kg/dag (=12 ml/kg/dag)</t>
  </si>
  <si>
    <t>verdun 1 deel met 9 delen water</t>
  </si>
  <si>
    <t>Zie protocol mondverzorging.</t>
  </si>
  <si>
    <t>Dakin's vloeistof 1:5 wordt gebruikt als chirurgische spoeling (wonden, lichaamsholten)._x000D_
1 mg/g = 0,1% actief chloor.</t>
  </si>
  <si>
    <t>Eusol is een paraffine bevattend smeersel, wordt gebuikt bij decubitis. Maakt deel uit van de cytostatica noodset._x000D_
2,5 mg/g = 0,25% actief chloor.</t>
  </si>
  <si>
    <t>Voorheen Savlon 1:100._x000D_
Bevat chloorhexidine 0,15 mg/ml en cetrimide 1,5 mg/ml.</t>
  </si>
  <si>
    <t>Perifeer infuus 1: medicatie</t>
  </si>
  <si>
    <t>Arterielijn:</t>
  </si>
  <si>
    <t>MgCl</t>
  </si>
  <si>
    <t>MgClVol</t>
  </si>
  <si>
    <t>NaCl</t>
  </si>
  <si>
    <t>iv / inhalatie</t>
  </si>
  <si>
    <t>=ber_Med_disc!$F$18</t>
  </si>
  <si>
    <t>=ber_Med_disc!$F$19</t>
  </si>
  <si>
    <t>=ber_Med_disc!$F$20</t>
  </si>
  <si>
    <t>=ber_Med_disc!$F$3</t>
  </si>
  <si>
    <t>=ber_Med_disc!$F$21</t>
  </si>
  <si>
    <t>=ber_Med_disc!$F$4</t>
  </si>
  <si>
    <t>opmAfsprBlad__7</t>
  </si>
  <si>
    <t>opmAfsprBlad__8</t>
  </si>
  <si>
    <t>opmAfsprBlad__9</t>
  </si>
  <si>
    <t>nitroglycerine</t>
  </si>
  <si>
    <t>nitroprusside natrium</t>
  </si>
  <si>
    <t>extra glucose 10%</t>
  </si>
  <si>
    <t>1 IE = 1 mg vit E.</t>
  </si>
  <si>
    <t>losartan</t>
  </si>
  <si>
    <t xml:space="preserve">ANTI-EPILEPTICA                                                                                                                                                                                                                                                </t>
  </si>
  <si>
    <t xml:space="preserve">drank 250 ml             </t>
  </si>
  <si>
    <t xml:space="preserve">tabl ret            </t>
  </si>
  <si>
    <t xml:space="preserve">OOG-MIDDELEN traanvervangende preparaten                                                                                                                                                                                                                       </t>
  </si>
  <si>
    <t xml:space="preserve">ooggel 10 g              </t>
  </si>
  <si>
    <t xml:space="preserve">DERMATICA huid-corticosteroiden                                                                                                                                                                                                                                </t>
  </si>
  <si>
    <t xml:space="preserve">creme 30 g              </t>
  </si>
  <si>
    <t>Hoog osmolair ionogeen contrastmiddel. Joodgehalte 146 mg I/ml. Via blaascatheter.</t>
  </si>
  <si>
    <t>antiarrhythmicum:_x000D_
iv 0,2-1,5 mg/kg/keer in 5-10 min</t>
  </si>
  <si>
    <t>Is "zoete olie". Bij overgevoeligheid zalven en W/O-cremes verwijderen met paraffine.</t>
  </si>
  <si>
    <t>cetomacrogolwas</t>
  </si>
  <si>
    <t>voorlopige richtlijn:_x000D_
&lt; 1 m2: 10 mg/dag in 1 dosis or_x000D_
&gt; 1 m2: 20 mg/dag in 1 dosis or</t>
  </si>
  <si>
    <t xml:space="preserve">HORMONEN thyreostatica                                                                                                                                                                                                                                         </t>
  </si>
  <si>
    <t xml:space="preserve">amp 100 ml             </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</si>
  <si>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cystic fibrosis:_x000D_
iv 10 mg/kg/dag in 2 doses in 30 min, bijstellen op geleide plasmaconc.</t>
  </si>
  <si>
    <t>Cave 1 ml bevat tevens 1,25 mmol kalium en 0,5 mmol natrium; Niet als bolus onverdund toedienen!_x000D_
Cave aritmieën bij snelle infusie: maximale toedieningssnelheid 0,05 mmol fosfaat/kg/uur, met spuitenpomp. Cave reactie met calcium.</t>
  </si>
  <si>
    <t>bij hypokaliëmie doseren op geleide plasma kalium concentratie_x000D_
_x000D_
onderhoudsbehoefte kalium in TPN_x000D_
in mmol/kg/dag continu iv_x000D_
&lt; 3 kg: 1-2 (= 1-2 ml/kg/dag)_x000D_
&gt; 3 kg: 1-3 (= 1-3 ml/kg/dag)</t>
  </si>
  <si>
    <t>Bijw: hyperkaliëmie, cave nierinsufficiëntie en kaliumsparende diuretica._x000D_
Niet onverdund als bolus toedienen! Cave aritmieën bij snelle infusie. Max. concentratie perifere lijn: 0,08 mmol/ml d.w.z. max 40 mmol toevoegen aan 500 ml.</t>
  </si>
  <si>
    <t>bij hypokaliëmie doseren op geleide plasma kalium concentratie</t>
  </si>
  <si>
    <t>Sterk anti-histamine effect, weinig hypno-sedatief t.g.v. geringe  cerebrale penetratie. Vrijwel geen anticholinergisch effect. Cetirizine is een actieve metaboliet van hydroxizine.</t>
  </si>
  <si>
    <t>Sonde:</t>
  </si>
  <si>
    <t>Volume tot</t>
  </si>
  <si>
    <t>inhalatie: 2 dd 25-50 microg</t>
  </si>
  <si>
    <t>Range</t>
  </si>
  <si>
    <t>Waarde</t>
  </si>
  <si>
    <t>plantago ovata</t>
  </si>
  <si>
    <t>fysostigmine sulfaat</t>
  </si>
  <si>
    <t>gentamicine</t>
  </si>
  <si>
    <t>glucagon</t>
  </si>
  <si>
    <t>indometacine</t>
  </si>
  <si>
    <t>isoniazide</t>
  </si>
  <si>
    <t>claritromycine</t>
  </si>
  <si>
    <t>cefamandol</t>
  </si>
  <si>
    <t>meropenem</t>
  </si>
  <si>
    <t>trimethoprim</t>
  </si>
  <si>
    <t>ethambutol</t>
  </si>
  <si>
    <t>iv start 0,1 mg/kg/uur onder continue bewaking bloeddruk, dosis op geleide effect titreren max 3,5 mg/kg/dag_x000D_
_x000D_
Neon.:_x000D_
iv start 0,1 mg/kg/uur onder continue bewaking bloeddruk, dosis op geleide effect titreren max 3,5 mg/kg/dag</t>
  </si>
  <si>
    <t xml:space="preserve">Werking houdt 8-12 uur aan. Bij nierfunctiestoornis dosering aanpassen. Profylaxe o.a. tijdens inductiekuren ALL, ANLL-kuren, BMT-conditionering en (Non)Hodgkin kuren. </t>
  </si>
  <si>
    <t>Lab24u_13</t>
  </si>
  <si>
    <t>Lab24u_14</t>
  </si>
  <si>
    <t>hyaluronidase</t>
  </si>
  <si>
    <t>MedOpl_20</t>
  </si>
  <si>
    <t>MedOpl_3</t>
  </si>
  <si>
    <t>MedOpl_4</t>
  </si>
  <si>
    <t>MedOpl_5</t>
  </si>
  <si>
    <t>MedOpl_6</t>
  </si>
  <si>
    <t>sojaolie gefractioneerd</t>
  </si>
  <si>
    <t>StandDos</t>
  </si>
  <si>
    <t>DosEenh</t>
  </si>
  <si>
    <t>mg</t>
  </si>
  <si>
    <t>ml</t>
  </si>
  <si>
    <t>%</t>
  </si>
  <si>
    <t>opmMedDisc__3</t>
  </si>
  <si>
    <t>opmMedDisc__4</t>
  </si>
  <si>
    <t>opmMedDisc__5</t>
  </si>
  <si>
    <t>opmMedDisc__6</t>
  </si>
  <si>
    <t>opmMedDisc__7</t>
  </si>
  <si>
    <t>opmMedDisc__20</t>
  </si>
  <si>
    <t>gecompliceerde UWI:_x000D_
or 10 mg/kg/dag in 2 doses,_x000D_
max 800 mg/dag_x000D_
_x000D_
profylaxe: 2-5 mg/kg/dag in 1 dosis</t>
  </si>
  <si>
    <t>Norfloxacine is niet geregistreerd voor gebruik bij kinderen. Zie inleiding._x000D_
Dosis bij nierinsuff.: zie tabel blz ?</t>
  </si>
  <si>
    <t>iv/im: 1 mg/kg/keer, max 50 mg/dag, zo nodig herhalen</t>
  </si>
  <si>
    <t>chloralhydraat</t>
  </si>
  <si>
    <t>fentanyl</t>
  </si>
  <si>
    <t>microg</t>
  </si>
  <si>
    <t>=ber_lab!$G$5</t>
  </si>
  <si>
    <t>=ber_lab!$G$6</t>
  </si>
  <si>
    <t>=ber_lab!$G$7</t>
  </si>
  <si>
    <t>=ber_lab!$G$8</t>
  </si>
  <si>
    <t>=ber_Med_disc!$F$16</t>
  </si>
  <si>
    <t>=ber_Med_disc!$F$17</t>
  </si>
  <si>
    <t>nevirapine</t>
  </si>
  <si>
    <t>or 240-400 mg/m2/dag in 2 doses,_x000D_
insluipen met halve dosis in 1 dd ged. 2 wkn, slechts ophogen naar onderhoud indien geen huidreactie optreedt_x000D_
_x000D_
Neon.: profylaxe 2 weken_x000D_
or 5 mg/kg/dag in 1 dosis of_x000D_
240 mg/m2/dag in 2 doses</t>
  </si>
  <si>
    <t>iv/sc 2-10 microg/kg/dag_x000D_
op geleide bloedbeeld in overleg met hematoloog</t>
  </si>
  <si>
    <t>Evaluatie d.m.v. bepaling van leukocytengetal en differentiatie, trombocytengetal, reticulocytengetal, Hb en Ht, LD, alkalische fosfatase en transaminasen.</t>
  </si>
  <si>
    <t>iv/sc 2-10 microg/kg/dag_x000D_
op geleide bloedbeeld in overleg met hematoloog_x000D_
_x000D_
Neon.: in overleg met hematoloog</t>
  </si>
  <si>
    <t>1 microg = 0,1x milj E._x000D_
Evaluatie d.m.v. bepaling van neutrofielengetal, reticulocytengetal, gamma-GT, alkalische fosfatase en transaminasen.</t>
  </si>
  <si>
    <t>iv 50 mg/kg/dag in 3-4 doses gedurende 5 dagen</t>
  </si>
  <si>
    <t>or 50 mg/kg/dag in 3-4 doses gedurende 5 dagen</t>
  </si>
  <si>
    <t>Bijzonderheden</t>
  </si>
  <si>
    <t>or: stapsgewijs (bijv elke 3-7 dagen) instellen op 0,75-2 mg/kg/dag in 4 doses, max 70 mg/dag</t>
  </si>
  <si>
    <t>MedStart_8</t>
  </si>
  <si>
    <t>MedStart_9</t>
  </si>
  <si>
    <t>seleen</t>
  </si>
  <si>
    <t>=ber_Med_disc!$E$10</t>
  </si>
  <si>
    <t>=dbBead!$S$2</t>
  </si>
  <si>
    <t>=dbBead!$V$2</t>
  </si>
  <si>
    <t>=dbBead!$AE$2</t>
  </si>
  <si>
    <t>=dbBead!$AJ$2</t>
  </si>
  <si>
    <t>=ber_PO!$L$22</t>
  </si>
  <si>
    <t>=ber_PO!$L$23</t>
  </si>
  <si>
    <t>=ber_PO!$L$24</t>
  </si>
  <si>
    <t>=ber_PO!$L$25</t>
  </si>
  <si>
    <t>=dbBead!$F$2</t>
  </si>
  <si>
    <t>=dbBead!$G$2</t>
  </si>
  <si>
    <t>=dbBead!$P$2</t>
  </si>
  <si>
    <t>=ber_Infusen!$E$2</t>
  </si>
  <si>
    <t>gaviscon (comb.prep.)</t>
  </si>
  <si>
    <t>bij hypomagnesiëmie doseren op geleide plasma magnesium concentratie, voorkeur voor magnesiumchloride_x000D_
_x000D_
bij hartritmestoornissen zie blz ?</t>
  </si>
  <si>
    <t>Niet onverdund toedienen._x000D_
Niet verenigbaar met calciumzouten._x000D_
Bij voorkeur continu of over enige uren toedienen._x000D_
_x000D_
Minimaal 1 op 5 verdunnen met fysiologisch zout of glucose_x000D_
_x000D_
1 ml = 2 mmol Mg = 500 mg magnesiumsulfaat</t>
  </si>
  <si>
    <t xml:space="preserve">Fysiologisch zout 0,9% = per liter =_x000D_
9 g NaCl (= 153 mmol Na en Cl)._x000D_
</t>
  </si>
  <si>
    <t>=ber_lab!$G$12</t>
  </si>
  <si>
    <t>=ber_lab!$C$2</t>
  </si>
  <si>
    <t>=ber_lab!$C$13</t>
  </si>
  <si>
    <t>=ber_lab!$C$14</t>
  </si>
  <si>
    <t>=ber_lab!$C$15</t>
  </si>
  <si>
    <t>=ber_lab!$C$16</t>
  </si>
  <si>
    <t>=ber_lab!$C$17</t>
  </si>
  <si>
    <t>=ber_lab!$C$4</t>
  </si>
  <si>
    <t>or 5 mg/kg/dag in 2-3 doses</t>
  </si>
  <si>
    <t>MM</t>
  </si>
  <si>
    <t>Nutramigen</t>
  </si>
  <si>
    <t>Speciale voeding</t>
  </si>
  <si>
    <t>Calorien</t>
  </si>
  <si>
    <t>Koolhydraten</t>
  </si>
  <si>
    <t>Natrium</t>
  </si>
  <si>
    <t>Phosfaat</t>
  </si>
  <si>
    <t>StartDatum_18</t>
  </si>
  <si>
    <t>StartDatum_19</t>
  </si>
  <si>
    <t>StartDatum_2</t>
  </si>
  <si>
    <t>furosemide</t>
  </si>
  <si>
    <t>isosorbide</t>
  </si>
  <si>
    <t>mannitol</t>
  </si>
  <si>
    <t>spironolacton</t>
  </si>
  <si>
    <t>alimemazine</t>
  </si>
  <si>
    <t>alizapride</t>
  </si>
  <si>
    <t>ml/kg/24 uur</t>
  </si>
  <si>
    <t>Dag 1</t>
  </si>
  <si>
    <t>Dag 2</t>
  </si>
  <si>
    <t>Dag 3 e.v.</t>
  </si>
  <si>
    <t>Aantekeningen</t>
  </si>
  <si>
    <t>ml/uur</t>
  </si>
  <si>
    <t>per 24 uur</t>
  </si>
  <si>
    <t>Apotheek</t>
  </si>
  <si>
    <t>6 ml</t>
  </si>
  <si>
    <t>15 ml</t>
  </si>
  <si>
    <t>6 dd</t>
  </si>
  <si>
    <t>8 dd</t>
  </si>
  <si>
    <t>12 dd</t>
  </si>
  <si>
    <t>x</t>
  </si>
  <si>
    <t>Arts:</t>
  </si>
  <si>
    <t>=ber_Med_disc!$F$8</t>
  </si>
  <si>
    <t>=ber_Med_disc!$F$9</t>
  </si>
  <si>
    <t>=ber_Med_disc!$F$10</t>
  </si>
  <si>
    <t>=dbBead!$AD$2</t>
  </si>
  <si>
    <t>=dbBead!$AL$2</t>
  </si>
  <si>
    <t>=dbBead!$L$2</t>
  </si>
  <si>
    <t>=ber_Med_disc!$E$2</t>
  </si>
  <si>
    <t>=ber_Med_disc!$E$11</t>
  </si>
  <si>
    <t>=ber_Med_disc!$E$12</t>
  </si>
  <si>
    <t>=ber_Med_disc!$E$13</t>
  </si>
  <si>
    <t>=ber_Med_disc!$E$14</t>
  </si>
  <si>
    <t>=ber_Med_disc!$E$15</t>
  </si>
  <si>
    <t>MedKeuze_17</t>
  </si>
  <si>
    <t>MedKeuze_18</t>
  </si>
  <si>
    <t>MedKeuze_19</t>
  </si>
  <si>
    <t>MedKeuze_2</t>
  </si>
  <si>
    <t>MedKeuze_20</t>
  </si>
  <si>
    <t>MedKeuze_3</t>
  </si>
  <si>
    <t>MedKeuze_4</t>
  </si>
  <si>
    <t>MedKeuze_5</t>
  </si>
  <si>
    <t>MedKeuze_6</t>
  </si>
  <si>
    <t>MedKeuze_7</t>
  </si>
  <si>
    <t>MedKeuze_8</t>
  </si>
  <si>
    <t>MedKeuze_9</t>
  </si>
  <si>
    <t>MedOpl_1</t>
  </si>
  <si>
    <t>MedOpl_10</t>
  </si>
  <si>
    <t>MedOpl_11</t>
  </si>
  <si>
    <t>MedOpl_12</t>
  </si>
  <si>
    <t>MedOpl_13</t>
  </si>
  <si>
    <t>MedOpl_14</t>
  </si>
  <si>
    <t>MedOpl_15</t>
  </si>
  <si>
    <t>SpecVoed_7</t>
  </si>
  <si>
    <t>procaïnamide</t>
  </si>
  <si>
    <t>gonadoreline</t>
  </si>
  <si>
    <t>Vernevelaar</t>
  </si>
  <si>
    <t>Neusbril</t>
  </si>
  <si>
    <t>zinksulfaat</t>
  </si>
  <si>
    <t>amsacrine</t>
  </si>
  <si>
    <t>intracutaan 0,1 ml</t>
  </si>
  <si>
    <t>rect 50-75 mg/kg/keer, max 1500 mg/keer</t>
  </si>
  <si>
    <t>=ber_Med_disc!$C$20</t>
  </si>
  <si>
    <t>=ber_Med_disc!$C$3</t>
  </si>
  <si>
    <t>=ber_Med_disc!$C$21</t>
  </si>
  <si>
    <t>=ber_Med_disc!$C$4</t>
  </si>
  <si>
    <t>=ber_Med_disc!$C$5</t>
  </si>
  <si>
    <t>=ber_Med_disc!$C$6</t>
  </si>
  <si>
    <t>=ber_Med_disc!$C$7</t>
  </si>
  <si>
    <t>=ber_Med_disc!$C$8</t>
  </si>
  <si>
    <t>=ber_Med_disc!$C$9</t>
  </si>
  <si>
    <t>=ber_Med_disc!$H$11</t>
  </si>
  <si>
    <t>=ber_Med_disc!$H$12</t>
  </si>
  <si>
    <t>CVL lijn lumen II: medicatie</t>
  </si>
  <si>
    <t>MedToed_11</t>
  </si>
  <si>
    <t>oog: 4-6 dd 1 dr, max 14 dagen</t>
  </si>
  <si>
    <t>sterkte bij 1 ml/uur</t>
  </si>
  <si>
    <t>eenheid</t>
  </si>
  <si>
    <t>stand</t>
  </si>
  <si>
    <t>volume</t>
  </si>
  <si>
    <t>geleidings- of infiltratieanesthesie_x000D_
N.B. bevat 12,5 microg adrenaline/ml:_x000D_
max 10 microg adrenaline/kg/ingreep!</t>
  </si>
  <si>
    <t>Toepassing bij plastische chirurgie en tandheelkunde._x000D_
Cave hoge dosis adrenaline._x000D_
Bijw.: ritmestoornissen met name in combinatie met halothaan-anesthesie._x000D_
Contra-indicaties: hypertensie, cardiovasculaire aandoeningen.</t>
  </si>
  <si>
    <t>op slijmvliezen, mag worden ingeslikt  max 3-5 mg/kg/keer; (volw: 3 dd 10-15 ml)</t>
  </si>
  <si>
    <t>Oppervlakte-anesthesie mondkeelholte en slokdarm.</t>
  </si>
  <si>
    <t>op de huid_x000D_
_x000D_
_x000D_
lidocaine bij convulsies: zie blz ?_x000D_
als antiarrhythmicum: zie blz ?</t>
  </si>
  <si>
    <t>or 50 mg/kg/keer, zonodig halve dosis herhalen, max 1500 mg/keer_x000D_
_x000D_
Neon.: or 50 mg/kg/keer, via voedingssonde</t>
  </si>
  <si>
    <t xml:space="preserve">amp 3 ml             </t>
  </si>
  <si>
    <t>polystyreen-sulfonzuur</t>
  </si>
  <si>
    <t xml:space="preserve">IE/0,3 ml      </t>
  </si>
  <si>
    <t>Bij parenterale voeding._x000D_
Bevat per ml: Vit A 230 IE, Vit D2  40 IE, Vit E  0,7 IE, Vit K 20 microg</t>
  </si>
  <si>
    <t xml:space="preserve">tabl  </t>
  </si>
  <si>
    <t xml:space="preserve">drank  </t>
  </si>
  <si>
    <t xml:space="preserve">flac  </t>
  </si>
  <si>
    <t xml:space="preserve">caps  </t>
  </si>
  <si>
    <t xml:space="preserve">zetp  </t>
  </si>
  <si>
    <t xml:space="preserve">tabl retard  </t>
  </si>
  <si>
    <t xml:space="preserve">caps retard  </t>
  </si>
  <si>
    <t xml:space="preserve">dragee  </t>
  </si>
  <si>
    <t xml:space="preserve">tabl enteric  </t>
  </si>
  <si>
    <t xml:space="preserve">poeder  </t>
  </si>
  <si>
    <t xml:space="preserve">pleister  </t>
  </si>
  <si>
    <t xml:space="preserve">granulaat  </t>
  </si>
  <si>
    <t xml:space="preserve">bruistablet  </t>
  </si>
  <si>
    <t xml:space="preserve">sachet  </t>
  </si>
  <si>
    <t xml:space="preserve">tabl chrono  </t>
  </si>
  <si>
    <t xml:space="preserve">caps sprinkle  </t>
  </si>
  <si>
    <t xml:space="preserve">tabl ret  </t>
  </si>
  <si>
    <t xml:space="preserve">dispers  </t>
  </si>
  <si>
    <t xml:space="preserve">caps enteric  </t>
  </si>
  <si>
    <t xml:space="preserve">verband  </t>
  </si>
  <si>
    <t xml:space="preserve">spons  </t>
  </si>
  <si>
    <t xml:space="preserve">zuigtabl  </t>
  </si>
  <si>
    <t xml:space="preserve">zalfgaas 10x12 cm  </t>
  </si>
  <si>
    <t xml:space="preserve">opl  </t>
  </si>
  <si>
    <t xml:space="preserve">smeersel  </t>
  </si>
  <si>
    <t xml:space="preserve">tabl mitis  </t>
  </si>
  <si>
    <t xml:space="preserve">kauwtabl  </t>
  </si>
  <si>
    <t xml:space="preserve">drup fl  </t>
  </si>
  <si>
    <t xml:space="preserve">poeder voor klysma  </t>
  </si>
  <si>
    <t xml:space="preserve">caps ret enteric  </t>
  </si>
  <si>
    <t xml:space="preserve">klysma  </t>
  </si>
  <si>
    <t xml:space="preserve">amp  </t>
  </si>
  <si>
    <t xml:space="preserve">susp  </t>
  </si>
  <si>
    <t xml:space="preserve">inh caps  </t>
  </si>
  <si>
    <t xml:space="preserve">spuit  </t>
  </si>
  <si>
    <t>IE</t>
  </si>
  <si>
    <t>heparine</t>
  </si>
  <si>
    <t>IE/kg/uur</t>
  </si>
  <si>
    <t>15-20 IE/kg/uur</t>
  </si>
  <si>
    <t>0,25-2 mcg/kg/uur</t>
  </si>
  <si>
    <t>afronding</t>
  </si>
  <si>
    <t>oplossing</t>
  </si>
  <si>
    <t>mcg/kg/uur</t>
  </si>
  <si>
    <t xml:space="preserve">ELEKTROLYTEN calciumzouten                                                                                                                                                                                                                                     </t>
  </si>
  <si>
    <t xml:space="preserve">g/tabl         </t>
  </si>
  <si>
    <t>Opioïde welke echter niet onder de opiaatregeling valt. Zwakker werkend dan morfine. Bij nierinsuff. Clcr &lt; 30 ml/min minimaal doseerinterval 12 uur. Bijw.: misselijkheid.</t>
  </si>
  <si>
    <t>iv indien oraal niets geabsorbeerd wordt, de iv dosis wordt afgeleid uit de orale dosis i.o.m. de endocrinoloog</t>
  </si>
  <si>
    <t>De absorptie na orale toediening is wisselend en onvolledig: 50-80%, vooral in aanwezigheid van voedsel. De intraveneuze dosis is dus lager.</t>
  </si>
  <si>
    <t>Neon.: bij thyreotoxicosis:_x000D_
or 3 dd 1 druppel_x000D_
_x000D_
Neon.: als stralingsprofylaxe:_x000D_
or 3 dd 1 druppel, start en duur in overleg met nucleair geneeskundige</t>
  </si>
  <si>
    <t>rect &gt; 1 jr: 1-2 mg/kg/keer, 3-4 dd_x000D_
&gt; 14 jr: 50-100 mg/keer, 3-4 dd, max 400 mg/dag</t>
  </si>
  <si>
    <t>inductie:  0,5-1 microg/kg_x000D_
onderhoud: 0,25 microg/kg/min_x000D_
(range 0,1-2 microg/kg/min)</t>
  </si>
  <si>
    <t>J.I.A.: starten or: _x000D_
&lt; 20 kg: 100 mg/kg/dag in 3 doses_x000D_
&gt; 20 kg:  80 mg/kg/dag in 3 doses onderhoudsdosering op geleide plasma-concentratie_x000D_
_x000D_
trombocytenaggregatieremming: zie blz ?</t>
  </si>
  <si>
    <t xml:space="preserve">SPIERRELAXANTIA centraal werkend                                                                                                                                                                                                                               </t>
  </si>
  <si>
    <t>Bij hyperkaliëmie. Bevat natrium 100 mg/g.  Natrium- en kalium-plasmaconc. regelmatig controleren._x000D_
Cave obstipatie._x000D_
Ad-hoc receptuur op aanvraag._x000D_
Poeder: prijs per gram.</t>
  </si>
  <si>
    <t>rect 1g/kg in mannitol 15%,_x000D_
1 g bindt ong. 1 mmol kalium</t>
  </si>
  <si>
    <t>or 50-250 mg/kg/dag in 3 doses,_x000D_
afhankelijk van kalium-intake</t>
  </si>
  <si>
    <t xml:space="preserve">HORMONEN thyreomimetica                                                                                                                                                                                                                                        </t>
  </si>
  <si>
    <t xml:space="preserve">DERMATICA bij jeuk                                </t>
  </si>
  <si>
    <t xml:space="preserve">schudsel 200 ml             </t>
  </si>
  <si>
    <t xml:space="preserve">schudsel            </t>
  </si>
  <si>
    <t xml:space="preserve">STOFWISSELINGSZIEKTEN vetstofwisselingsziekten                                                                                                                                                                                                                 </t>
  </si>
  <si>
    <t xml:space="preserve">sachet              </t>
  </si>
  <si>
    <t xml:space="preserve">g/sachet       </t>
  </si>
  <si>
    <t xml:space="preserve">inhalatie      </t>
  </si>
  <si>
    <t xml:space="preserve">TRACTUS CIRCULATORIUS cardiotonica                                                                                                                                                                                                                             </t>
  </si>
  <si>
    <t>intubatie: iv:_x000D_
2-6 mnd: 0,15 mg/kg_x000D_
&gt; 6 mnd: 0,20 mg/kg</t>
  </si>
  <si>
    <t>Effect binnen 1-1,5 min. Werkingsduur 9 min.</t>
  </si>
  <si>
    <t>5-Aminosalicylzuur (5-ASA)._x000D_
Pentasa geeft aktieve stof geleidelijk over gehele maag-darmkanaal af._x000D_
Tablet bevat breukstreep._x000D_
Tablet gesuspendeerd in water kan via maagsonde gegeven worden._x000D_
Zetpil alleen gebruiken bij proctitis.</t>
  </si>
  <si>
    <t>infliximab</t>
  </si>
  <si>
    <t>ziekte van Crohn:_x000D_
iv 5 mg/kg/dosis, frequentie afhankelijk van klinisch resultaat, speciale voorzorgen bij toediening volgens protocol</t>
  </si>
  <si>
    <t>Niet geregistreerd bij kinderen, wel in klinisch onderzoek._x000D_
Vooraf screenen op tuberculose._x000D_
Tevens in klinisch onderzoek bij J.I.A._x000D_
Infliximab is gericht tegen tumornecrosefactor-alfa.</t>
  </si>
  <si>
    <t>bij colitis: or 50-100 mg/kg/dag in 3-4 doses (in eenheden van 500 mg), max 6 g/dag_x000D_
_x000D_
bij J.I.A.: zie blz ?</t>
  </si>
  <si>
    <t xml:space="preserve">ANALGETICA niet-morfinomimetica                   </t>
  </si>
  <si>
    <t xml:space="preserve">mg/poeder      </t>
  </si>
  <si>
    <t xml:space="preserve">IE/flac        </t>
  </si>
  <si>
    <t xml:space="preserve">TRACTUS CIRCULATORIUS ß-receptorblokkerende stoffen                                                 </t>
  </si>
  <si>
    <t>Hematologische/immunologische indicatie.</t>
  </si>
  <si>
    <t>rituximab</t>
  </si>
  <si>
    <t>Neon.: iv:_x000D_
dag 1 opladen: 10 mg/kg in 1 dosis_x000D_
vanaf dag 2 onderhoud: 2,5 mg/kg/dag in 1 dosis</t>
  </si>
  <si>
    <t>Neon.: or 4 mg/kg/dag in 4 doses</t>
  </si>
  <si>
    <t>cystic fibrosis: inhalatie_x000D_
1-4 dd 500 mg d.w.z._x000D_
5 ml + 5 ml fysiol. zout vernevelen_x000D_
_x000D_
paracetamolintoxicatie, reflex-dystrofie,_x000D_
zie hoofdstuk antidota blz ?_x000D_
blaasspoeling: zie blz ?</t>
  </si>
  <si>
    <t>Eerste keus bij vernevelen. Irritatie en bronchospasmen kunnen optreden._x000D_
In de thuis-situatie wordt gebruikt:_x000D_
-Mucomyst inh.vl 200 mg/ml (20%; welke 1:3 verdund wordt) of _x000D_
-Fluimucil inh.vl 100 mg/ml (10%; welke 1:1 verdund wordt).</t>
  </si>
  <si>
    <t xml:space="preserve">ANTIMICROBIËLE MIDDELEN glycopeptiden                                                                                                                                                                                                                          </t>
  </si>
  <si>
    <t xml:space="preserve">IE/0,5 ml      </t>
  </si>
  <si>
    <t xml:space="preserve">minim 0,2 ml             </t>
  </si>
  <si>
    <t xml:space="preserve">caps sprinkle       </t>
  </si>
  <si>
    <t>iv 100-150 mg/kg/dag in 3-4 doses, max 12 g/dag_x000D_
_x000D_
profylaxe bij immuunsuppressie en mucositis:_x000D_
iv 100 mg/kg/dag in 3-4 doses, max 4 g/dag_x000D_
_x000D_
Neon.: iv:_x000D_
1e levensweek: 100 mg/kg/dag in 2 doses_x000D_
na 1e levensweek:_x000D_
&lt; 1500 g: 100 mg/kg/dag in 2 doses_x000D_
&gt; 1500 g: 150 mg/kg/dag in 3 doses</t>
  </si>
  <si>
    <t>100-200 mg/kg/dag in 4 doses,_x000D_
max 12 g/dag_x000D_
_x000D_
Neon.: iv:_x000D_
1e levensweek 100 mg/kg/dag in 2 doses_x000D_
na 1e levensweek:_x000D_
&lt; 1500 g: 100 mg/kg/dag in 2 doses_x000D_
&gt; 1500 g: 150 mg/kg/dag in 3 doses_x000D_
_x000D_
gonococcen conjunctivitis:_x000D_
iv 50 mg/kg/dag in 2 doses ged. 7 dagen</t>
  </si>
  <si>
    <t>iv 100-150 mg/kg/dag in 3 doses,_x000D_
max 6 g/dag_x000D_
_x000D_
cystic fibrosis:_x000D_
iv 150-200 mg/kg/dag in 3-4 doses,_x000D_
max 12 g/dag_x000D_
of 100 mg/kg/dag continu iv na een oplaaddosis van 100 mg/kg,_x000D_
max12 g/dag_x000D_
_x000D_
Neon.: iv:_x000D_
1e levenswk 100 mg/kg/dag in 2 doses_x000D_
na 1e levensweek:_x000D_
&lt; 1500 g: 100 mg/kg/dag in 2 doses_x000D_
&gt; 1500 g: 150 mg/kg/dag in 3 doses</t>
  </si>
  <si>
    <t>3 mnd-12 jr: iv 30-60 mg/kg/dag in 3 doses, bij meningitis 120 mg/kg/dag in 3 doses_x000D_
&gt; 50 kg: iv  3 dd 500 mg - 1 g, bij meningitis: 3 dd 2 g_x000D_
_x000D_
cystic fibrosis: iv:_x000D_
60 mg/kg/dag in 3 doses_x000D_
_x000D_
Neon.: iv_x000D_
&lt; 3 weken: 40 mg/kg/dag in 2 doses_x000D_
&gt; 3 weken: 60 mg/kg/dag in 3 doses</t>
  </si>
  <si>
    <t>iv 100.000-300.000 IE/kg/dag in 6-8 doses, max 24 milj IE/dag._x000D_
_x000D_
Neon.: bij sepsis iv:_x000D_
1e levensweek:_x000D_
&lt; 1500 g: 50.000 IE/kg/dag in 2 doses_x000D_
&gt; 1500 g: 100.000 IE/kg/dag in 3 doses_x000D_
na 1e levensweek: 150.000 IE/kg/dag in 4 doses_x000D_
_x000D_
Neon.: bij meningitis iv:_x000D_
500.000 IE/kg/dag in 6 doses</t>
  </si>
  <si>
    <t>methanol-, ethyleenglycolintoxicatie:_x000D_
iv opladen: 10 ml/kg in 1 uur_x000D_
onderhoudsdosering en vervolgbehandeling in overleg met apotheker vaststellen, op geleide plasmaconcentratiemetingen</t>
  </si>
  <si>
    <t>acute pijn, postoperatieve pijn:_x000D_
or 60-90 mg/kg/dag in 4-6 doses, eerste gift dubbele dosis, max 1 g per dosis, max 4 g/dag; bij zeer slechte conditie max 60 mg/kg/dag (zie bijz.)_x000D_
_x000D_
chronische pijn:_x000D_
or max 60 mg/kg/dag, max 3 g/dag_x000D_
_x000D_
Neon.: à terme:_x000D_
or 60 mg/kg/dag in 4 doses</t>
  </si>
  <si>
    <t>Sympathicomimeticum (voornamelijk a-effect) met een werkingsduur van 6 uur. Cave ernstige systemische bijwerkingen: hypertensie, subarachnoïdale bloeding, aritmieëen, myocardinfarct.</t>
  </si>
  <si>
    <t xml:space="preserve">OOG-MIDDELEN lokaalanesthetica                                                                                                                                                                                                                                 </t>
  </si>
  <si>
    <t xml:space="preserve">mg totaal      </t>
  </si>
  <si>
    <t xml:space="preserve">poeder 125 mg             </t>
  </si>
  <si>
    <t xml:space="preserve">mg             </t>
  </si>
  <si>
    <t xml:space="preserve">poeder 250 mg             </t>
  </si>
  <si>
    <t>glycogeen stapelingsziekte:_x000D_
or 10-15 mg/kg/dag in 2 doses,_x000D_
max 2 dd 300 mg_x000D_
_x000D_
Lesch Nyhan:_x000D_
or kind: 10-20 mg/kg/dag,_x000D_
max 2 dd 300 mg_x000D_
volw.: 2-10 mg/kg/dag,_x000D_
max 2 dd 300 mg_x000D_
_x000D_
tumor lysis syndroom zie blz ?</t>
  </si>
  <si>
    <t>Tevens geïndiceerd bij passagère hyperammoniëmie van de pasgeborene (dosering in overleg kinderarts metabole ziekten)._x000D_
Na localisatie van het enzym-defect doseren op geleide van de arginine plasma concentratie.</t>
  </si>
  <si>
    <t>bij hyperammoniëmie:_x000D_
or 1,5 ml/kg/dag in 3 doses,_x000D_
max 150 ml/dag</t>
  </si>
  <si>
    <t>Arterielijn: (&lt; 5 kg) flush 5E heparine/ml FZ: 0,5 ml/uur</t>
  </si>
  <si>
    <t>glucose</t>
  </si>
  <si>
    <t>per kg</t>
  </si>
  <si>
    <t>calcium</t>
  </si>
  <si>
    <t>fosfaat</t>
  </si>
  <si>
    <t>magnesium</t>
  </si>
  <si>
    <t>eiwit</t>
  </si>
  <si>
    <t>vet</t>
  </si>
  <si>
    <t>Lipiden</t>
  </si>
  <si>
    <t>Intralipid 20%</t>
  </si>
  <si>
    <t>Vitintra Infant</t>
  </si>
  <si>
    <t>Soluvit</t>
  </si>
  <si>
    <t>IV</t>
  </si>
  <si>
    <t>propofol</t>
  </si>
  <si>
    <t>PO</t>
  </si>
  <si>
    <t>pentamidine</t>
  </si>
  <si>
    <t>ICU-dag</t>
  </si>
  <si>
    <t>Sterkte</t>
  </si>
  <si>
    <t>inh</t>
  </si>
  <si>
    <t>overig</t>
  </si>
  <si>
    <t>X</t>
  </si>
  <si>
    <t>HFO:</t>
  </si>
  <si>
    <t>Sensor medics HFO</t>
  </si>
  <si>
    <t>CDP</t>
  </si>
  <si>
    <t>Freq</t>
  </si>
  <si>
    <t>Te:</t>
  </si>
  <si>
    <t>Sonde</t>
  </si>
  <si>
    <t>Fosfaatdrank WKZ bevat:_x000D_
fosfaat: 0,3 mmol/ml_x000D_
kalium : 0,5 mmol/ml_x000D_
Niet gelijktijdig met calcium.</t>
  </si>
  <si>
    <t xml:space="preserve">STOFWISSELINGSZIEKTEN neurotransmitter stoornissen                                                                                                                                                                                                             </t>
  </si>
  <si>
    <t xml:space="preserve">or                            </t>
  </si>
  <si>
    <t xml:space="preserve">VITAMINES vitamine K groep, enkelvoudige preparaten                                                                                                                                                                                                            </t>
  </si>
  <si>
    <t xml:space="preserve">ANTIMICROBIËLE MIDDELEN sulfonamiden                                                                                                                                                                                                                           </t>
  </si>
  <si>
    <t xml:space="preserve">drank 100 ml             </t>
  </si>
  <si>
    <t xml:space="preserve">zalf 15 g              </t>
  </si>
  <si>
    <t xml:space="preserve">zalf                </t>
  </si>
  <si>
    <t xml:space="preserve">DERMATICA bij huidinfecties                       </t>
  </si>
  <si>
    <t xml:space="preserve">neuszalf 3 g              </t>
  </si>
  <si>
    <t xml:space="preserve">neuszalf            </t>
  </si>
  <si>
    <t>bij groeihormoon hypersecretie:_x000D_
sc 1-3 dd 100 microg/keer_x000D_
_x000D_
bij hyperinsulinisme (richtlijn):_x000D_
start: sc 5 microg/kg/dag in 3 doses,_x000D_
max 40 microg/kg/dag in 3 doses_x000D_
_x000D_
bij bloedingen oesophagusvarices:_x000D_
zie blz ?</t>
  </si>
  <si>
    <t>Kan als onderdeel van selectieve darmdecontaminatie (SDD) worden toegepast (niet standaard in WKZ). Wordt bij intact darmslijmvlies in geringe hoeveelheid geabsorbeerd: bij nierfunctiestoornis en bij &lt; 6 maanden spiegels meten (zie inleiding).</t>
  </si>
  <si>
    <t>iv: 3-5 mg/kg/dag in 1 dosis</t>
  </si>
  <si>
    <t>Alleen voorschrijven na overleg infectioloog/microbioloog en apotheker.</t>
  </si>
  <si>
    <t>als antiarrhythmicum:_x000D_
iv opladen:1 mg/kg in 2-3 min, zo_x000D_
nodig herhalen na 5-10 min (max 2 keer), maximum 3 mg/kg totaal_x000D_
_x000D_
onderhoud: 0,5-1,5 mg/kg/uur_x000D_
_x000D_
als anti-epilepticum zie blz ?</t>
  </si>
  <si>
    <t>iv:_x000D_
start met de halve orale dosis,_x000D_
max 40 mg/dag_x000D_
of:_x000D_
40 mg/1,73m2/dag in 1 dosis</t>
  </si>
  <si>
    <t>pediculosis capitis: aanbrengen op pas gewassen nog vochtige haar en hoofdhuid, na 10 min uitwassen, zonodig na 1 week herhalen</t>
  </si>
  <si>
    <t>Contact met ogen, slijmvliezen en acuut ontstoken nattende huidaandoeningen vermijden.</t>
  </si>
  <si>
    <t>atovaquon + proguanil</t>
  </si>
  <si>
    <t>behandeling van malaria tropica:_x000D_
or: gedurende 3 dagen_x000D_
11-20 kg: 1 dd 250 + 100 mg (= 1 tabl)_x000D_
21-30 kg: 1 dd 500 + 200 mg (= 2 tabl)_x000D_
31-40 kg: 1 dd 750 + 300 mg (= 3 tabl)_x000D_
&gt; 40 kg: 1 dd 1000 + 400 mg (= 4 tabl)</t>
  </si>
  <si>
    <t>or 1-4 mg/kg/dag in 1-2 doses,_x000D_
max 100 mg/dag (in combinatie)</t>
  </si>
  <si>
    <t>onderhoudsbehoefte natrium in TPN:_x000D_
1-2 mmol/kg/dag (= 2-4 ml 2,9% /kg/dag) continu iv</t>
  </si>
  <si>
    <t>Hypotoon zout  = 0,65% = 0,65 gram NaCl = ong.10 mmol Na per 100 ml._x000D_
NaCl 2,9% = 2,9 gram NaCl = 50 mmol Na per 100 ml._x000D_
2,9% = 29 mg/ml._x000D_
1 g NaCl = 17 mmol natrium = 390 mg natrium.</t>
  </si>
  <si>
    <t>or 50 - 100 mg/kg/dag in 3 doses, op geleide plasma concentraties_x000D_
_x000D_
als fosfaatbinder zie blz ?</t>
  </si>
  <si>
    <t>Neon.:_x000D_
bij prematuren die borstvoeding krijgen en bij anderen op indicatie:_x000D_
400 mg/kg/dag in 4 doses_x000D_
  = 8 ml/kg/dag in 4 doses</t>
  </si>
  <si>
    <t>1 g = 130 mg Ca = 3,2 mmol Ca. _x000D_
Niet gelijktijdig met fosfaat. _x000D_
De drank is niet geconserveerd.</t>
  </si>
  <si>
    <t xml:space="preserve">drank 30 ml             </t>
  </si>
  <si>
    <t>=ber_PO!$AB$19</t>
  </si>
  <si>
    <t>=ber_PO!$AB$20</t>
  </si>
  <si>
    <t>bij status epilepticus iv:_x000D_
opladen: 15 mg/kg in minimaal 30 min_x000D_
onderhoud iv:_x000D_
&lt;  2 jr: 10-15 mg/kg/dag in 2-3 doses_x000D_
2-10 jr: 6-10 mg/kg/dag in 2-3 doses_x000D_
&gt; 10 jr: 4-5 mg/kg/dag in 2-3 doses_x000D_
in 15-30 min infunderen_x000D_
_x000D_
Neon.:opladen: iv 15 mg/kg in 30 min_x000D_
onderhoud: iv 5 mg/kg/dag in 1 dosis,_x000D_
in 15-30 min infunderen of oraal_x000D_
_x000D_
als antiarrhythmicum: zie blz ?</t>
  </si>
  <si>
    <t>Sondevoeding</t>
  </si>
  <si>
    <t>mebendazol</t>
  </si>
  <si>
    <t>AfspraakDatum</t>
  </si>
  <si>
    <t>OpnDatum</t>
  </si>
  <si>
    <t>AchterNaam</t>
  </si>
  <si>
    <t>VoorNaam</t>
  </si>
  <si>
    <t>GebDatum</t>
  </si>
  <si>
    <t>TubeMaat</t>
  </si>
  <si>
    <t>Apparaat</t>
  </si>
  <si>
    <t>Borrelpot</t>
  </si>
  <si>
    <t>Servo 300</t>
  </si>
  <si>
    <t>opmAfsprBlad__6</t>
  </si>
  <si>
    <t>InstMedIVDos_9</t>
  </si>
  <si>
    <t>VolPO_4</t>
  </si>
  <si>
    <t>sennosiden a b</t>
  </si>
  <si>
    <t>adrenaline</t>
  </si>
  <si>
    <t>0,5-1 mg/kg/uur</t>
  </si>
  <si>
    <t>max conc</t>
  </si>
  <si>
    <t>1-2 gram/kg/dag</t>
  </si>
  <si>
    <t>2-4 mmol/kg/dag</t>
  </si>
  <si>
    <t>Soluvit N</t>
  </si>
  <si>
    <t>calciumlactaat</t>
  </si>
  <si>
    <t>DosHoev_19</t>
  </si>
  <si>
    <t>DosHoev_2</t>
  </si>
  <si>
    <t>DosHoev_20</t>
  </si>
  <si>
    <t>DosHoev_3</t>
  </si>
  <si>
    <t xml:space="preserve">SPOORELEMENTEN                                                                                      </t>
  </si>
  <si>
    <t xml:space="preserve">mg F/4dr       </t>
  </si>
  <si>
    <t xml:space="preserve">mg F/tabl      </t>
  </si>
  <si>
    <t xml:space="preserve">oogwassing 100 ml             </t>
  </si>
  <si>
    <t xml:space="preserve">oogwassing          </t>
  </si>
  <si>
    <t xml:space="preserve">vecuronium </t>
  </si>
  <si>
    <t xml:space="preserve">drank 90 ml             </t>
  </si>
  <si>
    <t xml:space="preserve">E/g            </t>
  </si>
  <si>
    <t xml:space="preserve">drank 120 ml             </t>
  </si>
  <si>
    <t xml:space="preserve">drank 24 ml             </t>
  </si>
  <si>
    <t xml:space="preserve">fles 1000 ml             </t>
  </si>
  <si>
    <t>IONENUITWISSELAARS</t>
  </si>
  <si>
    <t>Glucose 30%</t>
  </si>
  <si>
    <t>Glucose 25%</t>
  </si>
  <si>
    <t>Totaal :</t>
  </si>
  <si>
    <t>**   Toevoegen bij infusiesnelheid £ 5 ml/uur</t>
  </si>
  <si>
    <t>Totaal:</t>
  </si>
  <si>
    <t>InstMedIVStand_5</t>
  </si>
  <si>
    <t>Totalen</t>
  </si>
  <si>
    <t>Eiwit</t>
  </si>
  <si>
    <t>Vet</t>
  </si>
  <si>
    <t>Calcium</t>
  </si>
  <si>
    <t>Fosfaat</t>
  </si>
  <si>
    <t>KCl 7,4%</t>
  </si>
  <si>
    <t>AZ</t>
  </si>
  <si>
    <t>gluc</t>
  </si>
  <si>
    <t>Na</t>
  </si>
  <si>
    <t>K</t>
  </si>
  <si>
    <t>Ca</t>
  </si>
  <si>
    <t>Mg</t>
  </si>
  <si>
    <t>Fosf</t>
  </si>
  <si>
    <t>Kcal</t>
  </si>
  <si>
    <t>TPN</t>
  </si>
  <si>
    <t>energy</t>
  </si>
  <si>
    <t>KH</t>
  </si>
  <si>
    <t>P</t>
  </si>
  <si>
    <t xml:space="preserve"> </t>
  </si>
  <si>
    <t xml:space="preserve">  </t>
  </si>
  <si>
    <t>=ber_Infusen!$E$3</t>
  </si>
  <si>
    <t>=ber_Infusen!$E$4</t>
  </si>
  <si>
    <t>=ber_Infusen!$E$5</t>
  </si>
  <si>
    <t>=ber_Infusen!$E$6</t>
  </si>
  <si>
    <t>=ber_Infusen!$E$7</t>
  </si>
  <si>
    <t>=dbBead!$AK$2</t>
  </si>
  <si>
    <t>instellen: or:_x000D_
&lt; 10 jr: ong. 15 mg/kg/dag in 2-4 doses_x000D_
&gt; 10 jr: ong. 10 mg/kg/dag in 2-4 doses, in 3 dagen ophogen naar onderhoud_x000D_
_x000D_
onderhoud: or:_x000D_
&lt; 2 jr: 30-50 mg/kg/dag in 2-4 doses_x000D_
2-10 jr: 25-40 mg/kg/dag in 2-4 doses_x000D_
&gt; 10 jr: 20-30 mg/kg/dag in 2-4 doses_x000D_
N.B. de retardtabl (Depakine chrono) in 2 doses/dag geven</t>
  </si>
  <si>
    <t>start: 2 maal 10 mg/kg met 12 uur tussenpoos (max 2 x 400 mg), daarna 10 mg/kg/dag in 1 dosis, max 400 mg/dag</t>
  </si>
  <si>
    <t>temazepam</t>
  </si>
  <si>
    <t>=ber_Med_disc!$M$14</t>
  </si>
  <si>
    <t>=ber_Med_disc!$M$15</t>
  </si>
  <si>
    <t>=ber_Med_disc!$M$16</t>
  </si>
  <si>
    <t>=ber_Med_disc!$M$17</t>
  </si>
  <si>
    <t>=ber_Med_disc!$M$18</t>
  </si>
  <si>
    <t>=ber_Med_disc!$M$19</t>
  </si>
  <si>
    <t>=ber_Med_disc!$M$20</t>
  </si>
  <si>
    <t>=ber_Med_disc!$M$3</t>
  </si>
  <si>
    <t>=ber_Med_disc!$M$21</t>
  </si>
  <si>
    <t>=ber_Med_disc!$M$4</t>
  </si>
  <si>
    <t>=ber_Med_disc!$M$5</t>
  </si>
  <si>
    <t>=ber_Med_disc!$M$6</t>
  </si>
  <si>
    <t>vinblastine</t>
  </si>
  <si>
    <t>instellen: or:_x000D_
&lt; 2 jr: ong. 10 mg/kg/dag in 2-3 doses_x000D_
2-10 jr: ong. 7 mg/kg/dag in 2-3 doses_x000D_
&gt; 10 jr: ong. 5 mg/kg/dag in 2-3 doses_x000D_
met interval van 1 week stapsgewijs verhogen_x000D_
_x000D_
onderhoud: or:_x000D_
&lt;  2 jr: 25-40 mg/kg/dag in 2-3 doses_x000D_
2-10 jr: 10-25 mg/kg/dag in 2-3 doses _x000D_
&gt; 10 jr: 7,5-15 mg/kg/dag in 2-3 doses_x000D_
max 1,6 g/dag_x000D_
N.B.: de retardtabl (Divitab) in 2 doses/dag geven</t>
  </si>
  <si>
    <t>als adjuvans:_x000D_
&gt; 2 jr: week 1: 1-3 mg/kg/dag in 1 dosis dan elke 1-2 weken dosis verhogen met 1-3 mg/kg/dag, gem. onderhoud 5-9 mg/kg/dag in 2 doses_x000D_
volw: week 1: 25 mg/dag in 1 dosis dan verhogen met 25 mg/week tot 200 mg/dag; dan titreren met 50 mg/week tot 400 mg/dag; gem. onderhoud = 200-400 mg/dag in 2 doses; zonodig verhogen met 100 mg/week tot max 1000 mg/dag in 2 doses_x000D_
_x000D_
als monotherapie:_x000D_
&gt; 12 jr: _x000D_
gem. onderhoud 100 mg/dag, max 500 mg/dag</t>
  </si>
  <si>
    <t>Eenheid_7</t>
  </si>
  <si>
    <t>Eenheid_8</t>
  </si>
  <si>
    <t>MedInloop_19</t>
  </si>
  <si>
    <t>MedInloop_2</t>
  </si>
  <si>
    <t>MedInloop_20</t>
  </si>
  <si>
    <t>vit. B12 responsieve methylmalonacidaemia, acute ontregeling:_x000D_
im 1-2 mg/dag gedurende enige dagen en hierna 1 maal per week_x000D_
_x000D_
megaloblastaire anemie zie blz ?</t>
  </si>
  <si>
    <t>Zie inleiding. Evt. oraal onderhoud: cyanocobalamine 1-3 mg/dag (tot 5 maal de dosering met hydroxocobalamine). Ad-hoc receptuur. Hydroxocobalamine im en cyanocobalamine or (biol. besch. ong. 1%) op geleide analyse urine op organische zuren.</t>
  </si>
  <si>
    <t>OTC- en CPS-deficiëntie:_x000D_
or 200 mg/kg/dag_x000D_
_x000D_
AS- en AL-deficiëntie:_x000D_
or tot 700 mg/kg/dag</t>
  </si>
  <si>
    <t>OTC: ornithine transcarbamoylase_x000D_
CPS: carbamoyl phosphate synthetase_x000D_
AS: argininosuccinate synthetase_x000D_
AL: argininosuccinate lyase</t>
  </si>
  <si>
    <t>Alternatief voor l-arginine in CPS en OTC deficiënties die slecht op therapie reageren._x000D_
Ad-hoc receptuur, prijs per g.</t>
  </si>
  <si>
    <t>or 170 mg/kg/dag in 3-5 doses_x000D_
_x000D_
lysinurische eiwitintolerantie:_x000D_
zie blz ?</t>
  </si>
  <si>
    <t>Overdosering van atropine: depressie CZS, coma, hypotensie, ademhalings-depressie.</t>
  </si>
  <si>
    <t>Neon.: sluiten ductus arteriosus:_x000D_
standaard behandelingsschema:_x000D_
iv 0,2 mg/kg/dosis, iedere 12 uur 1 dosis geven, 3 doses in totaal_x000D_
_x000D_
verlengde lage kuur:_x000D_
iv 0,1 mg/kg/dosis, iedere 24 uur 1 dosis geven, 6 doses in totaal</t>
  </si>
  <si>
    <t>J.I.A. en bij pijn: or 10-15 mg/kg/dag in 2-3 doses, max 1250 mg/dag</t>
  </si>
  <si>
    <t>stralingsprofylaxe: or:_x000D_
&lt; 4 jr: 85 mg/dag in 1 dosis_x000D_
&gt; 4 jr: 170 mg/dag in 1 dosis_x000D_
start 2 dagen voor toediening van radiofarmacon tot 10 dagen erna; bij therapeutische stralingsdoses kan eerdere start gewenst zijn, overleg noodzakelijk</t>
  </si>
  <si>
    <t>or 75-150 mg/kg/dag in 4 doses,_x000D_
max 8 g/dag_x000D_
_x000D_
Neon.:_x000D_
or 100 mg/kg/dag in 2-4 doses</t>
  </si>
  <si>
    <t>Regelmatige controle van de leverfunctie wordt aanbevolen.Ter voorkoming van neuropathieën is profylaxe met pyridoxine gewenst._x000D_
Cave: convulsies. Bepalen van plasmaconcentratie is mogelijk.</t>
  </si>
  <si>
    <t>or 8-10 mg/kg/dag in 1 dosis,_x000D_
max 300 mg/dag</t>
  </si>
  <si>
    <t>or 15-25 mg/kg/dag in 1 dosis,_x000D_
max 2,5 g/dag</t>
  </si>
  <si>
    <t>Regelmatige controle van de ogen wordt aanbevolen i.v.m. mogelijk optreden neuritis optica._x000D_
Dosis bij nierinsuff.: zie tabel blz ?</t>
  </si>
  <si>
    <t>rifabutine</t>
  </si>
  <si>
    <t>RecNo_20</t>
  </si>
  <si>
    <t>=ber_Med_disc!$T$21</t>
  </si>
  <si>
    <t>RecNo_3</t>
  </si>
  <si>
    <t>=ber_Med_disc!$T$4</t>
  </si>
  <si>
    <t>RecNo_4</t>
  </si>
  <si>
    <t>=ber_Med_disc!$T$5</t>
  </si>
  <si>
    <t>RecNo_5</t>
  </si>
  <si>
    <t>=ber_Med_disc!$T$6</t>
  </si>
  <si>
    <t>RecNo_6</t>
  </si>
  <si>
    <t>=ber_Med_disc!$T$7</t>
  </si>
  <si>
    <t>RecNo_7</t>
  </si>
  <si>
    <t>=ber_Med_disc!$T$8</t>
  </si>
  <si>
    <t>RecNo_8</t>
  </si>
  <si>
    <t>=ber_Med_disc!$T$9</t>
  </si>
  <si>
    <t>RecNo_9</t>
  </si>
  <si>
    <t>=ber_Med_disc!$T$10</t>
  </si>
  <si>
    <t>reservePat</t>
  </si>
  <si>
    <t>=Patienten!$C$2:$C$411</t>
  </si>
  <si>
    <t>=dbBead!$Z$2</t>
  </si>
  <si>
    <t>=ber_TPN!$C$15</t>
  </si>
  <si>
    <t xml:space="preserve">STOFWISSELINGSZIEKTEN biosynthese defect                                                                                                                                                                                                                       </t>
  </si>
  <si>
    <t xml:space="preserve">TRACTUS DIGESTIVUS enzymen                                                                          </t>
  </si>
  <si>
    <t xml:space="preserve">caps ret enteric    </t>
  </si>
  <si>
    <t>profylaxe acuut reuma:_x000D_
&lt; 12 kg: im 50.000 IE/kg/maand in 1 dosis_x000D_
12-30 kg: im 600.000 IE/maand in 1 dosis_x000D_
&gt; 30 kg: im 1,2 milj IE/maand in 1 dosis</t>
  </si>
  <si>
    <t>iv 200-300 mg/kg/dag in 3-4 doses,_x000D_
max 16 g/dag_x000D_
_x000D_
cystic fibrosis:_x000D_
iv 300 mg/kg/dag in 4 doses,_x000D_
max 16 g/dag_x000D_
_x000D_
Neon.: _x000D_
iv 150 mg/kg/dag in 3 doses</t>
  </si>
  <si>
    <t>Kauwen of opzuigen. Combineren met fluoride-peutertandpasta._x000D_
Kauwtablet bevat 0,56 mg natrium-fluoride = 0,25 mg F per tablet._x000D_
Boven 5 jaar gewone tandpasta.</t>
  </si>
  <si>
    <t>vit. B6 gevoelige homocystinurie:_x000D_
or 5-15 mg/dag in 1 dosis_x000D_
_x000D_
zie ook vit B groep blz ?</t>
  </si>
  <si>
    <t>Zie inleiding.</t>
  </si>
  <si>
    <t>or &lt; 15 kg: 10-20 mg/kg/dag in 3-4 doses,_x000D_
or &gt; 15 kg: 7-15 mg/kg/dag in 3-4 doses, max 900 mg/dag</t>
  </si>
  <si>
    <t>bij conversie:_x000D_
iv 1-2 mg/kg langzaam in 5-10 min</t>
  </si>
  <si>
    <t>tuberculose: or:_x000D_
10-20 mg/kg/dag in 1 dosis, max 300 mg/dag, in combinatie met proteaseremmers en NNRTI's dosis aanpassen, cave interacties, in overleg met infectioloog</t>
  </si>
  <si>
    <t>or 15-60 mg/kg/dag in 4-6 doses,_x000D_
max 1600 mg/dag</t>
  </si>
  <si>
    <t>Ther. plasmaconc 2-5 mg/l._x000D_
Werkt ook negatief inotroop._x000D_
Kinidine verhoogt plasmaconc. digoxine._x000D_
Bijw.: maagdarmstoornissen, overgevoeligheid (koorts, hematologische afwijkingen), oorsuizen. T1/2 = 6-8 uur.</t>
  </si>
  <si>
    <t>start iv: 5 mg/kg in 20 min - 2 uur_x000D_
onderh. continu iv: 5-10 mg/kg/dag</t>
  </si>
  <si>
    <t>langzaam iv, cave bradycardie</t>
  </si>
  <si>
    <t>MedIVKeuze_7</t>
  </si>
  <si>
    <t>MedIVKeuze_8</t>
  </si>
  <si>
    <t>MedIVKeuze_9</t>
  </si>
  <si>
    <t>MedIVMlOpl_11</t>
  </si>
  <si>
    <t>MedIVMlOpl_12</t>
  </si>
  <si>
    <t>MedIVMlOpl_13</t>
  </si>
  <si>
    <t>MedIVMlOpl_14</t>
  </si>
  <si>
    <t>MedIVMlOpl_15</t>
  </si>
  <si>
    <t>MedIVMlOpl_16</t>
  </si>
  <si>
    <t>MedIVMlSpuit_1</t>
  </si>
  <si>
    <t>MedIVMlSpuit_10</t>
  </si>
  <si>
    <t>metoprolol</t>
  </si>
  <si>
    <t>Eenheid_9</t>
  </si>
  <si>
    <t>Glucose/KH</t>
  </si>
  <si>
    <t/>
  </si>
  <si>
    <t>FiO2</t>
  </si>
  <si>
    <t>Peep</t>
  </si>
  <si>
    <t>Tp</t>
  </si>
  <si>
    <t>Risetime</t>
  </si>
  <si>
    <t>Trigger</t>
  </si>
  <si>
    <t>Oraal of per sonde</t>
  </si>
  <si>
    <t>Infuus no</t>
  </si>
  <si>
    <t>Keuze</t>
  </si>
  <si>
    <t>oplvlst</t>
  </si>
  <si>
    <t>flush</t>
  </si>
  <si>
    <t>RecNo_17</t>
  </si>
  <si>
    <t>=ber_Med_disc!$T$18</t>
  </si>
  <si>
    <t>rect 1 g/kg in mannitol 15%,_x000D_
1 g bindt ong. 1 mmol kalium</t>
  </si>
  <si>
    <t>bij Tumor Lysis Syndroom:_x000D_
or 200 mg/m2/dag in 2 doses_x000D_
max 2 dd 300 mg_x000D_
_x000D_
glycogeen stapelingsziekte zie blz ?</t>
  </si>
  <si>
    <t>Kan ademhalingsdepressie door barbituraten versterken._x000D_
Intraveneuze toediening onder bewaking._x000D_
Door snelle redistributie is vaak een tweede injectie nodig._x000D_
De antagonist flumazenil (Anexate) moet aanwezig zijn: iv 0,01 mg/kg, zonodig na 1 min herhalen.</t>
  </si>
  <si>
    <t xml:space="preserve">glaucoom: 2-3 dd 1 dr </t>
  </si>
  <si>
    <t>Datum/Tijd</t>
  </si>
  <si>
    <t>MedIVMlSpuit_11</t>
  </si>
  <si>
    <t>or:_x000D_
&lt; 2 jr: 10-15 mg/kg/dag in 2-3 doses_x000D_
2-10 jr: 6-10 mg/kg/dag in 2-3 doses_x000D_
&gt; 10 jr: 4-5 mg/kg/dag in 2-3 doses</t>
  </si>
  <si>
    <t>Neon.: &gt; 35 weken zwangerschapsduur:_x000D_
iv opladen: 0,05 mg/kg in 10 min_x000D_
onderhoud continu iv: 0,15 mg/kg/uur, indien ged. 24 uur geen convulsies afbouwen: t = 24: 0,1 mg/kg/uur, t = 48: stop._x000D_
_x000D_
sedatie: zie blz ?</t>
  </si>
  <si>
    <t>im 1 ml volgens vaccinatieschema:_x000D_
op leeftijd van 2, 3, 4  en 11 maanden_x000D_
simultaan met Haemophilus infl.b-vaccin d.w.z. binnen 24 uur. Indien niet binnen dit tijdsbestek mogelijk dan minimaal een interval van 14 dagen aanhouden</t>
  </si>
  <si>
    <t>Bevat difterietoxoïde, tetanustoxoïde, geïnactiveerde poliovirussen en gedode kinkhoestbacteriën. Kinkhoestvaccin kan aanleiding geven tot (koorts)convulsies zelden encephalopathie._x000D_
Vaccins niet mengen, op verschillende plaatsen inspuiten.</t>
  </si>
  <si>
    <t>dialysepatiënten: im 40 microg = 2 ml per dosis volgens schema bijsluiter _x000D_
_x000D_
(Neon.: im 20 microg = 1 ml per dosis; voorkeur voor HB-Vax DNA, zie onder)</t>
  </si>
  <si>
    <t>Actieve immunisatie tegen hepatitis B.</t>
  </si>
  <si>
    <t>primaire vaccinatie: im 1 ml in 1 dosis, na 2-4 weken te herhalen_x000D_
eerste revaccinatie: im 1 ml in 1 dosis 6-12 maanden na primaire vaccinatie</t>
  </si>
  <si>
    <t xml:space="preserve">drank forte 150 ml             </t>
  </si>
  <si>
    <t xml:space="preserve">drank forte         </t>
  </si>
  <si>
    <t>bij acute astma-aanval inhalatie:_x000D_
 &lt; 4 jr: 2,5 mg_x000D_
    4 jr: 2,5 mg_x000D_
 &gt; 4 jr: 5,0 mg_x000D_
zonodig elk half uur herhalen_x000D_
bij eerste opvang in combinatie met ipratropiumbromide (= Atrovent)_x000D_
_x000D_
Neon.: inhalatie_x000D_
start 0,5 mg/kg_x000D_
max 1,5 mg/kg</t>
  </si>
  <si>
    <t>=ber_IVmed!$E$27</t>
  </si>
  <si>
    <t>=ber_IVmed!$E$28</t>
  </si>
  <si>
    <t>=ber_IVmed!$E$29</t>
  </si>
  <si>
    <t>=ber_IVmed!$E$30</t>
  </si>
  <si>
    <t>=ber_IVmed!$E$31</t>
  </si>
  <si>
    <t>=ber_IVmed!$E$32</t>
  </si>
  <si>
    <t>=ber_IVmed!$E$33</t>
  </si>
  <si>
    <t>=ber_IVmed!$E$34</t>
  </si>
  <si>
    <t>=ber_IVmed!$N$36</t>
  </si>
  <si>
    <t>=ber_IVmed!$N$37</t>
  </si>
  <si>
    <t>=ber_IVmed!$N$38</t>
  </si>
  <si>
    <t>=ber_IVmed!$N$39</t>
  </si>
  <si>
    <t>=ber_IVmed!$N$40</t>
  </si>
  <si>
    <t>MedKeuze_0</t>
  </si>
  <si>
    <t>=ber_Med_disc!$B$25</t>
  </si>
  <si>
    <t>huid: in badwater, volwassenen: 30 ml per bad</t>
  </si>
  <si>
    <t>Als badolie bij droge huid. Bevat naast soja-olie ook emulgatoren.</t>
  </si>
  <si>
    <t>vaseline</t>
  </si>
  <si>
    <t>Voor verwerking van differente middelen</t>
  </si>
  <si>
    <t>huid: zonodig</t>
  </si>
  <si>
    <t>Witte vaseline is gebleekt, en de bij zuivering achtergebleven stoffen kunnen sporadisch irritatie geven.</t>
  </si>
  <si>
    <t>zinkoxide</t>
  </si>
  <si>
    <t>huid: 1-3 dd</t>
  </si>
  <si>
    <t>tretinoine</t>
  </si>
  <si>
    <t>huid: 1 dd (evt. 1 keer per 2 dagen) dun aanbrengen voor de nacht</t>
  </si>
  <si>
    <t>benzoylperoxide</t>
  </si>
  <si>
    <t>1-2 dd</t>
  </si>
  <si>
    <t>Keratolytisch en antimicrobiëel. Bij acne  vulgaris met comedonen en ontstekingsverschijnselen. Cave kans op contactdermatitis en blekend effect (haar, textiel).</t>
  </si>
  <si>
    <t>resorcinol (comb.prep.)</t>
  </si>
  <si>
    <t>huid: 1-2 dd dun aanbrengen</t>
  </si>
  <si>
    <t xml:space="preserve">TRACTUS UROGENITALIS middelen bij enuresis nocturna                                                                                                                                                                                                            </t>
  </si>
  <si>
    <t xml:space="preserve">TRACTUS RESPIRATORIUS anti-inflammatie 1.corticosteroïden                                                                                                                                                                                                      </t>
  </si>
  <si>
    <t xml:space="preserve">blister 8 blisters/disk  </t>
  </si>
  <si>
    <t xml:space="preserve">blister             </t>
  </si>
  <si>
    <t xml:space="preserve">microg/dos     </t>
  </si>
  <si>
    <t xml:space="preserve">blisters/disk  </t>
  </si>
  <si>
    <t xml:space="preserve">puff 100 doses/verp     </t>
  </si>
  <si>
    <t xml:space="preserve">puff 200 doses/verp     </t>
  </si>
  <si>
    <t xml:space="preserve">puff forte 200 doses/verp     </t>
  </si>
  <si>
    <t xml:space="preserve">puff forte          </t>
  </si>
  <si>
    <t xml:space="preserve">gel 40 ml             </t>
  </si>
  <si>
    <t xml:space="preserve">gel                 </t>
  </si>
  <si>
    <t xml:space="preserve">im                            </t>
  </si>
  <si>
    <t xml:space="preserve">opl 30 ml             </t>
  </si>
  <si>
    <t xml:space="preserve">opl 500 ml             </t>
  </si>
  <si>
    <t xml:space="preserve">shampoo 120 ml             </t>
  </si>
  <si>
    <t xml:space="preserve">shampoo             </t>
  </si>
  <si>
    <t xml:space="preserve">zalf 30 g              </t>
  </si>
  <si>
    <t xml:space="preserve">zalfgaas 10x12 cm   </t>
  </si>
  <si>
    <t>Neon.:_x000D_
&lt; 1 kg: rect 5 ml_x000D_
&gt; 1 kg: rect 10 ml</t>
  </si>
  <si>
    <t>&gt; 2 jr: or 1-2 ml/kg/dag, max 90 ml/dag,_x000D_
instellen op geleide effect</t>
  </si>
  <si>
    <t>transipeg (comb.prep.)</t>
  </si>
  <si>
    <t>&gt; 1 jr: or 2-4 caps bij hoofdmaaltijden, 1-2 caps bij tussendoortjes, max 10.000 FIP-E lipase/kg/dag met een maximum van 300.000 FIP-E per dag</t>
  </si>
  <si>
    <t>LabDag2_27</t>
  </si>
  <si>
    <t>LabDag3_19</t>
  </si>
  <si>
    <t>LabDag3_20</t>
  </si>
  <si>
    <t>LabDag3_21</t>
  </si>
  <si>
    <t>LabDag3_22</t>
  </si>
  <si>
    <t>LabDag3_23</t>
  </si>
  <si>
    <t>LabDag3_24</t>
  </si>
  <si>
    <t>LabDag3_25</t>
  </si>
  <si>
    <t>LabDag3_26</t>
  </si>
  <si>
    <t>LabDag3_27</t>
  </si>
  <si>
    <t>Mogelijk geringe absorptie en groot first-pass-effect, relatief minder systemische bijwerkingen.</t>
  </si>
  <si>
    <t>triamcinolonacetonide</t>
  </si>
  <si>
    <t>desoximetason</t>
  </si>
  <si>
    <t>huid: 1-4 dd inwrijven.</t>
  </si>
  <si>
    <t>Salicylzuur als keratolyticum, b.v. bij schilferend eczeem.</t>
  </si>
  <si>
    <t>Lokaal werkingsniveau 2.</t>
  </si>
  <si>
    <t>salicylzuur</t>
  </si>
  <si>
    <t>rect:_x000D_
1-6 jr:  30 mg_x000D_
6-12 jr:  50 mg_x000D_
&gt; 12 jr: 100 mg (= 1 klysma) eenmalig</t>
  </si>
  <si>
    <t>Synoniem: dioctylsulfosuccinaat, DOSS._x000D_
De werking treedt binnen 5-10 minuten in.</t>
  </si>
  <si>
    <t>laxans: doseren op geleide effect_x000D_
aanvankelijk or 0,6-1,2 g/kg/dag in 2-3 doses, max 66 g/dag</t>
  </si>
  <si>
    <t>Lab16u_1</t>
  </si>
  <si>
    <t>Lab16u_10</t>
  </si>
  <si>
    <t>Lab16u_11</t>
  </si>
  <si>
    <t>Max waarde</t>
  </si>
  <si>
    <t xml:space="preserve">Min waarde </t>
  </si>
  <si>
    <t>Paraaf</t>
  </si>
  <si>
    <t>L-citrulline</t>
  </si>
  <si>
    <t>foscarnet</t>
  </si>
  <si>
    <t>ribavirine</t>
  </si>
  <si>
    <t>Blanco Patient</t>
  </si>
  <si>
    <t>suxamethonium</t>
  </si>
  <si>
    <t>intubatie: iv 1-2 mg/kg</t>
  </si>
  <si>
    <t>Blad</t>
  </si>
  <si>
    <t>Opmerking</t>
  </si>
  <si>
    <t>Afspraken</t>
  </si>
  <si>
    <t>Heparinelijn ** 5 E / ml in 24 ml fysiologisch zout</t>
  </si>
  <si>
    <t>JA/NEE</t>
  </si>
  <si>
    <t>Fysiologisch zout opl. (med. lijn)</t>
  </si>
  <si>
    <t>24 ml/48 ml</t>
  </si>
  <si>
    <t>Extra voor toedieningssysteem</t>
  </si>
  <si>
    <t>*     Vochtbehoefte neemt af bij toename gewicht</t>
  </si>
  <si>
    <t>Origineel voor 11.00 uur bij apotheek inleveren</t>
  </si>
  <si>
    <t>pyrimethamine</t>
  </si>
  <si>
    <t>cocaine</t>
  </si>
  <si>
    <t>1 g vet levert 9 kcal (=40 kJ).</t>
  </si>
  <si>
    <t>sotalol</t>
  </si>
  <si>
    <t>MedTijden_1</t>
  </si>
  <si>
    <t>MedTijden_10</t>
  </si>
  <si>
    <t>MedTijden_11</t>
  </si>
  <si>
    <t>MedTijden_12</t>
  </si>
  <si>
    <t>voriconazol</t>
  </si>
  <si>
    <t>2-12 jr: iv:_x000D_
dag 1: 2 dd 6 mg/kg_x000D_
dag 2 e.v.: 2 dd 4 mg/kg_x000D_
_x000D_
&gt; 40 kg: or:_x000D_
dag 1: 2 dd 6 mg/kg_x000D_
dag 2 e.v.: 2 dd 4 mg/kg</t>
  </si>
  <si>
    <t>Breedspectrum antimycoticum uit de groep van de triazolen._x000D_
Sinds nov. 2002 in de handel. Voor toepassing screenen op geneesmiddelinteracties._x000D_
Alleen voorschrijven na overleg infectioloog/microbioloog en apotheker.</t>
  </si>
  <si>
    <t>microg/0,375 ml</t>
  </si>
  <si>
    <t>&gt; 1 mnd: or 8 mg/kg/dag in 2 doses_x000D_
&gt; 40 kg 300 mg/dag in 2 doses_x000D_
_x000D_
Neon.: profylaxe 4 weken_x000D_
4 mg/kg/dag in 2 doses,_x000D_
in comb. met zidovudine</t>
  </si>
  <si>
    <t>onderhoudsbehoefte glucose in TPN in g/kg/dag continu iv opklimmen in 3 dagen_x000D_
&lt;  3 kg: 5-20_x000D_
3- 6 kg: 15,5_x000D_
6-10 kg: 14,5_x000D_
10-20 kg: 13,5_x000D_
20-33 kg: 10,5_x000D_
33-55 kg: 7</t>
  </si>
  <si>
    <t>5% opl. = 50 gram per liter_x000D_
1 g glucose levert 4 kcal (=17 kJ)</t>
  </si>
  <si>
    <t>1/2 - 1/2 per liter:_x000D_
25 g glucose en 77 mmol Na en Cl</t>
  </si>
  <si>
    <t>2/3 - 1/3 per liter:_x000D_
33 g glucose en 51 mmol Na en Cl</t>
  </si>
  <si>
    <t>3/4 - 1/4 per liter:_x000D_
75 g glucose en 38 mmol Na en Cl_x000D_
'slechts' 400 ml per eenheid, speciaal voor jongere kinderen</t>
  </si>
  <si>
    <t xml:space="preserve">puff 400 doses/verp     </t>
  </si>
  <si>
    <t xml:space="preserve">puff 50 doses/verp     </t>
  </si>
  <si>
    <t xml:space="preserve">inh vl 1 ml             </t>
  </si>
  <si>
    <t xml:space="preserve">inh vl 2 ml             </t>
  </si>
  <si>
    <t>thiamine</t>
  </si>
  <si>
    <t>deficiëntie: or 12,5-100 mg/dag in 2-3 doses</t>
  </si>
  <si>
    <t>MedOpl_19</t>
  </si>
  <si>
    <t>MedOpl_2</t>
  </si>
  <si>
    <t>propranolol</t>
  </si>
  <si>
    <t>MedStart_16</t>
  </si>
  <si>
    <t>clorazepaat</t>
  </si>
  <si>
    <t>MedToed_12</t>
  </si>
  <si>
    <t>MedToed_13</t>
  </si>
  <si>
    <t>MedToed_14</t>
  </si>
  <si>
    <t>MedToed_15</t>
  </si>
  <si>
    <t>MedToed_16</t>
  </si>
  <si>
    <t>MedToed_17</t>
  </si>
  <si>
    <t>=ber_lab!$F$10</t>
  </si>
  <si>
    <t>MedStart_4</t>
  </si>
  <si>
    <t>MedStart_17</t>
  </si>
  <si>
    <t>MedStart_18</t>
  </si>
  <si>
    <t>MedStart_19</t>
  </si>
  <si>
    <t>MedStart_2</t>
  </si>
  <si>
    <t>MedStart_20</t>
  </si>
  <si>
    <t>MedStart_3</t>
  </si>
  <si>
    <t>MedIVMlSpuit_6</t>
  </si>
  <si>
    <t>MedIVMlSpuit_7</t>
  </si>
  <si>
    <t>MedIVMlSpuit_8</t>
  </si>
  <si>
    <t>=ber_Med_disc!$N$6</t>
  </si>
  <si>
    <t>=ber_Med_disc!$N$7</t>
  </si>
  <si>
    <t>=ber_Med_disc!$N$8</t>
  </si>
  <si>
    <t>=ber_Med_disc!$N$9</t>
  </si>
  <si>
    <t>sc 0,5 ml op leeftijd van 14 maanden revaccinatie op leeftijd van 9 jaar</t>
  </si>
  <si>
    <t>Levend, verzwakt virus vaccin.</t>
  </si>
  <si>
    <t>broomhexine</t>
  </si>
  <si>
    <t>Lang werkend ß2-sympathicomimeticum (min. 12 uur). Toepassing als onderhoudstherapie bij kinderen ouder dan 4 jaar in combinatie met inhalatiecorticosteroïden. Niet toepassen als aanvalsbehandeling. Gebruik voorzetkamer (Volumatic) wordt aanbevolen.</t>
  </si>
  <si>
    <t xml:space="preserve">KNO-MIDDELEN lokaalanesthetica                                                                                                                                                                                                                                 </t>
  </si>
  <si>
    <t xml:space="preserve">TRACTUS RESPIRATORIUS bronchusverwijders 3.xanthinederivaten                                                                                                                                                                                                   </t>
  </si>
  <si>
    <t xml:space="preserve">drup fl 25 ml             </t>
  </si>
  <si>
    <t>&lt; 14 jr: or start 90 mg/kg/dag in 3 doses, op geleide spiegels zonodig 110 mg/kg/dag in 3 doses_x000D_
volw: 2250 mg/dag in 2-3 doses</t>
  </si>
  <si>
    <t>Protease-remmer. Voedsel bevordert de biologische beschikbaarheid. Controle bloedspiegels. Voor sommige kinderen is het metabolisme onverwacht snel: 110 mg/kg/dag</t>
  </si>
  <si>
    <t>Vit B6. Profylaxe bij gebruik van isoniazide, penicillamine._x000D_
_x000D_
Bij primaire hyperoxalurie type I: vaak slechts partiële respons. Cave neurotoxiciteit (perifere neuropathie, encephalopathie) bij hoge dosering.</t>
  </si>
  <si>
    <t>Beademingswijziging</t>
  </si>
  <si>
    <t>mercapto-ethaansulfonzuur</t>
  </si>
  <si>
    <t>klean prep (comb.prep.)</t>
  </si>
  <si>
    <t>epidurale/caudale infusie volgens protocol WKZ:_x000D_
&lt; 6 kg: 1 ml/kg/dag aanvullen met fys.zout tot 24 ml, infusiestand 1 ml/uur, zonodig stapsgewijs ophogen tot max 2 ml/uur_x000D_
&gt; 6 kg: 1 ml/kg/dag aanvullen met fys.zout tot 48 ml, infusiestand 2 ml/uur, zonodig stapsgewijs ophogen tot max 4 ml/uur_x000D_
&gt; 60 kg: 50 ml optrekken, infusiestand 2,5 ml/uur, zonodig stapsgewijs ophogen tot max 5-6 ml/uur</t>
  </si>
  <si>
    <t>=ber_lab!$F$7</t>
  </si>
  <si>
    <t>=ber_lab!$F$8</t>
  </si>
  <si>
    <t>=ber_lab!$F$9</t>
  </si>
  <si>
    <t>extravasatie:_x000D_
lokaal: 1 ml = 150 IE injecteren in extravasatiegebied</t>
  </si>
  <si>
    <t>Bij extravasatie van cytostatica (vinca-alkaloïden). Zit in de cytostatica noodset.</t>
  </si>
  <si>
    <t>Snelle injectie werkt sterk emetisch._x000D_
Bij opiaatoverdosering. Werkingsduur naloxon is korter dan die van morfine, langdurige observatie is nodig omdat een rebound effect kan optreden.</t>
  </si>
  <si>
    <t>iv langzaam inlopen 500 mg/kg       (=2 ml/kg 25% opl.)</t>
  </si>
  <si>
    <t>Bij cyanide-intoxicatie, voorafgegaan door 4-DMAP. Bevordert de omzetting van cyanide naar thiocyanaat._x000D_
Bij extravasatie chloormethine._x000D_
Maakt deel uit van de cytostatica noodset.</t>
  </si>
  <si>
    <t>lokaal op huid, voor gebruik 300 ml water toevoegen</t>
  </si>
  <si>
    <t>Bij hyperkeratose. Cave resorptie. Bij grote oppervlakken max. 3%.</t>
  </si>
  <si>
    <t>Bepaling van de renale plasmaflow (in onderzoeksverband).</t>
  </si>
  <si>
    <t>=ber_IVmed!$F$3</t>
  </si>
  <si>
    <t>=ber_IVmed!$F$12</t>
  </si>
  <si>
    <t>INFUUS AFSPRAKEN CENTRAAL VENEUZE CATHETERS</t>
  </si>
  <si>
    <t>D.D.</t>
  </si>
  <si>
    <t>Afdeling</t>
  </si>
  <si>
    <t>:</t>
  </si>
  <si>
    <t>Extern</t>
  </si>
  <si>
    <t>Draden</t>
  </si>
  <si>
    <t>VVI</t>
  </si>
  <si>
    <t>AAI</t>
  </si>
  <si>
    <t>DDD</t>
  </si>
  <si>
    <t>AO</t>
  </si>
  <si>
    <t>VO</t>
  </si>
  <si>
    <t>AV</t>
  </si>
  <si>
    <t>AS</t>
  </si>
  <si>
    <t>PM</t>
  </si>
  <si>
    <t>Positie:</t>
  </si>
  <si>
    <t>MedDosHoev_4</t>
  </si>
  <si>
    <t>MedDosHoev_5</t>
  </si>
  <si>
    <t>MedDosHoev_6</t>
  </si>
  <si>
    <t>MedDosHoev_7</t>
  </si>
  <si>
    <t>=dbBead!$T$2</t>
  </si>
  <si>
    <t>=dbBead!$AC$2</t>
  </si>
  <si>
    <t>=dbBead!$AB$2</t>
  </si>
  <si>
    <t>RecNo_0</t>
  </si>
  <si>
    <t>=ber_Med_disc!$E$25</t>
  </si>
  <si>
    <t>RecNo_1</t>
  </si>
  <si>
    <t>=ber_Med_disc!$T$2</t>
  </si>
  <si>
    <t>RecNo_10</t>
  </si>
  <si>
    <t>=ber_Med_disc!$T$11</t>
  </si>
  <si>
    <t>RecNo_11</t>
  </si>
  <si>
    <t>=ber_Med_disc!$T$12</t>
  </si>
  <si>
    <t>RecNo_12</t>
  </si>
  <si>
    <t>epiduraal (caudaal), infiltratie:_x000D_
&lt; 6 mnd: max 2 mg/kg_x000D_
&gt; 6 mnd: max 3 mg/kg_x000D_
_x000D_
epidurale/caudale infusie combinatie met morfine volgens WKZ-protocol:_x000D_
2,5 mg/kg/dag bij pijn stapsgewijs volgens protocol ophogen naar max 5 mg/kg/dag_x000D_
zie AZU-combinatiepreparaat met morfine blz ?</t>
  </si>
  <si>
    <t>bij hypomagnesiëmie doseren op geleide plasma magnesium conc._x000D_
(volw: or 3-4 dd 15-20 ml)</t>
  </si>
  <si>
    <t>Kan op aanvraag bereid worden._x000D_
Bij doseringen boven  2 ml/kg/dag laxerend.</t>
  </si>
  <si>
    <t>bij hypertensie continu iv:_x000D_
1-3 microg/kg/min onder continue bewaking bloeddruk_x000D_
_x000D_
Neon.:_x000D_
bij hypertensie continu iv:_x000D_
0,5-2 microg/kg/min onder continue bewaking bloeddruk</t>
  </si>
  <si>
    <t>endocrinologie: or 1,75 g/kg, max 75 g, volgens protocol endocrinologie_x000D_
_x000D_
metabole ziekten: or 2 g/kg, max 50 g, volgens protocol metabole ziekten</t>
  </si>
  <si>
    <t>Glucose tolerantietest._x000D_
25% = 25 g in 100 ml_x000D_
_x000D_
Evaluatie stoornis in energiestofwisseling.</t>
  </si>
  <si>
    <t>Bepaling van de glomerulaire filtratie­snelheid (in onderzoeksverband).</t>
  </si>
  <si>
    <t>Diagnostiek naar oorzaak van hyper-phenylalaninaemie.</t>
  </si>
  <si>
    <t>Mantoux-prik. Multidose flacon.</t>
  </si>
  <si>
    <t>Verkleuring van tanden en tong kan optreden.</t>
  </si>
  <si>
    <t>Huiddesinfectans, bevat alcohol 70%._x000D_
Breed werkingsspectrum.</t>
  </si>
  <si>
    <t>propanol + isopropanol + mecetronium</t>
  </si>
  <si>
    <t>chirurgisch handendesinfectans, desinfectie van het operatiegebied</t>
  </si>
  <si>
    <t>bij begin dialyse iv:_x000D_
&lt; 15 kg: 1500 IE_x000D_
15-30 kg: 2500 IE_x000D_
30-45 kg: 5000 IE_x000D_
&gt; 45 kg: 5000-10.000 IE</t>
  </si>
  <si>
    <t>onderhoud: or 0,25-3 mg/kg/dag (retard) in 2-3 doses, max 80 mg/dag,_x000D_
bij reflexdystrofie met een lage dosis starten</t>
  </si>
  <si>
    <t xml:space="preserve">VITAMINES vitamine D groep, enkelvoudige preparaten                                                                                                                                                                                                            </t>
  </si>
  <si>
    <t>Werkzaam tegen Gram-negatieve bacteriëen, tevens Ps aeruginosa._x000D_
Geen eerste keus middel. Kans op sensibilisatie en kruisresistentie met andere aminoglycosiden. Uitsluitend op voorschrift oogarts.</t>
  </si>
  <si>
    <t xml:space="preserve">amp 0,5 ml             </t>
  </si>
  <si>
    <t>Lab12__6</t>
  </si>
  <si>
    <t>Lab12__7</t>
  </si>
  <si>
    <t>Lab12__8</t>
  </si>
  <si>
    <t>Lab12__9</t>
  </si>
  <si>
    <t>Lab12__10</t>
  </si>
  <si>
    <t>Lab12__11</t>
  </si>
  <si>
    <t>Lab12__12</t>
  </si>
  <si>
    <t>Lab12__13</t>
  </si>
  <si>
    <t>Lab12__14</t>
  </si>
  <si>
    <t>Lab12__15</t>
  </si>
  <si>
    <t>Lab12__16</t>
  </si>
  <si>
    <t>Lab12__17</t>
  </si>
  <si>
    <t>Lab12__18</t>
  </si>
  <si>
    <t>Lab12__19</t>
  </si>
  <si>
    <t>Lab12__20</t>
  </si>
  <si>
    <t>Lab12__21</t>
  </si>
  <si>
    <t>Lab12__22</t>
  </si>
  <si>
    <t>Lab12__23</t>
  </si>
  <si>
    <t>Lab12__24</t>
  </si>
  <si>
    <t>Lab12__25</t>
  </si>
  <si>
    <t>Lab12__26</t>
  </si>
  <si>
    <t>Lab12__27</t>
  </si>
  <si>
    <t>Lab16__1</t>
  </si>
  <si>
    <t>Lab16__2</t>
  </si>
  <si>
    <t>Lab16__3</t>
  </si>
  <si>
    <t>Lab16__4</t>
  </si>
  <si>
    <t>Lab16__5</t>
  </si>
  <si>
    <t>Lab16__6</t>
  </si>
  <si>
    <t>Lab16__7</t>
  </si>
  <si>
    <t>Lab16__8</t>
  </si>
  <si>
    <t>Lab16__9</t>
  </si>
  <si>
    <t>Lab16__10</t>
  </si>
  <si>
    <t>Lab16__11</t>
  </si>
  <si>
    <t>Lab16__12</t>
  </si>
  <si>
    <t>Lab16__13</t>
  </si>
  <si>
    <t>Lab16__14</t>
  </si>
  <si>
    <t>Lab16__15</t>
  </si>
  <si>
    <t>Lab16__16</t>
  </si>
  <si>
    <t>Lab16__17</t>
  </si>
  <si>
    <t>Lab16__18</t>
  </si>
  <si>
    <t>Lab16__19</t>
  </si>
  <si>
    <t>Lab16__20</t>
  </si>
  <si>
    <t>Lab16__21</t>
  </si>
  <si>
    <t>Lab16__22</t>
  </si>
  <si>
    <t>Lab16__23</t>
  </si>
  <si>
    <t>Lab16__24</t>
  </si>
  <si>
    <t>Lab16__25</t>
  </si>
  <si>
    <t>Lab16__26</t>
  </si>
  <si>
    <t>Lab16__27</t>
  </si>
  <si>
    <t>Lab20__1</t>
  </si>
  <si>
    <t>Lab20__2</t>
  </si>
  <si>
    <t>Lab20__3</t>
  </si>
  <si>
    <t>Lab20__4</t>
  </si>
  <si>
    <t>Lab20__5</t>
  </si>
  <si>
    <t>Lab20__6</t>
  </si>
  <si>
    <t>Lab20__7</t>
  </si>
  <si>
    <t>Lab20__8</t>
  </si>
  <si>
    <t>Lab20__9</t>
  </si>
  <si>
    <t>Lab20__10</t>
  </si>
  <si>
    <t>Lab20__11</t>
  </si>
  <si>
    <t>Lab20__12</t>
  </si>
  <si>
    <t>Lab20__13</t>
  </si>
  <si>
    <t>Lab20__14</t>
  </si>
  <si>
    <t>Lab20__15</t>
  </si>
  <si>
    <t>Lab20__16</t>
  </si>
  <si>
    <t>Lab20__17</t>
  </si>
  <si>
    <t>Lab20__18</t>
  </si>
  <si>
    <t>or: _x000D_
&lt; 5 jr: 0,25 mg/dag in 1 dosis_x000D_
5-10 jr: 0,5 mg/dag in 1 dosis_x000D_
&gt; 10 jr: 1 mg/dag in 1 dosis</t>
  </si>
  <si>
    <t>Onderhoudsbehandeling van migraine._x000D_
Dosis geven voor het slapen._x000D_
Bijw.: slaperigheid en verhoogde eetlust.</t>
  </si>
  <si>
    <t>Bij acute allergische reacties._x000D_
Werkt ca 12 uur; oraal maximale werking pas na 2-5 uur._x000D_
Sedatief effect.</t>
  </si>
  <si>
    <t>Niet ionisch joodhoudend contrastmiddel dat vrijwel isotoon is met bloed en liquor._x000D_
Joodgehalte 240 mg/ml.</t>
  </si>
  <si>
    <t>&lt; 40 kg: rect   50 mg 1-2 dd_x000D_
&gt; 40 kg: rect 100 mg 1-2 dd</t>
  </si>
  <si>
    <t>&lt; 40 kg: rect   50 mg 1-2 dd_x000D_
&gt; 40 kg: rect 100-150 mg 1-2 dd</t>
  </si>
  <si>
    <t>Nonnucleoside-analoge reverse transcriptase remmer._x000D_
Cave huidreacties en transaminase stijging._x000D_
Zonodig nevirapine in profylaxe schema post partum. Alleen na overleg met landelijk centrum. Afhankelijk van risicofactoren bij moeder.</t>
  </si>
  <si>
    <t>iv oplaad: 35 mg/kg_x000D_
onderhoud: 75 mg/kg/dag in 3 doses,_x000D_
gedurende max 10 dagen</t>
  </si>
  <si>
    <t>Voor bijzonderheden zie Marcaïne 0,25%._x000D_
Combinatie met adrenaline gecontraïndiceerd bij anatomische eindarteriën._x000D_
Bevat geen conserveermiddel.</t>
  </si>
  <si>
    <t>ropivacaïne</t>
  </si>
  <si>
    <t>epiduraal (caudaal), infiltratie:_x000D_
&lt; 6 mnd: max 2 mg/kg_x000D_
&gt; 6 mnd: max 3 mg/kg</t>
  </si>
  <si>
    <t>Effect vergelijkbaar met bupivacaine. Mogelijk minder motorische blokkade en minder cardiotoxisch bij accidentele overdosering.</t>
  </si>
  <si>
    <t>InstMedIVStand_16</t>
  </si>
  <si>
    <t>InstMedIVDos_14</t>
  </si>
  <si>
    <t>InstMedIVDos_15</t>
  </si>
  <si>
    <t>InstMedIVDos_16</t>
  </si>
  <si>
    <t>dexamethason</t>
  </si>
  <si>
    <t>oog: 4 dd 1 dr</t>
  </si>
  <si>
    <t>Lab16u_3</t>
  </si>
  <si>
    <t>StartDatum_6</t>
  </si>
  <si>
    <t>StartDatum_7</t>
  </si>
  <si>
    <t>StartDatum_8</t>
  </si>
  <si>
    <t>StartDatum_9</t>
  </si>
  <si>
    <t xml:space="preserve">or 0,5 mg/kg/dag 's avonds of in 2 doses, max 80 mg/dag </t>
  </si>
  <si>
    <t>intrathecaal: 0,2 mg/kg</t>
  </si>
  <si>
    <t>busulfan</t>
  </si>
  <si>
    <t>rect: 1-2 dd 1 g, max 50 mg/kg/dag</t>
  </si>
  <si>
    <t>Achternaam</t>
  </si>
  <si>
    <t>Voornaam</t>
  </si>
  <si>
    <t>Glucose 40%</t>
  </si>
  <si>
    <t>Antidota</t>
  </si>
  <si>
    <t>Inotropica</t>
  </si>
  <si>
    <t>Anti-arrythmica</t>
  </si>
  <si>
    <t>fosfaat gebufferd zout pH 7,4</t>
  </si>
  <si>
    <t>polyfructosan</t>
  </si>
  <si>
    <t xml:space="preserve">in overleg nefroloog  </t>
  </si>
  <si>
    <t>levothyroxine</t>
  </si>
  <si>
    <t>doseren op geleide plasma concentraties</t>
  </si>
  <si>
    <t>WisseLligging</t>
  </si>
  <si>
    <t>HoudingsDrainage</t>
  </si>
  <si>
    <t>ApparaatCV</t>
  </si>
  <si>
    <t>ModeCV</t>
  </si>
  <si>
    <t>=ber_Med_disc!$F$12</t>
  </si>
  <si>
    <t>=ber_Med_disc!$F$13</t>
  </si>
  <si>
    <t>=ber_Med_disc!$F$14</t>
  </si>
  <si>
    <t>desmopressine</t>
  </si>
  <si>
    <t>pancreatine (comb. prep.)</t>
  </si>
  <si>
    <t xml:space="preserve">JICHTMIDDELEN                                                                                                                                                                                                                                                  </t>
  </si>
  <si>
    <t>Sedatie volgens Comfort Scale?</t>
  </si>
  <si>
    <t>Comfort</t>
  </si>
  <si>
    <t>Midazolam</t>
  </si>
  <si>
    <t>Uitsluitend voor behandeling van decompensatie bij ernstig chronisch hartfalen of na hartoperatie._x000D_
Dosering aanpassen bij nierfunctiestoornis._x000D_
Bijw.: hypotensie gevolgd door tachycardie.</t>
  </si>
  <si>
    <t>als diureticum: iv:_x000D_
5-12,5 mg/kg/dag in 1 dosis,_x000D_
max 375 mg/dag</t>
  </si>
  <si>
    <t>als diureticum: or:_x000D_
5-12,5 mg/kg/dag in 1 dosis,_x000D_
max 375 mg/dag</t>
  </si>
  <si>
    <t>or 1-3 mg/kg/dag in 1-2 doses,_x000D_
max 100 mg/dag_x000D_
_x000D_
Neon.: or 1-3 mg/kg/dag in 2 doses_x000D_
&lt; 30 wkn: or 1 mg/kg/dag in 1 dosis, indien na enkele dagen geen hyponatriëmie: 2 mg/kg/dag in 2 doses</t>
  </si>
  <si>
    <t>Thiazide-diureticum. Effect binnen 1 uur en max na 2-6 uur._x000D_
Werking houdt 12-18 uur aan.</t>
  </si>
  <si>
    <t>Bij acute natte otitis externa. Bevat propyleenglycol, daarom niet bij geperforeerd trommelvlies. De uitwendige gehoorgang voor gebruik reinigen. Werkt pH-verlagend, daarom actief tegen o.a. Pseudomonas aeruginosa en Staphylococcus aureus.</t>
  </si>
  <si>
    <t>Fluticason is een sterk werkzaam corticosteroïd. Zie opmerking inleiding.</t>
  </si>
  <si>
    <t>neus:_x000D_
4-12 jr: 1 dd 50 microg in ieder neusgat 's morgens, max 2 dd 50 microg_x000D_
&gt; 12 jr: 1 dd 100 microg in ieder neusgat 's morgens, max 2 dd 100 microg</t>
  </si>
  <si>
    <t>iv/im 0,01 mg/kg/keer_x000D_
intratracheaal 0,05 mg/kg/keer_x000D_
na 3 min. herhalen bij uitblijven effect_x000D_
_x000D_
bij opiaatoverdosering tijdens (postoperatieve) pijnstilling dosis naloxon titreren (0,001-0,010 mg/kg); na hoge dosis zijn morfinomimetica enige uren onwerkzaam</t>
  </si>
  <si>
    <t xml:space="preserve">fenytoïne </t>
  </si>
  <si>
    <t>op voorschrift immunoloog</t>
  </si>
  <si>
    <t>Conjugaat vaccin.</t>
  </si>
  <si>
    <t>tetanus immunoglobuline</t>
  </si>
  <si>
    <t xml:space="preserve">TRACTUS CIRCULATORIUS antihypertensiva                                                                                                                                                                                                                         </t>
  </si>
  <si>
    <t xml:space="preserve">tabl retard         </t>
  </si>
  <si>
    <t xml:space="preserve">mmol K/ml      </t>
  </si>
  <si>
    <t xml:space="preserve">zalf 10 g              </t>
  </si>
  <si>
    <t xml:space="preserve">NLU/g          </t>
  </si>
  <si>
    <t>iv 4-6 mg/kg/dag in 4-6 doses,_x000D_
max 400 mg/dag</t>
  </si>
  <si>
    <t>Remt centrale braakreflex en heeft anxiolytische werking. Bij hoge doses kunnen slaperigheid, extrapyramidale verschijnselen en hyperprolactinemie optreden. Antidotum: biperideen.</t>
  </si>
  <si>
    <t>&lt; 12 jr: or 3-4 dd 0,3 mg/kg/dosis, _x000D_
max 10 mg/dosis_x000D_
&gt; 12 jr: or 3-4 dd 10 mg_x000D_
_x000D_
Neon.: or 1 mg/kg/dag in 3-4 doses</t>
  </si>
  <si>
    <t>rect:_x000D_
&lt; 2 jr: 2-4 dd 10 mg_x000D_
2-4 jr: 2 dd 30 mg_x000D_
4-6 jr: 3 dd 30 mg_x000D_
6-12 jr: 4 dd 30 mg _x000D_
&gt; 12 jr: 2-4 dd 60 mg,_x000D_
max 240 mg/dag</t>
  </si>
  <si>
    <t xml:space="preserve">fles 100 ml             </t>
  </si>
  <si>
    <t xml:space="preserve">fles                </t>
  </si>
  <si>
    <t>Samenstelling per 1 ml:_x000D_
Zink          250 microg_x000D_
Koper          20 microg_x000D_
Mangaan      1  microg_x000D_
Jodium          1  microg_x000D_
Seleen          2 microg_x000D_
Fluoride       57 microg</t>
  </si>
  <si>
    <t xml:space="preserve">als antiarrhythmicum: opladen or:_x000D_
dag 1: 15 mg/kg/dag in 3 doses_x000D_
_x000D_
onderhoud or: op geleide spiegel:_x000D_
4 wkn - 2 jr: 8-12 mg/kg/dag in 2-3 doses_x000D_
&gt; 2 jr: 4-6 mg/kg/dag in 2-3 doses_x000D_
_x000D_
als anti-epilepticum zie blz ?_x000D_
</t>
  </si>
  <si>
    <t>opladen iv 1,25 mg/kg in 5 min, herhalen tot max 15 mg/kg _x000D_
(= oplaaddosis in 1 uur)_x000D_
_x000D_
als anti-epilepticum: zie blz ?</t>
  </si>
  <si>
    <t>tijdens iv toediening dient als antagonist altijd calciumgluconaat aanwezig te zijn_x000D_
bij aritmie:_x000D_
&gt; 1 jr: iv  0,1 mg/kg/dosis in 2-5 min,_x000D_
herhalen zo nodig na 15-30 minuten,_x000D_
max 10 mg/dosis</t>
  </si>
  <si>
    <t>&gt; 1 jaar:_x000D_
or 3-8 mg/kg/dag in 3 doses</t>
  </si>
  <si>
    <t>MedIVMlSpuit_2</t>
  </si>
  <si>
    <t>MedIVMlSpuit_3</t>
  </si>
  <si>
    <t>MedIVMlSpuit_4</t>
  </si>
  <si>
    <t>cisapride</t>
  </si>
  <si>
    <t>Plasma-eiwitoplossing, gepasteuriseerd</t>
  </si>
  <si>
    <t>=ber_TPN!$E$15</t>
  </si>
  <si>
    <t>=ber_PO!$A$1</t>
  </si>
  <si>
    <t>=ber_PO!$AB$12</t>
  </si>
  <si>
    <t>=ber_PO!$AB$13</t>
  </si>
  <si>
    <t>=ber_PO!$AB$14</t>
  </si>
  <si>
    <t>=ber_PO!$AB$15</t>
  </si>
  <si>
    <t>=ber_PO!$AB$16</t>
  </si>
  <si>
    <t>=ber_PO!$AB$17</t>
  </si>
  <si>
    <t>=ber_PO!$AB$18</t>
  </si>
  <si>
    <t>Dampvormig anestheticum. Werkt sneller en korter dan halothaan. Door slijmvliesirritatie luchtwegen minder geschikt voor inductie. Weinig hepatotoxisch. Weinig invloed op intracraniële druk.</t>
  </si>
  <si>
    <t>sevofluraan</t>
  </si>
  <si>
    <t>arginine</t>
  </si>
  <si>
    <t>bij maligne hyperthermie:_x000D_
iv 1 mg/kg/dosis, zonodig herhalen tot cumulatieve dosis van 10 mg/kg</t>
  </si>
  <si>
    <t>bij spasmen:_x000D_
or 1 mg/kg/dag in 1 dosis, zonodig wekelijks verhogen tot 8 mg/kg in 4 doses, max 500 mg/dag</t>
  </si>
  <si>
    <t>Effect treedt binnen 1 min op, korte werkingsduur (2-8min)._x000D_
Bijw: bradycardie. Altijd in combinatie met atropine als premedicatie._x000D_
Cave  bijwerkingen.</t>
  </si>
  <si>
    <t>rocuronium</t>
  </si>
  <si>
    <t>intubatie: iv 0,6 mg/kg_x000D_
onderhoud: iv 0,3-0,6 mg/kg/uur</t>
  </si>
  <si>
    <t>Effect binnen 1 min. Werkingsduur is afhankelijk van de dosis (30-50 min).</t>
  </si>
  <si>
    <t>Als adjuvans bij benzodiazepinen tijdens sedatie op de IC, sedatie is dosis-afhankelijk.</t>
  </si>
  <si>
    <t>algemene anesthesie: _x000D_
iv 2-3,5 mg/kg in 40-80 sec,_x000D_
daarna 3-15 mg/kg/uur afhankelijk van toepassing</t>
  </si>
  <si>
    <t>premedicatie:_x000D_
or, rect 0,2-0,5 mg/kg/keer, (de injectievloeistof kan rectaal gebruikt worden), max 15 mg/keer</t>
  </si>
  <si>
    <t>iv 0,3-0,5 mg/kg/dosis in 15-60 sec._x000D_
_x000D_
Neon.: bij voldragen pasgeborenen eenmalig voor intubatie:_x000D_
iv 0,3-0,5 mg/kg/dosis in 15-60 sec.</t>
  </si>
  <si>
    <t xml:space="preserve">inh vl 24 ml             </t>
  </si>
  <si>
    <t xml:space="preserve">amp 4 ml             </t>
  </si>
  <si>
    <t xml:space="preserve">g/zetp         </t>
  </si>
  <si>
    <t xml:space="preserve">g/poeder       </t>
  </si>
  <si>
    <t xml:space="preserve">flac 3 ml             </t>
  </si>
  <si>
    <t>0,01-1,5 mcg/kg/min</t>
  </si>
  <si>
    <t>25-100 nanogram/kg/min</t>
  </si>
  <si>
    <t>Naam</t>
  </si>
  <si>
    <t>Gewicht</t>
  </si>
  <si>
    <t>Leeftijd:</t>
  </si>
  <si>
    <t>Vocht</t>
  </si>
  <si>
    <t>Calorieen</t>
  </si>
  <si>
    <t xml:space="preserve">Natrium </t>
  </si>
  <si>
    <t>Kalium</t>
  </si>
  <si>
    <t>FZ</t>
  </si>
  <si>
    <t>gluc 5%</t>
  </si>
  <si>
    <t>gluc 10%</t>
  </si>
  <si>
    <t>totaal</t>
  </si>
  <si>
    <t>gluc10%</t>
  </si>
  <si>
    <t>Voeding</t>
  </si>
  <si>
    <t>Infuus</t>
  </si>
  <si>
    <t>bariumsulfaat</t>
  </si>
  <si>
    <t>methylfenidaat</t>
  </si>
  <si>
    <t>fysiologisch zout</t>
  </si>
  <si>
    <t>or 25 mg/kg/dag in 3-4  doses, max 1 g/dag</t>
  </si>
  <si>
    <t>=ber_Med_disc!$D$8</t>
  </si>
  <si>
    <t>=ber_Med_disc!$D$9</t>
  </si>
  <si>
    <t>=ber_Med_disc!$D$10</t>
  </si>
  <si>
    <t>tblAanvAfspr</t>
  </si>
  <si>
    <t>=ber_Infusen!$J$1:$J$14</t>
  </si>
  <si>
    <t>tblAdvies</t>
  </si>
  <si>
    <t>=dbForm!$H$2:$H$1016</t>
  </si>
  <si>
    <t>tblApparaat</t>
  </si>
  <si>
    <t>=ber_bead!$D$2:$D$5</t>
  </si>
  <si>
    <t>tblBerPO</t>
  </si>
  <si>
    <t>=ber_PO!$B$2:$AB$10</t>
  </si>
  <si>
    <t>tblBerPoeder</t>
  </si>
  <si>
    <t>=ber_PO!$AD$2:$AN$10</t>
  </si>
  <si>
    <t>tblBijz</t>
  </si>
  <si>
    <t>=dbForm!$I$2:$I$1016</t>
  </si>
  <si>
    <t>tblDBFormularium</t>
  </si>
  <si>
    <t>=dbForm!$A$2:$P$2033</t>
  </si>
  <si>
    <t>tblDosEenh</t>
  </si>
  <si>
    <t>+ adrenaline:_x000D_
geleidings- of infiltratieanesthesie:_x000D_
0,25-2%, max 5 mg/kg/keer_x000D_
(volw: max 500 mg/keer)</t>
  </si>
  <si>
    <t>deficiëntie: iv 100-500 mg/dag in 2-3 doses</t>
  </si>
  <si>
    <t>asparaginase</t>
  </si>
  <si>
    <t>1.</t>
  </si>
  <si>
    <t>2.</t>
  </si>
  <si>
    <t>3.</t>
  </si>
  <si>
    <t>4.</t>
  </si>
  <si>
    <t>5.</t>
  </si>
  <si>
    <t>=ber_IVmed!$E$13</t>
  </si>
  <si>
    <t>=ber_IVmed!$E$14</t>
  </si>
  <si>
    <t>=ber_IVmed!$E$20</t>
  </si>
  <si>
    <t>=ber_IVmed!$E$4</t>
  </si>
  <si>
    <t>=ber_IVmed!$E$5</t>
  </si>
  <si>
    <t>=ber_IVmed!$E$6</t>
  </si>
  <si>
    <t>=ber_IVmed!$E$7</t>
  </si>
  <si>
    <t>=ber_IVmed!$E$8</t>
  </si>
  <si>
    <t>=ber_IVmed!$E$9</t>
  </si>
  <si>
    <t>=ber_IVmed!$E$10</t>
  </si>
  <si>
    <t>=ber_IVmed!$E$11</t>
  </si>
  <si>
    <t>=ber_TPN!$C$8</t>
  </si>
  <si>
    <t>=ber_TPN!$C$20</t>
  </si>
  <si>
    <t>=ber_TPN!$E$8</t>
  </si>
  <si>
    <t>=ber_TPN!$E$20</t>
  </si>
  <si>
    <t>=ber_PO!$P$22</t>
  </si>
  <si>
    <t>Na orale toediening treedt het effect op na 5 uur. Restrictief gebruiken bij actieve maagdarmulcera. Huidreacties gegeneraliseerde urticaria zijn gemeld.</t>
  </si>
  <si>
    <t>budesonide</t>
  </si>
  <si>
    <t>&gt; 10 jr: rect 1-2 klysma's/dag</t>
  </si>
  <si>
    <t>Ampul 1 ml = 4,4 mg zinksulfaat = 1 mg zink = 15 micromol zink</t>
  </si>
  <si>
    <t>oog: 2-6 dd 1 dr</t>
  </si>
  <si>
    <t>Bij lichte conjunctivitis. Zink werkt zwak adstringerend.</t>
  </si>
  <si>
    <t>mercaptopurine</t>
  </si>
  <si>
    <t>Bij gelijktijdig gebruik allopurinol dosering mercaptopurine verlagen.</t>
  </si>
  <si>
    <t>Pupillen om de</t>
  </si>
  <si>
    <t>Temperatuur om de</t>
  </si>
  <si>
    <t>RR bloedig om de</t>
  </si>
  <si>
    <t>Maaghevel om de</t>
  </si>
  <si>
    <t>CVD om de</t>
  </si>
  <si>
    <t>GCS om de</t>
  </si>
  <si>
    <t>Urine produktie om de</t>
  </si>
  <si>
    <t>MedIVSterkte_12</t>
  </si>
  <si>
    <t>MedIVSterkte_13</t>
  </si>
  <si>
    <t>MedIVSterkte_14</t>
  </si>
  <si>
    <t>MedKeuze_14</t>
  </si>
  <si>
    <t>MedKeuze_15</t>
  </si>
  <si>
    <t>MedKeuze_16</t>
  </si>
  <si>
    <t>Synthetisch somatostatine-analogon._x000D_
Bijw.: galstenen, malabsorptie, glucose-intolerantie.</t>
  </si>
  <si>
    <t>chronische hepatitis:_x000D_
or 10-20 mg/kg/dag in 2-3 doses</t>
  </si>
  <si>
    <t>or:_x000D_
1-10 jr: 4 dd 10 ml_x000D_
&gt; 10 jr:  4 dd 10-20 ml_x000D_
            4 dd 2 kauwtabletten</t>
  </si>
  <si>
    <t>Bij droge wond verband 5 dagen laten zitten. Bij wond met veel vochtafscheiding verband tenminste 1 maal daags verwisselen.</t>
  </si>
  <si>
    <t>Angiotensine-II-antagonist. In bijzondere omstandigheden, na overleg nefroloog. Weinig ervaring bij kinderen.</t>
  </si>
  <si>
    <t>zoemer</t>
  </si>
  <si>
    <t>1 ml (max 10 ml)</t>
  </si>
  <si>
    <t>digoxine</t>
  </si>
  <si>
    <t>startdosis: or:_x000D_
0,5-1 mg/kg/dag in 1 dosis</t>
  </si>
  <si>
    <t>Extravasatie: gebied direct injecteren met 4% natriumthiosulfaatoplossing, vervolgens koelen met ijs (6-12 uur).Chloormethine is blaartrekkend!</t>
  </si>
  <si>
    <t>methylcellulose</t>
  </si>
  <si>
    <t>iv 6 mg/kg/dag in 1 dosis in 1 uur, max 300 mg/dag</t>
  </si>
  <si>
    <t>continu iv 0,01-1,5 microg/kg/min</t>
  </si>
  <si>
    <t>octreotide</t>
  </si>
  <si>
    <t>Lab16u_14</t>
  </si>
  <si>
    <t>Lab16u_2</t>
  </si>
  <si>
    <t>neus: 4-6 dd 3 dr</t>
  </si>
  <si>
    <t>Mechanische reiniging van ingedikt neussecreet.</t>
  </si>
  <si>
    <t>jood</t>
  </si>
  <si>
    <t>allopurinol</t>
  </si>
  <si>
    <t>=dbBead!$Q$2</t>
  </si>
  <si>
    <t>BedNummer</t>
  </si>
  <si>
    <t>=Patienten!$T$1</t>
  </si>
  <si>
    <t>=ber_TPN!$C$9</t>
  </si>
  <si>
    <t>=ber_lab!$C$8</t>
  </si>
  <si>
    <t>nicardipine</t>
  </si>
  <si>
    <t>loperamide</t>
  </si>
  <si>
    <t>glycine</t>
  </si>
  <si>
    <t>Prodrug wordt door hydrolyse omgezet in actief epinine. Met name effect op DA-receptoren, zwak positief inotroop en vaatverwijdend effect. Ervaringen bij kinderen zeer beperkt.</t>
  </si>
  <si>
    <t xml:space="preserve">TRACTUS CIRCULATORIUS sympathicomimetica                                                                                                                                                                                                                       </t>
  </si>
  <si>
    <t xml:space="preserve">amp 1 ml             </t>
  </si>
  <si>
    <t xml:space="preserve">iv/trach       </t>
  </si>
  <si>
    <t xml:space="preserve">amp 10 ml             </t>
  </si>
  <si>
    <t>or 30-50 mg/kg/dag in 3-4 doses,_x000D_
max 3 g/dag_x000D_
_x000D_
profylaxe bij asplenie, acuut reuma:_x000D_
1-5 jaar: 250 mg/dag in 2 doses_x000D_
&gt; 5 jaar: 500 mg/dag in 2 doses</t>
  </si>
  <si>
    <t>cyanotic spell:_x000D_
iv 20 microg/kg (evt. ophogen tot 50 microg/kg)_x000D_
_x000D_
tijdens bypass, op indicatie:_x000D_
&gt; 50 kg iv 50-100 microg/keer</t>
  </si>
  <si>
    <t>Puur a-effect, perifere vasoconstrictor bij tetralogie van Fallot indien kritische cyanotic spell's. Ter verhoging van de afterload._x000D_
Tevens toepassing tijdens extracorporele circulatie.</t>
  </si>
  <si>
    <t>or 4-6 mg/kg/dag in 3 doses_x000D_
evt. combineren met diureticum,_x000D_
contra-indicatie: patienten in NYHA klasse III en IV</t>
  </si>
  <si>
    <t>ß1- en ß2-specifieke agonist. t1/2 = 1,5-4 min._x000D_
Bijw.: hypotensie, tachycardie met soms als gevolg myocardischemie.</t>
  </si>
  <si>
    <t>alcohol gedenatureerd</t>
  </si>
  <si>
    <t>Opmerking:</t>
  </si>
  <si>
    <t>Medicatie continu intraveneus</t>
  </si>
  <si>
    <t>Geen sonde</t>
  </si>
  <si>
    <t>Infuussnelheid</t>
  </si>
  <si>
    <t>SSTglucose</t>
  </si>
  <si>
    <t>fluormetholon</t>
  </si>
  <si>
    <t>Lokaal sterk werkzaam.</t>
  </si>
  <si>
    <t>MedDosHoev_8</t>
  </si>
  <si>
    <t>MedDosHoev_9</t>
  </si>
  <si>
    <t>iv 0,01 mg/kg zonodig na 1 minuut herhalen</t>
  </si>
  <si>
    <t>PLV</t>
  </si>
  <si>
    <t>Mode:</t>
  </si>
  <si>
    <t>Frequentie:</t>
  </si>
  <si>
    <t>Ti:</t>
  </si>
  <si>
    <t>Werking begint na ca. 5-10 min. en houdt ongeveer 6 uur aan._x000D_
Gebruik van voorzetkamer (Aerochamber) wordt aanbevolen.</t>
  </si>
  <si>
    <t>=dbForm!$A$2:$A$1016</t>
  </si>
  <si>
    <t>tblRecNoPrep</t>
  </si>
  <si>
    <t>=dbForm!$X$2:$X$1018</t>
  </si>
  <si>
    <t>tblSonde</t>
  </si>
  <si>
    <t>=ber_bead!$H$2:$H$5</t>
  </si>
  <si>
    <t>tblSSTGlucose</t>
  </si>
  <si>
    <t>=ber_TPN!$K$25:$K$39</t>
  </si>
  <si>
    <t>permetrine</t>
  </si>
  <si>
    <t>MedOplVol_8</t>
  </si>
  <si>
    <t>Synthetisch vasopressine-analogon. Na nasale of iv toediening houdt effect 8-22 uur aan. Na orale toediening houdt effect 6-10 uur aan.</t>
  </si>
  <si>
    <t>LabOpn_8</t>
  </si>
  <si>
    <t>LabOpn_9</t>
  </si>
  <si>
    <t xml:space="preserve">HORMONEN hypofyse en hypothalamushormonen                                                                                                                                                                                                                      </t>
  </si>
  <si>
    <t>bij glutaaracidurie type 1 en mitochondriële ß-oxydatie defecten:_x000D_
or 20-300 mg/dag in 3 doses</t>
  </si>
  <si>
    <t>primaire carnitine deficiëntie:_x000D_
or &lt; 1 jr: 100-150 mg/kg/dag in 3 doses_x000D_
or 1-12 jr: 50-100 mg/kg/dag in 3 doses_x000D_
_x000D_
secundaire carnitine deficiëntie:_x000D_
or 30-50 mg/kg/dag in 2-3 doses_x000D_
_x000D_
bij acute ontregeling organisch zuursyndroom: zie blz ?</t>
  </si>
  <si>
    <t xml:space="preserve">emulsie 120 g              </t>
  </si>
  <si>
    <t xml:space="preserve">emulsie             </t>
  </si>
  <si>
    <t xml:space="preserve">caps enteric        </t>
  </si>
  <si>
    <t xml:space="preserve">drank 35 ml             </t>
  </si>
  <si>
    <t>or: afhankelijk van deficiëntie op geleide Se conc._x000D_
_x000D_
aanbevolen dosis seleen in TPN_x000D_
iv: 1-2 microg/kg/dag max 30 microg/dag</t>
  </si>
  <si>
    <t>Seleen oraal wordt toegediend als natrium seleniet (Na2SeO3.5 H2O)._x000D_
1 microg seleen = ong. 3 microg natriumseleniet. De absorptie is 45-95%. Kan op aanvraag bereid worden._x000D_
Intraveneus in Peditrace.</t>
  </si>
  <si>
    <t>iv 1 ml/kg/dag, toegevoegd aan TPN, max 15 ml/dag_x000D_
_x000D_
Neon.:_x000D_
iv 1 ml/kg/dag, toegevoegd aan TPN</t>
  </si>
  <si>
    <t>Bij mogelijkheid inhalatietherapie dient de orale vorm niet te worden gebruikt.</t>
  </si>
  <si>
    <t xml:space="preserve">microg/dosis   </t>
  </si>
  <si>
    <t xml:space="preserve">inhaler 50 doses/verp     </t>
  </si>
  <si>
    <t>=ber_Med_disc!$H$14</t>
  </si>
  <si>
    <t>or 0,3-0,5 mg/kg/dag in 2-4 doses,_x000D_
max 40 mg/dag</t>
  </si>
  <si>
    <t>rect 0,5 mg/kg/dag in 3 doses, _x000D_
max 60 mg/dag</t>
  </si>
  <si>
    <t>iv 5 mg/m2/keer, 15 minuten voorafgaande aan de kuur, max 3 dd_x000D_
_x000D_
profylaxe en behandeling postoperatief braken iv:_x000D_
&gt; 0,5 jr: 0,1 mg/kg/keer, max 3 dd</t>
  </si>
  <si>
    <t>profylaxe chemo- en radiotherapie or:_x000D_
&lt; 0,6 m2:	2 mg/keer, max 3 dd_x000D_
0,6-1,2 m2: 4 mg/keer, max 3 dd_x000D_
&gt; 1,2 m2:	8 mg/keer, max 3 dd</t>
  </si>
  <si>
    <t>volw: 1 dd 16 mg</t>
  </si>
  <si>
    <t>or start 1-2 mg/kg/dag,_x000D_
elke 4-5 dagen ophogen tot 8-10 mg/kg/dag in 4 doses</t>
  </si>
  <si>
    <t>levodopa + carbidopa 10:1</t>
  </si>
  <si>
    <t>or start 1-2 mg/kg/dag levodopa,_x000D_
elke 4-5 dagen ophogen tot 10-12 mg/kg/dag in 4 doses</t>
  </si>
  <si>
    <t>acute ontregeling organisch zuursyndroom: or 5-40 mg/dag in 3 doses_x000D_
_x000D_
biotinidase deficiëntie:_x000D_
or 5-10 mg/dag</t>
  </si>
  <si>
    <t xml:space="preserve">Zie inleiding_x000D_
Ad-hoc receptuur, prijs per mg._x000D_
</t>
  </si>
  <si>
    <t>oog: 1-4 jr: 0,25% 2 dd 1-2 dr</t>
  </si>
  <si>
    <t>oog: &gt; 4 jr: 0,5 % 2 dd 1-2 dr</t>
  </si>
  <si>
    <t>oog: &gt; 1 jr: als diagnosticum volgens voorschrift oogarts_x000D_
als therapeuticum 2 dd 1 dr</t>
  </si>
  <si>
    <t>fenylefrine</t>
  </si>
  <si>
    <t>oog: als diagnosticum volgens voorschrift oogarts_x000D_
als therapeuticum 2 dd 1 dr</t>
  </si>
  <si>
    <t>Patient</t>
  </si>
  <si>
    <t>=dbBead!$AF$2</t>
  </si>
  <si>
    <t>=dbBead!$AN$2</t>
  </si>
  <si>
    <t>=dbBead!$I$2</t>
  </si>
  <si>
    <t>amidotrizoïnezuur</t>
  </si>
  <si>
    <t>=ber_Med_disc!$D$11</t>
  </si>
  <si>
    <t>=ber_Med_disc!$D$12</t>
  </si>
  <si>
    <t>=ber_Med_disc!$D$13</t>
  </si>
  <si>
    <t>=ber_Med_disc!$D$14</t>
  </si>
  <si>
    <t>=ber_Med_disc!$D$15</t>
  </si>
  <si>
    <t>=ber_Med_disc!$D$16</t>
  </si>
  <si>
    <t>=ber_Med_disc!$D$17</t>
  </si>
  <si>
    <t>=ber_Med_disc!$D$18</t>
  </si>
  <si>
    <t>=ber_Med_disc!$D$19</t>
  </si>
  <si>
    <t>atropine-intoxicatie:_x000D_
iv 0,02 mg/kg in minimaal 5 min; zo nodig elke 10 min herhalen, max 2 mg</t>
  </si>
  <si>
    <t>cystic fibrosis:_x000D_
iv 300+37,5 mg/kg/dag in 3-4 doses, max 16+2 g/dag</t>
  </si>
  <si>
    <t>delier: iv 0,05 mg/kg, zo nodig na 2 uur herhalen tot gewenste effect, max 0,5 mg/kg/dag, niet als onderhoudsmedicatie_x000D_
_x000D_
sedatie IC zie blz ?</t>
  </si>
  <si>
    <t>opmMedDisc__13</t>
  </si>
  <si>
    <t>opmMedDisc__14</t>
  </si>
  <si>
    <t>opmMedDisc__15</t>
  </si>
  <si>
    <t>alfacalcidol</t>
  </si>
  <si>
    <t>MedOpl_16</t>
  </si>
  <si>
    <t>MedOpl_17</t>
  </si>
  <si>
    <t>Alleen als aan criteria ADHD (zie inleiding) wordt voldaan. Laatste gift niet later dan 16 uur geven i.v.m. slaapproblemen. Opiumwetartikel.</t>
  </si>
  <si>
    <t>methylprednisolon</t>
  </si>
  <si>
    <t>WisselLigging</t>
  </si>
  <si>
    <t>Lab06u_1</t>
  </si>
  <si>
    <t>norepinefrine</t>
  </si>
  <si>
    <t>continu iv 0,05-2 microg/kg/min</t>
  </si>
  <si>
    <t>Dringt door in centraal zenuwstelsel.</t>
  </si>
  <si>
    <t>opmAfsprBlad__11</t>
  </si>
  <si>
    <t>opmAfsprBlad__12</t>
  </si>
  <si>
    <t>opmAfsprBlad__13</t>
  </si>
  <si>
    <t>18 druppels toevoegen aan  1 L melk en voor gebruik 24 uur in koelkast bewaren</t>
  </si>
  <si>
    <t>NLU = Neutral Lactase Unit_x000D_
Verstrekking in WKZ via de zuigelingenvoedingskeuken.</t>
  </si>
  <si>
    <t>PRVC</t>
  </si>
  <si>
    <t>PC</t>
  </si>
  <si>
    <t>VC</t>
  </si>
  <si>
    <t>PS</t>
  </si>
  <si>
    <t>VS</t>
  </si>
  <si>
    <t>medicament</t>
  </si>
  <si>
    <t>ml spuit</t>
  </si>
  <si>
    <t>infuussnelheid</t>
  </si>
  <si>
    <t>dosering</t>
  </si>
  <si>
    <t>dopamine</t>
  </si>
  <si>
    <t>Glucose 5%</t>
  </si>
  <si>
    <t>Glucose 10%</t>
  </si>
  <si>
    <t>J.I.A.: or 1-2 mg/kg/dag in 3 doses_x000D_
_x000D_
bij pijn:_x000D_
or 3 mg/kg/dag in 3 doses, eerste gift dubbele dosis, max 200 mg/dag</t>
  </si>
  <si>
    <t xml:space="preserve">Orale dosis tijdens de maaltijd innemen._x000D_
Bijw.: rectaal: irritatie slijmvlies._x000D_
_x000D_
_x000D_
_x000D_
_x000D_
</t>
  </si>
  <si>
    <t>Extravasatie: koeling met ijscompressen wordt aanbevolen. 15 U = 15.000 IE</t>
  </si>
  <si>
    <t>opmMedDisc__8</t>
  </si>
  <si>
    <t>Lab06u_14</t>
  </si>
  <si>
    <t>Lab06u_2</t>
  </si>
  <si>
    <t>Lab06u_3</t>
  </si>
  <si>
    <t>Lab06u_4</t>
  </si>
  <si>
    <t>Lab06u_5</t>
  </si>
  <si>
    <t>Lab06u_6</t>
  </si>
  <si>
    <t>Datum:</t>
  </si>
  <si>
    <t>Opnamedatum:</t>
  </si>
  <si>
    <t>Voor de behandeling van ongecompliceerde Plasmodium falciparum en voor de nabehandeling van Palsmodium falciparum na behandeling met kinine bij volwassenen en kinderen vanaf 11 kg (ong. 3 jaar).</t>
  </si>
  <si>
    <t>or enterobiasis: 100 mg in 1 dosis, na 2 weken herhalen_x000D_
ascariasis, trichuriasis, toxocare en mijnworminfecties: 200 mg/dag in 2 doses, gedurende 3 dagen</t>
  </si>
  <si>
    <t>PresCon</t>
  </si>
  <si>
    <t>Nutrison Standard</t>
  </si>
  <si>
    <t>Nutrison Energy</t>
  </si>
  <si>
    <t>Perifeer infuus 1: SST 2</t>
  </si>
  <si>
    <t>Paraaf verpleegkundige:</t>
  </si>
  <si>
    <t>beclometason</t>
  </si>
  <si>
    <t>fosfaatdrank AZU</t>
  </si>
  <si>
    <t xml:space="preserve">doseren op geleide plasma concentraties  </t>
  </si>
  <si>
    <t>mitoxantron</t>
  </si>
  <si>
    <t>J.I.A.: or 2 mg/kg/dag in 2-3 doses, retard caps in 1-2 doses, max 150 mg/dag_x000D_
_x000D_
bij pijn: or 2 mg/kg/dag in 3 doses max 150 mg/dag_x000D_
_x000D_
doseringen voor reductie glomerulus filtratie (nefrotisch syndroom, renale diabetes insipidus, Bartter syndroom) in overleg met nefroloog</t>
  </si>
  <si>
    <t>huid: 's morgens en 's avonds aanbrengen op aangedane plekken, ged. 6-12 weken</t>
  </si>
  <si>
    <t>Antibacteriëel. Bij ernstige, pustuleuze acne. Mogelijk resistentie indien na 4 weken geen effect. Bij resistentie toepassing tenminste 2 maanden staken. Cave: huidirritatie, m.n. in combinatie met andere lokale middelen.</t>
  </si>
  <si>
    <t>hoofdhuid: 2x per week</t>
  </si>
  <si>
    <t>Bij seborrhoïsch eczeem voor de behaarde hoofdhuid.</t>
  </si>
  <si>
    <t>seleensulfide</t>
  </si>
  <si>
    <t>hoofdhuid: 2-3 keer per week, ged. max 4-6 weken</t>
  </si>
  <si>
    <t>BMR vaccin</t>
  </si>
  <si>
    <t>sc</t>
  </si>
  <si>
    <t>piperacilline</t>
  </si>
  <si>
    <t>protamine</t>
  </si>
  <si>
    <t>fentolaminemesilaat</t>
  </si>
  <si>
    <t>tracheaal</t>
  </si>
  <si>
    <t>doxorubicine</t>
  </si>
  <si>
    <t>D-penicillamine</t>
  </si>
  <si>
    <t>onderzoek van de blaas en mictie (mictie-cysto-urethrografie)</t>
  </si>
  <si>
    <t>Lab12u_9</t>
  </si>
  <si>
    <t>Eiwitgehalte 4% (waarvan 95% albumine).</t>
  </si>
  <si>
    <t>pneumokokkenvaccin</t>
  </si>
  <si>
    <t>Formule</t>
  </si>
  <si>
    <t>Butyrofenon. Sterk antipsychotisch en bij lage doseringen weinig sedatief._x000D_
1e keuze bij acute psychotische agitatie, delier en bij agressie bij zwakzinnigen._x000D_
2e keuze bij ticstoornissen._x000D_
Biol. beschikbaarheid is 60-70%.</t>
  </si>
  <si>
    <t>or 0,05 - 0,15 mg/kg/dag in 2-3 doses</t>
  </si>
  <si>
    <t>Bij slaapstoornissen zonder aanwijzing voor somatische of psychiatrische oorzaken.</t>
  </si>
  <si>
    <t>4-10 jr: or 5 mg_x000D_
&gt; 10 jr: or 10 mg_x000D_
's avonds 1 uur voor het slapen gaan</t>
  </si>
  <si>
    <t>=ber_lab!$B$11</t>
  </si>
  <si>
    <t>=ber_lab!$B$12</t>
  </si>
  <si>
    <t>=ber_lab!$B$13</t>
  </si>
  <si>
    <t>kaliumjodide</t>
  </si>
  <si>
    <t>Pomp-snelh.</t>
  </si>
  <si>
    <t>SST2Stand</t>
  </si>
  <si>
    <t>NaCl 0,9%</t>
  </si>
  <si>
    <t>fludarabine</t>
  </si>
  <si>
    <t>instillatie in CVC.:_x000D_
7500 IE in 3 ml gedurende 2 uur,_x000D_
daarna terugzuigen_x000D_
_x000D_
continue infusie hoge dosis iv:_x000D_
alleen op levensbedreigende indicaties_x000D_
in overleg hematoloog_x000D_
oplaad:  4400 IE/kg in 20 min_x000D_
onderhoud: 4400 IE/kg/uur_x000D_
zo nodig na 24 uur verdubbelen</t>
  </si>
  <si>
    <t xml:space="preserve">correctiefase:_x000D_
iv 0,45 microg/kg 1x per week, zo nodig elke 4weken verhogen/verlagen met 25%;_x000D_
onderhoudsfase:_x000D_
op geleide effect, dosis zo nodig elke 2 weken verhogen/verlagen met 25%;_x000D_
in de onderhoudsfase doseringsfrequentie evt. verlagen tot 1x per 2 weken_x000D_
_x000D_
omrekeningsfactor bij overschakelen van erytropoëtine naar darbepoëtine:_x000D_
dosis darbepoëtine in microg = dosis erytropoëtine in IE / 200_x000D_
_x000D_
</t>
  </si>
  <si>
    <t>=ber_lab!$F$15</t>
  </si>
  <si>
    <t>=ber_lab!$F$16</t>
  </si>
  <si>
    <t>=ber_lab!$F$17</t>
  </si>
  <si>
    <t>=ber_lab!$F$4</t>
  </si>
  <si>
    <t>=ber_lab!$F$11</t>
  </si>
  <si>
    <t>=ber_lab!$F$3</t>
  </si>
  <si>
    <t>=ber_lab!$F$5</t>
  </si>
  <si>
    <t>=ber_lab!$F$6</t>
  </si>
  <si>
    <t xml:space="preserve">TRACTUS RESPIRATORIUS hoestmiddelen                                                                                                                                                                                                                            </t>
  </si>
  <si>
    <t xml:space="preserve">inh vl 25 ml             </t>
  </si>
  <si>
    <t xml:space="preserve">inh                           </t>
  </si>
  <si>
    <t xml:space="preserve">inh vl              </t>
  </si>
  <si>
    <t xml:space="preserve">flac 25 ml             </t>
  </si>
  <si>
    <t>iv 10-15 mg/kg/dag in 30 min in 2 doses, max 1,5 g/dag_x000D_
_x000D_
cystic fibrosis:_x000D_
iv 25-30 mg/kg/dag in 30 min in 2-3 doses, bijstellen op geleide plasmaconc.</t>
  </si>
  <si>
    <t>Koolzuuranhydraseremmer. Effect op proximale tubulus. Zwak diuretisch. Cave acidose (obligaat), nier- en leverfunctiestoornissen. Veel bijwerkingen en interacties. Voornamelijk oogheelkundige indicatie.</t>
  </si>
  <si>
    <t>Peditrace</t>
  </si>
  <si>
    <t>heparine natrium</t>
  </si>
  <si>
    <t>nasotracheaal tube</t>
  </si>
  <si>
    <t>thymocyten immunoglobuline (ATG)</t>
  </si>
  <si>
    <t>Bevat per dragee: thiamine 1,5 mg, riboflavine 2,5 mg, nicotinamide 20 mg, Ca-pantothenaat 3 mg, pyridoxine 2 mg, cyanocobalamine 0,1 microg</t>
  </si>
  <si>
    <t>xylometazoline</t>
  </si>
  <si>
    <t>neus: 2-6 jr: 1-3 dd 1-2 dr in elk neusgat</t>
  </si>
  <si>
    <t>&gt; 6 jr: 1-3 dd 1-2 dr in elk neusgat</t>
  </si>
  <si>
    <t>=ber_Med_disc!$C$2</t>
  </si>
  <si>
    <t>=ber_Med_disc!$C$11</t>
  </si>
  <si>
    <t>=ber_Med_disc!$C$12</t>
  </si>
  <si>
    <t>=ber_Med_disc!$C$13</t>
  </si>
  <si>
    <t>=ber_Med_disc!$C$14</t>
  </si>
  <si>
    <t>=ber_Med_disc!$C$15</t>
  </si>
  <si>
    <t>=ber_Med_disc!$C$16</t>
  </si>
  <si>
    <t>=ber_Med_disc!$C$17</t>
  </si>
  <si>
    <t>=ber_Med_disc!$C$18</t>
  </si>
  <si>
    <t>=ber_Med_disc!$C$19</t>
  </si>
  <si>
    <t>OOG-MIDDELEN overige</t>
  </si>
  <si>
    <t>cysteamine</t>
  </si>
  <si>
    <t>oog: 4-6 dd 1 dr</t>
  </si>
  <si>
    <t>mesalazine</t>
  </si>
  <si>
    <t>Volume</t>
  </si>
  <si>
    <t>norethisteron</t>
  </si>
  <si>
    <t>Zie ook lynestrenol.</t>
  </si>
  <si>
    <t>SpecVoed_1</t>
  </si>
  <si>
    <t>SpecVoed_2</t>
  </si>
  <si>
    <t>SpecVoed_3</t>
  </si>
  <si>
    <t>SpecVoed_4</t>
  </si>
  <si>
    <t>SpecVoed_5</t>
  </si>
  <si>
    <t>SpecVoed_6</t>
  </si>
  <si>
    <t>Niet geregistreerd, op artsenverklaring gynaecoloog.</t>
  </si>
  <si>
    <t>ofloxacine</t>
  </si>
  <si>
    <t>ascorbinezuur</t>
  </si>
  <si>
    <t>Geboorte datum:</t>
  </si>
  <si>
    <t>gelatine, gemodificeerd</t>
  </si>
  <si>
    <t>Alternatief voor oculentem simplex en vitamine A oogzalf.</t>
  </si>
  <si>
    <t>MedOplVol_9</t>
  </si>
  <si>
    <t>MedStart_1</t>
  </si>
  <si>
    <t>MedStart_10</t>
  </si>
  <si>
    <t>MedStart_11</t>
  </si>
  <si>
    <t>calciumchloride 10%</t>
  </si>
  <si>
    <t>Acuut</t>
  </si>
  <si>
    <t>sufentanil</t>
  </si>
  <si>
    <t>0,5-5 mcg/kg/min</t>
  </si>
  <si>
    <t>0,2-2 mcg/kg/min</t>
  </si>
  <si>
    <t>oxymetazoline</t>
  </si>
  <si>
    <t xml:space="preserve">neus: &lt; 2 jr: 1-3 dd 1 dr in elk neusgat maximaal 7 dagen </t>
  </si>
  <si>
    <t>p-aminohyppuur-zuur</t>
  </si>
  <si>
    <t>in overleg nefroloog</t>
  </si>
  <si>
    <t>bleomycine</t>
  </si>
  <si>
    <t>ANTIMICROBIËLE MIDDELEN overige</t>
  </si>
  <si>
    <t>calcium-lactogluconaat</t>
  </si>
  <si>
    <t>captopril</t>
  </si>
  <si>
    <t>KNaFosfaat</t>
  </si>
  <si>
    <t>Magnesium</t>
  </si>
  <si>
    <t>MgCl 10%</t>
  </si>
  <si>
    <t>fibrinelijm</t>
  </si>
  <si>
    <t>Eerste keus profylaxe voor allergische conjunctivitis. Werkt na 1-3 weken._x000D_
Alleen op aanvraag.</t>
  </si>
  <si>
    <t>Parasympathicomimeticum. Pupilvernauwend. Toepassing bij nauwe kamerhoek glaucoom en pre-operatief bij sommige intraoculaire ingrepen.</t>
  </si>
  <si>
    <t>timolol</t>
  </si>
  <si>
    <t>glaucoom: 2 dd 1 dr</t>
  </si>
  <si>
    <t xml:space="preserve">TRACTUS RESPIRATORIUS anti-inflammatie 2.cromonen                                                   </t>
  </si>
  <si>
    <t xml:space="preserve">puff 112 doses/verp     </t>
  </si>
  <si>
    <t xml:space="preserve">mg/puff        </t>
  </si>
  <si>
    <t xml:space="preserve">minim 0,5 ml             </t>
  </si>
  <si>
    <t xml:space="preserve">minim               </t>
  </si>
  <si>
    <t>Werkt snel (na 1-2 min.) en kort (15-20 min.)._x000D_
Bij iv-infusie langer dan 24 uur kan eliminatiesnelheid afnemen; verlaging infusiesnelheid kan dan nodig zijn._x000D_
Bij overdosering: hypotensie, convulsies.</t>
  </si>
  <si>
    <t>opladen iv:_x000D_
&lt; 1 jr: 7 mg/kg in 1 uur_x000D_
&gt; 1 jr: 10-15 mg/kg in 1 uur, max 1 g in totaal_x000D_
_x000D_
onderhoud iv: 20-80 microg/kg/min</t>
  </si>
  <si>
    <t>Ther. plasmaconc 4-8 mg/l, metaboliet NAPA tot 15 mg/l._x000D_
Cave langzame acetyleerders._x000D_
Bijw.: maagdarmstoornissen, allergieën, hallucinaties, lupus erythematodes._x000D_
Langdurig gebruik wordt ontraden.</t>
  </si>
  <si>
    <t>or 3-6 mg/kg/dag in 2-3 doses,_x000D_
max 400 mg/dag</t>
  </si>
  <si>
    <t>25-100 ng/kg/min</t>
  </si>
  <si>
    <t>antiarrhythmicum:_x000D_
or 2-8 mg/kg/dag in 2 doses,_x000D_
max 320 mg/dag_x000D_
_x000D_
Neon.: antiarrhythmicum:_x000D_
or 2-8 mg/kg/dag in 2-3 doses</t>
  </si>
  <si>
    <t>or 1-3 mg/kg/dag in 1-2 doses_x000D_
&gt; 50 kg: 50-100 mg/dag</t>
  </si>
  <si>
    <t>ß1-selectief, t1/2 = 6-9 uur._x000D_
Weinig centrale bijwerkingen._x000D_
Eliminatie grotendeels renaal.</t>
  </si>
  <si>
    <t>acute hypertensie:_x000D_
iv oplaaddosis 1-3 mg/kg in 3-5 min,_x000D_
iv onderhoud 0,2-3 mg/kg/uur</t>
  </si>
  <si>
    <t>continu iv 2,5-20 microg/kg/min_x000D_
_x000D_
Neon.: continu iv 5-15 microg/kg/min</t>
  </si>
  <si>
    <t>Effect is sterk dosisafhankelijk._x000D_
Cave ventriculaire extrasystolen._x000D_
Uitsluitend toedienen via centraal veneuze lijn. T1/2 = 1-5 min._x000D_
_x000D_
_x000D_
_x000D_
_x000D_
_x000D_
_x000D_
Eerste keuze bij neonatale hypotensie.</t>
  </si>
  <si>
    <t>a-, ß1- en ß2-effecten. Alleen op speciale indicatie (hypotensie bij regionale anesthesie en reanimatie). Kan sedatie induceren, in hoge doses kan psychose optreden.</t>
  </si>
  <si>
    <t xml:space="preserve">VETTEN                                                                                              </t>
  </si>
  <si>
    <t xml:space="preserve">iv/trach/or                   </t>
  </si>
  <si>
    <t xml:space="preserve">amp 50 ml             </t>
  </si>
  <si>
    <t>CVL lijn lumen II: medicatie + SST 2</t>
  </si>
  <si>
    <t>Perifeer infuus 1: SST 1</t>
  </si>
  <si>
    <t>Lab06u_7</t>
  </si>
  <si>
    <t>Lab06u_8</t>
  </si>
  <si>
    <t>Lab06u_9</t>
  </si>
  <si>
    <t>Lab12u_1</t>
  </si>
  <si>
    <t>Lab12u_10</t>
  </si>
  <si>
    <t>Lab12u_11</t>
  </si>
  <si>
    <t>Lab12u_12</t>
  </si>
  <si>
    <t>Lab12u_13</t>
  </si>
  <si>
    <t>Lab12u_14</t>
  </si>
  <si>
    <t>Lab12u_2</t>
  </si>
  <si>
    <t>Lab12u_3</t>
  </si>
  <si>
    <t>Lab12u_4</t>
  </si>
  <si>
    <t>Lab12u_5</t>
  </si>
  <si>
    <t>Lab12u_6</t>
  </si>
  <si>
    <t>Lab12u_7</t>
  </si>
  <si>
    <t>Lab12u_8</t>
  </si>
  <si>
    <t>magnesiumoxide</t>
  </si>
  <si>
    <t xml:space="preserve">&gt; 10 jr: or 1-6 dd 250-500 mg </t>
  </si>
  <si>
    <t>magnesiumsulfaat</t>
  </si>
  <si>
    <t>=ber_IVmed!$F$13</t>
  </si>
  <si>
    <t>=ber_IVmed!$F$14</t>
  </si>
  <si>
    <t>Arts</t>
  </si>
  <si>
    <t>ml/24uur</t>
  </si>
  <si>
    <t>Reverse transcriptase remmer.Voedsel heeft geen invloed op de biologische beschikbaarheid._x000D_
Dosis bij nierinsuff.: zie tabel blz ?</t>
  </si>
  <si>
    <t>abacavir</t>
  </si>
  <si>
    <t>kind: 16 mg/kg/dag in 2 doses, max 600 mg/dag_x000D_
volw.: 600 mg/dag in 2 doses</t>
  </si>
  <si>
    <t>Kans op fatale anafylaxie. Cave huidreacties. Nimmer herstart na reacties. Nucleoside analoge remmer van reverse transcriptase.</t>
  </si>
  <si>
    <t>cutaan 5 maal daags insmeren</t>
  </si>
  <si>
    <t>Eventuele reacties bij extravasatie zijn niet bekend. De oplossing heeft pH 7-8.</t>
  </si>
  <si>
    <t>EEG</t>
  </si>
  <si>
    <t>Maaghevel terug geven als Ringers om de 4 uur</t>
  </si>
  <si>
    <t>bupivacaïne</t>
  </si>
  <si>
    <t>milrinon</t>
  </si>
  <si>
    <t>MedOplVol_5</t>
  </si>
  <si>
    <t>MedOplVol_6</t>
  </si>
  <si>
    <t>MedOplVol_7</t>
  </si>
  <si>
    <t>Effect binnen 2 min. Werkingsduur is afhankelijk van de dosis (25-60 min). Bijw: tachycardie m.n. bij jonge kinderen</t>
  </si>
  <si>
    <t xml:space="preserve">TRACTUS DIGESTIVUS anti-emetica                                                                                                                                                                                                                                </t>
  </si>
  <si>
    <t>Neussonde</t>
  </si>
  <si>
    <t>Koepel</t>
  </si>
  <si>
    <t>Geen</t>
  </si>
  <si>
    <t>geen</t>
  </si>
  <si>
    <t>O2:</t>
  </si>
  <si>
    <t>O2</t>
  </si>
  <si>
    <t>stavudine</t>
  </si>
  <si>
    <t>etomidaat</t>
  </si>
  <si>
    <t>atropine</t>
  </si>
  <si>
    <t>hydrocortison</t>
  </si>
  <si>
    <t>naloxon</t>
  </si>
  <si>
    <t>propofol 1%</t>
  </si>
  <si>
    <t>propofol 2%</t>
  </si>
  <si>
    <t>acetylsalicylzuur</t>
  </si>
  <si>
    <t>MedIVOplVlst_8</t>
  </si>
  <si>
    <t>MedIVOplVlst_9</t>
  </si>
  <si>
    <t>MedIVStand_1</t>
  </si>
  <si>
    <t>MedIVStand_10</t>
  </si>
  <si>
    <t>MedIVStand_11</t>
  </si>
  <si>
    <t>haloperidol</t>
  </si>
  <si>
    <t>cinnarizine</t>
  </si>
  <si>
    <t>&gt; 12 jr: or 3 dd 12,5-25 mg</t>
  </si>
  <si>
    <t>In onderzoek bij adenovirus-infecties bij de immuungecompromitteerde patiënt._x000D_
Intraveneuze toediening is niet geregistreerd.</t>
  </si>
  <si>
    <t>cidofovir</t>
  </si>
  <si>
    <t>MedIVMlSpuit_16</t>
  </si>
  <si>
    <t>InstMedIVStand_14</t>
  </si>
  <si>
    <t>InstMedIVStand_15</t>
  </si>
  <si>
    <t>bij ziekte van Von Willebrand (uitgezonderd type IIb), en (diagnostiek van) lichte hemofilie A: iv 0,3 microg/kg in 30 minuten, zo nodig herhalen na 12-24 uur_x000D_
_x000D_
enuresis nocturna: zie blz ?_x000D_
diabetes insipidus: zie blz ?</t>
  </si>
  <si>
    <t>Overleg met hematoloog._x000D_
Leeftijd &lt; 3 jaar is een (relatieve) contra-indicatie._x000D_
Cave vochtretentie, waterintoxicatie._x000D_
Gecontraïndiceerd bij nierbloedingen.</t>
  </si>
  <si>
    <t>Bloedprodukt. Bevat o.a. aprotinine, fibrinogeen, trombine en factor VIII._x000D_
Bij -18 graden C bewaren.</t>
  </si>
  <si>
    <t>suspensie:_x000D_
or 3 dd 0,16 ml/kg (= 3 dd 1 mg Fe/kg), max 3 dd 8 ml_x000D_
_x000D_
Neon.: prematuren vanaf 8 weken_x000D_
suspensie:_x000D_
or 3 dd 0,1 ml/kg (= 3 dd 0,63 mg Fe/kg)_x000D_
_x000D_
tablet:_x000D_
&gt; 1 jr: or 3 dd 3 mg/kg (= 3 dd 1 mg Fe/kg), max 3 dd 200 mg</t>
  </si>
  <si>
    <t>Lab16u_4</t>
  </si>
  <si>
    <t>Lab16u_5</t>
  </si>
  <si>
    <t>ijzer(III)saccharaat</t>
  </si>
  <si>
    <t>InstMedIVStand_6</t>
  </si>
  <si>
    <t>cefuroximaxetil</t>
  </si>
  <si>
    <t>kaliumjodaat</t>
  </si>
  <si>
    <t>InstMedIVStand_7</t>
  </si>
  <si>
    <t>=ber_Med_disc!$C$10</t>
  </si>
  <si>
    <t>=ber_Med_disc!$N$2</t>
  </si>
  <si>
    <t>=ber_Med_disc!$N$11</t>
  </si>
  <si>
    <t>0,6-1,2 mg/kg/uur</t>
  </si>
  <si>
    <t>status epilepticus:_x000D_
opladen: iv 15-20 mg/kg in minimaal 30 min_x000D_
onderhoud: iv: _x000D_
&lt; 2 jr: 7-10 mg/kg/dag in 1-2 doses_x000D_
2-10 jr: 3-7 mg/kg/dag in 1-2 doses _x000D_
&gt; 10 jr: 2-3 mg/kg/dag in 1-2 doses in 3-5 min infunderen _x000D_
_x000D_
Neon.: opladen iv 20 mg/kg in 15 min, of in 2x met 30 min tussenpoos _x000D_
onderhoud (na 5-7 dagen) iv/or:_x000D_
3-5 mg/kg/dag in 1 dosis</t>
  </si>
  <si>
    <t xml:space="preserve">IMMUNOMODULANTIA                                                                                                                                                                                                                                               </t>
  </si>
  <si>
    <t xml:space="preserve">ANTIMICROBIËLE MIDDELEN antiparasitaire middelen                                                                                                                                                                                                               </t>
  </si>
  <si>
    <t xml:space="preserve">drank 225 ml             </t>
  </si>
  <si>
    <t xml:space="preserve">amp 2,5 ml             </t>
  </si>
  <si>
    <t xml:space="preserve">OOG-MIDDELEN mydriatica                                                                                                                                                                                                                                        </t>
  </si>
  <si>
    <t xml:space="preserve">drup fl 5 ml             </t>
  </si>
  <si>
    <t xml:space="preserve">TRACTUS DIGESTIVUS atropine                                                                         </t>
  </si>
  <si>
    <t xml:space="preserve">drank 60 ml             </t>
  </si>
  <si>
    <t xml:space="preserve">sc/im/iv                      </t>
  </si>
  <si>
    <t xml:space="preserve">TRACTUS RESPIRATORIUS bronchusverwijders 2.anticholinergica                                                                                                                                                                                                    </t>
  </si>
  <si>
    <t xml:space="preserve">puff 300 doses/verp     </t>
  </si>
  <si>
    <t xml:space="preserve">puff                </t>
  </si>
  <si>
    <t xml:space="preserve">microg/puff    </t>
  </si>
  <si>
    <t>Handendesinfectans, alcoholvrij._x000D_
Niet werkzaam tegen virussen._x000D_
Heeft lange nawerking.</t>
  </si>
  <si>
    <t>profylaxe hemorragische cystitis:_x000D_
iv 33% van de oxazafosforine dosis op tijdstippen 0, 4, 8 en 12 uur (t.o.v. start cytostaticuminfuus), bij voorbereiding BMT 6 dd volgens protocol_x000D_
_x000D_
als mucolyticum: zie blz ?</t>
  </si>
  <si>
    <t>inhalatie:_x000D_
&gt; 7 jr: 2 dd 100-500 microg,_x000D_
max 1000 microg/dag</t>
  </si>
  <si>
    <t>inhalatie:_x000D_
normale dosis: 2 dd 100-400 microg_x000D_
hoge dosis: 2 dd 400-800 microg</t>
  </si>
  <si>
    <t>Cave candidiasis, dysfonie._x000D_
Mondkeelholte spoelen na inhalatie._x000D_
Gebruik van voorzetkamer (Nebuhaler) wordt aangeraden._x000D_
Titreren tot de laagste effectieve dosis.</t>
  </si>
  <si>
    <t>or 6+30 mg/kg/dag in 2 doses,_x000D_
max 320+1600 mg/dag_x000D_
_x000D_
profylaxe recidiverende luchtweg-infecties en SDD:_x000D_
or 4+20 mg/kg/dag in 2 doses_x000D_
_x000D_
PCP profylaxe:_x000D_
or 5+25 mg/kg/dag in 1 dosis 3 op-eenvolgende dagen per week_x000D_
_x000D_
cystic fibrosis:_x000D_
or 6+30 mg/kg/dag in 2 doses,_x000D_
max 320+1600 mg/dag</t>
  </si>
  <si>
    <t>tuberculose:_x000D_
or 10-20 mg/kg/dag in 1 dosis,_x000D_
max 600 mg/dag_x000D_
volw or: &lt; 50 kg 450 mg/dag_x000D_
&gt; 50 kg 600 mg/dag_x000D_
_x000D_
profylaxe N. meningitidis en H. influenzae:_x000D_
or &gt; 1 maand: 20 mg/kg/dag in 2 doses gedurende 2 dagen, max 1,2 g/dag_x000D_
_x000D_
Neon.:_x000D_
profylaxe: or 10 mg/kg/dag in 2 doses gedurende 2 dagen</t>
  </si>
  <si>
    <t>oplossing ml</t>
  </si>
  <si>
    <t>Adviesdosering</t>
  </si>
  <si>
    <t>advies dosering</t>
  </si>
  <si>
    <t>acetazolamide</t>
  </si>
  <si>
    <t>Goed alternatief voor codeïne.</t>
  </si>
  <si>
    <t>=ber_Med_disc!$N$12</t>
  </si>
  <si>
    <t>=ber_Med_disc!$N$13</t>
  </si>
  <si>
    <t>=ber_Med_disc!$N$14</t>
  </si>
  <si>
    <t>=ber_Med_disc!$N$15</t>
  </si>
  <si>
    <t>=ber_Med_disc!$N$16</t>
  </si>
  <si>
    <t>=ber_Med_disc!$N$17</t>
  </si>
  <si>
    <t>=ber_Med_disc!$N$18</t>
  </si>
  <si>
    <t>=ber_Med_disc!$N$19</t>
  </si>
  <si>
    <t>=ber_Med_disc!$N$20</t>
  </si>
  <si>
    <t>=ber_Med_disc!$N$3</t>
  </si>
  <si>
    <t>=ber_Med_disc!$N$21</t>
  </si>
  <si>
    <t>=ber_Med_disc!$N$4</t>
  </si>
  <si>
    <t>=ber_Med_disc!$N$5</t>
  </si>
  <si>
    <t>=ber_lab!$C$12</t>
  </si>
  <si>
    <t>=ber_lab!$D$2</t>
  </si>
  <si>
    <t>=ber_lab!$D$13</t>
  </si>
  <si>
    <t>=ber_lab!$D$14</t>
  </si>
  <si>
    <t>=ber_lab!$D$15</t>
  </si>
  <si>
    <t>Bevat 40 mg jood + 80 mg kaliumjodide per ml._x000D_
Aanvang toediening enkele uren nadat thiamazol of PTU gestart is._x000D_
Voor stralingsprofylaxe bij oudere kinderen gaat de voorkeur uit naar kaliumjodaat.</t>
  </si>
  <si>
    <t xml:space="preserve">ANTIMICROBIËLE MIDDELEN aminoglycosiden                                                                                                                                                                                                                        </t>
  </si>
  <si>
    <t xml:space="preserve">flac  ml             </t>
  </si>
  <si>
    <t xml:space="preserve">flac 2 ml             </t>
  </si>
  <si>
    <t xml:space="preserve">flac 60 ml             </t>
  </si>
  <si>
    <t xml:space="preserve">g/flac         </t>
  </si>
  <si>
    <t xml:space="preserve">AMINOZUREN                                                                                          </t>
  </si>
  <si>
    <t>De spons geeft veel sneller gentamicine af. Cave additief effect op plasmaconc. bij systemische aminoglycossiden.</t>
  </si>
  <si>
    <t>10% povidon-jood bevat 1% jodium in water. Desinfectans voor beschadigde, tere huid en slijmvliezen. 1-2 minuten laten inwerken.</t>
  </si>
  <si>
    <t>=Patienten!$S$1</t>
  </si>
  <si>
    <t>SPIERRELAXANTIA direct werkend</t>
  </si>
  <si>
    <t>dantroleen</t>
  </si>
  <si>
    <t>estradiol-17ß</t>
  </si>
  <si>
    <t>Zonder conserveermiddel.</t>
  </si>
  <si>
    <t>epidur/perineur</t>
  </si>
  <si>
    <t>Anticholinergicum met een werkingsduur van 5-8 uur. Eerste keus voor diagnostisch gebruik.</t>
  </si>
  <si>
    <t>Toepassing bij cystinosis zie blz ?</t>
  </si>
  <si>
    <t>c1-esteraseremmer</t>
  </si>
  <si>
    <t>estriol</t>
  </si>
  <si>
    <t>Loco-Ortho-Dienestrol, eigen bereiding apotheek._x000D_
Cave overdosering, systemische opname!_x000D_
Strikt volgens voorschrift._x000D_
10 gram crème per behandeling voorschrijven.</t>
  </si>
  <si>
    <t>hypogenitalisme bij jongen:_x000D_
2 dd dun aanbrengen gedurende 2 weken, zonodig na 1 maand 1x herhalen_x000D_
_x000D_
N.B. samenstelling van Sustanon 250 is anders dan die van Sustanon 100, dus niet zonder meer uitwisselbaar</t>
  </si>
  <si>
    <t>or &gt; 1 jr: 1-2 mg/kg/keer, 3-4 dd_x000D_
&gt; 14 jr: 50-100 mg/keer, 3-4 dd, max 400 mg/dag</t>
  </si>
  <si>
    <t>HD-MTX rescue: richtlijnen van het behandelingsprotocol volgen_x000D_
schema bij 2 of 3 g/m2 MTX:_x000D_
iv/or 15 mg/m2; 36 uur na start MTX_x000D_
iv/or 15 mg/m2; 42 uur na start MTX_x000D_
iv/or 15 mg/m2; 48 uur na start MTX_x000D_
_x000D_
schema bij 5 g/m2 MTX:_x000D_
iv: 30 mg/m2; 42 uur na start MTX_x000D_
iv/or: 15 mg/m2; 48 uur na start MTX_x000D_
iv/or: 15 mg/m2; 54 uur na start MTX_x000D_
_x000D_
bij overdosering MTX:_x000D_
iv: hoeveelheid gelijk of iets hoger dan de hoeveelheid MTX zo spoedig mogelijk na intoxicatie toedienen</t>
  </si>
  <si>
    <t>amoxicilline + clavulaanzuur</t>
  </si>
  <si>
    <t>testosteron</t>
  </si>
  <si>
    <t>Extravasatie: ernstige reacties zijn niet te verwachten.</t>
  </si>
  <si>
    <t>MedIVOplVlst_5</t>
  </si>
  <si>
    <t>MedIVOplVlst_6</t>
  </si>
  <si>
    <t>MedIVOplVlst_7</t>
  </si>
  <si>
    <t>tblEenh</t>
  </si>
  <si>
    <t>carbomeer</t>
  </si>
  <si>
    <t>oog: 4 dd</t>
  </si>
  <si>
    <t>dimethylsulfoxide</t>
  </si>
  <si>
    <t>penseelvloeistof, lokaal</t>
  </si>
  <si>
    <t>Zit in de cytostatica noodset.</t>
  </si>
  <si>
    <t>dimetindeen</t>
  </si>
  <si>
    <t>dipivefrine</t>
  </si>
  <si>
    <t>oog: 2 dd 1 dr</t>
  </si>
  <si>
    <t>inhalatie zonodig, max 8 dd 20-40 microg</t>
  </si>
  <si>
    <t>MedIVOplVlst_3</t>
  </si>
  <si>
    <t>MedIVOplVlst_4</t>
  </si>
  <si>
    <t>MedIVOplVlst_12</t>
  </si>
  <si>
    <t>verapamil</t>
  </si>
  <si>
    <t>=ber_lab!$C$9</t>
  </si>
  <si>
    <t>=ber_lab!$C$10</t>
  </si>
  <si>
    <t>opmMedDisc__11</t>
  </si>
  <si>
    <t>opmMedDisc__12</t>
  </si>
  <si>
    <t>or 20 mg/kg/dag in 2 doses,_x000D_
max 1,5 g/dag_x000D_
_x000D_
cystic fibrosis:_x000D_
or 30 mg/kg/dag in 2-3 doses,_x000D_
max 2,25 g/dag</t>
  </si>
  <si>
    <t>bij status epilepticus: iv:_x000D_
&lt; 10 jr: 0,25-0,5 mg/keer, tot convulsies verdwijnen _x000D_
&gt; 10 jr: 1 mg/keer, bij onvoldoende effect herhalen, max 6 mg totaal _x000D_
_x000D_
Neon.: _x000D_
opladen: iv 0,1 mg/kg_x000D_
onderhoud: iv 0,1 mg/kg/dag zonodig ophogen, max 0,5 mg/kg/dag als continue infusie</t>
  </si>
  <si>
    <t>Ter voorkoming of ter oplossing van fosfaatneerslagen bij verblijfscatheter._x000D_
Bevat per ml:_x000D_
citroenzuur           13 mg_x000D_
magnesiumcitraat 14 mg_x000D_
natriumcitraat         8 mg</t>
  </si>
  <si>
    <t xml:space="preserve">derde keus voor profylaxe PCP: or:_x000D_
1-3 mnd: 30 mg/kg/dag in 1 dosis_x000D_
4-24 mnd: 45 mg/kg/dag in 1 dosis_x000D_
&gt; 24 mnd: 30 mg/kg/dag in 1 dosis max 1500 mg/dag_x000D_
</t>
  </si>
  <si>
    <t>aanvalsbehandeling en pre-operatieve profylaxe bij c1-esteraseremmerdeficiëntie: iv 1000 E, afhankelijk van de ernst en de aard van de (te verwachten) aanval</t>
  </si>
  <si>
    <t>MedDosHoev_18</t>
  </si>
  <si>
    <t>MedDosHoev_19</t>
  </si>
  <si>
    <t>MedDosHoev_2</t>
  </si>
  <si>
    <t>MedDosHoev_20</t>
  </si>
  <si>
    <t>MedDosHoev_3</t>
  </si>
  <si>
    <t>MedInloop_15</t>
  </si>
  <si>
    <t>MedInloop_16</t>
  </si>
  <si>
    <t>MedInloop_17</t>
  </si>
  <si>
    <t>MedInloop_18</t>
  </si>
  <si>
    <t>Ter verlaging van intra-oculaire druk met open kamerhoek. Alternatief voor timolol oogdruppels.</t>
  </si>
  <si>
    <t>DKTP vaccin</t>
  </si>
  <si>
    <t>mivacurium</t>
  </si>
  <si>
    <t>insuline isofaan + kortwerkend</t>
  </si>
  <si>
    <t xml:space="preserve">sc dosering op geleide bloedsuikers, in overleg met endocrinoloog </t>
  </si>
  <si>
    <t>iv 100+10 - 200+20 mg/kg/dag_x000D_
in 4 doses, max 12+1,2 g/dag_x000D_
_x000D_
Neon.: bij sepsis:_x000D_
iv 100+10 mg/kg/dag in 2 doses</t>
  </si>
  <si>
    <t>or 50+12,5 - 100+25 mg/kg/dag_x000D_
in 3 doses, max 3g+750 mg/dag,_x000D_
bij cystic fibrosis max 4+1g/dag</t>
  </si>
  <si>
    <t>enalapril</t>
  </si>
  <si>
    <t>Zie inleiding._x000D_
Biol. beschikb. minder dan 10%._x000D_
Bij orale doses boven 100 mg/kg kans op diarree.</t>
  </si>
  <si>
    <t>Zie inleiding. Cave hypersensitiviteit en ontwikkeling van glomerulotubulopatie en bloedbeeldafwijkingen._x000D_
Ernstige bijwerkingen bij ca. 20% van de (M. Wilson) patienten._x000D_
Toevoegen pyridoxine 25 mg/dag als profylaxe vit. B6 status.</t>
  </si>
  <si>
    <t>lysinurische eiwitintolerantie:_x000D_
or 100-500 mg/kg/dag in 3-5 doses_x000D_
_x000D_
hyperammoniemie: zie blz ?</t>
  </si>
  <si>
    <t>transportdefect:_x000D_
or 40-200 mg/dag in 3 doses</t>
  </si>
  <si>
    <t>or &gt; 6 jr: 12-16 g/dag in 3-4 doses_x000D_
_x000D_
bij leveraandoeningen zie blz ?</t>
  </si>
  <si>
    <t>Inhoud van sachet op 150 ml vloeistof strooien en na 1-2 min. tot homogeen mengsel roeren.</t>
  </si>
  <si>
    <t>iv  50 microg/kg als bolus, daarna evt dosis ophogen in de volgorde: 100 microg/kg/keer, 200 microg/kg/keer, tot max 300 microg/kg/keer_x000D_
_x000D_
Neon.: idem</t>
  </si>
  <si>
    <t>deficiëntie:_x000D_
iv 25-100 mg/dag in 2-3 doses (in 15 min infunderen) (evt. im/sc)</t>
  </si>
  <si>
    <t>Vit B1._x000D_
Cave overgevoeligheidsreacties bij intraveneuze toediening.</t>
  </si>
  <si>
    <t xml:space="preserve">profylaxe trombusvorming CVC:_x000D_
bij infusiesnelheid &lt; 5 ml/uur:_x000D_
heparinelijn 5 IE/ml/uur continu iv:_x000D_
bij flushen: 2,5 IE/ml_x000D_
_x000D_
Neon.: arterielijn profylaxe met/zonder drukmeting: 5 IE/ml/2 uur continu_x000D_
_x000D_
heparineslot:_x000D_
dagelijks gebruik CVC: 25 IE/ml_x000D_
wekelijks gebruik CVC: 100 IE/ml_x000D_
</t>
  </si>
  <si>
    <t>MedTijden_6</t>
  </si>
  <si>
    <t>Bij hyperkaliëmie, wanneer ook natriumbeperking nodig is. Natrium-,  kalium- en calciumplasmaconc. regelmatig controleren._x000D_
Cave obstipatie._x000D_
Ad-hoc receptuur op aanvraag._x000D_
Poeder: prijs per gram.</t>
  </si>
  <si>
    <t xml:space="preserve">susp 2 L              </t>
  </si>
  <si>
    <t xml:space="preserve">susp                </t>
  </si>
  <si>
    <t xml:space="preserve">L              </t>
  </si>
  <si>
    <t>Bevat dexamethason 0,05%, framycetine 0,5% en gramicidine 0,005%._x000D_
Alternatief bij otitis externa welke secundair geïnfecteerd is. Cave: werkt niet tegen Pseudomonas aeruginosa. Alleen bij intact trommelvlies._x000D_
Dexamethason is matig werkzaam.</t>
  </si>
  <si>
    <t>hydrocortison + oxytetracycline + polymyxine B</t>
  </si>
  <si>
    <t>Postoperatieve toepassing. Breed werkingsspectrum waaronder Ps aeruginosa. Hydrocortison is lokaal zwakwerkend._x000D_
Wordt ook toegepast als oogdruppel.</t>
  </si>
  <si>
    <t>oor: 2 dd 3 dr,_x000D_
max 14 dagen</t>
  </si>
  <si>
    <t>Dit preparaat is als oogdruppel geregistreerd. Toepassing bij loopoor in het kader van otitis media welke niet reageert op Polytrim/Bacicoline B en waar Pseudomonas aeruginosa is gekweekt.</t>
  </si>
  <si>
    <t>oor: 3 dd 3 dr of_x000D_
3 dd druppelen op gaasje in de gehoorgang</t>
  </si>
  <si>
    <t>1-20 mcg/kg/min</t>
  </si>
  <si>
    <t>dobutamine</t>
  </si>
  <si>
    <t>multivitamine preparaten</t>
  </si>
  <si>
    <t>natriumthiosulfaat</t>
  </si>
  <si>
    <t>Medicament</t>
  </si>
  <si>
    <t>Dosering</t>
  </si>
  <si>
    <t>Toedienen volgens protocol nefrologie. Cave overgevoeligheidsreacties._x000D_
Late reacties zijn o.a. gewrichtspijn, spierpijn.</t>
  </si>
  <si>
    <t>Bij hypovolumie met aangetoonde hypoalbuminemie als co-morbiditeit._x000D_
Zie inleiding.</t>
  </si>
  <si>
    <t>jopromide</t>
  </si>
  <si>
    <t xml:space="preserve">Laag osmolair niet ionogeen contrastmiddel: 610 mosm/kg H2O._x000D_
Joodgehalte 300 mg/ml._x000D_
</t>
  </si>
  <si>
    <t>iotrolan</t>
  </si>
  <si>
    <t>oraal voor onderzoek van oesophagus, maag of darm_x000D_
tevens intrathecale toepassing</t>
  </si>
  <si>
    <t>Samenstelling B</t>
  </si>
  <si>
    <t>Samenstelling C</t>
  </si>
  <si>
    <t>NaCl 2,9%</t>
  </si>
  <si>
    <t>CaGluc 10%</t>
  </si>
  <si>
    <t>vocht</t>
  </si>
  <si>
    <t>natrium</t>
  </si>
  <si>
    <t>kalium</t>
  </si>
  <si>
    <t>=ber_lab!$F$12</t>
  </si>
  <si>
    <t>=ber_lab!$B$2</t>
  </si>
  <si>
    <t xml:space="preserve">ooggel              </t>
  </si>
  <si>
    <t xml:space="preserve">ELEKTROLYTEN  magnesiumzouten                                                                                                                                                                                                                                  </t>
  </si>
  <si>
    <t xml:space="preserve">mmol Mg/ml     </t>
  </si>
  <si>
    <t xml:space="preserve">zak 500 ml             </t>
  </si>
  <si>
    <t>onderzoek van de nieren (intraveneus pyelogram), bloedvatonderzoek (catheter-doorgankelijkheid, angiografiën) en op indicatie intratracheaal bij (tracheo)-bronchografie,_x000D_
iv voor CT-onderzoek_x000D_
_x000D_
oraal wordt 1:1 verdunning gebruikt bij onderzoek van spijsverterings-kanaal_x000D_
_x000D_
voorbereiding CT-buik: oraal verdund, afhankelijk van leeftijd volgens protocol WKZ_x000D_
_x000D_
dosering afhankelijk van indicatie en leeftijd volgens bijsluiter</t>
  </si>
  <si>
    <t>onderzoek van de nieren (intraveneus pyelogram), bloedvatonderzoek (catheter-doorgankelijkheid, angiografiën) en op indicatie intratracheaal bij(tracheo)bronchografie_x000D_
_x000D_
oraal wordt 1:1 verdunning gebruikt bij onderzoek van spijsverterings-kanaal bij contraïndicatie bariumsulfaat</t>
  </si>
  <si>
    <t>minoxidil</t>
  </si>
  <si>
    <t>nitrazepam</t>
  </si>
  <si>
    <t>or 0,5 mg/kg/dag in 2 doses; zo nodig ophogen tot 1 mg/kg/dag in 3 doses</t>
  </si>
  <si>
    <t>Bij syndroom van West, echter geen 1e keuze.</t>
  </si>
  <si>
    <t>nitrofurantoïne</t>
  </si>
  <si>
    <t>alfentanil</t>
  </si>
  <si>
    <t>SST_1</t>
  </si>
  <si>
    <t>SST_2</t>
  </si>
  <si>
    <t>SST 1</t>
  </si>
  <si>
    <t>SST 2</t>
  </si>
  <si>
    <t>CVL lijn lumen I: medicatie + SST 1</t>
  </si>
  <si>
    <t>CVL lijn lumen I: medicatie + SST 2</t>
  </si>
  <si>
    <t>CVL lijn lumen II: medicatie + SST 1</t>
  </si>
  <si>
    <t>haemodialyse-patiënten:_x000D_
iv start 100 IE/kg/week in 2-3 doses, dosis aanpassen op geleide Hb._x000D_
streefwaarde Hb: 6,5-7 mmol/l_x000D_
streefwaarde hematocriet: 0,35 l/l_x000D_
_x000D_
peritoneaal dialyse-patiënten:_x000D_
i.p. start 100 IE/kg/week in 2-3 doses, dosis aanpassen op geleide Hb._x000D_
streefwaarde Hb: 6,5-7 mmol/l_x000D_
streefwaarde hematocriet: 0,35 l/l_x000D_
_x000D_
pre-terminale nierinsufficiëntie:_x000D_
sc start 50 IE/kg/week in 2-3 doses, dosis aanpassen op geleide Hb._x000D_
streefwaarde Hb: 6,5-7 mmol/l_x000D_
streefwaarde hematocriet: 0,35 l/l_x000D_
_x000D_
Neon.:_x000D_
sc 250 IE/kg/keer 3 maal per week gedurende 6 weken</t>
  </si>
  <si>
    <t>LipidenStand</t>
  </si>
  <si>
    <t>=ber_TPN!$D$17</t>
  </si>
  <si>
    <t>=ber_TPN!$B$6</t>
  </si>
  <si>
    <t>=ber_TPN!$B$18</t>
  </si>
  <si>
    <t>=ber_TPN!$D$3</t>
  </si>
  <si>
    <t>=ber_Med_disc!$D$2</t>
  </si>
  <si>
    <t>Overige_2</t>
  </si>
  <si>
    <t>=ber_Infusen!$M$2</t>
  </si>
  <si>
    <t>Overige_3</t>
  </si>
  <si>
    <t>=ber_Infusen!$M$3</t>
  </si>
  <si>
    <t>Overige_4</t>
  </si>
  <si>
    <t>=ber_Infusen!$M$4</t>
  </si>
  <si>
    <t>Overige_5</t>
  </si>
  <si>
    <t>=ber_Infusen!$M$5</t>
  </si>
  <si>
    <t>Overige_6</t>
  </si>
  <si>
    <t>=ber_Infusen!$M$6</t>
  </si>
  <si>
    <t>=dbBead!$A$2</t>
  </si>
  <si>
    <t>patRec</t>
  </si>
  <si>
    <t>Middellangwerkend insuline voor s.c. gebruik. Aanvang werking na 2-4 uur, maximaal na 6-8 uur, duur 12-14 uur.</t>
  </si>
  <si>
    <t>oestrogenen, geconjugeerd</t>
  </si>
  <si>
    <t>VolPO_2</t>
  </si>
  <si>
    <t>VolPO_3</t>
  </si>
  <si>
    <t>ethylchloride</t>
  </si>
  <si>
    <t>amiodaron</t>
  </si>
  <si>
    <t>diazoxide</t>
  </si>
  <si>
    <t>DosHoev_15</t>
  </si>
  <si>
    <t>DosHoev_16</t>
  </si>
  <si>
    <t>DosHoev_17</t>
  </si>
  <si>
    <t>DosHoev_18</t>
  </si>
  <si>
    <t>tblStandDos</t>
  </si>
  <si>
    <t>=dbForm!$V$2:$V$1018</t>
  </si>
  <si>
    <t>tblSterkte</t>
  </si>
  <si>
    <t>=dbForm!$K$2:$K$1016</t>
  </si>
  <si>
    <t>tblSterkteEenh</t>
  </si>
  <si>
    <t>=dbForm!$L$2:$L$1016</t>
  </si>
  <si>
    <t>tblStof</t>
  </si>
  <si>
    <t>=dbForm!$D$2:$D$1016</t>
  </si>
  <si>
    <t>tblToediening</t>
  </si>
  <si>
    <t>=dbForm!$G$2:$G$1016</t>
  </si>
  <si>
    <t>tblToegang</t>
  </si>
  <si>
    <t>=ber_bead!$A$2:$A$6</t>
  </si>
  <si>
    <t>tblTPN</t>
  </si>
  <si>
    <t>=ber_TPN!$A$25:$I$28</t>
  </si>
  <si>
    <t>tblVoedingPO</t>
  </si>
  <si>
    <t>=ber_PO!$A$22:$A$49</t>
  </si>
  <si>
    <t>tblZuurstof</t>
  </si>
  <si>
    <t>=ber_bead!$B$2:$B$6</t>
  </si>
  <si>
    <t>=dbBead!$AO$2</t>
  </si>
  <si>
    <t>=dbBead!$X$2</t>
  </si>
  <si>
    <t>=dbBead!$W$2</t>
  </si>
  <si>
    <t>=dbBead!$AI$2</t>
  </si>
  <si>
    <t>Werkt aanvankelijk 3-6 uur, na herhaalde toediening langer door tragere eliminatie, dan doseerinterval vergroten._x000D_
Biologische beschikbaarheid 70-90%.</t>
  </si>
  <si>
    <t>morfine + bupivacaïne (comb.prep.)</t>
  </si>
  <si>
    <t>=ber_Med_disc!$E$16</t>
  </si>
  <si>
    <t>=ber_Med_disc!$E$17</t>
  </si>
  <si>
    <t>=ber_Med_disc!$E$18</t>
  </si>
  <si>
    <t>=ber_Med_disc!$E$19</t>
  </si>
  <si>
    <t>=ber_Med_disc!$E$20</t>
  </si>
  <si>
    <t>biotine</t>
  </si>
  <si>
    <t>BH4</t>
  </si>
  <si>
    <t xml:space="preserve">or 20 mg/kg in 1 dosis   </t>
  </si>
  <si>
    <t>dalteparine</t>
  </si>
  <si>
    <t>clindamycine</t>
  </si>
  <si>
    <t>co-trimoxazol</t>
  </si>
  <si>
    <t>natriumchloride</t>
  </si>
  <si>
    <t>Patient nummer:</t>
  </si>
  <si>
    <t>MedToed_19</t>
  </si>
  <si>
    <t>MedToed_2</t>
  </si>
  <si>
    <t>MedToed_20</t>
  </si>
  <si>
    <t>MedToed_3</t>
  </si>
  <si>
    <t>&gt; 9 jr: start or 15 mg/kg/dag in 3 doses, zonodig verhogen op geleide effect, max 50 mg/kg/dag</t>
  </si>
  <si>
    <t>&gt; 1 jr: or 1-2 caps bij hoofdmaaltijden,_x000D_
1 caps bij tussendoortjes, max 10.000 FIP-E lipase/kg/dag met een maximum van 300.000 FIP-E per dag</t>
  </si>
  <si>
    <t>LabDag1_1</t>
  </si>
  <si>
    <t>LabDag1_10</t>
  </si>
  <si>
    <t>LabDag1_11</t>
  </si>
  <si>
    <t>LabDag1_12</t>
  </si>
  <si>
    <t>LabDag1_13</t>
  </si>
  <si>
    <t>LabDag1_14</t>
  </si>
  <si>
    <t>LabDag1_15</t>
  </si>
  <si>
    <t xml:space="preserve">PSYCHOFARMACA middelen bij aandachtstekortstoornis                                                                                                                                                                                                             </t>
  </si>
  <si>
    <t xml:space="preserve">smeersel 100 g              </t>
  </si>
  <si>
    <t xml:space="preserve">klysma 5 ml             </t>
  </si>
  <si>
    <t xml:space="preserve">epidur         </t>
  </si>
  <si>
    <t xml:space="preserve">iv/im/trach                   </t>
  </si>
  <si>
    <t xml:space="preserve">KNO-MIDDELEN voor lokale toepassing in de neus: decongestiva                                                                                                                                                                                                   </t>
  </si>
  <si>
    <t xml:space="preserve">neusdr                        </t>
  </si>
  <si>
    <t xml:space="preserve">fles 300 ml             </t>
  </si>
  <si>
    <t xml:space="preserve">mmol Na/ml     </t>
  </si>
  <si>
    <t>thorax drain, -15 cmH2O</t>
  </si>
  <si>
    <t>urine kweek</t>
  </si>
  <si>
    <t>urine sediment</t>
  </si>
  <si>
    <t>rine sediment en kweek</t>
  </si>
  <si>
    <t>urine sediment ma-wo-vr</t>
  </si>
  <si>
    <t>oxazepam</t>
  </si>
  <si>
    <t>Toepassing bij (slapeloosheid door) angst en spanning. T1/2 = 4-15 uur.</t>
  </si>
  <si>
    <t>oxcarbazepine</t>
  </si>
  <si>
    <t>1-2 mmol/kg</t>
  </si>
  <si>
    <t>2-4 mmol/kg</t>
  </si>
  <si>
    <t>normale vochtintake</t>
  </si>
  <si>
    <t>leeftijd</t>
  </si>
  <si>
    <t>gewicht</t>
  </si>
  <si>
    <t>0,75 mmol/kg</t>
  </si>
  <si>
    <t>0,1-0,3 mmol/kg</t>
  </si>
  <si>
    <t>3,6 g/kg</t>
  </si>
  <si>
    <t>thiopental</t>
  </si>
  <si>
    <t>CMV</t>
  </si>
  <si>
    <t>HFOBF</t>
  </si>
  <si>
    <t>insuline lispro</t>
  </si>
  <si>
    <t>uitsluitend in overleg met endocrinoloog</t>
  </si>
  <si>
    <t>=ber_PO!$P$23</t>
  </si>
  <si>
    <t>=ber_Med_disc!$K$11</t>
  </si>
  <si>
    <t>=ber_Med_disc!$K$12</t>
  </si>
  <si>
    <t>=ber_Med_disc!$K$13</t>
  </si>
  <si>
    <t>=ber_Med_disc!$K$14</t>
  </si>
  <si>
    <t>coffeïne</t>
  </si>
  <si>
    <t>neus masker</t>
  </si>
  <si>
    <t>Controle_10</t>
  </si>
  <si>
    <t>=ber_Infusen!$H$10</t>
  </si>
  <si>
    <t>Controle_2</t>
  </si>
  <si>
    <t>=ber_Infusen!$H$2</t>
  </si>
  <si>
    <t>Controle_3</t>
  </si>
  <si>
    <t>=ber_Infusen!$H$3</t>
  </si>
  <si>
    <t>Controle_4</t>
  </si>
  <si>
    <t>Intake</t>
  </si>
  <si>
    <t>levocabastine</t>
  </si>
  <si>
    <t>oog: 2-4 dd 1 dr in elk oog</t>
  </si>
  <si>
    <t>opmMedDisc__9</t>
  </si>
  <si>
    <t>Lab20u_8</t>
  </si>
  <si>
    <t>Lab20u_9</t>
  </si>
  <si>
    <t>Bij seborrhoïsch eczeem van de behaarde hoofdhuid. Niet toepassen op ontstoken, exsuderende of beschadigde huid. Vermijd contact met ogen en genitaliën. Kan vette hoofdhuid en haren veroorzaken.</t>
  </si>
  <si>
    <t>neus: 3 dd ged. 5 dagen_x000D_
huid: 2-3 dd ged. max 10 dagen</t>
  </si>
  <si>
    <t>huid: 1-2 dd ged. 2-5 weken</t>
  </si>
  <si>
    <t>zilversulfadiazine</t>
  </si>
  <si>
    <t>wond: 1 dd (2-3 mm dik)</t>
  </si>
  <si>
    <t>Preventie en behandeling van infecties bij brandwonden (uitgebreide 2e en 3e graads) en decubitus ulcera._x000D_
Cave beoordelingsverslechtering.</t>
  </si>
  <si>
    <t>huid: 3 dd</t>
  </si>
  <si>
    <t>terbinafine</t>
  </si>
  <si>
    <t>huid: 1-2 dd ged. 1-4 weken</t>
  </si>
  <si>
    <t>Klysma vlak voor gebruik bereiden door tablet (2,3 mg) in flacon met oplossing (115 ml) te doen en de flacon goed te schudden totdat de tablet is opgelost.</t>
  </si>
  <si>
    <t>midazolam</t>
  </si>
  <si>
    <t>MedToed_18</t>
  </si>
  <si>
    <t>Stof</t>
  </si>
  <si>
    <t>Doseervormen</t>
  </si>
  <si>
    <t>Prijs</t>
  </si>
  <si>
    <t>Toediening</t>
  </si>
  <si>
    <t>iv:_x000D_
HSV encephalitis:_x000D_
HSV genitalis (ernstig):_x000D_
HSV infecties bij immuungecompr:_x000D_
1500 mg/m2/dag in 3 doses_x000D_
_x000D_
mucocutane HSV (immuungecompr):_x000D_
750 mg/m2/dag in 3 doses_x000D_
_x000D_
VZV infecties: 1500 mg/m2/dag in 3 doses_x000D_
_x000D_
Neon.: herpes neonatorum iv:_x000D_
60 mg/kg/dag in 3 doses 14-21 dagen</t>
  </si>
  <si>
    <t>pyridoxine</t>
  </si>
  <si>
    <t>nelfinavir</t>
  </si>
  <si>
    <t>varicella zoster</t>
  </si>
  <si>
    <t>vitamine B/C</t>
  </si>
  <si>
    <t>op slijmvliezen</t>
  </si>
  <si>
    <t>Bevat glycerol. Door wateronttrekking verminderde zwelling en pijnstilling. Alleen bij intact trommelvlies.</t>
  </si>
  <si>
    <t>op de huid</t>
  </si>
  <si>
    <t>Niet in het oog.</t>
  </si>
  <si>
    <t>azijnzuur</t>
  </si>
  <si>
    <t>dihydralazine</t>
  </si>
  <si>
    <t>Arterielijn: (&gt; 5 kg) flush 1E heparine/ml FZ: 3 ml/uur</t>
  </si>
  <si>
    <t xml:space="preserve">Arterielijn: (&lt; 5 kg) flush 5E heparine/ml FZ met NaBic 8,4% 5 ml/500ml: 0,5 ml/uur </t>
  </si>
  <si>
    <t>3 ml</t>
  </si>
  <si>
    <t>Tot. hoev. vocht* (70-50 ml/kg/24 uur)</t>
  </si>
  <si>
    <t>Tot. hoev. vocht* (80-70 ml/kg/24 uur)</t>
  </si>
  <si>
    <t>mg/kg/uur</t>
  </si>
  <si>
    <t>mg/kg/dag</t>
  </si>
  <si>
    <t>gram/kg/dag</t>
  </si>
  <si>
    <t>=ber_IVmed!$F$6</t>
  </si>
  <si>
    <t>=ber_IVmed!$F$7</t>
  </si>
  <si>
    <t>=ber_IVmed!$F$8</t>
  </si>
  <si>
    <t>=ber_IVmed!$F$9</t>
  </si>
  <si>
    <t>=ber_IVmed!$F$10</t>
  </si>
  <si>
    <t>or 6-10 mg/kg/dag in 2 doses_x000D_
_x000D_
Neon.:_x000D_
or 5 mg/kg/dag in 2 doses</t>
  </si>
  <si>
    <t>Sterk anti-histamine effect._x000D_
Anti-emetische activiteit._x000D_
Vooral bij duizeligheid, reisziekte.</t>
  </si>
  <si>
    <t>15-30 kg: or 5 mg/dag in 1 dosis_x000D_
&gt; 30 kg: or 10 mg/dag in 1 dosis</t>
  </si>
  <si>
    <t>1mnd-1jr: 3 dd 0,15-0,5 mg=3 dd 3-10 dr_x000D_
1-3 jr: 3 dd 0,5-0,75 mg=3 dd 10-15 dr_x000D_
3-12 jr: 3 dd 0,75-1 mg=3 dd 15-20 dr_x000D_
&gt; 12 jr: 3 dd 1-2 mg</t>
  </si>
  <si>
    <t>=ber_Med_disc!$N$10</t>
  </si>
  <si>
    <t>Monitoring met micro-APTT. Eerste controle ca. 4 uur na start, daarna eenmaal daags en na elke dosisaanpassing. Op geleide van de APTT wordt de dosering met stappen van 5 IE/kg aangepast. Streven naar APTT 1,5-2x normaal.</t>
  </si>
  <si>
    <t>Minder enzyminductie dan rifampicine; toepassen indien co-medicatie daartoe aanleiding geeft._x000D_
NNRTI = non nucleoside reverse transcriptase remmer._x000D_
Bij ernstige lever- of nierinsuff. dosis aanpassen.</t>
  </si>
  <si>
    <t>or 30 mg/kg/dag in 1 dosis,_x000D_
max 2 g/dag</t>
  </si>
  <si>
    <t>Regelmatige controle leverfunctie en urinezuurspiegels wordt aanbevolen._x000D_
Dosis bij nierinsuff.: zie blz ?</t>
  </si>
  <si>
    <t>Geïnactiveerd virus vaccin, beschermende werking 0,5-1 jaar._x000D_
Samenstelling varieert per jaar._x000D_
Contra-indicatie: overgevoeligheid voor kippen-eiwit._x000D_
Tussen toediening van levend vaccin (bijv. BMR) en influenzavaccinatie dienen 3-4 weken te verstrijken.</t>
  </si>
  <si>
    <t>meningokokkenvaccin</t>
  </si>
  <si>
    <t>in vaccinatieschema:_x000D_
kort na het 1e jaar 1 dosis im</t>
  </si>
  <si>
    <t>Conjugaatvaccin.</t>
  </si>
  <si>
    <t>&gt; 2 jr; geen boostervaccinatie tenzij op indicatie</t>
  </si>
  <si>
    <t>Antigene, gezuiverde polysacchariden uit de kapsels van 23 typen Streptococcus pneumoniae.</t>
  </si>
  <si>
    <t>KCl_2</t>
  </si>
  <si>
    <t>KClVol_2</t>
  </si>
  <si>
    <t>propafenon</t>
  </si>
  <si>
    <t>Lab06u_15</t>
  </si>
  <si>
    <t>Lab06u_16</t>
  </si>
  <si>
    <t>Lab12u_15</t>
  </si>
  <si>
    <t>Lab12u_16</t>
  </si>
  <si>
    <t>mg/ml</t>
  </si>
  <si>
    <t xml:space="preserve">Toepasssing bij neonaten met metabole acidose en hoog plasma natrium concentratie                                                                                                                                                                              </t>
  </si>
  <si>
    <t>onderhoudsbehoefte in TPN continu iv opklimmen in 3 dagen_x000D_
7-15 kg:  2 g/kg/dag_x000D_
16-30 kg: 1,8 g/kg/dag_x000D_
31-50 kg: 1 g/kg/dag</t>
  </si>
  <si>
    <t>10% = 100 g aminozuren per liter_x000D_
1 g aminozuren komt overeen met 0,8 g eiwit</t>
  </si>
  <si>
    <t>onderhoudsbehoefte in TPN continu iv opklimmen in 3 dagen_x000D_
&lt;2-6  kg:    2,6 g/kg/dag</t>
  </si>
  <si>
    <t>Bij cystic fibrosis altijd in combinatie met aminoglycoside. Uitsluitend op speciale indicatie. Breed werkingsspectrum, met activiteit tegen o.a. Ps. aeruginosa. Kan de thrombo-cytenaggregatie verstoren._x000D_
Dosis bij nierinsuff.: zie blz ?</t>
  </si>
  <si>
    <t>iv 6+30 mg/kg/dag in 2 doses,_x000D_
max 320+1600 mg/dag_x000D_
_x000D_
PCP behandeling:_x000D_
iv 20+100 mg/kg/dag in 3 doses,_x000D_
max 960+4800 mg/dag_x000D_
_x000D_
Neon.: op stricte indicatie iv:_x000D_
oplaad: 2+10 mg/kg, onderhoud:_x000D_
1+5 mg/kg/dag in 2 doses</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</si>
  <si>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</si>
  <si>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 xml:space="preserve">poeder              </t>
  </si>
  <si>
    <t xml:space="preserve">drank 240 ml             </t>
  </si>
  <si>
    <t xml:space="preserve">drank               </t>
  </si>
  <si>
    <t xml:space="preserve">tabl                </t>
  </si>
  <si>
    <t xml:space="preserve">mg/tabl        </t>
  </si>
  <si>
    <t xml:space="preserve">ANTIMICROBIËLE MIDDELEN antimycotica                                                                                                                                                                                                                           </t>
  </si>
  <si>
    <t xml:space="preserve">flac 20 ml             </t>
  </si>
  <si>
    <t>Bij ooginfecties met herpes simplex-virus. Behandeling tot minstens 3 dagen na volledige genezing.</t>
  </si>
  <si>
    <t>adenosine</t>
  </si>
  <si>
    <t>1e keuze bij calciumdeficiëntie en als fosfaatbinder bij hyperfosfatemie, op geleide serumconcentratie calcium (en fosfaat). Een tablet Calci-chew bevat 500 mg calcium.</t>
  </si>
  <si>
    <t>SPIERRELAXANTIA perifeer werkend</t>
  </si>
  <si>
    <t>atracurium</t>
  </si>
  <si>
    <t>Lab06u_12</t>
  </si>
  <si>
    <t>Lab06u_13</t>
  </si>
  <si>
    <t>kool geactiveerd</t>
  </si>
  <si>
    <t>=ber_lab!$G$9</t>
  </si>
  <si>
    <t>=ber_lab!$G$10</t>
  </si>
  <si>
    <t>Toegang</t>
  </si>
  <si>
    <t>orotracheaal tube</t>
  </si>
  <si>
    <t>dosis wordt getitreerd in overleg met endocrinoloog, dagdosis verdelen over 2 giften</t>
  </si>
  <si>
    <t>MedIVOplVlst_13</t>
  </si>
  <si>
    <t>MedIVOplVlst_14</t>
  </si>
  <si>
    <t>MedIVOplVlst_15</t>
  </si>
  <si>
    <t>MedIVOplVlst_2</t>
  </si>
  <si>
    <t>oogwassing, kan tevens volgens richtlijn lokaal gebruikt worden bij huidcontact</t>
  </si>
  <si>
    <t>or: &lt; 1 jr: 10 gram_x000D_
     &lt; 5 jr: 15 gram_x000D_
     &gt; 5 jr: 30 gram_x000D_
natriumsulfaatdosering: or 500 mg/kg,_x000D_
herhalen op geleide defaecatie</t>
  </si>
  <si>
    <t>Adsorbens bij intoxicaties. Niet aan kool binden: zuren, basen, alcoholen, ijzer, lithium en cyanide._x000D_
Altijd samen met natriumsulfaat als laxans.</t>
  </si>
  <si>
    <t>=ber_Infusen!$H$4</t>
  </si>
  <si>
    <t>Controle_5</t>
  </si>
  <si>
    <t>=ber_Infusen!$H$5</t>
  </si>
  <si>
    <t>Controle_6</t>
  </si>
  <si>
    <t>=ber_Infusen!$H$6</t>
  </si>
  <si>
    <t>benzathinebenzyl-penicilline</t>
  </si>
  <si>
    <t>DrukCV</t>
  </si>
  <si>
    <t>FreqHFO</t>
  </si>
  <si>
    <t>TiHFO</t>
  </si>
  <si>
    <t>DeltaP</t>
  </si>
  <si>
    <t>TidalVolPLV</t>
  </si>
  <si>
    <t>FreqPLV</t>
  </si>
  <si>
    <t>InspFlow</t>
  </si>
  <si>
    <t>DrukPLV</t>
  </si>
  <si>
    <t>DiscAlarm</t>
  </si>
  <si>
    <t>TiPLV</t>
  </si>
  <si>
    <t>TePLV</t>
  </si>
  <si>
    <t>TubeLengte</t>
  </si>
  <si>
    <t>Intern</t>
  </si>
  <si>
    <t>calciumfolinaat</t>
  </si>
  <si>
    <t>FreqCV</t>
  </si>
  <si>
    <t>TidalVolCV</t>
  </si>
  <si>
    <t>TiCV</t>
  </si>
  <si>
    <t>PresSup</t>
  </si>
  <si>
    <t>geleidings- of infiltratieanesthesie:_x000D_
0,25-2%, max 3-5 mg/kg/keer_x000D_
(volw: max 300 mg/keer)</t>
  </si>
  <si>
    <t>&gt; 2 jr: or 600 + 150 mg/m2/dag in 2 doses</t>
  </si>
  <si>
    <t>Protease-remmers.</t>
  </si>
  <si>
    <t>ritonavir</t>
  </si>
  <si>
    <t>or 800 mg/m2/dag in 2 doses_x000D_
volw.: 1200 mg/dag in 2 doses</t>
  </si>
  <si>
    <t>Protease-remmer. Inname met voeding._x000D_
Toepassing in lage dosering als adjuvans bij lopinavir om spiegel lopinavir te verhogen.</t>
  </si>
  <si>
    <t>Reverse transcriptase remmer._x000D_
Vetrijk voedsel vertraagt en vermindert de absorptie. Bij combinatie met ganciclovir is kans op neutropenie verhoogd.</t>
  </si>
  <si>
    <t>iv 2/3 van de orale dosering</t>
  </si>
  <si>
    <t>im/iv 0,05 - 0,1 mg/kg/dag in 2-3 doses</t>
  </si>
  <si>
    <t>MedTijden_7</t>
  </si>
  <si>
    <t>MedTijden_8</t>
  </si>
  <si>
    <t>MedTijden_9</t>
  </si>
  <si>
    <t>MedToed_1</t>
  </si>
  <si>
    <t>MedToed_10</t>
  </si>
  <si>
    <t>propylthiouracil</t>
  </si>
  <si>
    <t>hepatitis A-vaccin</t>
  </si>
  <si>
    <t>tblToed</t>
  </si>
  <si>
    <t>trach</t>
  </si>
  <si>
    <t>epid</t>
  </si>
  <si>
    <t>nasaal</t>
  </si>
  <si>
    <t>Opl</t>
  </si>
  <si>
    <t>OplVl</t>
  </si>
  <si>
    <t>tblOplVl</t>
  </si>
  <si>
    <t>TotOpl</t>
  </si>
  <si>
    <t>extravasatie: lokaal 4-6 ml in het gebied injecteren</t>
  </si>
  <si>
    <t>ondansetron</t>
  </si>
  <si>
    <t>teniposide</t>
  </si>
  <si>
    <t>inhalatie: zonodig, max 8 dd 250-500 microg</t>
  </si>
  <si>
    <t>Controle_7</t>
  </si>
  <si>
    <t>=ber_Infusen!$H$7</t>
  </si>
  <si>
    <t>Controle_8</t>
  </si>
  <si>
    <t>=ber_Infusen!$H$8</t>
  </si>
  <si>
    <t>Controle_9</t>
  </si>
  <si>
    <t>=ber_Infusen!$H$9</t>
  </si>
  <si>
    <t>dbPatientSave</t>
  </si>
  <si>
    <t>=Patienten!$A$1:$B$574</t>
  </si>
  <si>
    <t>=dbBead!$AG$2</t>
  </si>
  <si>
    <t>paromomycine</t>
  </si>
  <si>
    <t>=ber_Med_disc!$K$15</t>
  </si>
  <si>
    <t>=ber_Med_disc!$K$16</t>
  </si>
  <si>
    <t>=ber_Med_disc!$K$17</t>
  </si>
  <si>
    <t>=ber_Med_disc!$K$18</t>
  </si>
  <si>
    <t>=ber_Med_disc!$K$19</t>
  </si>
  <si>
    <t>=ber_Med_disc!$K$20</t>
  </si>
  <si>
    <t>=ber_Med_disc!$K$3</t>
  </si>
  <si>
    <t>=ber_Med_disc!$K$21</t>
  </si>
  <si>
    <t>=ber_Med_disc!$K$4</t>
  </si>
  <si>
    <t>=ber_Med_disc!$K$5</t>
  </si>
  <si>
    <t>=ber_Med_disc!$K$6</t>
  </si>
  <si>
    <t>=ber_Med_disc!$K$7</t>
  </si>
  <si>
    <t>vitamine B-complex</t>
  </si>
  <si>
    <t>1-3 dragees/dag</t>
  </si>
  <si>
    <t>=ber_lab!$E$9</t>
  </si>
  <si>
    <t>=ber_lab!$E$10</t>
  </si>
  <si>
    <t>=ber_lab!$E$12</t>
  </si>
  <si>
    <t>=ber_lab!$F$2</t>
  </si>
  <si>
    <t>=ber_lab!$F$13</t>
  </si>
  <si>
    <t>=ber_lab!$F$14</t>
  </si>
  <si>
    <t>idarubicine</t>
  </si>
  <si>
    <t>ifosfamide</t>
  </si>
  <si>
    <t>azitromycine</t>
  </si>
  <si>
    <t>or 10 mg/kg/dag in 1 dosis gedurende 3 dagen, max 500 mg/dag</t>
  </si>
  <si>
    <t>obidoxim</t>
  </si>
  <si>
    <t>tramadol</t>
  </si>
  <si>
    <t>CaGluc</t>
  </si>
  <si>
    <t>CaGlucVol</t>
  </si>
  <si>
    <t>amlodipine</t>
  </si>
  <si>
    <t>MedIVMlSpuit_9</t>
  </si>
  <si>
    <t>MedIVOplVlst_1</t>
  </si>
  <si>
    <t>MedIVOplVlst_10</t>
  </si>
  <si>
    <t>MedIVOplVlst_11</t>
  </si>
  <si>
    <t>muromonab-CD3</t>
  </si>
  <si>
    <t>=ber_Med_disc!$M$7</t>
  </si>
  <si>
    <t>=ber_Med_disc!$M$8</t>
  </si>
  <si>
    <t>=ber_Med_disc!$M$9</t>
  </si>
  <si>
    <t>=ber_Med_disc!$M$10</t>
  </si>
  <si>
    <t>=ber_Med_disc!$B$2</t>
  </si>
  <si>
    <t>=ber_IVmed!$D$8</t>
  </si>
  <si>
    <t>=ber_IVmed!$D$9</t>
  </si>
  <si>
    <t>=ber_IVmed!$D$10</t>
  </si>
  <si>
    <t>=ber_IVmed!$D$11</t>
  </si>
  <si>
    <t>=ber_IVmed!$D$26</t>
  </si>
  <si>
    <t>=ber_IVmed!$D$35</t>
  </si>
  <si>
    <t>=ber_IVmed!$D$36</t>
  </si>
  <si>
    <t>=ber_IVmed!$D$37</t>
  </si>
  <si>
    <t>=ber_IVmed!$D$38</t>
  </si>
  <si>
    <t>=ber_IVmed!$D$39</t>
  </si>
  <si>
    <t>=ber_IVmed!$D$40</t>
  </si>
  <si>
    <t>=ber_IVmed!$D$27</t>
  </si>
  <si>
    <t>=ber_IVmed!$D$28</t>
  </si>
  <si>
    <t>=ber_IVmed!$D$29</t>
  </si>
  <si>
    <t>=ber_IVmed!$D$30</t>
  </si>
  <si>
    <t>iv 40 mg/kg/dag in 2 doses (infusieduur tenminste 1 uur), max 2 g/dag_x000D_
_x000D_
Neon.: iv:_x000D_
30 mg/kg/dag in 3 doses</t>
  </si>
  <si>
    <t>N.B. oraal uitsluitend bij pseudomembraneuze colitis_x000D_
or 40 mg/kg/dag in 3-4 doses</t>
  </si>
  <si>
    <t>iv 40 mg/kg/dag in 3 doses,_x000D_
max 4 g/dag_x000D_
_x000D_
Neon.: i.v:_x000D_
1e levensweek:_x000D_
&lt; 1500 g 20 mg/kg/dag in 2 doses_x000D_
&gt; 1500 g 30 mg/kg/dag in 3 doses_x000D_
2e-4e levensweek:_x000D_
30 mg/kg/dag in 3 doses</t>
  </si>
  <si>
    <t>Snelle inductie van afhankelijkheid. Sterke amnesie. t1/2 = 8-24 uur._x000D_
Oraal slechte keus. Alleen bij afbouwen van IC-medicatie. Cave bijwerkingen._x000D_
Biol. beschikb. ong. 90%.</t>
  </si>
  <si>
    <t>oraal alleen tijdens afbouwen van intraveneuze medicatie; dosis afhankelijk van gebruikte intraveneuze medicatie</t>
  </si>
  <si>
    <t>=ber_Med_disc!$P$12</t>
  </si>
  <si>
    <t>=ber_Med_disc!$P$13</t>
  </si>
  <si>
    <t>=ber_Med_disc!$P$14</t>
  </si>
  <si>
    <t>=ber_Med_disc!$P$15</t>
  </si>
  <si>
    <t>=ber_Med_disc!$P$16</t>
  </si>
  <si>
    <t>=ber_Med_disc!$P$17</t>
  </si>
  <si>
    <t>=ber_Med_disc!$P$18</t>
  </si>
  <si>
    <t>=ber_Med_disc!$P$19</t>
  </si>
  <si>
    <t>ketoconazol</t>
  </si>
  <si>
    <t>1 ml/kg;    max 10 ml</t>
  </si>
  <si>
    <t>Delta P</t>
  </si>
  <si>
    <t>TV:</t>
  </si>
  <si>
    <t>Freqentie:</t>
  </si>
  <si>
    <t>Inspir. Flow:</t>
  </si>
  <si>
    <t>Discontinu alarm:</t>
  </si>
  <si>
    <t>=ber_lab!$E$13</t>
  </si>
  <si>
    <t>=ber_lab!$E$14</t>
  </si>
  <si>
    <t>profylaxe CMV-infectie bij nier-transplantatie CMV neg. ontvanger:_x000D_
or 1800 mg/m2/dag in 3 doses,_x000D_
max 3000 mg/dag</t>
  </si>
  <si>
    <t>Methemoglobinevormer._x000D_
Streefwaarde methemoglobineconc._x000D_
30-40%, bij &gt; 50% is methyleenblauw geïndiceerd.</t>
  </si>
  <si>
    <t>iv (langzaam):_x000D_
&gt; 3 jr: 2,5-5 mg per keer</t>
  </si>
  <si>
    <t>start iv 0,25 microg/kg/uur, ophogen tot gewenste effect,_x000D_
onderhoud gemiddeld 1 microg/kg/uur, max 2 microg/kg/uur_x000D_
_x000D_
als diagnosticum zie blz ?</t>
  </si>
  <si>
    <t>Infuus_6</t>
  </si>
  <si>
    <t>InstMedIVDos_1</t>
  </si>
  <si>
    <t>InstMedIVDos_10</t>
  </si>
  <si>
    <t>InstMedIVDos_11</t>
  </si>
  <si>
    <t>InstMedIVDos_12</t>
  </si>
  <si>
    <t>InstMedIVDos_13</t>
  </si>
  <si>
    <t>InstMedIVDos_2</t>
  </si>
  <si>
    <t>InstMedIVDos_3</t>
  </si>
  <si>
    <t>InstMedIVDos_4</t>
  </si>
  <si>
    <t>InstMedIVDos_5</t>
  </si>
  <si>
    <t>InstMedIVDos_6</t>
  </si>
  <si>
    <t>InstMedIVDos_7</t>
  </si>
  <si>
    <t>InstMedIVDos_8</t>
  </si>
  <si>
    <t>Glucose/zout preparaat ter voorkoming en behandeling van uitdroging bij acute diarree. Verstrekking via de zuigelingen-voedingskeuken._x000D_
Oplossing bevat per 100 ml:_x000D_
glucose  2 g_x000D_
Na+       9 mmol_x000D_
K+         2 mmol_x000D_
Cl-         8 mmol_x000D_
citraat    1 mmol</t>
  </si>
  <si>
    <t>or: &lt; 6 jr: bij matige dehydratie 15 ml/kg/uur gedurende 6 uur in opklimmende hoeveelheden en met een frequentie volgens protocol Kinder-diëtetiek. Tijdens realimentatie 10 ml/kg na iedere waterdunne ontlasting</t>
  </si>
  <si>
    <t>interferon alfa</t>
  </si>
  <si>
    <t>chronische hepatitis B:_x000D_
sc 7,5 milj. IE/m2/keer, 3 maal per week op ma, woe en vrij</t>
  </si>
  <si>
    <t>Intron A = interferon alfa 2b._x000D_
Toepassing bij kinderen niet geregistreerd.</t>
  </si>
  <si>
    <t>Cryptosporidium sp.-infecties:_x000D_
or 30-50 mg/kg/dag in 3-4 doses, max 3 g</t>
  </si>
  <si>
    <t>Toepassing bij selectieve darmdecontaminatie. Wordt bij intact darmslijmvlies in geringe hoeveelheid geabsorbeerd: gecontraïndiceerd bij nierfunctiestoornis (zie inleiding).</t>
  </si>
  <si>
    <t>de kralen dienen weer operatief verwijderd te worden</t>
  </si>
  <si>
    <t>herpes zoster:_x000D_
or 1800 mg/m2/dag in 3 doses,_x000D_
max 3000 mg/dag_x000D_
_x000D_
profylaxe CMV-infectie bij nier-transplantatie CMV pos. ontvanger:_x000D_
or 8 g/1,73 m2/dag in 4 doses,_x000D_
max 8 g/dag</t>
  </si>
  <si>
    <t>Niet geregistreerd voor kinderen._x000D_
Dosis bij nierinsuff.: zie tabel blz ? , dosis bij nierinsuff. bij profylaxe bij NTX zie protocol WKZ.</t>
  </si>
  <si>
    <t>or &lt; 30 kg: 2 mg/kg/dag in 2 doses_x000D_
30-60 kg: 2 dd 30 mg_x000D_
&gt; 60 kg: 2 dd 40 mg</t>
  </si>
  <si>
    <t>oog: 2-6 dd</t>
  </si>
  <si>
    <t>methyleenblauw</t>
  </si>
  <si>
    <t>iv 1-2 mg/kg in 5 min; zo nodig na 1 uur herhalen</t>
  </si>
  <si>
    <t>kalium-natrium-fosfaat</t>
  </si>
  <si>
    <t>erytropoëtine</t>
  </si>
  <si>
    <t>Gluc5</t>
  </si>
  <si>
    <t>Gluc10</t>
  </si>
  <si>
    <t>1 X</t>
  </si>
  <si>
    <t>an</t>
  </si>
  <si>
    <t>tblTijden</t>
  </si>
  <si>
    <t>Tijden</t>
  </si>
  <si>
    <t>Inloop</t>
  </si>
  <si>
    <t>PatNummer</t>
  </si>
  <si>
    <t>Opname:</t>
  </si>
  <si>
    <t>Opname</t>
  </si>
  <si>
    <t>: Pelikaan</t>
  </si>
  <si>
    <t>dornase alfa</t>
  </si>
  <si>
    <t>Intubatie</t>
  </si>
  <si>
    <t>Tablet ten minste 30 min. voor het ontbijt rechtop innemen met voldoende water i.v.m. oesofageale bijwerkingen._x000D_
Bisfosfonaat, remt de botresorptie. _x000D_
Ervaring bij kinderen beperkt.</t>
  </si>
  <si>
    <t>apd</t>
  </si>
  <si>
    <t>osteogenesis imperfecta:_x000D_
iv 2 mg/kg/keer in 4 uur</t>
  </si>
  <si>
    <t>bij hyperinsulinisme:_x000D_
or 5-10 mg/kg/dag in 3-4 doses_x000D_
_x000D_
bij hypertensie: zie blz ?</t>
  </si>
  <si>
    <t>Afrond_15</t>
  </si>
  <si>
    <t>Afrond_2</t>
  </si>
  <si>
    <t>Afrond_3</t>
  </si>
  <si>
    <t>Afrond_4</t>
  </si>
  <si>
    <t>Afrond_5</t>
  </si>
  <si>
    <t>Afrond_6</t>
  </si>
  <si>
    <t>Afrond_7</t>
  </si>
  <si>
    <t>Afrond_8</t>
  </si>
  <si>
    <t>Afrond_9</t>
  </si>
  <si>
    <t>LabOpn_1</t>
  </si>
  <si>
    <t>LabOpn_10</t>
  </si>
  <si>
    <t>LabOpn_11</t>
  </si>
  <si>
    <t>LabOpn_12</t>
  </si>
  <si>
    <t>LabOpn_13</t>
  </si>
  <si>
    <t>LabOpn_14</t>
  </si>
  <si>
    <t>LabOpn_15</t>
  </si>
  <si>
    <t>LabOpn_16</t>
  </si>
  <si>
    <t>LabOpn_2</t>
  </si>
  <si>
    <t>LabOpn_3</t>
  </si>
  <si>
    <t>Dosering wordt verder getitreerd op vetresorptie-coëfficiënt en klachtenpatroon._x000D_
Maagsapresistente capsule bevat:_x000D_
lipase      5000 FIP-E_x000D_
amylase  2900   FIP-E_x000D_
protease   330   FIP-E</t>
  </si>
  <si>
    <t>oog: 4 dd 1 dr, max 14 dagen</t>
  </si>
  <si>
    <t>Bij start behandeling 2x/week nierfunctie, leverfuncties en bloedbeeld controleren (beenmergdepressie)._x000D_
Dosis bij nierinsuff.: zie tabel blz ?</t>
  </si>
  <si>
    <t>cutaan 1-2 maal/dag insmeren</t>
  </si>
  <si>
    <t>start:_x000D_
&gt; 6 jr: or 12-16 g/dag in 3-4 doses_x000D_
_x000D_
onderhoud:_x000D_
&gt; 6 jr: or 4-8 g/dag in 1-2 doses,_x000D_
max 24 g/dag_x000D_
_x000D_
bij vetstofwisselingsziekte zie blz ?</t>
  </si>
  <si>
    <t>1-3 jr:  or 0,25 g/keer, max 4-6 dd_x000D_
3-10 jr:  or 0,5 g/keer, max 4-6 dd_x000D_
&gt; 10 jr: or 1 g/keer, max 4-6 dd</t>
  </si>
  <si>
    <t>iv 3-5 mg/kg/dag in 3-4 doses_x000D_
_x000D_
Neon.:_x000D_
iv 2,5 mg/kg/dag in 2 doses</t>
  </si>
  <si>
    <t>ß-blokkers blokkeren de ß-receptoren in het corpus ciliare van het oog. Hierdoor remmen ze de productie van kamerwater.</t>
  </si>
  <si>
    <t>Lokaal sterker werkzaam dan fluormetholon.</t>
  </si>
  <si>
    <t>Lokaal zeer sterk werkzaam. Toepassing voornamelijk bij uveïtis.</t>
  </si>
  <si>
    <t>bij uveïtis:_x000D_
voor de nacht aanbrengen</t>
  </si>
  <si>
    <t>Eerste keus voor oppervlakteanesthesie.</t>
  </si>
  <si>
    <t>Tweede keus voor oppervlakteanesthesie. Meer irriterend en langerwerkend dan oxybuprocaine.</t>
  </si>
  <si>
    <t>gentamicine + dexamethason</t>
  </si>
  <si>
    <t>Eerste keus bij infecties met Gram-positieve bacterieën. Gram-negatieve bacterieën zijn meestal niet gevoelig. Cave overgroei schimmels.</t>
  </si>
  <si>
    <t>paracetamol</t>
  </si>
  <si>
    <t>benzylpenicilline</t>
  </si>
  <si>
    <t>mmol</t>
  </si>
  <si>
    <t>Zie inleiding._x000D_
Ad-hoc receptuur, prijs per g.</t>
  </si>
  <si>
    <t>nitisinon ntbc</t>
  </si>
  <si>
    <t>or 1 mg/kg/dag in 1-2 doses</t>
  </si>
  <si>
    <t>Bij Tyrosinaemie type I. Orphan drug.</t>
  </si>
  <si>
    <t>vit. B6 gevoelige homocystinurie:_x000D_
or 500-1000 mg/dag in 3 doses_x000D_
_x000D_
Neon.: bij pyridoxine gevoelige convulsies: blz ?_x000D_
_x000D_
zie ook vit B groep en primaire hyper-oxalurie blz ?</t>
  </si>
  <si>
    <t>Perifere neuropathie kan optreden bij doseringen boven 1000 mg/dag. De dosering dient individueel te worden aangepast aan de laagst werkzame dosis. Bij hoge dosering foliumzuur bijgeven.</t>
  </si>
  <si>
    <t>creatine monohydraat</t>
  </si>
  <si>
    <t>creatine biosynthese defecten:_x000D_
or 400-650 mg/kg/dag</t>
  </si>
  <si>
    <t>3-fosfoglyceraat dehydrogenase defi-ciëntie:_x000D_
aanvang or: 200 mg/kg/dag in 6 doses</t>
  </si>
  <si>
    <t>De dosering wordt individueel ingesteld op geleide van serum- en liquorspiegels. Prijs per g.</t>
  </si>
  <si>
    <t>3-fosfoglyceraat dehydrogenase defi-ciëntie:_x000D_
aanvang or: 500 mg/kg/dag in 6 doses</t>
  </si>
  <si>
    <t>cysteamine-bitartraat</t>
  </si>
  <si>
    <t>or start 325 mg/m2/dag in 4 doses_x000D_
opklimmen in 4-6 weken tot 1300 mg/m2/dag</t>
  </si>
  <si>
    <t>Effect binnen 2 min. Werkingsduur 15-30 min. Eliminatie onafhankelijk van lever- en nierfunctie. Bijw.: histamine-release.</t>
  </si>
  <si>
    <t>MedInloop_7</t>
  </si>
  <si>
    <t>MedInloop_8</t>
  </si>
  <si>
    <t>MedInloop_9</t>
  </si>
  <si>
    <t>MedIVKeuze_1</t>
  </si>
  <si>
    <t>MedIVKeuze_10</t>
  </si>
  <si>
    <t>MedIVKeuze_11</t>
  </si>
  <si>
    <t>MedIVKeuze_12</t>
  </si>
  <si>
    <t>MedIVKeuze_13</t>
  </si>
  <si>
    <t>&gt; 6 jr: or 0,25-0,8 mg/kg/dag in 2 doses, max 60 mg/dag_x000D_
beginnen met lage dosering, wekelijks dosis verdubbelen tot voldoende effect, max 0,8 mg/kg/dag</t>
  </si>
  <si>
    <t>iv 0,05-0,2 mg/kg/keer_x000D_
onderhoud op geleide effect</t>
  </si>
  <si>
    <t>Iv langzaam toedienen onder bewaking. Diazemuls kan worden verdund met gluc 5% tot gewenste conc._x000D_
Benzodiazepine. Spierverslappende, hypnotische, anxiolytische en anticonvulsieve werking.</t>
  </si>
  <si>
    <t xml:space="preserve">! Cave bij voorschrijven: 500 mg acetylsalicylzuur = 900 mg Aspegic (lysine-acetylsalicylzuur).                                                                                                                                                                </t>
  </si>
  <si>
    <t>darbepoëtine</t>
  </si>
  <si>
    <t>MedToed_4</t>
  </si>
  <si>
    <t>Direct effect op a- en ß1-receptoren. Uitsluitend voor verhoging perifere weerstand niet voor inotrope effect. Bloeddruk stijgt bij gelijkblijvende cardiac-output. Zuurstof-behoefte myocard stijgt. Alleen via centr.veneuze cath.</t>
  </si>
  <si>
    <t>RecNo_18</t>
  </si>
  <si>
    <t>=ber_Med_disc!$T$19</t>
  </si>
  <si>
    <t>RecNo_19</t>
  </si>
  <si>
    <t>=ber_Med_disc!$T$20</t>
  </si>
  <si>
    <t>RecNo_2</t>
  </si>
  <si>
    <t>=ber_Med_disc!$T$3</t>
  </si>
  <si>
    <t>3 mnd-13 jr: or 360 mg/m2/dag in 3 doses_x000D_
&gt; 13 jr: 600 mg/dag in 2 doses_x000D_
_x000D_
Neon.: profylaxe 4 weken_x000D_
or 8 mg/kg/dag in 4 doses</t>
  </si>
  <si>
    <t>or:_x000D_
&lt; 3 mnd: 500 mg/m2/dag in 2 doses_x000D_
&gt; 3 mnd: 240 mg/m2/dag in 1-2 doses, in combinatie met zidovudine dosis aanpassen</t>
  </si>
  <si>
    <t>iv/im 100 mg/kg/dag in 1 dosis,_x000D_
max 2 g/dag, (evt. max 4 g/dag)_x000D_
_x000D_
Neon.:_x000D_
iv &lt; 2 weken 50 mg/kg/dag in 1 dosis</t>
  </si>
  <si>
    <t>or 30 mg/kg/dag in 2 doses,_x000D_
max 1 g/dag</t>
  </si>
  <si>
    <t>iv 15 mg/kg/dag in 2 doses,_x000D_
max 1,2 g/dag_x000D_
_x000D_
cystic fibrosis:_x000D_
iv 20 mg/kg/dag in 2 doses,_x000D_
max 1,2 g/dag.</t>
  </si>
  <si>
    <t>Ciprofloxacine is niet geregistreerd voor gebruik bij kinderen. Zie inleiding._x000D_
Dosis bij nierinsuff.: zie tabel blz ?</t>
  </si>
  <si>
    <t>MedOpl_18</t>
  </si>
  <si>
    <t>PLV beademing</t>
  </si>
  <si>
    <t>Perifeer infuus 2: SST 1</t>
  </si>
  <si>
    <t>Perifeer infuus 2: SST 2</t>
  </si>
  <si>
    <t>Perifeer infuus 2: medicatie</t>
  </si>
  <si>
    <t>rifampicine</t>
  </si>
  <si>
    <t>clonazepam</t>
  </si>
  <si>
    <t>ceftriaxon</t>
  </si>
  <si>
    <t>NaClVol</t>
  </si>
  <si>
    <t>SoluvitVol</t>
  </si>
  <si>
    <t>SSTStand</t>
  </si>
  <si>
    <t>TPNVol</t>
  </si>
  <si>
    <t>VitIntra</t>
  </si>
  <si>
    <t>VitIntraVol</t>
  </si>
  <si>
    <t>Protease-remmer. Dient nuchter te worden ingenomen.</t>
  </si>
  <si>
    <t>deferoxamine</t>
  </si>
  <si>
    <t>diazepam</t>
  </si>
  <si>
    <t>AN</t>
  </si>
  <si>
    <t>=ber_TPN!$E$9</t>
  </si>
  <si>
    <t>=dbBead!$AH$2</t>
  </si>
  <si>
    <t>Controle_1</t>
  </si>
  <si>
    <t>=ber_Infusen!$H$1</t>
  </si>
  <si>
    <t>oog: naar behoefte aanbrengen</t>
  </si>
  <si>
    <t>boven 50 kg</t>
  </si>
  <si>
    <t>lactitol</t>
  </si>
  <si>
    <t>tetracosactide</t>
  </si>
  <si>
    <t>na reconstitutie oplossing I en II tegelijkertijd of na elkaar aanbrengen</t>
  </si>
  <si>
    <t>filgrastim</t>
  </si>
  <si>
    <t>ferro(II)fumaraat</t>
  </si>
  <si>
    <t>pipamperon</t>
  </si>
  <si>
    <t>vincristine</t>
  </si>
  <si>
    <t>baclofen</t>
  </si>
  <si>
    <t>valproaat natrium</t>
  </si>
  <si>
    <t>Altijd hyperhydratie in overleg met nefroloog. Remt de vorming van urinezuur t.g.v. cytostatica-behandeling._x000D_
Kans op overgevoeligheidsreacties.</t>
  </si>
  <si>
    <t>iv idem als oraal</t>
  </si>
  <si>
    <t>F.M.F. profylaxe:_x000D_
2-7 jr:  or 0,5 mg/dag in 1 dosis_x000D_
7-13 jr: or 1 mg/dag in 2 doses_x000D_
&gt; 13 jr: or 1,5 mg/dag in 3 doses</t>
  </si>
  <si>
    <t>op slijmvliezen_x000D_
max 3 mg/kg cocaine per ingreep</t>
  </si>
  <si>
    <t>oor: 3-4 dd 2-3 dr,_x000D_
max 14 dagen</t>
  </si>
  <si>
    <t>=ber_IVmed!$D$31</t>
  </si>
  <si>
    <t>=ber_IVmed!$D$32</t>
  </si>
  <si>
    <t>=ber_IVmed!$D$33</t>
  </si>
  <si>
    <t>=ber_IVmed!$D$34</t>
  </si>
  <si>
    <t>=ber_IVmed!$E$26</t>
  </si>
  <si>
    <t>=ber_IVmed!$E$35</t>
  </si>
  <si>
    <t>=ber_IVmed!$E$36</t>
  </si>
  <si>
    <t>=ber_IVmed!$E$37</t>
  </si>
  <si>
    <t>=ber_IVmed!$E$38</t>
  </si>
  <si>
    <t>=ber_IVmed!$E$39</t>
  </si>
  <si>
    <t>=ber_IVmed!$E$40</t>
  </si>
  <si>
    <t>trombocytenaggregatieremming:_x000D_
carbasalaatcalcium_x000D_
oplaaddosis voor snel effect:_x000D_
or 4-6 mg/kg in 1 dosis_x000D_
onderhoud or:_x000D_
kind 20-38 mg/dag in 1 dosis_x000D_
volw 38-300 mg/dag in 1 dosis_x000D_
_x000D_
voor behandeling J.I.A. zie blz ?</t>
  </si>
  <si>
    <t>100 mg carbasalaatcalcium (Ascal) bevat 80 mg acetylsalicylzuur.</t>
  </si>
  <si>
    <t>trombocytenaggregatieremming:_x000D_
acetysalicylzuur_x000D_
oplaaddosis voor snel effect:_x000D_
iv 3-5 mg/kg in 1 dosis_x000D_
onderhoud iv:_x000D_
kind 16-30 mg/dag in 1 dosis_x000D_
volw 30-250 mg/dag in 1 dosis</t>
  </si>
  <si>
    <t>MedTijden_13</t>
  </si>
  <si>
    <t>MedTijden_14</t>
  </si>
  <si>
    <t>MedTijden_15</t>
  </si>
  <si>
    <t>MedTijden_16</t>
  </si>
  <si>
    <t>MedTijden_17</t>
  </si>
  <si>
    <t>tijmstroop</t>
  </si>
  <si>
    <t>Verzacht geprikkelde slijmvliezen.</t>
  </si>
  <si>
    <t>tinidazol</t>
  </si>
  <si>
    <t>natriumfluoride</t>
  </si>
  <si>
    <t>=ber_Med_disc!$H$13</t>
  </si>
  <si>
    <t>20 mg ferrofumar. = ong. 6,5 mg Fe,_x000D_
1 mg Fe is 0,16 ml suspensie_x000D_
65 mg ferrofumar. = ong. 20 mg Fe._x000D_
200 mg ferrofumar. = ong. 65 mg Fe._x000D_
Bijw., interacties zie inleiding.</t>
  </si>
  <si>
    <t>i.v. &gt; 4 maanden:_x000D_
30-60 mg/m2/week in 1 dosis, ged. 10 weken_x000D_
start met testdosis: &lt; 10 kg: 10 mg;_x000D_
10-20 kg: 15 mg; &gt; 20 kg 25 mg, na 60 min de rest van de eerste dosis</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</si>
  <si>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Neon.: iv:_x000D_
prematuur: 1e levensweek 3,5 mg/kg/dag in 1 dosis_x000D_
vanaf 2e levensweek 4 mg/kg/dag in 1 dosis_x000D_
à terme: 4 mg/kg/dag in 1 dosis</t>
  </si>
  <si>
    <t>Vermicide, lacticide en ovicide anthelminthicum._x000D_
Lokaal werkzaam. De absorptie is gering op nuchtere maag.</t>
  </si>
  <si>
    <t>atovaquon</t>
  </si>
  <si>
    <t>=ber_IVmed!$K$9</t>
  </si>
  <si>
    <t>=ber_IVmed!$K$10</t>
  </si>
  <si>
    <t>=ber_IVmed!$K$11</t>
  </si>
  <si>
    <t>=dbBead!$B$2</t>
  </si>
  <si>
    <t>cutaan 2-3 maal daags aanbrengen</t>
  </si>
  <si>
    <t>kaliumfosfaat drank WKZ</t>
  </si>
  <si>
    <t>5 ml</t>
  </si>
  <si>
    <t>10 ml</t>
  </si>
  <si>
    <t>molgramostim</t>
  </si>
  <si>
    <t>SpecVoed_8</t>
  </si>
  <si>
    <t>SpecVoed_9</t>
  </si>
  <si>
    <t>MedIVStand_12</t>
  </si>
  <si>
    <t>MedIVStand_13</t>
  </si>
  <si>
    <t>MedIVStand_14</t>
  </si>
  <si>
    <t>MedIVStand_15</t>
  </si>
  <si>
    <t>MedIVStand_2</t>
  </si>
  <si>
    <t>MedIVStand_3</t>
  </si>
  <si>
    <t>MedIVStand_4</t>
  </si>
  <si>
    <t>MedIVStand_5</t>
  </si>
  <si>
    <t>MedIVStand_6</t>
  </si>
  <si>
    <t>MedIVStand_7</t>
  </si>
  <si>
    <t>MedIVStand_8</t>
  </si>
  <si>
    <t>MedIVStand_9</t>
  </si>
  <si>
    <t>MedIVSterkte_11</t>
  </si>
  <si>
    <t>MedTijden_18</t>
  </si>
  <si>
    <t>MedTijden_19</t>
  </si>
  <si>
    <t>MedTijden_2</t>
  </si>
  <si>
    <t>MedTijden_20</t>
  </si>
  <si>
    <t>MedTijden_3</t>
  </si>
  <si>
    <t>MedTijden_4</t>
  </si>
  <si>
    <t>MedTijden_5</t>
  </si>
  <si>
    <t xml:space="preserve">STOFWISSELINGSZIEKTEN hyperammoniëmie                                                                                                                                                                                                                          </t>
  </si>
  <si>
    <t xml:space="preserve">drank forte 100 ml             </t>
  </si>
  <si>
    <t>Extravasatie: afwachtend beleid, evt. koelen met ijs._x000D_
Risico op hemorragische cystitis wordt verminderd door toediening van mesna zie blz ? en ruime diurese.</t>
  </si>
  <si>
    <t>acute pijn, postoperatieve pijn:_x000D_
rect 60-90 mg/kg/dag in 3 doses, eerste gift tot 40 mg/kg, max 1 g per dosis, max 4 g/dag; bij zeer slechte conditie max 60 mg/kg/dag (zie bijz.)_x000D_
_x000D_
chronische pijn:_x000D_
rect max 60 mg/kg/dag, max 3 g/dag_x000D_
_x000D_
Neon.:_x000D_
preterme &gt; 2000 g: rect 40 mg/kg/dag in 2-3 doses_x000D_
à terme: rect 60 mg/kg/dag in 3 doses</t>
  </si>
  <si>
    <t>creme op de intacte huid, onder occlusie 1-2 uur (max 5 uur) aanbrengen en dan verwijderen_x000D_
0-2 mnd: max 1 g op max 10 cm2_x000D_
3-12 mnd: max 2 g op max 20 cm2_x000D_
1-5 jr: max 10 g op max 100 cm2_x000D_
6-12 jr: max 20 g op 200 cm2_x000D_
&gt; 12 jr: 1,5-2 g per 10cm2_x000D_
_x000D_
pleister bij kind/volw aanbrengen en na 1 uur verwijderen, 3-12 mnd: max 2 pleisters per keer</t>
  </si>
  <si>
    <t>sedatie IC: _x000D_
iv: 4 dd 0,05-0,1 mg/kg, max 3 mg/dosis_x000D_
_x000D_
bij delier zie blz ?</t>
  </si>
  <si>
    <t>niertransplantatie: or_x000D_
volgens protocol en onder supervisie van de nefroloog: ong. 6 uur voor de transplantatie 600 mg/m2; na transplantatie start zodra orale toediening mogelijk is:_x000D_
1200 mg/m2/dag in 2 doses</t>
  </si>
  <si>
    <t>voor- en nazorg volgens protocol</t>
  </si>
  <si>
    <t>epidurale/caudale infusie:_x000D_
combinatie met bupivacaïne volgens WKZ-protocol:_x000D_
0,08 mg/kg/dag, bij pijn stapsgewijs ophogen naar max 0,16 mg/kg/dag_x000D_
zie AZU-combinatiepreparaat met bupivacaïne blz ?</t>
  </si>
  <si>
    <t>Toedienen onder bewaking. Werkingsduur 3-5 uur. Orale en rectale biol. beschikbaarheid is onbetrouwbaar (15-50%)._x000D_
Bijw.: ademdepressie, hypotensie, urineretentie, braken, obstipatie, jeuk._x000D_
Bij trauma &gt; 3 mnd éénmalig im 0,1 mg/kg.</t>
  </si>
  <si>
    <t>2-6 jr: or 20 mg/dag in 2 doses_x000D_
7-12 jr: or 40 mg/dag in 2 doses_x000D_
&gt; 12 jr: or 60 mg/dag in 2 doses _x000D_
bij onvoldoende effect stapsgewijs ophogen</t>
  </si>
  <si>
    <t>Neon.:_x000D_
iv: incidenteel 1 mg/kg/dosis</t>
  </si>
  <si>
    <t>pethidine cocktail (comb.prep.)</t>
  </si>
  <si>
    <t>premedicatie intramusculair:_x000D_
0,1 ml/kg, max 2 ml</t>
  </si>
  <si>
    <t>tijdens anesthesie: _x000D_
inductie: iv 7-15 microg/kg_x000D_
onderhoud: iv 1-3 microg/kg/min_x000D_
_x000D_
bij spontaan ademend kind:_x000D_
iv 5 microg/kg/keer onder bewaking anesthesist</t>
  </si>
  <si>
    <t>tijdens anesthesie:_x000D_
inductie: iv 0,1-1 microg/kg_x000D_
onderhoud: iv 0,1-0,2 microg/kg elke 30-60 min</t>
  </si>
  <si>
    <t>Werkt bactericide tegen Gram-positive bacteriën waaronder methicilline-resistente Staphylococcus aureus (MRSA). Toepassing bij behandeling van dragerschap van MRSA. In verband met resistentie-ontwikkeling niet langer dan 1 week gebruiken.</t>
  </si>
  <si>
    <t>iv 5 mg/kg/week ged. 2 weken,_x000D_
daarna 1 maal per 2 weken, duur therapie in overleg; ook lagere doseerschema's in literatuur: overleg._x000D_
N.B. altijd in combinatie met probenicide dosis 1,25 g/m2 /dosis 3 uur voor elk infuus, en 2 uur en 8 uur erna_x000D_
en_x000D_
goede hydratie: d.w.z. voor 1,73 m2 (volw.): iv 1 L fys. zout in 1 uur voor en in 1 uur na toediening</t>
  </si>
  <si>
    <t>Lab20u_10</t>
  </si>
  <si>
    <t>2,5-20 mcg/kg/min</t>
  </si>
  <si>
    <t>epinefrine</t>
  </si>
  <si>
    <t>0,05-0,1 mcg/kg/min</t>
  </si>
  <si>
    <t>0,15-0,7 mcg/kg/min</t>
  </si>
  <si>
    <t>noradrenaline</t>
  </si>
  <si>
    <t>0,05-2 mcg/kg/min</t>
  </si>
  <si>
    <t>mmol/kg/dag</t>
  </si>
  <si>
    <t>EW</t>
  </si>
  <si>
    <t>MedIVKeuze_14</t>
  </si>
  <si>
    <t>MedIVKeuze_15</t>
  </si>
  <si>
    <t>MedIVKeuze_2</t>
  </si>
  <si>
    <t>MedIVKeuze_3</t>
  </si>
  <si>
    <t>MedIVKeuze_4</t>
  </si>
  <si>
    <t>MedIVKeuze_5</t>
  </si>
  <si>
    <t>MedIVKeuze_6</t>
  </si>
  <si>
    <t>paraffine/vaseline/wolvet</t>
  </si>
  <si>
    <t>=ber_PO!$P$24</t>
  </si>
  <si>
    <t>=ber_PO!$P$25</t>
  </si>
  <si>
    <t>=ber_TPN!$C$11</t>
  </si>
  <si>
    <t>=ber_TPN!$E$11</t>
  </si>
  <si>
    <t>=ber_lab!$G$2</t>
  </si>
  <si>
    <t>=ber_lab!$G$13</t>
  </si>
  <si>
    <t>=ber_lab!$G$14</t>
  </si>
  <si>
    <t>=ber_lab!$G$15</t>
  </si>
  <si>
    <t>=ber_lab!$G$16</t>
  </si>
  <si>
    <t>=ber_lab!$G$17</t>
  </si>
  <si>
    <t>5-12 jr: or 6-9 mg/kg/dag in 1-2 doses_x000D_
&gt; 12 jr: or 400 mg in 2 doses of 300 mg in 1 dosis_x000D_
_x000D_
profylaxe:_x000D_
or 1,5-2 mg/kg/dag in een dosis 's avonds_x000D_
_x000D_
Neon.:_x000D_
profylaxe:_x000D_
or 2 mg/kg/dag in 1 dosis</t>
  </si>
  <si>
    <t>Dosis bij nierinsuff.: zie tabel blz ?_x000D_
Profylaxe bij recidiverende urineweg-infecties</t>
  </si>
  <si>
    <t>imipenem + cilastatine</t>
  </si>
  <si>
    <t>&lt; 40 kg: iv 60/60 mg/kg/dag in 4 doses, max 2/2 g/dag_x000D_
&gt; 40 kg: iv 4 dd 500/500 mg,_x000D_
max 4/4 g/dag</t>
  </si>
  <si>
    <t>Voorzichtigheid is geboden bij nierfunctiestoornis. Kan epilepsie-aanvallen veroorzaken bij patiënten die daarvoor gepredisponeerd zijn._x000D_
Dosis bij nierinsuff.: zie tabel blz ?</t>
  </si>
  <si>
    <t>methadon + metoclopramide (comb.prep.)</t>
  </si>
  <si>
    <t>bij chronische pijn: _x000D_
or 3-6 dd 0,1-0,4 mg/kg/keer</t>
  </si>
  <si>
    <t>zidovudine</t>
  </si>
  <si>
    <t>isoprenaline</t>
  </si>
  <si>
    <t xml:space="preserve">microg/ml      </t>
  </si>
  <si>
    <t xml:space="preserve">microg/caps    </t>
  </si>
  <si>
    <t xml:space="preserve">drup fl 20 ml             </t>
  </si>
  <si>
    <t xml:space="preserve">drup fl             </t>
  </si>
  <si>
    <t xml:space="preserve">microg/dr      </t>
  </si>
  <si>
    <t xml:space="preserve">ANALGETICA morfinomimetica                        </t>
  </si>
  <si>
    <t xml:space="preserve">kauwtabl            </t>
  </si>
  <si>
    <t xml:space="preserve">TRACTUS RESPIRATORIUS antihistaminica                                                               </t>
  </si>
  <si>
    <t xml:space="preserve">drup vl 30 ml             </t>
  </si>
  <si>
    <t xml:space="preserve">drup vl             </t>
  </si>
  <si>
    <t xml:space="preserve">mg/dr          </t>
  </si>
  <si>
    <t>=ber_Med_disc!$K$2</t>
  </si>
  <si>
    <t>iv/im</t>
  </si>
  <si>
    <t>chloorhexidine</t>
  </si>
  <si>
    <t>naproxen</t>
  </si>
  <si>
    <t>pethidine</t>
  </si>
  <si>
    <t>fenobarbital</t>
  </si>
  <si>
    <t>isofluraan</t>
  </si>
  <si>
    <t>iv dosering bij metabole acidose berekenen m.b.v. base defecit en lichaamsgewicht</t>
  </si>
  <si>
    <t>1,4%: 0,17 mmol/ml Na en bicarb._x000D_
4,2%: 0,5  mmol/ml    ,,_x000D_
8,4%: 1    mmol/ml    ,,_x000D_
_x000D_
tabl bevat 6 mmol Na en bicarb.</t>
  </si>
  <si>
    <t>natriumcitraat</t>
  </si>
  <si>
    <t>Wordt op aanvraag bereid.</t>
  </si>
  <si>
    <t xml:space="preserve">BLOED haemostatica                                                                                                                                                                                                                                             </t>
  </si>
  <si>
    <t xml:space="preserve">ANESTHETICA voor inhalatie                        </t>
  </si>
  <si>
    <t xml:space="preserve">inh vl 100 ml             </t>
  </si>
  <si>
    <t>deficiëntie: im:_x000D_
1-5 kg: 1 mg_x000D_
5-10 kg: 2 mg_x000D_
10-20 kg: 4 mg_x000D_
20-30 kg: 5 mg_x000D_
_x000D_
Neon.: profylaxe postpartum:_x000D_
à terme: im/iv 1 mg_x000D_
prematuur: im/iv 0,5 mg postpartum_x000D_
_x000D_
cumarine-intoxicatie:_x000D_
iv: 1-10 mg, op geleide protrombinetijd (in 20 min infunderen)</t>
  </si>
  <si>
    <t>&gt; 6 jr: or 1 dragee/dag_x000D_
_x000D_
bij cystic fibrosis: or 2 dragees/dag</t>
  </si>
  <si>
    <t>Bevat per dragee: Vit A 1000 IE, Vit D3   400 IE, B1,B2, B6, B12, nicotinamid, biotine, Ca-pantothenaat, PABA, Vit C, rutine en Fe, Ca, K, Mg, Cu, Zn, Mn, J, Mb, F, Ni, Se.</t>
  </si>
  <si>
    <t>1-6 jr: or 8-14 dr/dag in 1 dosis_x000D_
&gt; 6 jr: or 14-22 dr/dag in 1 dosis</t>
  </si>
  <si>
    <t>MedToed_5</t>
  </si>
  <si>
    <t>MedToed_6</t>
  </si>
  <si>
    <t>MedToed_7</t>
  </si>
  <si>
    <t>MedToed_8</t>
  </si>
  <si>
    <t>InstMedIVStand_1</t>
  </si>
  <si>
    <t>InstMedIVStand_10</t>
  </si>
  <si>
    <t>InstMedIVStand_11</t>
  </si>
  <si>
    <t>InstMedIVStand_12</t>
  </si>
  <si>
    <t>InstMedIVStand_13</t>
  </si>
  <si>
    <t>InstMedIVStand_2</t>
  </si>
  <si>
    <t>InstMedIVStand_3</t>
  </si>
  <si>
    <t>Tabel medicijn verdeelsysteem</t>
  </si>
  <si>
    <t>1 dd</t>
  </si>
  <si>
    <t>2 dd</t>
  </si>
  <si>
    <t>3 dd</t>
  </si>
  <si>
    <t>4 dd</t>
  </si>
  <si>
    <t>polyvidon</t>
  </si>
  <si>
    <t>oog: 4-5 dd 2 dr</t>
  </si>
  <si>
    <t xml:space="preserve">Tweede keus na methylcellulose-oogdr. </t>
  </si>
  <si>
    <t>natriumfosfaat</t>
  </si>
  <si>
    <t>retinol acetaat</t>
  </si>
  <si>
    <t>Zetpil voor lokale toepassing! Hydrocortison wordt rectaal wisselend geabsorbeerd.</t>
  </si>
  <si>
    <t>gastrostoma</t>
  </si>
  <si>
    <t>echo buik</t>
  </si>
  <si>
    <t>echo hart</t>
  </si>
  <si>
    <t>opname kweken</t>
  </si>
  <si>
    <t>RS-diagnostiek</t>
  </si>
  <si>
    <t>cuff bloeddruk alle ledematen, eenmalig</t>
  </si>
  <si>
    <t>peritoneaal drain</t>
  </si>
  <si>
    <t>pacemakerdraden</t>
  </si>
  <si>
    <t>CT scan</t>
  </si>
  <si>
    <t>MRI</t>
  </si>
  <si>
    <t>faeceskweek</t>
  </si>
  <si>
    <t>faeces rota/adeno</t>
  </si>
  <si>
    <t>keelkweek</t>
  </si>
  <si>
    <t>uitzuigkweek</t>
  </si>
  <si>
    <t>urine natrium/kalium</t>
  </si>
  <si>
    <t>pupilcontroles:</t>
  </si>
  <si>
    <t>GCS:</t>
  </si>
  <si>
    <t>cuff bloeddruk:</t>
  </si>
  <si>
    <t>maagretentie:</t>
  </si>
  <si>
    <t>redon drain</t>
  </si>
  <si>
    <t>maagsonde open en hoog</t>
  </si>
  <si>
    <t>bloed kweek</t>
  </si>
  <si>
    <t>catheter a demeure</t>
  </si>
  <si>
    <t>thorax drain, -10 cmH2O</t>
  </si>
  <si>
    <t>Extravasatie: direct ijscompressen aanbrengen (min. 6 uur). Gedurende 1 week dit 4x daags herhalen gedurende 20 minuten. In ernstige gevallen kan wondexcisie nodig zijn._x000D_
Urine kan rood verkleuren.</t>
  </si>
  <si>
    <t>intravesicaal 3-4 dd 5 mg</t>
  </si>
  <si>
    <t>prednisolon</t>
  </si>
  <si>
    <t>ANTIMICROBIËLE MIDDELEN antivirusmiddelen</t>
  </si>
  <si>
    <t>SSTGlucose_2</t>
  </si>
  <si>
    <t>tblGroep</t>
  </si>
  <si>
    <t>=dbForm!$B$2:$B$1016</t>
  </si>
  <si>
    <t>tblHFO</t>
  </si>
  <si>
    <t>=ber_Med_disc!$T$13</t>
  </si>
  <si>
    <t>RecNo_13</t>
  </si>
  <si>
    <t>=ber_Med_disc!$T$14</t>
  </si>
  <si>
    <t>RecNo_14</t>
  </si>
  <si>
    <t>=ber_Med_disc!$T$15</t>
  </si>
  <si>
    <t>RecNo_15</t>
  </si>
  <si>
    <t>=ber_Med_disc!$T$16</t>
  </si>
  <si>
    <t>RecNo_16</t>
  </si>
  <si>
    <t>=ber_Med_disc!$T$17</t>
  </si>
  <si>
    <t>=ber_Med_disc!$E$3</t>
  </si>
  <si>
    <t>=ber_Med_disc!$E$21</t>
  </si>
  <si>
    <t>=ber_Med_disc!$E$4</t>
  </si>
  <si>
    <t>=ber_Med_disc!$E$5</t>
  </si>
  <si>
    <t>=ber_Med_disc!$E$6</t>
  </si>
  <si>
    <t>=ber_Med_disc!$E$7</t>
  </si>
  <si>
    <t>=ber_Med_disc!$E$8</t>
  </si>
  <si>
    <t>=ber_Med_disc!$E$9</t>
  </si>
  <si>
    <t>protireline</t>
  </si>
  <si>
    <t>als diagnosticum: iv 200 microg</t>
  </si>
  <si>
    <t>pyrazinamide</t>
  </si>
  <si>
    <t>colecalciferol</t>
  </si>
  <si>
    <t>=ber_Med_disc!$F$5</t>
  </si>
  <si>
    <t>=ber_Med_disc!$F$6</t>
  </si>
  <si>
    <t>=ber_Med_disc!$F$7</t>
  </si>
  <si>
    <t>remifentanil</t>
  </si>
  <si>
    <t>CVL lijn lumen I: SST 1</t>
  </si>
  <si>
    <t>CVL lijn lumen I: SST 2</t>
  </si>
  <si>
    <t>Werking begint na ca. 5-10 min. en houdt ongeveer 6 uur aan._x000D_
_x000D_
De inhalatievloeistof in unit-dose is vrij van conservans.</t>
  </si>
  <si>
    <t>&gt; 7 jr: inhalatie zonodig, max 8 dd 40-80 microg</t>
  </si>
  <si>
    <t>opladen iv: _x000D_
&lt; 3 mnd: 0,05 mg/kg in 60 min_x000D_
&gt; 3 mnd: 0,1 mg/kg in 5-10 min_x000D_
_x000D_
continu iv onderhoud: _x000D_
&lt; 3 mnd: 0,125-0,25 mg/kg/dag_x000D_
&gt; 3 mnd: 0,25 mg/kg/dag _x000D_
onvoldoende effect: uurdosis als bolusinjectie, stapsgewijs ophogen _x000D_
_x000D_
Neon.: postoperatieve pijn:_x000D_
continu iv 0,25 mg/kg/dag, evt ophogen</t>
  </si>
  <si>
    <t>inductie iv 3-7 mg/kg _x000D_
_x000D_
high-dose iv:_x000D_
snelheid op geleide bloeddruk _x000D_
inductie: 10 mg/kg in 10 min_x000D_
opladen: 20 mg/kg in 60 min_x000D_
onderhoud 70 mg/kg in 24 uur, op geleide van EEG en/of intracraniële druk en plasmaconcentratie verhogen_x000D_
_x000D_
NB: een alternatief high-dose oplaadschema is in onderzoek</t>
  </si>
  <si>
    <t>Synoniem: Mesna._x000D_
Bij gebruik van oxazafosforinen (cyclofosfamide, ifosfamide). Bij doseringen Mesna groter dan 80 mg/kg/keer kunnen gastro-intestinale bijwerkingen optreden._x000D_
Cave overgevoeligheidsreacties.</t>
  </si>
  <si>
    <t>kinderen die voorheen al or valproaat kregen: iv zelfde dosis als or_x000D_
overige kinderen: 20-30 mg/kg/dag, max 2,5 g/dag</t>
  </si>
  <si>
    <t>rectale dosis = orale dosis</t>
  </si>
  <si>
    <t>status epilepticus:_x000D_
iv 0,25 mg/kg, evt 3 maal herhalen_x000D_
bij snel repeterende convulsies (dreigende status epilepticus):_x000D_
continu iv (IC/ onder bewaking): doseren op geleide van effect</t>
  </si>
  <si>
    <t>KCl 7,4 % (1 mmol/ml)</t>
  </si>
  <si>
    <t>Samenstelling B (z.o.z.)</t>
  </si>
  <si>
    <t>Glucose 12,5%</t>
  </si>
  <si>
    <t>KCl  (7,4%) (1 mmol/ml)</t>
  </si>
  <si>
    <t>Gluc / zout ¾ - ¼ (7,5%  gluc / 0,225 % Na 38 mmol/l)</t>
  </si>
  <si>
    <t>2 ml</t>
  </si>
  <si>
    <t>Samenstelling C (z.o.z.)</t>
  </si>
  <si>
    <t>20 ml</t>
  </si>
  <si>
    <t>80-65 ml</t>
  </si>
  <si>
    <t>65-50 ml</t>
  </si>
  <si>
    <t>Glucose 30% (7 – 10 kg)</t>
  </si>
  <si>
    <t>55 ml</t>
  </si>
  <si>
    <t>Glucose 30% (11 – 15 kg)</t>
  </si>
  <si>
    <t>40 ml</t>
  </si>
  <si>
    <t>Samenstelling D (z.o.z.)</t>
  </si>
  <si>
    <t>als diagnosticum: iv 100 microg</t>
  </si>
  <si>
    <t>MedIVMlSpuit_5</t>
  </si>
  <si>
    <t>MedOpl_8</t>
  </si>
  <si>
    <t>MedOpl_9</t>
  </si>
  <si>
    <t>MedOplVol_1</t>
  </si>
  <si>
    <t>MedOplVol_10</t>
  </si>
  <si>
    <t>MedOplVol_11</t>
  </si>
  <si>
    <t>MedOplVol_12</t>
  </si>
  <si>
    <t>MedIVMlSpuit_12</t>
  </si>
  <si>
    <t>MedIVMlSpuit_13</t>
  </si>
  <si>
    <t>Niet geregistreerd bij kinderen._x000D_
T1/2 = 2-3 dagen. Lipofiel. Voedsel vergroot opname met factor 2-3. Lagere absorptie bij kinderen &lt; 2 jaar.</t>
  </si>
  <si>
    <t xml:space="preserve">Dosis  bij nierinsuff.: zie tablel blz ?_x000D_
HSV = Herpes Simplex Virus_x000D_
VZV = Varicella Zoster Virus_x000D_
_x000D_
</t>
  </si>
  <si>
    <t>or herpes simplex:_x000D_
&lt; 2 jr: 500 mg/dag in 5 doses_x000D_
&gt; 2 jr: 1000 mg/dag in 5 doses</t>
  </si>
  <si>
    <t>risetime 5%</t>
  </si>
  <si>
    <t>drukbegrenzing 30 cmH2O</t>
  </si>
  <si>
    <t>mcg/kg/min</t>
  </si>
  <si>
    <t>nanog/kg/min</t>
  </si>
  <si>
    <t>doxapram</t>
  </si>
  <si>
    <t>trometamol</t>
  </si>
  <si>
    <t>tropicamide</t>
  </si>
  <si>
    <t>DIAGNOSTICA immuniteitsreacties</t>
  </si>
  <si>
    <t>tuberculine</t>
  </si>
  <si>
    <t>Start datum</t>
  </si>
  <si>
    <t>Jaren</t>
  </si>
  <si>
    <t>Maanden</t>
  </si>
  <si>
    <t>MedInloop_3</t>
  </si>
  <si>
    <t>im/sc/iv</t>
  </si>
  <si>
    <t>max 3 mg/kg/keer</t>
  </si>
  <si>
    <t>Alleen voor gebruik KNO. Voor verdoving van de neus, trachea en van de stembanden. Middellang werkend lokaalanestheticum van het amide-type. Licht vaatverwijdend.</t>
  </si>
  <si>
    <t>fenytoïne</t>
  </si>
  <si>
    <t>nifedipine</t>
  </si>
  <si>
    <t>Diurese compenseren om de 1 uur met FZ</t>
  </si>
  <si>
    <t>Diurese compenseren om de 1 uur met gluc/zout 1/2-1/2</t>
  </si>
  <si>
    <t>Diurese compenseren om de 1 uur met gluc/zout 2/3-1/3</t>
  </si>
  <si>
    <t>iv &gt; 1 jr: 1-2 mg/kg/keer, 3-4 dd_x000D_
&gt; 14 jr: 50-100 mg/keer, 3-4 dd, max 400 mg/dag</t>
  </si>
  <si>
    <t>bij pijn:_x000D_
rect 3 mg/kg/dag in 3 doses, eerste gift dubbele dosis, max 200 mg/dag</t>
  </si>
  <si>
    <t>J.I.A.: or 25-40 mg/kg/dag in 3-4 doses max 2,4 g/dag</t>
  </si>
  <si>
    <t xml:space="preserve">BLOED ijzerverbindingen                                                                                                                                                                                                                                        </t>
  </si>
  <si>
    <t xml:space="preserve">suspensie 200 ml             </t>
  </si>
  <si>
    <t>Dampvormig anestheticum geschikt voor snelle inductie (zeker bij kinderen). Irriteert de luchtwegen niet. De hartfrequentie en bloeddruk worden minder geremd dan met halothaan. Kostbaar.</t>
  </si>
  <si>
    <t>4-dimethyl-aminofenol</t>
  </si>
  <si>
    <t xml:space="preserve">cyanidevergiftiging:_x000D_
iv 3 mg/kg; zonodig herhalen op geleide methemoglobineconcentratie_x000D_
na toediening onmiddellijk natrium-thiosulfaat toedienen via dezelfde naald, om cyanide-ion om te zetten in thiocyanaat_x000D_
</t>
  </si>
  <si>
    <t>iv bij delier indien haloperidol gecontraïndiceerd is, of evt. als adjuvans. Snelle inductie van afhankelijkheid. Sterke amnesie. T1/2 = 8-24 uur._x000D_
_x000D_
_x000D_
Oraal slechte keus. Alleen bij afbouwen van IC-medicatie. Cave bijwerkingen.</t>
  </si>
  <si>
    <t>orale dosis afhankelijk van voorheen gebruikte  IC-medicatie, afbouwen op geleide kliniek</t>
  </si>
  <si>
    <t>CaCl2 3,3% (0,225 mmol/ml)</t>
  </si>
  <si>
    <t>MgCl2 10% (0,5 mmol/ml)</t>
  </si>
  <si>
    <t xml:space="preserve">penvulling 3 ml             </t>
  </si>
  <si>
    <t xml:space="preserve">penvulling          </t>
  </si>
  <si>
    <t xml:space="preserve">im/sc          </t>
  </si>
  <si>
    <t>10% =  100 g aminozuren per liter_x000D_
1 g aminozuren komt overeen met 0,8 g eiwit.</t>
  </si>
  <si>
    <t>codeïne</t>
  </si>
  <si>
    <t>bij chronische pijn: or:_x000D_
0,5 mg/kg/keer tot 6 dd, dosering opbouwen, max 240 mg/dag_x000D_
_x000D_
bij hoest: or: _x000D_
2-6 jr: 1 mg/kg/dag in 4 doses_x000D_
6-12 jr: 5 mg/keer, max 4 dd_x000D_
&gt; 12 jr: 10 mg/keer, max 4 dd</t>
  </si>
  <si>
    <t>tijdens anesthesie iv 1-5 microg/kg</t>
  </si>
  <si>
    <t>Zuurstof</t>
  </si>
  <si>
    <t>Haemophilus influenzae b vaccin</t>
  </si>
  <si>
    <t>O2_</t>
  </si>
  <si>
    <t>StartDatum_1</t>
  </si>
  <si>
    <t>StartDatum_10</t>
  </si>
  <si>
    <t>StartDatum_11</t>
  </si>
  <si>
    <t>StartDatum_12</t>
  </si>
  <si>
    <t>synechiae labia minora:_x000D_
2 dd dun aanbrengen gedurende 2 weken</t>
  </si>
  <si>
    <t>uitstel van menstruatie:_x000D_
5 mg/dag in 1 dosis bij voorkeur te beginnen 2 weken voor de verwachte menstruatie; indien minder dan 1 week 10 mg in 1-2 doses en dan slikken totdat de menstruatie wel mag komen</t>
  </si>
  <si>
    <t>hevige abnormale uterusbloedingen:_x000D_
25 mg iv/im, bij voorkeur langzaam iv toedienen</t>
  </si>
  <si>
    <t>bij doorbraakbloedingen, menstruatiestoornissen en uitstel menstruatie:_x000D_
1-2 dd 5 mg, afhankelijk van de indicatie</t>
  </si>
  <si>
    <t>Mengsels van testosteron-esters.</t>
  </si>
  <si>
    <t>Combinatie met adrenaline gecontraïndiceerd bij anatomische eindarterieën. Bevat fenol, cave intraveneuze toediening.</t>
  </si>
  <si>
    <t>Synthetisch corticotrofine analoog (ACTH 1-24) non-depot. Toepassing bij syndroom van West. Het depot-preparaat geeft veel bijwerkingen: niet in WKZ-assortiment._x000D_
Een week na staken ochtend cortisol in plasma bepalen.</t>
  </si>
  <si>
    <t>rectaal 125 mg = oraal 100 mg</t>
  </si>
  <si>
    <t>topiramaat</t>
  </si>
  <si>
    <t>CMV: aanvangstherapie: iv 180 mg/kg/dag in 3 doses gedurende 2-3 weken,_x000D_
vervolgtherapie: iv 90-120 mg/kg/dag in 1 dosis</t>
  </si>
  <si>
    <t>heparine-overdosering: iv dosering berekenen op hoeveelheid heparine die de laatste 2 uur voor toediening protamine gegeven is, resultaat beoordelen op APTT, na ong. 3 uur kan de heparine toediening in aangepaste dosering worden hervat</t>
  </si>
  <si>
    <t>1 mg protamine neutraliseert ong. 100 IE iv heparine en ong. 200 IE sc heparine.</t>
  </si>
  <si>
    <t>Keratolytisch. Conserv. sorbinezuur. Bij lichtere vormen van acne vulgaris. Met lage concentratie starten._x000D_
Cave salicylzuurintoxicatie en verkleuring van blond haar.</t>
  </si>
  <si>
    <t>Dosering wordt verder getitreerd op vetresorptie-coëfficiënt en klachtenpatroon._x000D_
Maagsapresistente capsule bevat:_x000D_
lipase     10.000 FIP-E_x000D_
amylase  8000   FIP-E_x000D_
protease   600   FIP-E</t>
  </si>
  <si>
    <t>&gt; 10 jr: or 1-2 caps bij hoofdmaaltijden, max 10.000 FIP-E lipase/kg/dag met een maximum van 300.000 FIP-E per dag</t>
  </si>
  <si>
    <t>Dosering wordt verder getitreerd op vetresorptie-coëfficiënt en klachtenpatroon._x000D_
Maagsapresistente capsule bevat:_x000D_
lipase     25.000 FIP-E_x000D_
amylase  18.000 FIP-E_x000D_
protease   1000  FIP-E</t>
  </si>
  <si>
    <t>tilactase</t>
  </si>
  <si>
    <t xml:space="preserve">huid: meermalen per dag.                                                                                                                                                                                                                                                                                                                                                                                                                                                                                                                                                                                                                                                                                                                                                                                                                                                                                                                                                                                                                                                                                                                                                                                                                                                                                                                                                                                                                                                                                                                                                                                                                                                                                                                                                                                                                                                                                                                                                                                                                                                                                                               </t>
  </si>
  <si>
    <t xml:space="preserve">huid: meermalen per dag                                                                                                                                                                                                                                                                                                                                                                                                                                                                                                                                                                                                                                                                                                                                                                                                                                                                                                                                                                                                                                                                                                                                                                                                                                                                                                                                                                                                                                                                                                                                                                                                                                                                                                                                                                                                                                                                                                                                                                                                                                                                                                                </t>
  </si>
  <si>
    <t xml:space="preserve">Bij sommige ventriculaire tachycardieën met name die geassociëerd worden met een verlengde QT-tijd, al of niet geneesmiddel geïnduceerd._x000D_
1 ml = 500 mg magnesiumsulfaat = 2 mmol Mg._x000D_
Niet onverdund toedienen. _x000D_
Minimaal 1 op 5 verdunnen met fysiologisch zout of glucose._x000D_
</t>
  </si>
  <si>
    <t>Bij verminderde lever- of nierfunctie dosering verlagen._x000D_
Heeft tevens ß-blokkerend en Ca-antagonistisch effect. Alleen toepassen bij ernstige therapie-resistente ventriculaire aritmieën. Instellen onder ECG-bewaking en bloeddrukcontrole._x000D_
Oraal bij voorkeur innemen ná de maaltijd. Biol. beschikb. 12-50%.</t>
  </si>
  <si>
    <t>Intraveneus alleen bij lidocaïne-resistentie,  ECG controleren. T1/2 = 11-14 uur._x000D_
Werkt ook negatief inotroop en aritmogeen._x000D_
Bijw.: hypotensie, tintelende vingers, visusklachten._x000D_
Dosering aanpassen bij lever- of nierfunctiestoornis._x000D_
Niet toepassen na hartinfarct (tenzij aritmie levensbedreigend is).</t>
  </si>
  <si>
    <t>Inutest (polyfructosan)</t>
  </si>
  <si>
    <t>Isoniazidum (isoniazide)</t>
  </si>
  <si>
    <t>Isoptin (verapamil)</t>
  </si>
  <si>
    <t>Isovist 240 (iotrolan)</t>
  </si>
  <si>
    <t>Jodiumtinctuur 1% (jood)</t>
  </si>
  <si>
    <t>Jooddruppels Solutio Lugoli Forte (comb.prep) (kaliumjodide)</t>
  </si>
  <si>
    <t>Kaletra (comb.prep) (lopinavir + ritonavir)</t>
  </si>
  <si>
    <t>Kaliumchloride ampul (kaliumchloride)</t>
  </si>
  <si>
    <t>Kaliumchloride drank (kaliumchloride)</t>
  </si>
  <si>
    <t>Kaliumcitraat drank (kaliumcitraat)</t>
  </si>
  <si>
    <t>kaliumfosfaat drank WKZ (comb.prep.) (kaliumfosfaat drank WKZ)</t>
  </si>
  <si>
    <t>kalium-natrium-fosfaat (comb.prep.) (kalium-natrium-fosfaat)</t>
  </si>
  <si>
    <t>Kenacort A (triamcinolon-acetonide)</t>
  </si>
  <si>
    <t>Kenacort A in orabase (triamcinolonacetonide)</t>
  </si>
  <si>
    <t>Kerulac (tilactase)</t>
  </si>
  <si>
    <t>Ketanest S (esketamine)</t>
  </si>
  <si>
    <t>Ketensin (ketanserine)</t>
  </si>
  <si>
    <t>Klacid (claritromycine)</t>
  </si>
  <si>
    <t>Klean prep (klean prep (comb.prep.))</t>
  </si>
  <si>
    <t>Klyx (docusinezuur)</t>
  </si>
  <si>
    <t>Konakion mixed micelles (fytomenadion)</t>
  </si>
  <si>
    <t>Lactulose Duphalac (lactulose)</t>
  </si>
  <si>
    <t>Lamictal (lamotrigine)</t>
  </si>
  <si>
    <t>Lamisil (terbinafine)</t>
  </si>
  <si>
    <t>Lanettecreme I FNA (lanettewas)</t>
  </si>
  <si>
    <t>Lanettecreme II FNA (lanettewas)</t>
  </si>
  <si>
    <t>Lanvis (tioguanine)</t>
  </si>
  <si>
    <t>L-Arginine (arginine)</t>
  </si>
  <si>
    <t>Lasix (furosemide)</t>
  </si>
  <si>
    <t>Legendal (lactulose)</t>
  </si>
  <si>
    <t>Leucomax GM-CSF (molgramostim)</t>
  </si>
  <si>
    <t xml:space="preserve">Biologische beschikb. is 30-40%._x000D_
Niet samen met cisapride, terfenadine.                                                                                                                                                                                                                                                                                                                                                                                                                                                                                                                                                                                                                                                                                                                                                                                                                                                                                                                                                                                        </t>
  </si>
  <si>
    <t>ß1-en ß2-blokkeerder (t1/2 = 10 uur)._x000D_
Intraveneus voor conversie aritmieën onder IC bewaking. Controle van QT-interval. Contra-indicatie: verlengd QT-interval._x000D_
Verlengt tevens repolarisatie (klasse III eigenschap). Uitsluitend als antiarrhythmicum bij ventriculaire en supra-ventriculaire tachycardieën._x000D_
Tweede keus na digoxine.</t>
  </si>
  <si>
    <t>a- en ß-blokkeerder._x000D_
Bij hypertensieve crisis._x000D_
Intraveneus  onder OK/IC-bewaking. Werking houdt ong. 6-18 uur aan na einde infusie. Toepassing bij feochromocytoom en clonidine onttrekkingssyndroom._x000D_
Bijw.: bronchospasme, hypoglycemie bij jonge kinderen. Niet geven bij perifere doorbloedingsstoornissen.</t>
  </si>
  <si>
    <t>insuline afhankelijke diabetes mellitus: sc dosering op geleide bloedsuikers, in overleg met endocrinoloog_x000D_
_x000D_
acute diabetische keto-acidose:_x000D_
veelal continue iv toediening noodzakelijk, doserings- en controleschema in overleg met endocrinoloog, continu iv vereist zeer nauwkeurige monitoring, dosis is gerelateerd aan de glucose (TPN) intake</t>
  </si>
  <si>
    <t>pulse-therapie: iv 10-15 mg/kg/dag in 1 dosis, max 1 g per dosis, in 30-60 min onder geleide van bloeddruk- en hartfrequentiemeting (monitor), bij orgaantranspl. gedurende 3 dagen, bij SLE, sJIA, ged. 1-3 dagen, zie de desbetreffende protocollen_x000D_
_x000D_
high-dose schema (nektrauma):_x000D_
opladen iv 30 mg/kg vervolgens 5,4 mg/kg/uur gedurende 23 uur</t>
  </si>
  <si>
    <t xml:space="preserve">Bij intoxicatie met cholinesterase-remmende stoffen (bij organische fosfaten, niet bij carbamaten). Combineren met atropine.                                                                                                                                                                                                                                                                                                                                                                                                                                                                                                                                                                                                                                                                                                                                                                                                                                                                                                                                    </t>
  </si>
  <si>
    <t>Fludara (fludarabine)</t>
  </si>
  <si>
    <t>Fludrocortison acetaat (fludrocortison)</t>
  </si>
  <si>
    <t>Fluimucil (acetylcysteïne)</t>
  </si>
  <si>
    <t>FML Liquifilm 0,1% (fluormetholon)</t>
  </si>
  <si>
    <t>Forene (isofluraan)</t>
  </si>
  <si>
    <t>Fortum (ceftazidim)</t>
  </si>
  <si>
    <t>Fosamax (alendroninezuur)</t>
  </si>
  <si>
    <t>Foscavir (foscarnet)</t>
  </si>
  <si>
    <t>Fosfaat klysma Colex (comb. prep.) (natriumfosfaat)</t>
  </si>
  <si>
    <t>fosfaatdrank AZU (comb.prep.) (fosfaatdrank AZU)</t>
  </si>
  <si>
    <t>Fragmin (dalteparine)</t>
  </si>
  <si>
    <t>Frisium (clobazam)</t>
  </si>
  <si>
    <t>Fucidin (fusidinezuur)</t>
  </si>
  <si>
    <t>Fucithalmic 1% (fusidinezuur)</t>
  </si>
  <si>
    <t>Fungizone (amfotericine B)</t>
  </si>
  <si>
    <t>Furadantine MC (nitrofurantoïne)</t>
  </si>
  <si>
    <t>Fys. zout (natriumchloride)</t>
  </si>
  <si>
    <t>G.P.O. (Plasma-eiwitoplossing, gepasteuriseerd)</t>
  </si>
  <si>
    <t>Garacol spons (gentamicine)</t>
  </si>
  <si>
    <t>Gaviscon (gaviscon (comb.prep.))</t>
  </si>
  <si>
    <t>Gelofusine 4% (gelatine, gemodificeerd)</t>
  </si>
  <si>
    <t>Gentamytrex 0,3% (gentamicine)</t>
  </si>
  <si>
    <t>Gerodyl (D-penicillamine)</t>
  </si>
  <si>
    <t>Globenicol (chlooramfenicol)</t>
  </si>
  <si>
    <t>Glucagen (glucagon)</t>
  </si>
  <si>
    <t>Glucose voor gtt (glucose)</t>
  </si>
  <si>
    <t>Haldol (haloperidol)</t>
  </si>
  <si>
    <t>Havrix (hepatitis A-vaccin)</t>
  </si>
  <si>
    <t>HB-Vax-DNA (recombinant) (hepatitis B-vaccin)</t>
  </si>
  <si>
    <t>Heparine (heparine natrium)</t>
  </si>
  <si>
    <t>Heparine flush/slot (heparine natrium)</t>
  </si>
  <si>
    <t>Hepariniseren (heparine natrium)</t>
  </si>
  <si>
    <t>HIB-conjugaat RIVM (Haemophilus influenzae b vaccin)</t>
  </si>
  <si>
    <t>Hibicet 1:100 (comb. prep.) (chloorhexidine)</t>
  </si>
  <si>
    <t>Hibiscrub (chloorhexidine)</t>
  </si>
  <si>
    <t>Hibitane (chloorhexidine)</t>
  </si>
  <si>
    <t>Holoxan (ifosfamide)</t>
  </si>
  <si>
    <t>Humalog (insuline lispro)</t>
  </si>
  <si>
    <t>Humatin (paromomycine)</t>
  </si>
  <si>
    <t>Hyason (hyaluronidase)</t>
  </si>
  <si>
    <t>Hydrocobamine (hydroxocobalamine)</t>
  </si>
  <si>
    <t>Hydrocortison hemi-succinaat (hydrocortison)</t>
  </si>
  <si>
    <t>Hydrocortison Na-succinaat (hydrocortison)</t>
  </si>
  <si>
    <t>Hydrocortisonum (hydrocortison)</t>
  </si>
  <si>
    <t>Hyperstat (diazoxide)</t>
  </si>
  <si>
    <t>Immunoglobuline I.M. (immunoglobuline intramusculair)</t>
  </si>
  <si>
    <t>Immunoglobuline I.V. (immunoglobuline intraveneus 6%)</t>
  </si>
  <si>
    <t>Imodium (loperamide)</t>
  </si>
  <si>
    <t>Importal (lactitol)</t>
  </si>
  <si>
    <t>Imuran (azathioprine)</t>
  </si>
  <si>
    <t>Inderal (propranolol)</t>
  </si>
  <si>
    <t>Indocid (indometacine)</t>
  </si>
  <si>
    <t>Indocid PDA (indometacine)</t>
  </si>
  <si>
    <t>Inopamil (ibopamine)</t>
  </si>
  <si>
    <t>Instillagel (lidocaïne)</t>
  </si>
  <si>
    <t>Insulatard HM (insuline isofaan)</t>
  </si>
  <si>
    <t>Intralipid 20% (sojaolie gefractioneerd)</t>
  </si>
  <si>
    <t>Intron A (interferon alfa)</t>
  </si>
  <si>
    <t xml:space="preserve">Effect vergelijkbaar met fentanyl. Werkt zeer kort, na staken houdt de werking 5-10 minuten aan.                                                                                                                                                                                                                                                                                                                                                                                                                                                                                                                                                                                                                                                                                                                                                                                                                                                                                                                                                                </t>
  </si>
  <si>
    <t xml:space="preserve">Wordt omgezet in salicylzuur.Ther. plasmaconcentratie salicylzuur: 150-250 mg/l (1,1-1,8 mmol/l), 2 uur na inname. Bij hoge dosis neemt de t½ toe tot circa 24 uur. Steady-state na 4-5 dagen._x000D_
Bijw.: lichte transaminase-stijging vaak passagère, oorsuizen. Bij systemische J.I.A. ernstige leverfunctiestoornissen._x000D_
Staken bij waterpokken en influenza._x000D_
Geen koolzuurhoudende dranken i.v.m. verhoogde uitscheiding in de urine._x000D_
</t>
  </si>
  <si>
    <t>Epivir 3TC (lamivudine)</t>
  </si>
  <si>
    <t>Erwinase (asparaginase)</t>
  </si>
  <si>
    <t>Erythrocine (lactobionaat) (erytromycine)</t>
  </si>
  <si>
    <t>Erythrocyne ES (ethylsuccinaat) (erytromycine)</t>
  </si>
  <si>
    <t>Esmeron (rocuronium)</t>
  </si>
  <si>
    <t>Estriol in cetomacrogol creme (estriol)</t>
  </si>
  <si>
    <t>Etalpha (alfacalcidol)</t>
  </si>
  <si>
    <t>Ethymal (ethosuximide)</t>
  </si>
  <si>
    <t>Etomidaat Lipuro (etomidaat)</t>
  </si>
  <si>
    <t>Eucerine met water aa (eucerine)</t>
  </si>
  <si>
    <t>Eusol (hypochloriet)</t>
  </si>
  <si>
    <t>Euthyrox (levothyroxine)</t>
  </si>
  <si>
    <t>Fasigyn (tinidazol)</t>
  </si>
  <si>
    <t>Fenistil (dimetindeen)</t>
  </si>
  <si>
    <t>Fenol + menthol in lotio alba (fenol + menthol)</t>
  </si>
  <si>
    <t>Fenylefrine 2,5% (fenylefrine)</t>
  </si>
  <si>
    <t xml:space="preserve">Eerste keus bij primair gegeneraliseerde en partiële aanvallen._x000D_
Korte t1/2 (8-15 uur), toch pas max. effect na 10-20 dagen._x000D_
Ther. plasmaconc.: 50-100 mg/l._x000D_
Bij aanvang soms maagdarmklachten._x000D_
Bij voorkeur maagsapresistente tabletten gebruiken, innemen tijdens maaltijd en niet met koolzuur-houdende dranken._x000D_
Soms invloed op haargroei, lichaams- gewicht en thrombocyten._x000D_
Bij polytherapie zelden (mogelijk fatale) leverafwijkingen: cave toename sufheid en aanvallen gedurende eerste 6 maanden._x000D_
Eerste teken overdosis tremor en sufheid._x000D_
Geen enzyminducerend effect.                                                                                                                                                                                                                                                                                                                                                                                                                                                                       </t>
  </si>
  <si>
    <t>Kan ademhalingsdepressie door barbituraten versterken._x000D_
Intraveneuze toediening onder bewaking._x000D_
Door snelle redistributie is vaak een tweede injectie nodig._x000D_
Na verdunnen is 8 mg/100 ml de maximale conc. Indien hogere conc. is gewenst, is Diazemuls geindïceerd. Diazemuls kan worden verdund met gluc 5% tot gewenste concentratie._x000D_
De antagonist flumazenil (Anexate) moet aanwezig zijn: iv 0,01 mg/kg, zonodig na 1 min herhalen.</t>
  </si>
  <si>
    <t>Niet-lineaire kinetiek: dosering met steeds kleinere stappen ophogen!_x000D_
Ther. plasmaconc.: 10-20 mg/l._x000D_
Niet-eiwitgebonden conc: 1-2 mg/l._x000D_
Enzyminducerend effect._x000D_
Concentratie afhankelijke bijw.: nystagmus, ataxie, sedatie._x000D_
Bijw. bij chronisch gebruik: huid-afwijkingen, tandvleeshyperplasie, kan cognitie verminderen. Eerste tekenen overdosis: ataxie, nystagmus, gedragsstooornissen._x000D_
Niet combineren met calcium houdende producten o.a. sondevoeding._x000D_
Cave slechte biol. beschikb. bij neonaten na orale toediening.</t>
  </si>
  <si>
    <t xml:space="preserve">Bij acne vulgaris met comedonen. Chemisch onverenigbaar met benzoylperoxide (evt. 's morgens en 's avonds alterneren). Cave verslechtering van klinisch beeld tijdens eerste weken, huidirritatie, verbranding door zonlicht. Mogelijk teratogeen; cutane toepassing tijdens zwangershap wordt ontraden. Cave expostitie aan zonlicht.                                                                                                                                                                                                                                                                                                                                                                                                                                                                                                                                                                                                                                                                                                                          </t>
  </si>
  <si>
    <t>1/2 - 1/2 2,5% gluc. / 0,45% zout (glucose/zout)</t>
  </si>
  <si>
    <t>2/3 - 1/3 3,3% gluc. / 0,3% zout (glucose/zout)</t>
  </si>
  <si>
    <t>3/4 - 1/4 7,5% gluc. / 0,23% zout (glucose/zout)</t>
  </si>
  <si>
    <t>4-DMAP (4-dimethyl-aminofenol)</t>
  </si>
  <si>
    <t>Acetylcysteine (acetylcysteïne)</t>
  </si>
  <si>
    <t>Aciclovir iv (aciclovir)</t>
  </si>
  <si>
    <t>Aciclovir or (aciclovir)</t>
  </si>
  <si>
    <t>Acid A vit (tretinoine)</t>
  </si>
  <si>
    <t>Acidum ascorbicum (ascorbinezuur)</t>
  </si>
  <si>
    <t xml:space="preserve">Bij stafylococcen (inclusief MRSA) en streptococcen infecties._x000D_
Neuszalf als profylaxe bij MRSA.                                                                                                                                                                                                                                                                                                                                                                                                                                                                                                                                                                                                                                                                                                                                                                                                                                                                                                                                                                </t>
  </si>
  <si>
    <t>Ultravist 300 (jopromide)</t>
  </si>
  <si>
    <t>Urografin (amidotrizoïnezuur)</t>
  </si>
  <si>
    <t>Uromitexan (mercaptoethaan-sulfonzuur)</t>
  </si>
  <si>
    <t>urotainer fys.zout (urotainer fys.zout  )</t>
  </si>
  <si>
    <t>Ursochol (ursodeoxycholzuur)</t>
  </si>
  <si>
    <t>Valium (diazepam)</t>
  </si>
  <si>
    <t>Vancocin (vancomycine)</t>
  </si>
  <si>
    <t>Varicella zoster immunoglobuline CLB (varicella zoster)</t>
  </si>
  <si>
    <t>Vaseline met dun-vloeibare paraffine aa (vaseline)</t>
  </si>
  <si>
    <t>Vaseline wit (vaseline)</t>
  </si>
  <si>
    <t>Vaseline-cetomacrogolcreme FNA (cetomacrogolwas)</t>
  </si>
  <si>
    <t>vecuronium (vecuronium )</t>
  </si>
  <si>
    <t>Velbe (vinblastine)</t>
  </si>
  <si>
    <t>Venofer (ijzer(III)saccharaat)</t>
  </si>
  <si>
    <t>Ventolin aërosol (salbutamol)</t>
  </si>
  <si>
    <t>Ventolin diskus (salbutamol)</t>
  </si>
  <si>
    <t>Ventolin drank (salbutamol)</t>
  </si>
  <si>
    <t>Ventolin inhalatievloeistof (salbutamol)</t>
  </si>
  <si>
    <t>Ventolin iv (salbutamol)</t>
  </si>
  <si>
    <t>Ventolin rotadisk (salbutamol)</t>
  </si>
  <si>
    <t>Vepesid (etoposide)</t>
  </si>
  <si>
    <t>Vermox (mebendazol)</t>
  </si>
  <si>
    <t>Vfend (voriconazol)</t>
  </si>
  <si>
    <t>Videx DDI (didanosine)</t>
  </si>
  <si>
    <t>Vidisic (carbomeer)</t>
  </si>
  <si>
    <t>Viracept (nelfinavir)</t>
  </si>
  <si>
    <t>Viramune (nevirapine)</t>
  </si>
  <si>
    <t>Virazole (ribavirine)</t>
  </si>
  <si>
    <t>Vistide (cidofovir)</t>
  </si>
  <si>
    <t>Vit B2 (riboflavine)</t>
  </si>
  <si>
    <t>Vit B3 (nicotinamide)</t>
  </si>
  <si>
    <t>Vit B6 (pyridoxine)</t>
  </si>
  <si>
    <t>Vitamine A aquosum FNA (retinol acetaat)</t>
  </si>
  <si>
    <t>Vitamine B complex (vitamine B-complex)</t>
  </si>
  <si>
    <t>Vitamine E TPGS (tocoferolacet. dl-a)</t>
  </si>
  <si>
    <t>Vitamine K conc. (fytomenadion)</t>
  </si>
  <si>
    <t>Vitintra infant (vitamine A/D/E/K)</t>
  </si>
  <si>
    <t>Volcolon suikervrij (plantago ovata)</t>
  </si>
  <si>
    <t>Voltaren (diclofenac)</t>
  </si>
  <si>
    <t>Vumon (teniposide)</t>
  </si>
  <si>
    <t>Wellvone (atovaquon)</t>
  </si>
  <si>
    <t>Xpraep (sennosiden a b)</t>
  </si>
  <si>
    <t>Xylocaïne 10% spray (lidocaïne)</t>
  </si>
  <si>
    <t>Xylocaïne 2% + adrenaline 1:80.000 (lidocaïne)</t>
  </si>
  <si>
    <t>Xylocaïne 2% visceus (lidocaïne)</t>
  </si>
  <si>
    <t>Xylocaïne 5% zalf (lidocaïne)</t>
  </si>
  <si>
    <t>Xylometazoline 0,05% (xylometazoline)</t>
  </si>
  <si>
    <t>Xylometazoline 0,1% (xylometazoline)</t>
  </si>
  <si>
    <t>Zaditen (ketotifen)</t>
  </si>
  <si>
    <t>Zantac (ranitidine)</t>
  </si>
  <si>
    <t>Zavedos (idarubicine)</t>
  </si>
  <si>
    <t>Zelitrex (valaciclovir)</t>
  </si>
  <si>
    <t>Zerit d4T (stavudine)</t>
  </si>
  <si>
    <t>Ziagen (abacavir)</t>
  </si>
  <si>
    <t>Zinkolie AZU (zinkoxide)</t>
  </si>
  <si>
    <t>Zinkoxidepasta FNA (zinkoxide)</t>
  </si>
  <si>
    <t>zinksulfaat 0,25% (zinksulfaat)</t>
  </si>
  <si>
    <t>Zinksulfaat ampul (zinksulfaat)</t>
  </si>
  <si>
    <t>Zinksulfaat FNA drank (zinksulfaat)</t>
  </si>
  <si>
    <t>Zinkzalf FNA (zinkoxide)</t>
  </si>
  <si>
    <t>Zinnat (cefuroximaxetil)</t>
  </si>
  <si>
    <t>Zithromax (azitromycine)</t>
  </si>
  <si>
    <t xml:space="preserve">Afdekken (vlekken).                                                                                                                                                                                                                                                                                                                                                                                                                                                                                                                                                                                                                                                                                                                                                                                                                                                                                                                                                                                                                                             </t>
  </si>
  <si>
    <t xml:space="preserve">Bij voorkeur innemen vóór de maaltijd. Laxerende werking treedt na enkele uren in.                                                                                                                                                                                                                                                                                                                                                                                                                                                                                                                                                                                                                                                                                                                                                                                                                                                                                                                                                                              </t>
  </si>
  <si>
    <t xml:space="preserve">Canule evt. slechts voor de helft in rectum brengen om beschadiging van darmslijmvlies te voorkomen. Oppervlakte-actief laxans, werkt na 5-15 min. Toepassing bij rectale obstipatie en bij chirurgie van het colon._x000D_
5 ml Microlax bevat:_x000D_
sorbitol              625 mg_x000D_
na-laurylsulfo-ac   9 mg_x000D_
na-citraat            90 mg_x000D_
</t>
  </si>
  <si>
    <t>Bij therapieresistente obstipatie._x000D_
Paraffine is een glijmiddel, de werking treedt in na 8 uur. De opname van o.a. vetoplosbare vitamines, voedingsstoffen en van coumarinederivaten en hartglycosiden kan verminderen._x000D_
Cave inhalatie door verslikken: lipoïdpneumonitis. Bij langdurig gebruik controle van vit A, D, E (z.n. suppletie) en controle bloedstolling.</t>
  </si>
  <si>
    <t>Krachtig werkend middel met nauwelijks remming op het CZS. Heeft naast remmend effect op de propulsieve motiliteit ook nog antisecretoire eigenschappen._x000D_
Gecontraïndiceerd bij acute bloederige diarree en ileus en bij kinderen &lt; 2 jaar in verband met centrale bijwerkingen.</t>
  </si>
  <si>
    <t xml:space="preserve">Mogelijk minder hemodynamische instabiliteit dan fentanyl. Werkt 30-60 min. Cave vagotonie, spierrigiditeit en ademhalingsdepressie. Voorzichtig bij verhoogde intracraniale druk, myasthenia gravis.                                                                                                                                                                                                                                                                                                                                                                                                                                                                                                                                                                                                                                                                                                                                                                                                                                                           </t>
  </si>
  <si>
    <t>Slow K (kaliumchloride)</t>
  </si>
  <si>
    <t>Sofradex (comb.prep.) (dexamethason + framycetine + gramicidine)</t>
  </si>
  <si>
    <t>Sofra-tulle (framycetine)</t>
  </si>
  <si>
    <t>Solu-cortef (hydrocortison)</t>
  </si>
  <si>
    <t>Solu-medrol (methylprednisolon)</t>
  </si>
  <si>
    <t>Soluvit N (vitamine B/C)</t>
  </si>
  <si>
    <t>Sorbisterit Ca-resonium (polystyreen-sulfonzuur)</t>
  </si>
  <si>
    <t>Sotacor (sotalol)</t>
  </si>
  <si>
    <t>Soya Oleum Emulgatum (olie)</t>
  </si>
  <si>
    <t>Sterillium (comb.prep.) (propanol + isopropanol + mecetronium)</t>
  </si>
  <si>
    <t>Stesolid rectiole (diazepam)</t>
  </si>
  <si>
    <t>Stiemycin (erytromycine)</t>
  </si>
  <si>
    <t>Strumazol (thiamazol)</t>
  </si>
  <si>
    <t>Sufenta (sufentanil)</t>
  </si>
  <si>
    <t>Sustanon (testosteron)</t>
  </si>
  <si>
    <t>Sustanon 100 creme (testosteron)</t>
  </si>
  <si>
    <t>Synacthen (tetracosactide)</t>
  </si>
  <si>
    <t>Tambocor (flecaïnide )</t>
  </si>
  <si>
    <t>Targocid (teicoplanine)</t>
  </si>
  <si>
    <t>Tavegil (clemastine)</t>
  </si>
  <si>
    <t>Tazocin (comb.prep.) (piperacilline + tazobactam)</t>
  </si>
  <si>
    <t>Tegretol (carbamazepine)</t>
  </si>
  <si>
    <t>Telebrix gastro (joxitalaminezuur)</t>
  </si>
  <si>
    <t>Temesta (lorazepam)</t>
  </si>
  <si>
    <t>Tenormin (atenolol)</t>
  </si>
  <si>
    <t>Terra-cortril + Polymyxine B (comb.prep.) (hydrocortison + oxytetracycline + polymyxine B)</t>
  </si>
  <si>
    <t>Tetavax RIVM (tetanusvaccin)</t>
  </si>
  <si>
    <t>opladen intraveneus: in verdeelde doses 50%-25%-25% met tussenpozen van 6-8 uur:_x000D_
30 microg/kg, max 750 microg_x000D_
_x000D_
onderhoud intraveneus:_x000D_
7 microg/kg/dag in 2 doses, max 200 microg/dag_x000D_
_x000D_
Neon.: Pas op digoxine is zeer toxisch bij pasgeborenen!_x000D_
opladen intraveneus: in verdeelde doses 50%-25%-25% met tussenpozen van 6-8 uur:_x000D_
prematuur: 15 microg/kg_x000D_
à terme: 30 microg/kg_x000D_
_x000D_
Neon.: onderhoud intraveneus:_x000D_
prematuur: 3 microg/kg/dag in 2 doses_x000D_
à terme: 7 microg/kg/dag in 2 doses</t>
  </si>
  <si>
    <t>opladen oraal: in verdeelde doses 50%-25%-25% met tussenpozen van 6-8 uur:_x000D_
40 microg/kg, max 1 mg_x000D_
 _x000D_
onderhoud oraal: 10 microg/kg/dag_x000D_
in 2 doses, max 250 microg/dag_x000D_
_x000D_
Neon.: Pas op digoxine is zeer toxisch bij pasgeborenen!_x000D_
opladen oraal: in verdeelde doses 50%-25%-25% met tussenpozen van 6-8 uur:_x000D_
prematuur: 20 microg/kg_x000D_
à terme: 40 microg/kg_x000D_
_x000D_
Neon.: onderhoud oraal:_x000D_
prematuur: 4 microg/kg/dag in 2 doses_x000D_
à terme: 10 microg/kg/dag in 2 doses</t>
  </si>
  <si>
    <t>diureticum:_x000D_
iv 0,25-0,6 g/kg/dosis_x000D_
(= 2-4 ml/kg als 15% opl.)_x000D_
_x000D_
bij dialyse: iv 0,5 g/kg/dosis_x000D_
_x000D_
submersie: oplaad: iv 1 g/kg/30 min_x000D_
onderhoud: 6 dd 0,25 g/kg/30 min,_x000D_
gedurende 2-3 dagen_x000D_
_x000D_
reflexdystrofie: continu iv 1,5 g/kg/dag als 10% opl (= 15 ml/kg/dag) gedurende 7 dagen,_x000D_
max 1000 ml/dag 10%-oplossing</t>
  </si>
  <si>
    <t xml:space="preserve">antihypertensivum:_x000D_
oraal 0,5-4 mg/kg/dag in 2-3 doses_x000D_
_x000D_
verlengd QT-syndroom of preventie van cyanotic spell:_x000D_
oraal 1-5 mg/kg/dag in 3-4 doses_x000D_
_x000D_
Neon.: antihypertensivum:_x000D_
oraal 0,5-2 mg/kg/dag in 2-3 doses_x000D_
_x000D_
Neon.: verlengd QT-syndroom of preventie van cyanotic spell:_x000D_
oraal 1-2 mg/kg/dag in 4 doses, max 5 mg/kg/dag_x000D_
</t>
  </si>
  <si>
    <t>hypertensie: iv 100 microg/kg in 5 min zonodig na 5 min herhalen tot max 300 microg/kg, daarna 1-5 microg/kg/min op geleide effect</t>
  </si>
  <si>
    <t>hypertensie: oraal 1-3 mg/kg/dag in 2 doses,_x000D_
&gt; 50 kg: 100-200 mg/dag in 2-4 doses_x000D_
_x000D_
gedilateerde cardiomyopathie: oraal start 0,2 mg/kg/dag in 2 doses, langzaam wekelijks ophogen met 0,2 mg/kg/dag tot gem. 1 mg/kg/dag_x000D_
_x000D_
Neon.:_x000D_
hypertensie oraal 1-3 mg/kg/dag in 2 doses</t>
  </si>
  <si>
    <t>Zyrtec (cetirizine)</t>
  </si>
  <si>
    <t>0,2-0,8 mmol/kg (3-10 kg:0,8; 10-20 kg:0,5; &gt; 20 kg:0,2 mmol/kg)</t>
  </si>
  <si>
    <t>TrigTimeOut</t>
  </si>
  <si>
    <t>Kortwerkende insuline. Bij s.c. gebruik aanvang werking na 15-30 minuten, maximaal na 2-4 uur, duur 6-8 uur._x000D_
_x000D_
Stabiliteit insuline-infusie: zie inleiding. Bij voorkeur opl. van 0,5-1 IE/ml bereiden._x000D_
Cave hypoglykemie._x000D_
Cave onverenigbaarheden in catheter.</t>
  </si>
  <si>
    <t xml:space="preserve">Toepassing in de mond- en oorheelkunde; bevat geen conserveermiddel.                                                                                                                                                                                                                                                                                                                                                                                                                                                                                                                                                                                                                                                                                                                                                                                                                                                                                                                                                                                            </t>
  </si>
  <si>
    <t>Eerste keus bij loopoor in het kader van otitis media in aanwezigheid van perforatie en/of buisje. Werkzaam tegen Pseudomonas aeruginosa. Hydrocortison is zwakwerkend. Reconstrueren met bijbehorend oplosmiddel (oplossing 10 dagen houdbaar). Krachtig schudden voor gebruik.</t>
  </si>
  <si>
    <t>Amfotericine B is onverenigbaar met NaCl: toedienen in glucose 5%._x000D_
Nefrotoxisch, vooral in combinatie met andere nefrotoxische middelen. Nierfunctie, electrolytengehalte, pH en hemoglobinegehalte controleren._x000D_
Mogelijke alternatieven bij ernstige nierfunctiestoornis zijn Ambisome (= liposomaal amfotericine B), of Abelcet (= fosfolipidencomplex) doch i.v.m. de extreem hoge kosten na overleg._x000D_
_x000D_
_x000D_
Zuigtablet en suspensie zo lang mogelijk in de mond houden._x000D_
Wordt na orale toediening slecht geabsorbeerd: toepassing bij selectieve darmdecontaminatie (SDD).</t>
  </si>
  <si>
    <t>Cave vele geneesmiddelinteracties, o.a. ciclosporine. Niet samen met cisapride, terfenadine, astemizol wegens hartritmestoornissen. Goede absorptie bij lage pH: capsules tijdens of na de maaltijd innemen; pH verhogende stoffen, zoals H2-antagonisten, verlagen de absorptie._x000D_
De drank op nuchtere maag innemen en 1 uur erna niet eten. Deze bevat cyclodextrinen (hulpstof), veiligheid bij langdurig gebruik wordt onderzocht.</t>
  </si>
  <si>
    <t>Bij Pneumocystis carinii pneumonie indien co-trimoxazol onvoldoende effectief of gecontraïndiceerd is._x000D_
Soms acute hypotensie, bij voorkeur toedienen op IC._x000D_
Bloedbeeld, bloeddruk, serumcreatinine en bloedglucose controleren._x000D_
Dosis bij nierinsuff.: zie tabel blz ?</t>
  </si>
  <si>
    <t>Neutropenie kan optreden vooral wanneer hoge doseringen gebruikt worden. Na verminderen van de dosis of staken van de therapie normaliseert het aantal cellen gewoonlijk binnen 2-5 dagen._x000D_
Dosis bij nierinsuff.: zie tabel blz ? , dosis bij nierinsuff. bij profylaxe bij NTX zie protocol WKZ.</t>
  </si>
  <si>
    <t>Niet geregistreerd maar in onderzoek bij adenovirus-infecties bij de immuungecompromitteerde patiënt. Overleg infectioloog/microbioloog en apotheker. Registratie wel voor CMV-retinitis bij immuungecompr._x000D_
Probenicide dient voor vermijden van nefrotoxiciteit.</t>
  </si>
  <si>
    <t xml:space="preserve">Biologische beschikb. is 50%._x000D_
Niet samen met cisapride, terfenadine. Cave interacties andere geneesmiddelen o.a. met ciclosporine, theofylline en carbamazepine.                                                                                                                                                                                                                                                                                                                                                                                                                                                                                                                                                                                                                                                                                                                                                                                                                                                                                               </t>
  </si>
  <si>
    <t xml:space="preserve">Cave interacties, alle co-medicatie screenen. Kan QT-tijd verlengen, cave aritmieën: niet samen met itraconazol, fluconazol, ketoconazol, macroliden, sommige anti-hiv middelen en alle andere middelen die QT-tijd kunnen verlengen. Werking van coumarine-derivaten kan worden versterkt. Anti-cholinergica gaan het effect tegen._x000D_
Bij nierfunctiestoornis dosis aanpassen. De drank bevat suiker._x000D_
ECG-bewaking betekent voor start en  tenminste 48 uur na toediening een ECG registratie._x000D_
_x000D_
_x000D_
_x000D_
_x000D_
_x000D_
_x000D_
</t>
  </si>
  <si>
    <t>Eerste keus bij acute emesis door emetogene cytostatica. Bij onvoldoende effectiviteit is combinatie met dexamethason zinvol. Bij minder sterk emetogene cytostatica gaat de voorkeur uit naar metoclopramide/alizapride. Tevens na emetogene chirurgische ingrepen.</t>
  </si>
  <si>
    <t>cardiologie:_x000D_
oplaaddosis i.v. 15-30 mg/kg in 3 min  (= 0,06-0,12 mmol Mg/kg), zonodig herhalen, volw. max 2 g per dosis (= 8 mmol Mg/dosis)_x000D_
_x000D_
onderhoud continu i.v. 3-20 mg/kg/uur (= 0,01-0,08 mmol Mg/kg/uur)_x000D_
_x000D_
bij hypomagnesiëmie voorkeur voor magnesiumchloride, zie blz ?</t>
  </si>
  <si>
    <t>bij decompensatio cordis:_x000D_
1e dag: or 0,3 mg/kg/dag in 3 doses_x000D_
indien geen hypotensie optreedt zo nodig stapsgewijs ophogen max 1,5 mg/kg/dag_x000D_
_x000D_
bij hypertensie:_x000D_
&gt; 6 mnd: 1,5-6 mg/kg/dag in 3 doses,_x000D_
Neon.: alleen onder bijzondere omstandigheden; let op veel lagere dosis: start 0,03 mg/kg/dag in 3 doses, max 2 mg/kg/dag</t>
  </si>
  <si>
    <t>Neon.: in WKZ volgens protocol alprostadil toediening:_x000D_
stabiele patiënt: 10 nanogram/kg/min_x000D_
instabiele patiënt: start 25 nanogram_x000D_
/kg/min, max 200 nanogram /kg/min_x000D_
bij transport van ander ziekenhuis indien patiënt in shock evt. hogere startdosering 50-100 nanogram/kg/min in dat geval patiënt voor transport ventileren en acidose corrigeren</t>
  </si>
  <si>
    <t>Intraveneus alleen onder controle ECG en bloeddruk._x000D_
Bij bedreigende therapieresistente tachycardie. Werkt tevens vaat-verwijdend en anti-adrenerg._x000D_
Lange t1/2 (ong.  40 dagen), amiodaron kan maanden nawerken. Bij zuigelingen kan t1/2 korter zijn. Tabl. tijdens of direct na de maaltijd innemen._x000D_
Bijw: frequent ernstig (lever, huid of cornea, hyperthyreoïdie of neuropathie). Leverfuncties controleren._x000D_
Digoxineplasma-conc. kan stijgen.</t>
  </si>
  <si>
    <t>Ther. plasmaconc: 8-18 mg/l._x000D_
Niet-eiwitgebonden conc.: 0,8-1,8 mg/l._x000D_
Concentratie afhankelijke bijw: nystagmus, ataxie, sedatie._x000D_
Bijwerkingen bij chronisch gebruik: huid-afwijkingen, tandvleeshyperplasie._x000D_
Eerste tekenen overdosis: ataxie, nystagmus, gedragsstoornissen.</t>
  </si>
  <si>
    <t>Calciumantagonist bij supraventriculaire tachycardie. Cave decompensatio cordis en combinatie met ß-blokkeerders. Kan plasmaconc. digoxine sterk verhogen._x000D_
Bijw.: hypotensie, hartinsufficiëntie, longoedeem._x000D_
N.B.:_x000D_
Verapamil is gecontraïndiceerd bij kinderen &lt; 1 jr: ernstige, plotseling optredende hypotensie en collaps kunnen optreden.</t>
  </si>
  <si>
    <t>Voor zuigelingen 1 sachet oplossen in 500 ml lauw, vooraf gekookt water._x000D_
Glucose/zout preparaat ter voorkoming en behandeling van uitdroging bij acute diarree. Verstrekking via de zuigelingen-voedingskeuken._x000D_
Oplossing bevat per 100 ml:_x000D_
glucose  2 g_x000D_
Na+       6 mmol_x000D_
K+         2,5 mmol_x000D_
Cl-         5,5 mmol_x000D_
citraat    1 mmol</t>
  </si>
  <si>
    <t>Ter vermindering van pruritus bij partiële obstructie galweg en bij diarree t.g.v. een overmaat aan galzuren in het colon (bijv. na darmresectie). Inhoud van sachet op 150 ml vloeistof strooien en na 1-2 min. tot homogeen mengsel roeren._x000D_
Bevat 30 mg aspartaam per sachet. Verlaagt de absorptie van vele stoffen: niet gelijktijdig innemen met andere geneesmiddelen maar enige uren tussenpoos aanhouden.</t>
  </si>
  <si>
    <t>Niet opgenomen in WKZ-hypertensieprotocol. Antihypertensieve werking door relaxatie gladde musculatuur van de perifere arteriolen. Evt. te combineren met furosemide. Diazoxide opl.: pH = 11.6, cave extravasatie._x000D_
Bijw.: hyperglykemie, hoofdpijn, duizeligheid, hartaritmieën, orthostatische hypotensie.</t>
  </si>
  <si>
    <t>Zeer krachtige, kortwerkende arteriolaire perifere vasodilatator. Toediening onder IC bewaking. Cave cyanidestapeling. Cyanide wordt door de lever omgezet in thiocyanaat, welke door de nier wordt uitgescheiden. Niet langer dan 48 uur gebruiken. Plasmaconc. thiocyanaat: therap. 6-30 mg/l, toxisch &gt; 50 mg/l (bij nierfunctiestoornissen)._x000D_
Niet geven bij nierfunctiestoornissen vanwege vorming toxische metabolieten._x000D_
Instabiel o.i.v. licht: zie toedieningsinstructies.</t>
  </si>
  <si>
    <t>Synoniem: prostaglandine E1._x000D_
Voor openhouden van ductus arteriosus, in afwachting van operatie._x000D_
Bijw.: apneu, koorts, hypotensie, bradycardie (soms tachycardie), oedeem, roodheid, capillary leak. Via centrale veneuze catheter toedienen, of indien perifeer, een tweede infuus aanleggen.</t>
  </si>
  <si>
    <t>Levothyroxine Na iv (levothyroxine)</t>
  </si>
  <si>
    <t>lidocaïne 2% zonder conserveerm. + adrenaline 1:200.000 (lidocaïne)</t>
  </si>
  <si>
    <t>lidocaïne chloride 1% (lidocaïne)</t>
  </si>
  <si>
    <t>lidocaïne chloride 2% (lidocaïne)</t>
  </si>
  <si>
    <t>lidocaïne chloride 4% (lidocaïne)</t>
  </si>
  <si>
    <t>lidocaïnechloride 1% + adrenaline 1:100.000 (lidocaïne)</t>
  </si>
  <si>
    <t>lidocaïnechloride 2% + adrenaline 1:200.000 (lidocaïne)</t>
  </si>
  <si>
    <t>Lioresal (baclofen)</t>
  </si>
  <si>
    <t>Litican (alizapride)</t>
  </si>
  <si>
    <t>Livocab (levocabastine)</t>
  </si>
  <si>
    <t>Lomudal forte aërosol (cromoglicaat)</t>
  </si>
  <si>
    <t>Lomudal inhalatievloeistof (cromoglicaat)</t>
  </si>
  <si>
    <t>Lonnoten (minoxidil)</t>
  </si>
  <si>
    <t>Losec MUPS (omeprazol)</t>
  </si>
  <si>
    <t>Losec voor injectie (omeprazol)</t>
  </si>
  <si>
    <t>Loxazol (permetrine)</t>
  </si>
  <si>
    <t>Lymphoglobuline paard Mérieux (thymocyten immunoglobuline (ATG))</t>
  </si>
  <si>
    <t>Mabthera anti-CD 20 (rituximab)</t>
  </si>
  <si>
    <t>Magnesiumcitraat drank FNA (magnesiumcitraat)</t>
  </si>
  <si>
    <t>Malarone (atovaquon + proguanil)</t>
  </si>
  <si>
    <t>Mandol (cefamandol)</t>
  </si>
  <si>
    <t>Marcaïne 0,25% (bupivacaïne)</t>
  </si>
  <si>
    <t>Marcaïne 0,25% + adrenaline 1:200.000 (bupivacaïne)</t>
  </si>
  <si>
    <t>Marcaïne 0,5% in glucose 8 % (bupivacaïne)</t>
  </si>
  <si>
    <t>Mentho 10 (levomenthol)</t>
  </si>
  <si>
    <t>Mepag APD (apd)</t>
  </si>
  <si>
    <t>korte dexamethason-suppressie test:_x000D_
or 1 mg/1,73m2 om 23.00 uur, dosis naar boven afronden op 0,25 mg, plasmacortisolconc. meten om 08.00u_x000D_
_x000D_
lange dexamethason-suppressie test:_x000D_
or 4 dd 0,5 mg of 2 mg/1,73m2 ge-durende 2 dagen i.o.m.endocrinoloog_x000D_
_x000D_
hematologische indicaties: dosering volgens diverse protocollen</t>
  </si>
  <si>
    <t>corticosteroïdtherapie bij immunolo-gische/hematologische ziekte:_x000D_
lage dosis: zie oraal_x000D_
hoge dosis: iv 2 mg/kg/dag in 3 doses, max 80 mg/dag, afbouwschema individueel op geleide klinisch effect_x000D_
_x000D_
allergische reactie:_x000D_
iv/im 1 mg/kg, max 25 mg_x000D_
_x000D_
status astmaticusstootkuur zie Tractus Respiratorius anti-inflammatie corticosteroïden blz ?</t>
  </si>
  <si>
    <t>substitutietherapie: or 12-15 mg/m2-/dag in 3 doses in verhouding 2:1:1,_x000D_
cong. bijnierhyperplasie: idem in verhouding 1:1:2_x000D_
_x000D_
Neon.: bronchopulmonale dysplasie:_x000D_
or/iv 5 mg/kg/dag in 4 doses ged. 7 dagen, afbouwfase: vermindering met 1 dosis om de 5 dagen op kliniek_x000D_
_x000D_
afbouwschema, stressdosering: zie inleiding blz ? , ?</t>
  </si>
  <si>
    <t xml:space="preserve">Geeft 4 weken bescherming._x000D_
Smal werkingsspectrum. Na im toediening van benzathinepenicilline wordt uit het weefseldepot gedurende lange tijd benzylpenicilline aan het bloed afgegeven.                                                                                                                                                                                                                                                                                                                                                                                                                                                                                                                                                                                                                                                                                                                                                                                                                                                                        </t>
  </si>
  <si>
    <t>Norvir (ritonavir)</t>
  </si>
  <si>
    <t>Novantrone (mitoxantron)</t>
  </si>
  <si>
    <t>NovoRapid (insuline aspart)</t>
  </si>
  <si>
    <t>NTBC (nitisinon ntbc)</t>
  </si>
  <si>
    <t>Nystatine Labaz (nystatine)</t>
  </si>
  <si>
    <t>Omnipaque 300 (johexol)</t>
  </si>
  <si>
    <t>Orgametril (lynestrenol)</t>
  </si>
  <si>
    <t>Orisel (&gt; 6 jr) (ORS rehydratiedrank)</t>
  </si>
  <si>
    <t>Orisel-Junior (&lt; 6 jr) (ORS rehydratiedrank)</t>
  </si>
  <si>
    <t>Orthoclone OKT-3 (muromonab-CD3)</t>
  </si>
  <si>
    <t>Otalgan (lidocaïne)</t>
  </si>
  <si>
    <t>Oxitriptan (5-hydroxytryptofaan)</t>
  </si>
  <si>
    <t>oxybuprocaine 0,4% (oxybuprocaine)</t>
  </si>
  <si>
    <t>Pancrease (pancreatine (comb. prep.))</t>
  </si>
  <si>
    <t>Pancreatine 6NF poeder (pancreatine (comb. prep.))</t>
  </si>
  <si>
    <t>Panzytrat (pancreatine (comb. prep.))</t>
  </si>
  <si>
    <t>Panzytrat LD (pancreatine (comb. prep.))</t>
  </si>
  <si>
    <t>Paraffine dunvloeibaar (paraffine)</t>
  </si>
  <si>
    <t>Paraffinum liquidum emulsie (paraffine)</t>
  </si>
  <si>
    <t>Paronal (asparaginase)</t>
  </si>
  <si>
    <t>Pavulon (pancuronium)</t>
  </si>
  <si>
    <t>Peditrace (comb.prep.) (Peditrace)</t>
  </si>
  <si>
    <t>Penicilline G natrium (benzylpenicilline)</t>
  </si>
  <si>
    <t>Penidural (benzathinebenzyl-penicilline)</t>
  </si>
  <si>
    <t>Pentacarinat (pentamidine)</t>
  </si>
  <si>
    <t>Pentasa (mesalazine)</t>
  </si>
  <si>
    <t>Pentothal (thiopental)</t>
  </si>
  <si>
    <t xml:space="preserve">Indien andere NSAID's onvoldoende effectief zijn. Retard preparaat bij ochtendstijfheid. Bij kinderen worden soms concentratiestoornissen waar-genomen. Voorbijgaande nier-insufficiëntie kan optreden, vochtbalans bijhouden.Tevens bij pijn t.g.v. botmetastasen in combinatie met andere analgetica.                                                                                                                                                                                                                                                                                                                                                                                                                                                                                                                                                                                                                                                                                                                                                         </t>
  </si>
  <si>
    <t>Bijw.: nierfunctie- electrolytstoornis. Contra-indicatie: sepsis/shock, necro-tiserende enterocolitis, cerebrale hypoxische-ischemische schade, stollingsstoornis, pre-existent nierlijden (met oligurie en kreatinine &gt; 150 microg/l), thrombocyten &lt; 75.000.mm3. Relat. contra-indicatie: instabiele intraventriculaire bloeding en periventriculaire leucomalacie.</t>
  </si>
  <si>
    <t xml:space="preserve">Oraal: tijdens of kort na de maaltijd innemen i.v.m. maagbezwaren (vertraagt absorptie). T 1/2 = ong. 12 uur: tweemaal daags doseren mogelijk.                                                                                                                                                                                                                                                                                                                                                                                                                                                                                                                                                                                                                                                                                                                                                                                                                                                                                                                  </t>
  </si>
  <si>
    <t>Doseringen bij acute pijn gelden voor kortdurend gebruik: ongeveer 3 dagen. Maximaal effect na or: 0,5-1 uur, na rect 2-3 uur._x000D_
De rectale en orale dagdosis zijn gelijk, doch keerdosis rectaal is hoger en doseerinterval dus langer._x000D_
_x000D_
De doseringen bij neonaten gelden ook voor kortdurend gebruik: ongeveer 3 dagen._x000D_
_x000D_
Bij zeer slechte algemene conditie (bijv. bij dehydratie en ondervoeding en koorts) en bij fenytoïne, fenobarbital, rifampicine max 60 mg/kg/dag._x000D_
_x000D_
Bij chronische pijn wordt overleg met een pijnspecialist aanbevolen. Bij onvoldoende werkzaamheid combineren met codeïne.</t>
  </si>
  <si>
    <t xml:space="preserve">                                                                                                                                                                                                                                                                                                                                                                                                                                                                                                                                                                                                                                                                                                                                                                                                                                                                                                                                                                                                                                                                </t>
  </si>
  <si>
    <t xml:space="preserve">Bij stafylococceninfecties.                                                                                                                                                                                                                                                                                                                                                                                                                                                                                                                                                                                                                                                                                                                                                                                                                                                                                                                                                                                                                                     </t>
  </si>
  <si>
    <t>Staken bij tekenen van polyneuropathie (tintelingen)._x000D_
Bij voorkeur met voedsel innemen._x000D_
Profylaxe alleen geschikt bij compliante patient. Voor profylaxe is een drank ongeschikt i.v.m. maagklachten. Dan MC caps. voorschrijven. De macrokristallijne vorm (=MC) komt langzamer vrij en wordt langzamer geabsorbeerd dan de gewone vorm (bv in een drank); deze vorm geeft ook minder maagbezwaren._x000D_
Dosis bij nierinsuff.: zie tabel blz ?</t>
  </si>
  <si>
    <t xml:space="preserve">Opioïde welke echter niet onder de opiaatregeling valt. Zwakker werkend dan morfine. Bij nierinsuff. Clcr &lt; 30 ml/min minimaal doseerinterval 12 uur. Bijw.: misselijkheid.                                                                                                                                                                                                                                                                                                                                                                                                                                                                                                                                                                                                                                                                                                                                                                                                                                                                                     </t>
  </si>
  <si>
    <t>tetracaine 1% (tetracaine)</t>
  </si>
  <si>
    <t>Tetrahydrobiopterin (BH4)</t>
  </si>
  <si>
    <t>Theolair liquid (theofylline)</t>
  </si>
  <si>
    <t>Theralène (alimemazine)</t>
  </si>
  <si>
    <t>Thiamine HCl (thiamine)</t>
  </si>
  <si>
    <t>Thymoglobuline konijn (thymocyten immunoglobuline (ATG))</t>
  </si>
  <si>
    <t>Tiënam (comb.prep.) (imipenem + cilastatine)</t>
  </si>
  <si>
    <t>Timoptol (timolol)</t>
  </si>
  <si>
    <t>Tissucol duo (comb.prep.) (fibrinelijm)</t>
  </si>
  <si>
    <t>Tobi (tobramycine)</t>
  </si>
  <si>
    <t>Tobramycine SDD (tobramycine)</t>
  </si>
  <si>
    <t>Tobrex 0,3% (tobramycine)</t>
  </si>
  <si>
    <t>Topamax (topiramaat)</t>
  </si>
  <si>
    <t>Topicorte (desoximetason)</t>
  </si>
  <si>
    <t>Toxogonin (obidoxim)</t>
  </si>
  <si>
    <t>Tracrium (atracurium)</t>
  </si>
  <si>
    <t>Trafloxal (ofloxacine)</t>
  </si>
  <si>
    <t>Tramagetic (tramadol)</t>
  </si>
  <si>
    <t>Tramal (tramadol)</t>
  </si>
  <si>
    <t>Trandate (labetalol)</t>
  </si>
  <si>
    <t>Transipeg (transipeg (comb.prep.))</t>
  </si>
  <si>
    <t>Tranxene (clorazepaat)</t>
  </si>
  <si>
    <t>Triamcinolon + salicylz. in cetomacrogol (triamcinolonacetonide)</t>
  </si>
  <si>
    <t>Trileptal (oxcarbazepine)</t>
  </si>
  <si>
    <t>Trisporal (itraconazol)</t>
  </si>
  <si>
    <t>Tromethamol Tris (trometamol)</t>
  </si>
  <si>
    <t>tropicamide 0,5% (tropicamide)</t>
  </si>
  <si>
    <t>Tuberculine PPD-SSI (tuberculine)</t>
  </si>
  <si>
    <t>Ulcogant (sucralfaat)</t>
  </si>
  <si>
    <t>Ultiva (remifentanil)</t>
  </si>
  <si>
    <t>Ultracortenol (prednisolon)</t>
  </si>
  <si>
    <t xml:space="preserve">Maakt deel uit van de cytostatica noodset.                                                                                                                                                                                                                                                                                                                                                                                                                                                                                                                                                                                                                                                                                                                                                                                                                                                                                                                                                                                                                      </t>
  </si>
  <si>
    <t xml:space="preserve">Disaccharide dat in de darm wordt omgezet en zowel prikkelend als osmotisch werkt. Werking treedt pas na enkele dagen in.                                                                                                                                                                                                                                                                                                                                                                                                                                                                                                                                                                                                                                                                                                                                                                                                                                                                                                                                       </t>
  </si>
  <si>
    <t>Synoniem: Fosfaat (Fleet) klysma._x000D_
Bevat per ml:_x000D_
na-bifosfaat 160 mg/ml_x000D_
na-fosfaat 60 mg/ml._x000D_
Zeer snel werkend (2-3 min.) osmotisch laxans. Ter lediging van het rectum en het onderste deel van het colon._x000D_
Cave hyperfosfatemie (bij zuigelingen en peuters).</t>
  </si>
  <si>
    <t xml:space="preserve">Bij methemoglobinemie._x000D_
Kan hemolyse veroorzaken.                                                                                                                                                                                                                                                                                                                                                                                                                                                                                                                                                                                                                                                                                                                                                                                                                                                                                                                                                                                                               </t>
  </si>
  <si>
    <t>Eigen bereiding apotheek. Alleen bij chronische cholestase._x000D_
TPGS: d-a tocopherol polyethyleen­glycol 1000 succinaat. TPGS verbetert orale absorptie vit E. De absorptie van andere vetoplosbare vitamines lijkt ook te verbeteren indien tegelijk met TGPS toegediend. Plasmaconc. 1x per 6 maanden meten.</t>
  </si>
  <si>
    <t>Vit K is betrokken bij de bloedstolling. _x000D_
Deficiënties kunnen optreden t.g.v. chronische diarree, cystic fibrosis, coeliakie, hepatitis, galgangatresie, a1-antitrypsine-deficiëntie, a-ß-lipoproteïnemie._x000D_
Plasmaspiegels zijn bij neonaten lager dan bij volwassenen. Vit K profylaxe verkleint de kans op bloedingen bij pasgeborenen_x000D_
Effect na toediening na 4-6 uur. Bij levensbedreigende bloedingen of indien snelle werking is gewenst (OK) protrombine complex (PPSB) geven.</t>
  </si>
  <si>
    <t>Vit K is betrokken bij de bloedstolling. Deficiënties kunnen optreden t.g.v. chronische diarree, cystic fibrosis, coeliakie, hepatitis, galgang-atresie, a1-antitrypsine-deficiëntie, a-ß-lipoproteïnemie._x000D_
_x000D_
_x000D_
Bij cystic fibrosis alleen als er leverfunctiestoornissen zijn._x000D_
_x000D_
_x000D_
_x000D_
_x000D_
Plasmaspiegels zijn bij neonaten lager dan bij volwassenen. Vit K profylaxe verkleint de kans op bloedingen bij pasgeborenen.</t>
  </si>
  <si>
    <t>Bijw.: frequent maagdarmstoornissen, hoofdpijn, vermoeidheid, leverfunctiestoornissen.Verhoogde kans op infecties._x000D_
Suppletie van foliumzuur 5 mg/week, niet binnen 24 uur na MTX inname, vermindert de bijwerkingen bij volwassenen. Anderzijds kan bij toxiciteit de werking worden geantagoneerd door 24 uur na inname MTX 5 mg folinezuur in te nemen._x000D_
Verhoogde toxiciteit bij comb. met co-trimoxazol of NSAID's of andere nierfunctie-beïnvl. middelen._x000D_
Elke 4-8 weken leverfunctie-controle.</t>
  </si>
  <si>
    <t>De werking berust, anders dan bij darmziekten, niet op de afsplitsing van 5-ASA._x000D_
Bijw.: frequente misselijkheid, temp. verhoging, erytheem, hoofdpijn; verder o.a. afwijkingen bloedbeeld, nier, lever, neuropathie,  mogelijk IgA deficiëntie._x000D_
Gecontraïndiceerd bij systemische J.I.A. vanwege ernstige overgevoeligheidsreacties.</t>
  </si>
  <si>
    <t xml:space="preserve">Laagmoleculair heparine. De optimale dosis bij postoperatieve profylaxe bij kinderen is nog niet bekend._x000D_
Cave: bij overdosering protamine toedienen, heeft echter partiële werking: overleg hematoloog. Cefalinetijd is geen goede maat voor ontstolling._x000D_
_x000D_
_x000D_
</t>
  </si>
  <si>
    <t>Bij overstap doorgaan met heparine tot goede INR (min 3 dagen; streefwaarde INR: 2,5-4,5). Het duurt 5-7 dagen voordat therapie stabiel ingesteld is._x000D_
Bij overdosering treden bloedingen op. Antidotum: fytomenadion, protrombinecomplex._x000D_
_x000D_
Cave bloedingsneiging: puncties, biopten en OK zijn gecontraïndiceerd tijdens coumarinegebruik.</t>
  </si>
  <si>
    <t>Gebruik bij cathetertrombosering volgens protocol TPN WKZ 'Urokinase'._x000D_
_x000D_
Gebruik bij continue infusie: cave verhoogde bloedingsneiging: puncties, biopten en OK zijn gecontraïndiceerd tijdens systemisch werkzame urokinase._x000D_
De continue hoge dosis is systemisch werkzaam. Na 12-24 uur controle parameters volgens bovenstaand protocol. Strenge indicatiestelling, uitsluitend toepassen na overleg hematoloog. Cave contra-indicaties. Controle fibrinogeen, plasminogeen, bij 50% reductie van fibrinogeen FFP toedienen.</t>
  </si>
  <si>
    <t>Niet geregistreerd bij kinderen._x000D_
De intra-peritoneale toedieningsweg is in onderzoek._x000D_
Heeft een langere t1/2 vergeleken met epo: eenmaal per week toedienen._x000D_
Bij nierinsufficiëntie dient de ijzervoorraad adequaat te zijn alvorens de behandeling wordt gestart._x000D_
Tijdens behandeling moet ijzersuppletie worden doorgegeven.</t>
  </si>
  <si>
    <t>Synoniem: epo._x000D_
Bijw.: hypertensie, convulsies, trombose van vasculaire toegangsplaats, reversibele neutropenie bij prematuren._x000D_
Contra-indicaties: ernstige hypertensie, epilepsie._x000D_
Bij nierinsufficiëntie dient de ijzervoorraad adequaat te zijn alvorens de behandeling wordt gestart._x000D_
Tijdens behandeling moet ijzersuppletie worden doorgegeven. _x000D_
_x000D_
Neonatologie: bij volledige voeding extra ijzer oraal geven</t>
  </si>
  <si>
    <t>Fibrinolyseremmer, iv toediening wordt niet routinematig toegepast._x000D_
Bij mondheelkundige ingrepen, bloedingen in het mondgebied, KNO-gebied en bij versterkte menstruatie bij patiënten met hemofilie A, of M.von Willebrand._x000D_
Gecontraïndiceerd bij hematurie._x000D_
Bij nierinsuff. dosering aanpassen.</t>
  </si>
  <si>
    <t>Extravasatie: ernstige reacties zijn niet te verwachten._x000D_
Antidotum, rescuetherapie: folinezuur (calciumfolinaat), zie blz ? _x000D_
Bij conjunctivitis folinezuur-oogdruppels 0,03%, bij contaminatie in het oog evt. 1% gebruiken._x000D_
Bij toedienen van hoge doses wordt de urine alkalisch gemaakt om nefrotoxiciteit te verminderen.</t>
  </si>
  <si>
    <t>Afrond_17</t>
  </si>
  <si>
    <t>Afrond_18</t>
  </si>
  <si>
    <t>Afrond_19</t>
  </si>
  <si>
    <t>Afrond_20</t>
  </si>
  <si>
    <t>Afrond_21</t>
  </si>
  <si>
    <t>Afrond_22</t>
  </si>
  <si>
    <t>Afrond_23</t>
  </si>
  <si>
    <t>Afrond_16</t>
  </si>
  <si>
    <t>InstMedIVDos_20</t>
  </si>
  <si>
    <t>InstMedIVDos_21</t>
  </si>
  <si>
    <t>zie reanimatieprotocol WKZ_x000D_
reanimatie iv:_x000D_
0,01 mg/kg_x000D_
(= 0,1 ml/kg van 1:10.000 oplossing)_x000D_
bij asystolie de volgende doses:_x000D_
0,1 mg/kg_x000D_
(= 0,1 ml/kg van 1:1000 oplossing)_x000D_
iedere 3 min herhalen_x000D_
intratracheaal:_x000D_
0,1 mg/kg_x000D_
(= 0,1 ml/kg van 1:1000 oplossing)_x000D_
_x000D_
Neon.: continu iv:_x000D_
positief inotroop en chronotroop effect_x000D_
(ß1-effect): 0,05-0,1 microg/kg/min,_x000D_
vasoconstrictie, toename bloeddruk_x000D_
(a1-effect): 0,2-1,0 microg/kg/min_x000D_
_x000D_
Neon.: reanimatie iv:_x000D_
0,03 mg/kg_x000D_
indien geen effect: 0,1 mg/kg</t>
  </si>
  <si>
    <t>continu iv 1-20 microg/kg/min_x000D_
effect (dosis in microg/kg/min):_x000D_
1-2:  toename nierperfusie (DA1)_x000D_
2-10: stijging hartminuutvolume_x000D_
10-20: perifere vaatvernauwing (a1)_x000D_
&gt; 20: afname nierperfusie_x000D_
_x000D_
Neon.: toename nierperfusie: continu iv 1-2,5 microg/kg/min_x000D_
_x000D_
bij neonatale hypotensie: continu iv 10-20 microg/kg/min</t>
  </si>
  <si>
    <t xml:space="preserve">Sympathicolyticum met a-receptor-blokkerende (vaatverwijdende) werking. Bij extravasatie van norepinefrine.                                                                                                                                                                                                                                                                                                                                                                                                                                                                                                                                                                                                                                                                                                                                                                                                                                                                                                                                                     </t>
  </si>
  <si>
    <t xml:space="preserve">Dosisaanpassing bij nierinsuff. volgens bijsluiter.                                                                                                                                                                                                                                                                                                                                                                                                                                                                                                                                                                                                                                                                                                                                                                                                                                                                                                                                                                                                             </t>
  </si>
  <si>
    <t>Plasmaconc. dal: 5-10 mg/l, plasma-conc. top: 20-40 mg/l (bij afname 2 uur na start infusie); neonatologie: plasma-conc. dal 5-15 mg/l. Bij te snelle toediening kan het 'red man' syndroom optreden. Bij nierinsuff. doseren op geleide van plasmaconcentratie-metingen._x000D_
Na orale toediening zeer slechte absorptie. Toepassing bij pseudomembraneuze colitis. Bij voorkeur metronidazol i.v.m. resistentieontwikkeling.</t>
  </si>
  <si>
    <t>Niet gelijktijdig gebruiken met terfenadine (Triludan) en cisapride in verband met hartritmestoornissen. Cave interactie met ciclosporine, theofylline, carbamazepine._x000D_
Intraveneuze toediening dient langzaam te geschieden (30-60 min), bij te snelle infusie zijn ritmestoornissen gemeld.</t>
  </si>
  <si>
    <t>Niet gelijktijdig gebruiken met terfenadine (Triludan) en cisapride in verband met hartritmestoornissen. Cave interactie met ciclosporine, theofylline, carbamazepine._x000D_
Erythrocyne ES tijdens of direct na de maaltijd innemen, wordt met voedsel namelijk goed geabsorbeerd.</t>
  </si>
  <si>
    <t xml:space="preserve">Stevige O/W creme.                                                                                                                                                                                                                                                                                                                                                                                                                                                                                                                                                                                                                                                                                                                                                                                                                                                                                                                                                                                                                                              </t>
  </si>
  <si>
    <t xml:space="preserve">Bevat geen oliezuur (i.t.t. zinkolie FNA). Afdekken (vlekken).                                                                                                                                                                                                                                                                                                                                                                                                                                                                                                                                                                                                                                                                                                                                                                                                                                                                                                                                                                                                  </t>
  </si>
  <si>
    <t>met NaCl 0,9%</t>
  </si>
  <si>
    <t>met NaCl 0,9% en Mistabron 5%</t>
  </si>
  <si>
    <t>Meronem (meropenem)</t>
  </si>
  <si>
    <t>Mesna (mercapto-ethaansulfonzuur)</t>
  </si>
  <si>
    <t>Metamucil orange (plantago ovata)</t>
  </si>
  <si>
    <t>Methadon 1 mg/ml + Metoclopramide 0,33 mg/ml (methadon + metoclopramide (comb.prep.))</t>
  </si>
  <si>
    <t>methylcellulose 0,5% (methylcellulose)</t>
  </si>
  <si>
    <t>Methyleenblauw in glucose (methyleenblauw)</t>
  </si>
  <si>
    <t>Miconazol + triamcin. 0,1% in zinkolie AZU (miconazol)</t>
  </si>
  <si>
    <t>Miconazol in zinkolie AZU (miconazol)</t>
  </si>
  <si>
    <t>Microlax (microlax (comb.prep.))</t>
  </si>
  <si>
    <t>Micropaque (bariumsulfaat)</t>
  </si>
  <si>
    <t>Minrin (desmopressine)</t>
  </si>
  <si>
    <t>Minrin DDAVP (desmopressine)</t>
  </si>
  <si>
    <t>Mistabron (mercapto-ethaansulfonzuur)</t>
  </si>
  <si>
    <t>Mivacron (mivacurium)</t>
  </si>
  <si>
    <t>Mixtard 10-90 (insuline isofaan + kortwerkend)</t>
  </si>
  <si>
    <t>Mixtard 20-80 (insuline isofaan + kortwerkend)</t>
  </si>
  <si>
    <t>Mixtard 30-70 (insuline isofaan + kortwerkend)</t>
  </si>
  <si>
    <t>Mixtard 40-60 (insuline isofaan + kortwerkend)</t>
  </si>
  <si>
    <t>Monotrim (trimethoprim)</t>
  </si>
  <si>
    <t>Morfine 0,08 mg/ml + Bupivacaïne 2,5 mg/ml (morfine + bupivacaïne (comb.prep.))</t>
  </si>
  <si>
    <t>Morfine epiduraal (morfine)</t>
  </si>
  <si>
    <t>Morfine iv (morfine)</t>
  </si>
  <si>
    <t>or in 1 dosis:_x000D_
0,5-5 jr: 5-7 microg/kg/dag_x000D_
6-12 jr: 3-5 microg/kg/dag_x000D_
&gt; 12 jr: 2-4 microg/kg/dag_x000D_
_x000D_
Neon.: congenitale hypothyreoïdie:_x000D_
start: or in 1 dosis:_x000D_
&lt; 1,5 kg: 15 microg/kg/dag_x000D_
&gt; 1,5 kg: 10 microg/kg/dag_x000D_
de dosis afronden naar boven tot op een 1/4 tablet van 25 microg (= 6,25 microg) aanpassen met 1 microg/kg/dag op geleide labuitslagen_x000D_
frequent meten; aanvankelijk 2x/week_x000D_
onderhoudsdosering tot einde 1e jaar:_x000D_
ong. 5-10 microg/kg/dag (richtlijn)</t>
  </si>
  <si>
    <t>prim-, secundaire immuundeficiëntie:_x000D_
iv 350-500 mg/kg 1x per 4 weken_x000D_
streven naar normale serum-IgG-waarden (&gt; 6g/l), evt. aan te passen op geleide kliniek_x000D_
_x000D_
idiopatische trombocytopenische purpura: overleg hematoloog. _x000D_
_x000D_
ziekte van Kawasaki:_x000D_
iv éénmalig 2 g/kg_x000D_
_x000D_
overige indicaties (zie inleiding):_x000D_
iv 400 mg/kg/dag gedurende 5 dagen</t>
  </si>
  <si>
    <t>bij acute hyperammoniëmie na vaststellen afwezigheid hyperargininemie:_x000D_
200-400 mg/kg/24 uur continu iv_x000D_
N.B. dit is 0,08-0,17 ml/kg/uur van de 10% arginine HCl_x000D_
of iv in 6 doses in 15 min_x000D_
_x000D_
goedlopend infuus noodzakelijk i.v.m. necrose bij extravasatie!_x000D_
_x000D_
groeihormoon secretietest: zie blz ?</t>
  </si>
  <si>
    <t>bij hyperammoniëmie:_x000D_
start iv 250 mg/kg in 2 uur,_x000D_
gevolgd door 250-500 mg/kg/24 uur continu iv_x000D_
of iv in 6 doses in 30 min (of or)_x000D_
_x000D_
N.B. de injectievloeistof minimaal 1 op 2 verdunnen met fys.zout; goedlopend infuus noodzakelijk i.v.m. necrose bij extravasatie!</t>
  </si>
  <si>
    <t>steenvorming bij transportdefecten:_x000D_
or 30 mg/kg/dag in 4 doses_x000D_
_x000D_
M. Wilson: or 20 mg/kg/dag in 3 doses, starten met halve dosis, na één week volledige dosis; titreren op geleide vrij koper in serum en urine-koper uitscheiding (en bijwerkingen), niet gelijktijdig met zink geven.</t>
  </si>
  <si>
    <t>Ferrosi fumaras (ferro(II)fumaraat)</t>
  </si>
  <si>
    <t>Fixim (cefixim)</t>
  </si>
  <si>
    <t>Flagyl (metronidazol)</t>
  </si>
  <si>
    <t>Flammazine (zilversulfadiazine)</t>
  </si>
  <si>
    <t>flecaïnide (flecaïnide )</t>
  </si>
  <si>
    <t>Flixonase (fluticason)</t>
  </si>
  <si>
    <t>Flixotide aërosol (fluticason)</t>
  </si>
  <si>
    <t>Flixotide diskus (fluticason)</t>
  </si>
  <si>
    <t>Flixotide rotadisk (fluticason)</t>
  </si>
  <si>
    <t>Flolan (epoprostenol)</t>
  </si>
  <si>
    <t>Floxapen (flucloxacilline)</t>
  </si>
  <si>
    <t xml:space="preserve">Cave bronchoconstrictie, speekselvloed._x000D_
Atropine achter de hand houden in geval van overdosering fysostigmine.                                                                                                                                                                                                                                                                                                                                                                                                                                                                                                                                                                                                                                                                                                                                                                                                                                                                                                                                                 </t>
  </si>
  <si>
    <t>Lisdiureticum. Nachtelijke piekdiurese vermijden door inname voor 17.00._x000D_
Biol. beschikbaarheid 40-80%. Werkt na enkele min.; duur ong. 2 uur. Cave gehoorbeschadiging (bij langdurig gebruik), hypokaliëmie, hypomagne-siëmie. Combineren met spironolacton. Geen onderhoudstherapie bij neonaten (hypercalciurie) uitz. cardiologische indicatie.</t>
  </si>
  <si>
    <t>Intraveneuze dosis &lt; 2 mg/kg langzaam intraveneus (5 min.); iv dosis &gt; 2 mg/kg infunderen over 30-60 min._x000D_
Inj.vl. is sterk alkalisch, continue toediening alleen via aparte lijn, niet samen met standaard IC-medicatie. Cave gehoorbeschadiging (bij langdurig gebruik), hypokaliëmie, hypomagnesiëmie. Combineren met spironolacton. Geen onderhoudstherapie bij neonaten (hypercalciurie), uitz. cardiologische indicatie.</t>
  </si>
  <si>
    <t>onderhoudsbehoefte per dag or:_x000D_
&lt; 6 mnd: 1500 IE_x000D_
6 mnd-10 jr: 2300 IE_x000D_
&gt; 10 jr: 3300 IE_x000D_
suppleren bij aangetoonde onvoldoende absorptie_x000D_
_x000D_
deficiëntie:_x000D_
&lt; 8 jr: or 10.000-20.000 IE/dag_x000D_
&gt; 8 jr: or 25.000-50.000 IE/dag_x000D_
kortdurend tot deficiëntieverschijnselen verdwenen zijn_x000D_
_x000D_
cystic fibrosis:_x000D_
or 4000-10.000 IE/dag in wateroplosbare vorm op geleide van spiegels_x000D_
_x000D_
galgangatresie:_x000D_
or 2500 IE/dag op geleide van spiegels</t>
  </si>
  <si>
    <t>deficiëntie: or 10-50 mg/dag in 1 dosis_x000D_
_x000D_
profylaxe bij isoniazide: or:_x000D_
&lt; 1 jr: 10 mg_x000D_
&gt; 1 jr: 20 mg_x000D_
_x000D_
primaire hyperoxalurie type I:_x000D_
aanvangsdosis or 10 mg/dag, ophogen tot 500 mg/m2 tot effect wordt bereikt, dosisverhoging pas na 2 maanden_x000D_
_x000D_
aminozuurstofwisselingsziekte: blz ?_x000D_
_x000D_
neonatale convulsies: evt. iv zie blz ?</t>
  </si>
  <si>
    <t>profylaxe: &lt; 4 jr or: tekort in voeding suppleren tot 200 IE/dag = 5 dr_x000D_
voor kinderen die weinig buiten komen en kinderen met een donkere huidskleur tot 400 IE/dag = 10 dr_x000D_
_x000D_
cystic fibrosis: or 400-800 IE/dag in wateroplosbare vorm = 10-20 dr_x000D_
_x000D_
Neon.: totale dagbehoefte:_x000D_
à terme: or 200-400 IE/dag, max 400 IE/dag_x000D_
prematuur: or 200 IE/kg/dag, max 400 IE/dag</t>
  </si>
  <si>
    <t>deficiëntie: or:_x000D_
1-5 kg:   1 mg_x000D_
5-10 kg:  2 mg_x000D_
10-20 kg: 4 mg_x000D_
20-30 kg: 5 mg_x000D_
_x000D_
galgangatresie: or 1 mg/dag_x000D_
_x000D_
cystic fibrosis:_x000D_
&lt; 6 jaar: or 5mg 2x/week, zonodig dagelijks_x000D_
&gt; 6 jaar: or 10 mg 2x/week, zonodig dagelijks_x000D_
_x000D_
Neon.: profylaxe postpartum_x000D_
gezonde à terme: or 1 mg</t>
  </si>
  <si>
    <t xml:space="preserve">Hyperbaar                                                                                                                                                                                                                                                                                                                                                                                                                                                                                                                                                                                                                                                                                                                                                                                                                                                                                                                                                                                                                                                       </t>
  </si>
  <si>
    <t>onderhoudsbehoefte fosf. in TPN in mmol/kg/dag continu iv. Vanaf de vijfde levensdag_x000D_
&lt; 1,5 kg: 1,2  (=  0,8 ml/kg/dag)_x000D_
1,5-3 kg: 0,75 (=  0,5 ml/kg/dag)_x000D_
3-10 kg: 0,65 (=  0,4 ml/kg/dag)_x000D_
10-20 kg: 0,3  (=  0,2 ml/kg/dag)_x000D_
&gt; 20  kg: 0,15 (=  0,1 ml/kg/dag)</t>
  </si>
  <si>
    <t>onderhoudsbehoefte magnesium in TPN in mmol/kg/dag continu iv:_x000D_
&lt; 3 kg: 0,15 (= 0,3  ml/kg/dag)_x000D_
3-10 kg: 0,25 (= 0,5  ml/kg/dag)_x000D_
&gt; 10 kg: 0,12 (= 0,25 ml/kg/dag)_x000D_
_x000D_
Neon.: hypomagnesiaemie bij convulsies: iv 0,08 mmol/kg (= 0,16 ml/kg) in 30 minuten onder ECG bewaking</t>
  </si>
  <si>
    <t>onderhoudsbehoefte Ca in TPN_x000D_
in mmol/kg/dag continu iv_x000D_
prematuur: 1   (=  4 ml/kg/dag)_x000D_
3-10 kg:  0,85 (=  3 ml/kg/dag)_x000D_
10-20 kg: 0,5  (=  2 ml/kg/dag)_x000D_
&gt; 20 kg:  0,2  (=  1 ml/kg/dag)_x000D_
_x000D_
Neon.: hypocalciaemie bij convulsies:_x000D_
iv 0,45 mmol/kg (= 2 ml/kg) in minimaal 30 minuten onder ECG bewaking</t>
  </si>
  <si>
    <t>Alternatief bij partiële epilepsie boven de 2 jr. Lamictal is als monotherapie nog niet geregistreerd voor de leeftijd van 2-12 jr. Wordt toegepast op voorschrift van de kinderneuroloog._x000D_
Wordt tevens gebruikt bij gegeneraliseerde tonisch-clonische aanvallen._x000D_
Vanwege huiduitslag dient de dosering te worden ingeslopen._x000D_
Bijw.: huiduitslag (maculo-papuleus), hoofdpijn, misselijkheid, vermoeidheid, agitatie, kleine kans op toxische epidermale necrolyse (TEN)._x000D_
Ther. plasmaconc. 0,5-15 mg/l._x000D_
Wordt renaal uitgescheiden, dosis aanpassen bij verminderde nierfunctie._x000D_
_x000D_
Enzyminducerende anti-epileptica zijn o.a. fenytoïne, carbamazepine en fenobarbital._x000D_
De plasmaconcentraties van valproaat, carbamazepine, fenobarbital en ethosuximide worden niet beïnvloed.</t>
  </si>
  <si>
    <t>Geen 1e keuze door optreden van hyperreactiviteit (wel bij neonaten)._x000D_
Ther. plasmaconc.: 15-30 mg/l_x000D_
Bij neonaten kan door onrijpheid van de lever de t1/2 verlengd zijn (ong. 16 dagen, bij oudere kinderen 3-5 dagen)._x000D_
Enzyminducerend effect._x000D_
Sterk sederend (wel gewenning). Soms paradoxale opwinding of  agressie._x000D_
1e keus bij neonaten. Neonatale oplaaddosis geeft gedurende de eerste week een adequate plasmaconcentratie._x000D_
Eerste teken overdosis: sedatie._x000D_
Controle lever- en nierfunctie bij begin van therapie en bij klachten.</t>
  </si>
  <si>
    <t xml:space="preserve">Intraveneuze toediening onder bewaking._x000D_
De antagonist flumazenil (Anexate) moet aanwezig zijn: iv 0,01 mg/kg, zonodig na 1 min. herhalen._x000D_
_x000D_
Bijw.: hypersalivatie, sufheid en hypotonie._x000D_
_x000D_
Langzaam afbouwen in minimaal 2 weken._x000D_
_x000D_
Druppelvloeistof  is ook oromucosaal toepasbaar._x000D_
</t>
  </si>
  <si>
    <t>1e keus bij syndroom van West._x000D_
Toepasbaar bij multifocale epilepsie, doch op grond van bijwerkingenprofiel (beperking van het gezichtsveld, excitatie, agitatie, slaapstoornissen en toename eetlust) is vigabatrine hier geen 1e keus. I.v.m. oogafwijkingen is controle door een oogarts noodzakelijk._x000D_
Alleen op voorschrift van neuroloog. Stoppen indien geen effect waarneembaar na 4 weken._x000D_
Bij nierinsuff. dosis aanpassen.</t>
  </si>
  <si>
    <t xml:space="preserve">Breed werkingsspectrum. Oraal tevens eradicatie H. pylori (comb. therapie)._x000D_
Drank bevat aspartaam (zoetstof)._x000D_
Dosis bij nierinsuff.: zie tabel blz ?                                                                                                                                                                                                                                                                                                                                                                                                                                                                                                                                                                                                                                                                                                                                                                                                                                                                                                          </t>
  </si>
  <si>
    <t xml:space="preserve">Standaardmiddel bij dermatomycosen veroorzaakt door schimmels en/of gisten.                                                                                                                                                                                                                                                                                                                                                                                                                                                                                                                                                                                                                                                                                                                                                                                                                                                                                                                                                                                     </t>
  </si>
  <si>
    <t>calciumgluconaat (calciumgluconaat )</t>
  </si>
  <si>
    <t>Calciumgluconaat (calciumgluconaat )</t>
  </si>
  <si>
    <t>Calciumlactaat drank WKZ (calciumlactaat)</t>
  </si>
  <si>
    <t>Capoten (captopril)</t>
  </si>
  <si>
    <t>Captimer (tiopronine)</t>
  </si>
  <si>
    <t>Cardene (nicardipine)</t>
  </si>
  <si>
    <t>Carnitene (L-carnitine)</t>
  </si>
  <si>
    <t>Caryolysine, Mitoxine, Mustine, Stikstofmosterd (chloormethine)</t>
  </si>
  <si>
    <t>Catapresan (clonidine)</t>
  </si>
  <si>
    <t>Cealb (albumine)</t>
  </si>
  <si>
    <t>Cefacidal (cefazoline)</t>
  </si>
  <si>
    <t>Cellcept (mycofenolaat)</t>
  </si>
  <si>
    <t>Cerubidine (daunorubicine)</t>
  </si>
  <si>
    <t>Cetomacrogolcreme FNA (cetomacrogolwas)</t>
  </si>
  <si>
    <t>Cetomacrogolzalf FNA (cetomacrogolwas)</t>
  </si>
  <si>
    <t>Cetor (c1-esteraseremmer)</t>
  </si>
  <si>
    <t>Chinidini sulfas (kinidine)</t>
  </si>
  <si>
    <t>Chlooraethyl (ethylchloride)</t>
  </si>
  <si>
    <t>Chloorhexidine FNA (chloorhexidine)</t>
  </si>
  <si>
    <t>chorion-gonadotrofine (chorion-gonadotrofine )</t>
  </si>
  <si>
    <t>Cinnarizinum (cinnarizine)</t>
  </si>
  <si>
    <t>Ciproxin (ciprofloxacine)</t>
  </si>
  <si>
    <t>Claforan (cefotaxim)</t>
  </si>
  <si>
    <t>Clamoxyl (amoxicilline)</t>
  </si>
  <si>
    <t>Claritine (loratadine)</t>
  </si>
  <si>
    <t>cocaine 3% + adrenaline 1:20.000 (cocaine)</t>
  </si>
  <si>
    <t>Codeini phosphas (codeïne)</t>
  </si>
  <si>
    <t>Colimycine (penta-Na-mesilaat) (colistine sulfaat)</t>
  </si>
  <si>
    <t>Cordarone (amiodaron)</t>
  </si>
  <si>
    <t xml:space="preserve">Bij overgevoeligheid voor carbamazepine (75% geen kruisallergie) en indien carbamazepine onvoldoende hoog gegeven kan worden i.v.m. dosis-afhankelijke bijwerkingen._x000D_
Effect 300 mg = ca. 200 mg carbamazepine. Weining enzym-inductie._x000D_
Plasmaconcentratiemeting is mogelijk; ther. plasmaconc. metaboliet 10-hydroxycarbazepine: 12-30 mg/l.                                                                                                                                                                                                                                                                                                                                                                                                                                                                                                                                                                                                                                                                                                                  </t>
  </si>
  <si>
    <t>Bij meerdere malen per dag doseren:_x000D_
plasmaconc. dal &lt; 2 mg/l, echter bij 1-2 mg/l intensieve monitoring i.v.m. mogelijke cumulatie._x000D_
plasmaconc. top 5-10 mg/l (bij afname 0,5 uur na einde infusie)._x000D_
Bij eenmaaldaags regime:_x000D_
plasmaconc. dal &lt; 0,5 mg/l_x000D_
plasmaconc. top &gt; 10 mg/l (bij afname 0,5 uur na einde infusie)_x000D_
t1/2 = 2-3 uur._x000D_
Plasmaspiegels neonaten:_x000D_
dal &lt; 2 mg/l, top 6-8 mg/ml, bij neonaten &lt; 1 week is t1/2  5-12 uur.</t>
  </si>
  <si>
    <t>Corotrope (milrinon)</t>
  </si>
  <si>
    <t>Cozaar (losartan)</t>
  </si>
  <si>
    <t>Creon (pancreatine (comb. prep.))</t>
  </si>
  <si>
    <t>Creon forte (pancreatine (comb. prep.))</t>
  </si>
  <si>
    <t>Crixivan (indinavir)</t>
  </si>
  <si>
    <t>Curalest (suxamethonium)</t>
  </si>
  <si>
    <t>Cutivate (fluticason)</t>
  </si>
  <si>
    <t>Cyclomydri 0,5% (cyclopentolaat)</t>
  </si>
  <si>
    <t>Cyklokapron (tranexaminezuur)</t>
  </si>
  <si>
    <t>Cymevene (ganciclovir)</t>
  </si>
  <si>
    <t>Cystagon (cysteamine-bitartraat)</t>
  </si>
  <si>
    <t>cysteamine 0,3% (cysteamine)</t>
  </si>
  <si>
    <t>Dagravit totaal 30 (multivitamine preparaten)</t>
  </si>
  <si>
    <t>Dagravit totaal 8 (multivitamine preparaten)</t>
  </si>
  <si>
    <t>Daivonex (calcipotriol)</t>
  </si>
  <si>
    <t>Daktacort comb.prep. met miconazol (hydrocortison)</t>
  </si>
  <si>
    <t xml:space="preserve">Behandeling van dermatomycosen in huidplooien. Afdekken (vlekken).                                                                                                                                                                                                                                                                                                                                                                                                                                                                                                                                                                                                                                                                                                                                                                                                                                                                                                                                                                                              </t>
  </si>
  <si>
    <t>Lotio alba en menthol werken verkoelend en daardoor jeukstillend; fenol heeft een lokaal anesthetisch effect. Fenol niet toepassen bij zwangerschap: evt. lotio alba met menthol._x000D_
Toepassing in de neus bij zuigelingen en jonge kinderen kan collaps veroorzaken.</t>
  </si>
  <si>
    <t>Bij ernstig, refractair psoriasis. Cave vermindering nierfunctie, hypertensie, verhoogde cholesterol- en triglyceridenspiegels. Veel interacties (o.a. anti-epileptica, anti-microbiële middelen) die dosisaanpassing (spiegelbegeleiding) nodig maken. Methotrexaat, ciclosporine en NSAID's kunnen elkaars toxiciteit versterken.</t>
  </si>
  <si>
    <t>Lokaal werkingsniveau 3._x000D_
Ad hoc receptuur: 10% salicylzuur in Betnelan V zalf.</t>
  </si>
  <si>
    <t>Corticosteroid met lokaal werkingsniveau 3. Mogelijk geringe absorptie en groot first-pass-effect, relatief minder systemische bijwerkingen. Ad hoc receptuur: 10% salicylzuur in Cutivate zalf.</t>
  </si>
  <si>
    <t xml:space="preserve">Niet geregistreerd. Wordt in geringe hoeveelheid geabsorbeerd: gecontraïndiceerd bij nierfunctiestoornis (zie inleiding).                                                                                                                                                                                                                                                                                                                                                                                                                                                                                                                                                                                                                                                                                                                                                                                                                                                                                                                                       </t>
  </si>
  <si>
    <t>Bij meerdere malen per dag doseren:_x000D_
plasmaconc. dal &lt; 2 mg/l, echter bij 1-2 mg/l intensieve monitoring i.v.m. mogelijke cumulatie._x000D_
plasmaconc. top 5-10 mg/l (bij afname 0,5 uur na einde infusie)._x000D_
Bij eenmaaldaags regime:_x000D_
plasmaconc. dal &lt; 0,5 mg/l, plasma-conc. top &gt; 10 mg/l (bij afname 0,5 uur na einde infusie)._x000D_
t1/2 = 2-3 uur._x000D_
cystic fibrosis:_x000D_
plasmaconc. dal &lt; 1 mg/l_x000D_
plasmaconc. top 12-18 mg/l (bij afname 0,5 uur na einde infusie).</t>
  </si>
  <si>
    <t>Rapifen (alfentanil)</t>
  </si>
  <si>
    <t>Regitine (fentolaminemesilaat)</t>
  </si>
  <si>
    <t xml:space="preserve">Lokaal werkingsniveau 3. Bevat fenylkwiknitraat (conserv.). O/w emulsie.                                                                                                                                                                                                                                                                                                                                                                                                                                                                                                                                                                                                                                                                                                                                                                                                                                                                                                                                                                                        </t>
  </si>
  <si>
    <t>0,5 mg dexamethason komt overeen met ca. 15 mg hydrocortison (4 mg met 120 mg). Bij langer gebruik dexamethason afbouwen tot 4 mg/dag, dan omzetten op hydrocortison (of 30 mg prednison), zie vervolgens afbouwschema inleiding._x000D_
Bijw.: hyperglycemie, ritmestoornissen. _x000D_
Intraveneus bij extreem cytostaticumbraken indien ondansetron onvoldoende werkzaam is en andere oorzaken van braken zijn uitgesloten._x000D_
Bij extubatie geïndiceerd bij te verwachten reactief tube-oedeem._x000D_
_x000D_
Stressdosering: zie inleiding blz ?</t>
  </si>
  <si>
    <t>5 mg komt overeen met ca. 20 mg hydrocortison._x000D_
Parenterale vorm staat ook bekend als D.A.F._x000D_
Tevens onderdeel van triple-therapie na niertransplantatie, zie protocol._x000D_
Voor een voorbeeld van een afbouwschema zie inleiding Hormonen glucocorticoïden._x000D_
Bijw.: hyperglycemie, ritmestoornissen.</t>
  </si>
  <si>
    <t>Zofran (ondansetron)</t>
  </si>
  <si>
    <t>Zovirax (aciclovir)</t>
  </si>
  <si>
    <t>Zure Oordruppels FNA (azijnzuur)</t>
  </si>
  <si>
    <t>Zymafluor (natriumfluoride)</t>
  </si>
  <si>
    <t xml:space="preserve">O/W-creme. Conserv sorbinezuur. Cetomacrogol is onverenigbaar met hoge concentraties fenolen.                                                                                                                                                                                                                                                                                                                                                                                                                                                                                                                                                                                                                                                                                                                                                                                                                                                                                                                                                                   </t>
  </si>
  <si>
    <t>Kortwerkend: 10-20 min. Gedissocieerde anesthesie. Goede analgesie. Stimulatie van ademhaling en hartfunctie. Verhoogt intracraniële en intraoculaire druk. Dysforie. Geeft speekselproduktie, altijd gebruiken in combinatie met atropine. In combinatie met benzodiazepine of propofol.</t>
  </si>
  <si>
    <t>Snelle distributie. Trage eliminatie: relevant bij langdurige toepassing (t½ 24-96 uur). Niet geschikt voor onderhoud. Verdunnen met aqua dest. tot 25 mg/ml (oplossing pH 11). Weefselnecrose bij extravasatie._x000D_
Bijw.: depressie ademhaling, hartfunctie, huidreacties door histamine release. Absolute contra-indicatie: porphyria._x000D_
High dose: bij intracraniele druk-verhoging en therapie-resistente status epilepticus (thiopental-coma)._x000D_
Begeleiding d.m.v. ECG en plasma-concentratiemeting 30-40 mg/l, (incidenteel 40-60 mg/l). Cave bloeddrukdaling en bij langdurig gebruik leverfunctiestoornissen.</t>
  </si>
  <si>
    <t>Dakins opl 1:5 (hypochloriet)</t>
  </si>
  <si>
    <t>AfspraakTekst</t>
  </si>
  <si>
    <t>amoxicilline+clavulaanzuur</t>
  </si>
  <si>
    <t>atovaquon+proguanil</t>
  </si>
  <si>
    <t xml:space="preserve">Eerste generatie cefalosporine._x000D_
t1/2 = 1-2 uur (bij neonaten langer)._x000D_
Dosis bij nierinsuff.: zie blz ?                                                                                                                                                                                                                                                                                                                                                                                                                                                                                                                                                                                                                                                                                                                                                                                                                                                                                                                                                        </t>
  </si>
  <si>
    <t>Combinatie van een sterkwerkend corticosteroïd met een aminoglycoside. Vooral werkzaam tegen Gram-negatieve bacteriëen. Geen eerste keus middel. Kans op sensibilisatie en kruisresistentie met andere aminoglycosiden. Uitsluitend op voorschrift van een oogarts. Toepassing na intraoculaire ingrepen.</t>
  </si>
  <si>
    <t>Tweede keus na fusidinezuur. Breed spectrum exclusief Pseudomonas-soorten. Goede penetratie in het oog, geringe systemische absorptie. Mogelijk een causaal verband tussen blootstelling aan UV-A licht en de zeer zeldzame irreversibele beenmergdepressie. Daarom fel licht zoveel mogelijk vermijden.</t>
  </si>
  <si>
    <t>Bij reanimatie is intraveneuze toediening eerste keus, indien onmogelijk intra-ossale schroef (=iv)._x000D_
_x000D_
Intratracheale toediening heeft zeker niet de voorkeur._x000D_
_x000D_
Bij onvoldoende effect van dopamine dobutamine. Dosisafhankelijke a- en ß-effecten. Bij hoge dosis a1-effect: perifere vasoconstrictie. Cave extravasatie: centr. veneuze catheter. Cave renale en mesenteriale vasoconstrictie.</t>
  </si>
  <si>
    <t>Vnl. ß1-effect. Bij cardiogene shock en acute decompensatio cordis. Iets selectiever inotroop dan dopamine (minder invloed op nierperfusie), meer kans op tensiedaling door vasodilatatie._x000D_
Bijw.: tachycardie, aritmieën en hypotensie bij gering circulerend volume (vooral bij doses vanaf 10 microg/kg/min). t1/2 = 2 minuten._x000D_
Toediening bij voorkeur via centraal veneuze catheter (mag evt. perifeer).</t>
  </si>
  <si>
    <t>Voor de maaltijd innemen._x000D_
Toepassing bij gastro-oesofageale reflux (evt. gecombineerd met antacida). Tevens bij postoperatief braken, braken na radiotherapie en na cytostatica. Domperidon is niet effectief bij braken met een cerebrale oorsprong. Minder extrapyramidale bijwerkingen dan metoclopramide._x000D_
Bij ernstige nierfunctiestoornissen doseerfrequentie verlagen naar 1-2 keer per dag._x000D_
Motilium drank bevat zoetstof.</t>
  </si>
  <si>
    <t>Bevat hydrocortisonacetaat 15 mg/ml, oxytetracycline 5 mg/ml en  polymyxine B 10.000 E/ml._x000D_
Breed werkingsspectrum waaronder Ps aeruginosa. Hydrocortison is lokaal zwakwerkend. Op voorschrift van een oogarts. Toepassing op OK na strabismusoperaties._x000D_
Wordt ook toegepast als oordruppel.</t>
  </si>
  <si>
    <t xml:space="preserve">Iv langzaam toedienen onder bewaking. Na verdunnen is 8 mg/100 ml de maximale conc. Indien hogere conc. is gewenst is Diazemuls geïndiceerd. Diazemuls kan worden verdund met gluc 5% tot gewenste conc._x000D_
Benzodiazepine. Spierverslappende, hypnotische, anxiolytische en anticonvulsieve werking._x000D_
_x000D_
</t>
  </si>
  <si>
    <t xml:space="preserve">Aan 20 mg flacon 60 ml aquadest toevoegen. De oplossing bestaat dan uit 20 mg = 70 ml. Aanvangsdosis 1 mg/kg (=3,5 ml/kg). Cave extravasatie, oplossing is sterk alkalisch._x000D_
Flacon bevat 3 g mannitol._x000D_
Leverfuncties controleren._x000D_
Bijw: sufheid, moeheid, slapte. Minder frequent diarree. Na langdurig gebruik is levertoxiciteit beschreven._x000D_
_x000D_
</t>
  </si>
  <si>
    <t>Effect binnen 1-2 min. Werkingsduur 20-30 min. Tijdens de leeftijd 1-9 jaar kunnen hogere onderhoudsdoses nodig zijn. Kinderen jonger dan 1 jaar zijn gevoeliger voor de neuromusculaire blokkade, de werkingsduur is gewoonlijk verlengd. De werkingsduur kan tevens verlengd zijn in combinatie met aminoglycosides, clindamycine en metronidazol.</t>
  </si>
  <si>
    <t>Ter coupering van acute supraventriculaire tachycardie, zowel diagnostisch als therapeutisch._x000D_
Als de ritmestoornis stopt maar direct weer terugkomt heeft ophogen geen zin._x000D_
Adenosine werkt zeer snel en heeft een zeer korte t1/2 (0,6-10 sec). Toediening dient plaats te vinden onder ECG-controle. Adenosine heeft geen negatief-inotrope en vasodilaterende werking. Dient snel gespoten te worden._x000D_
Dipyridamol versterkt de werking._x000D_
Bijw.: flushing, benauwdheidsaanval en het induceren van ventriculaire tachycardie, daarom ook defibrillator stand-by.</t>
  </si>
  <si>
    <t xml:space="preserve">Derde generatie cefalosporine._x000D_
De werking van ceftriaxon houdt ong. 24 uur aan. t1/2 = ong. 8 uur, (bij neonaten 10-25 uur)._x000D_
_x000D_
Niet toedienen bij pasgeborenen met hyperbilirubinemie._x000D_
_x000D_
Speciaal op aanvraag: flac 1 g intramusculair (met 35 mg lidocaïne). Dit dient opgelost en toegediend te worden volgens WKZ-protocol. _x000D_
Cave: het product met lidocaine mag niet iv worden toegediend!                                                                                                                                                                                                                                                                                                                                                                                                                                                                                                                                                                                                                                                              </t>
  </si>
  <si>
    <t>Analepticum. Hoge doseringen veroorzaken veel bijwerkingen: hypertensie, hyperexitabiliteit, milde lever­functiestoornissen, irritatie maag­darmkanaal, overmatige speekselproductie. Bij plotselinge hypotensie of dyspoe dient het gebruik te worden gestaakt.</t>
  </si>
  <si>
    <t>Het belangrijkste pro-vitamine A is betacaroteen._x000D_
1 ml = 50.000 IE_x000D_
1IE = 0,3 microg_x000D_
_x000D_
Acute intoxicatieverschijnselen bij zuigelingen en jonge kinderen zijn waargenomen na 75.000 IE. Verschijnselen zijn o.a. verhoogde intracraniële druk, braken, hallucinaties en duizeligheid._x000D_
_x000D_
Bij cystic fibrosis en galgangatresie plasmaconcentratie 1x per 6 maanden meten.</t>
  </si>
  <si>
    <t xml:space="preserve">Direct effect, zeer korte werkingsduur (10-20 min). Bij kortdurende pijnlijke ingrepen of  trauma opvang. Cave vagotonie, spierrigiditeit en ademhalingsdepressie. Voorzichtig bij verhoogde intracraniale druk, myasthenia gravis.                                                                                                                                                                                                                                                                                                                                                                                                                                                                                                                                                                                                                                                                                                                                                                                                                             </t>
  </si>
  <si>
    <t>Motilium (domperidon)</t>
  </si>
  <si>
    <t>MS Contin (morfine)</t>
  </si>
  <si>
    <t>Myambutol (ethambutol)</t>
  </si>
  <si>
    <t>Mycobutin (rifabutine)</t>
  </si>
  <si>
    <t>Myleran (busulfan)</t>
  </si>
  <si>
    <t>Naropin 0,2% (ropivacaïne)</t>
  </si>
  <si>
    <t>Nasivin 0,025% (oxymetazoline)</t>
  </si>
  <si>
    <t>Nasivin 0,05% (oxymetazoline)</t>
  </si>
  <si>
    <t>Natrium thiosulfaat (natriumthiosulfaat)</t>
  </si>
  <si>
    <t>Natriumbicarbonaat (natriumwaterstof­carbonaat)</t>
  </si>
  <si>
    <t>natriumcarbonaat opl 3% (natriumcarbonaat)</t>
  </si>
  <si>
    <t>Smalle therapeutische breedte:_x000D_
spiegelbepalingen noodzakelijk, eerste meting na opladen op dag 2._x000D_
Plasmaconc. dal: 1-2 microg/l._x000D_
Bloedmonsters welke binnen 8 uur na inname zijn afgenomen kunnen niet worden geïnterpreteerd. Voor snel effect is, gezien lange t1/2 (2-4 dagen) opladen noodzakelijk. Steady state wordt zonder opladen na ong. 10 dagen bereikt._x000D_
Bij nierfunctiestoornis dosering aanpassen._x000D_
Biol. beschikb. na orale toediening: ong. 75%_x000D_
Intoxicatieverschijnselen: zie inleiding._x000D_
Interacties: zie inleiding._x000D_
Colestyramine verlaagt de absorptie van digoxine._x000D_
Cave (geneesmiddel geïnduceerde) hypokaliëmie (zie inleiding).</t>
  </si>
  <si>
    <t xml:space="preserve">Smal werkingsspectrum._x000D_
Dosis bij nierinsuff.: zie tabel blz ?                                                                                                                                                                                                                                                                                                                                                                                                                                                                                                                                                                                                                                                                                                                                                                                                                                                                                                                                                                                                  </t>
  </si>
  <si>
    <t>Natriumchloride 0,9% (fysiologisch zout)</t>
  </si>
  <si>
    <t>Natriumchloride FNA 0,9% (natriumchloride)</t>
  </si>
  <si>
    <t>Natriumcitraat drank (natriumcitraat)</t>
  </si>
  <si>
    <t>natriumfosfaat pH 7,4 (natriumfosfaat)</t>
  </si>
  <si>
    <t>Natriumseleniet (seleen)</t>
  </si>
  <si>
    <t>Natulan (procarbazine)</t>
  </si>
  <si>
    <t>NeisVac-C (meningokokkenvaccin)</t>
  </si>
  <si>
    <t>Neoral (ciclosporine)</t>
  </si>
  <si>
    <t>NeoRecormon (erytropoëtine)</t>
  </si>
  <si>
    <t>Nepresol (dihydralazine)</t>
  </si>
  <si>
    <t>Neupogen G-CSF (filgrastim)</t>
  </si>
  <si>
    <t>Nitro Pohl (nitroglycerine)</t>
  </si>
  <si>
    <t>Nizoral (ketoconazol)</t>
  </si>
  <si>
    <t>Noradrenaline (norepinefrine)</t>
  </si>
  <si>
    <t>Norcuron (vecuronium )</t>
  </si>
  <si>
    <t>Norit Carbomix (kool geactiveerd)</t>
  </si>
  <si>
    <t>Normison (temazepam)</t>
  </si>
  <si>
    <t>Noroxin (norfloxacine)</t>
  </si>
  <si>
    <t>Norvasc (amlodipine)</t>
  </si>
  <si>
    <t xml:space="preserve">Oraal toepasbaar derde generatie cefalosporine, uitsluitend op speciale indicatie. Biol. beschikb. is 40-50 %._x000D_
Dosis bij nierinsuff.: zie tabel blz ?                                                                                                                                                                                                                                                                                                                                                                                                                                                                                                                                                                                                                                                                                                                                                                                                                                                                                                          </t>
  </si>
  <si>
    <t>Tevens enige mineralocorticoïde activiteit._x000D_
Vooral als substitutietherapie en bij afbouwen langdurige corticosteroïd-therapie._x000D_
Bijw.: hyperglycemie, ritmestoornissen. _x000D_
Zetpillen uitsluitend nadat goede rectale absorptie per individuele patient is uitgetest. Alleen in overleg met endocrinoloog.</t>
  </si>
  <si>
    <t>Pethidine cocktail (pethidine cocktail (comb.prep.))</t>
  </si>
  <si>
    <t>Phenobarbital (fenobarbital)</t>
  </si>
  <si>
    <t>Phos-ex (calciumacetaat)</t>
  </si>
  <si>
    <t>Pilocarpine 2% (pilocarpine)</t>
  </si>
  <si>
    <t>Pipcil (piperacilline)</t>
  </si>
  <si>
    <t>Plaquenil (sulfaat) (hydroxychloroquine)</t>
  </si>
  <si>
    <t>Pneumovax 23 (pneumokokkenvaccin)</t>
  </si>
  <si>
    <t>Pneumune (pneumokokkenvaccin)</t>
  </si>
  <si>
    <t>Polytrim (comb.prep.) (polymyxine B + trimethoprim)</t>
  </si>
  <si>
    <t>prednisolon 0,5% (prednisolon)</t>
  </si>
  <si>
    <t>prednisolon forte 1% (prednisolon)</t>
  </si>
  <si>
    <t>Pregnyl HCG (chorion-gonadotrofine )</t>
  </si>
  <si>
    <t>Premarin (oestrogenen, geconjugeerd)</t>
  </si>
  <si>
    <t>Prepulsid (cisapride)</t>
  </si>
  <si>
    <t>Prevenar (pneumokokkenvaccin)</t>
  </si>
  <si>
    <t>Primene 10% (TPN)</t>
  </si>
  <si>
    <t>Primolut-N (norethisteron)</t>
  </si>
  <si>
    <t>Primperan (metoclopramide)</t>
  </si>
  <si>
    <t>Proglicem (diazoxide)</t>
  </si>
  <si>
    <t>Pronestyl (procaïnamide)</t>
  </si>
  <si>
    <t>Prostin VR (alprostadil)</t>
  </si>
  <si>
    <t>Protagens Mono 2% (polyvidon)</t>
  </si>
  <si>
    <t>Protamine HCL (protamine)</t>
  </si>
  <si>
    <t>Pulmicort aërosol (budesonide)</t>
  </si>
  <si>
    <t>Pulmicort respules (budesonide)</t>
  </si>
  <si>
    <t>Pulmicort turbuhaler (budesonide)</t>
  </si>
  <si>
    <t>Pulmozyme rh DNase (dornase alfa)</t>
  </si>
  <si>
    <t>Puri-Nethol (mercaptopurine)</t>
  </si>
  <si>
    <t>Pyrazinamidum (pyrazinamide)</t>
  </si>
  <si>
    <t>Pyridoxini HCl (pyridoxine)</t>
  </si>
  <si>
    <t>Questran A (colestyramine)</t>
  </si>
  <si>
    <t xml:space="preserve">Bij dermatomycosen wanneer imidazolen onvoldoende werkzaam zijn of niet verdragen worden. Werkzaam tegen dermatofyten, in mindere mate tegen gisten.                                                                                                                                                                                                                                                                                                                                                                                                                                                                                                                                                                                                                                                                                                                                                                                                                                                                                                            </t>
  </si>
  <si>
    <t xml:space="preserve">Bevriezingsanesthesie. Alleen op intacte huid.                                                                                                                                                                                                                                                                                                                                                                                                                                                                                                                                                                                                                                                                                                                                                                                                                                                                                                                                                                                                                  </t>
  </si>
  <si>
    <t>Combinatie van lidocaïne 2,5% + prilocaïne 2,5%._x000D_
Effect na 1 uur, werkingsduur:_x000D_
na 1 uur applicatie: 60 min_x000D_
na 2 uur applicatie: 90 min._x000D_
Overdosering: kans op methemoglobinemie._x000D_
Contra-indicatie: beschadigde huid, leeftijd 0-12 mnd in combinatie met sulfonamiden.</t>
  </si>
  <si>
    <t xml:space="preserve">Effect na 5 min, werkingsduur ong. 2 uur. Bevat fenol, cave intraveneuze toediening.                                                                                                                                                                                                                                                                                                                                                                                                                                                                                                                                                                                                                                                                                                                                                                                                                                                                                                                                                                            </t>
  </si>
  <si>
    <t>Effect max na 30 min; werkingsduur ± 4 uur. Ongeschikt voor regionale iv anesthesie i.v.m. cardiotoxiciteit._x000D_
_x000D_
Monitoring met saturatie-meter en/of respiratie-ECG monitor en bloeddrukmeting volgens protocol. Blaascatheter i.v.m. mictiestoornissen. Bijw. combinatie: duizeligheid, gestoorde spraak, cardio-respiratoire depressie, insulten._x000D_
Oplossen in fys. zout. Bevat geen conserveermiddel.</t>
  </si>
  <si>
    <t xml:space="preserve">Smal werkingsspectrum._x000D_
Bij voorkeur 1 uur vóór of 2 uur ná de maaltijd innemen._x000D_
Dosis bij nierinsuff.: zie tabel blz ?                                                                                                                                                                                                                                                                                                                                                                                                                                                                                                                                                                                                                                                                                                                                                                                                                                                                                                                                        </t>
  </si>
  <si>
    <t>Breed werkingsspectrum._x000D_
De dranken bevatten aspartaam als zoetstof._x000D_
Clavulaanzuur blokkeert de werking van de meeste algemeen voorkomende ß-lactamasen van stafylokokken en Gram-negatieve bacteriën (zoals E. coli, Klebsiella, Proteus mirabilis en H. influenzae)_x000D_
Dosis bij nierinsuff.: zie tabel blz ?</t>
  </si>
  <si>
    <t>Bij intoxicaties door cholinesterase-remmer doseren op geleide sinusritme. Atropine is werkzaam tegen de muscarine-achtige symptomen tengevolge van de cumulatie van acetylcholine._x000D_
Overdosering van atropine: depressie CZS, coma, hypotensie, ademhalings-depressie.</t>
  </si>
  <si>
    <t>De dosering wordt verder getitreerd op vetresorptie-coëfficiënt en klachtenpatroon. Orale toediening van 250 mg pancreatine 6NF-poeder is ongeveer gelijk aan 1 capsule pancrease; men geeft van pancreatine poeder 2 maal zoveel omdat dit niet maagsap-resistent is._x000D_
250 mg poeder bevat:_x000D_
lipase    9250 FIP-E_x000D_
amylase  8500   FIP-E_x000D_
protease   550   FIP-E</t>
  </si>
  <si>
    <t xml:space="preserve">Bij ernstige intoxicatie opladen tijdens plasma-analyse._x000D_
Ethanolconcentratie op 1 promille (1000 mg/l) houden. 1 liter bevat 64 g alcohol (6,4% g/v)._x000D_
Cave potentiëring neurotoxische werking (sterke sedatie) van methanol/ethyleenglycol en alcohol._x000D_
Bij brandspiritusintoxicatie (methanol en ethanol) eerst de laboratorium-resultaten afwachten.                                                                                                                                                                                                                                                                                                                                                                                                                                                                                                                                                                                                                                                                                                        </t>
  </si>
  <si>
    <t>amiodarone</t>
  </si>
  <si>
    <t>PEEP 5 cmH20</t>
  </si>
  <si>
    <t xml:space="preserve">Smal werkingsspectrum, ß-lactamase ongevoelig._x000D_
Bij voorkeur 1 uur vóór of 2 uur ná de maaltijd innemen._x000D_
De drank is niet geregistreerd.                                                                                                                                                                                                                                                                                                                                                                                                                                                                                                                                                                                                                                                                                                                                                                                                                                                                                                                       </t>
  </si>
  <si>
    <t>substitutietherapie bij hypogonadisme:_x000D_
meestal 250 mg per 3 weken im_x000D_
_x000D_
inductie van puberteit:_x000D_
kuur van 6 x 50-100 mg im over een periode van 3 maanden_x000D_
_x000D_
N.B. samenstelling van Sustanon 250 is anders dan die van Sustanon 100, dus niet zonder meer uitwisselbaar</t>
  </si>
  <si>
    <t>adjuvans cytostaticumbraken: starten _x000D_
voor cytostaticumtoediening,_x000D_
iv 10 mg/m2/dag in 1 dosis gedurende max 5 dagen_x000D_
_x000D_
bij extubatie indien geïndiceerd:_x000D_
iv 16-20 mg/m2/dag in 4 doses starten_x000D_
24 uur voor extubatie tot 24 uur erna_x000D_
_x000D_
meningitis: iv 0,6 mg/kg/dag in 4 doses gedurende 4 dagen_x000D_
_x000D_
Neon.: bij extubatie indien geïndiceerd:_x000D_
iv 0,5 mg/kg half uur voor extubatie, na 8 uur 0,25 mg/kg, na 16 uur 0,25 mg/kg</t>
  </si>
  <si>
    <t xml:space="preserve">Antagonist van door benzodiazepinen en zopiclon veroorzaakte sedering.                                                                                                                                                                                                                                                                                                                                                                                                                                                                                                                                                                                                                                                                                                                                                                                                                                                                                                                                                                                          </t>
  </si>
  <si>
    <t>Complex van ijzer en deferoxamine kan de urine rood kleuren._x000D_
Bijw.: evenwichtsstoornissen (dosisafhankelijk)._x000D_
Chelatietherapie bij ß-thalassemie major. Doseren op geleide ferritinegehalte._x000D_
Cave huidirritaties bij subcutane toediening (evt. 1-2 mg hydrocortison toevoegen).</t>
  </si>
  <si>
    <t>Overleg met cardioloog en apotheker._x000D_
De inhoud van 1 flacon complexeert 1 mg digoxine._x000D_
De hoeveelheid digoxine (Q) in het lichaam wordt als volgt berekend:_x000D_
Q (microg) = gemeten concentratie (microg/l) x V (l/kg) x gewicht (kg)._x000D_
V = 7 l/kg_x000D_
Na toedienen uitsluitend niet-eiwitgebonden digoxine bepalen!</t>
  </si>
  <si>
    <t xml:space="preserve">Toxisch, zowel acuut als chronisch ernstige bijwerkingen! Stoppen bij branderig gevoel in de keel, misselijkheid, buikkrampen en diarree. Bij langdurig gebruik kan neuropathie optreden._x000D_
Geen bewijs voorhanden voor verminderde fertiliteit. Bij zwangerschapswens wel profylaxe onderbreken._x000D_
</t>
  </si>
  <si>
    <t xml:space="preserve">Effect na 1-2 min, duur 30-45 min. Ook peri-operatief onder bewaking. Cave vagotonie, spierrigiditeit, en ademalingsdepressie. Voorzichtig bij verhoogde intracraniale druk, myasthenia gravis.                                                                                                                                                                                                                                                                                                                                                                                                                                                                                                                                                                                                                                                                                                                                                                                                                                                                 </t>
  </si>
  <si>
    <t>Combinatiepreparaat voor epidurale/caudale toepassing. Uitsluitend op voorschrift anesthesist. Monitoring met saturatie-meter en/of respiratie-ECG monitor en bloeddrukmeting volgens protocol. Blaascatheter i.v.m. mictiestoornissen. Bij overdosering duizeligheid, gestoorde spraak, cardio-respiratoire depressie, insulten.</t>
  </si>
  <si>
    <t>Op voorschrift van de anesthesist. Epidurale toediening bewaken met saturatie-meter en/of respiratie-ECG monitor en bloeddrukmeting volgens protocol. Blaascatheter i.v.m. mictiestoornissen. Bij overdosering duizeligheid, cardio-respiratoire depressie, insulten._x000D_
Bijw.: braken, jeuk, urineretentie._x000D_
Verdunnen met fys.zout.</t>
  </si>
  <si>
    <t>Voor chronische pijnbehandeling altijd in combinatie met een laxans._x000D_
Werkt maximaal na 4-6 uur, duur 8-12 uur. Biol. beschikb. 40-70%, neemt af bij oplopende sterkte._x000D_
Indien retard tablet wordt gebroken komt morfine 20-25% sneller vrij. De werkingsduur is dan ong. 8 uur. Retard tablet niet fijnmalen.</t>
  </si>
  <si>
    <t xml:space="preserve">Derde generatie cefalosporine met activiteit tegen o.a. Ps.aeruginosa._x000D_
Ceftazidim bevat ong. 2 mmol natrium per g. t1/2 = ong. 2 uur, bij neonaten 4-8 uur._x000D_
Bij cystic fibrosis altijd in combinatie met tobramycine._x000D_
Dosis bij nierinsuff.: zie tabel blz ?                                                                                                                                                                                                                                                                                                                                                                                                                                                                                                                                                                                                                                                                                                                                                                                                 </t>
  </si>
  <si>
    <t>01</t>
  </si>
  <si>
    <t>02</t>
  </si>
  <si>
    <t>03</t>
  </si>
  <si>
    <t>04</t>
  </si>
  <si>
    <t>05</t>
  </si>
  <si>
    <t>06</t>
  </si>
  <si>
    <t>07</t>
  </si>
  <si>
    <t>08</t>
  </si>
  <si>
    <t>09</t>
  </si>
  <si>
    <t xml:space="preserve">Werkt korter (2-4 uur) en zwakker dan morfine; heeft therapeutische drempel. Evenveel kans op ademhalingssuppressie, vasodilatatie en hypotensie. Niet langdurig geven i.v.m. accumulatie metaboliet met centrale prikkeling.                                                                                                                                                                                                                                                                                                                                                                                                                                                                                                                                                                                                                                                                                                                                                                                                                                   </t>
  </si>
  <si>
    <t xml:space="preserve">uitsluitend na overleg kindergastro-enteroloog,_x000D_
voor en tijdens therapie ECG maken,_x000D_
alleen na schriftelijke toestemming ouders en opname in een Register-programma,_x000D_
voor kortdurend gebruik,_x000D_
let op vele interacties en contra-indicaties:_x000D_
or 3-4 dd 0,2 mg/kg_x000D_
max 0,8 mg/kg/dag_x000D_
_x000D_
landelijke procedure volgt_x000D_
_x000D_
Neon.:_x000D_
zie boven, niet bij prematuren_x000D_
</t>
  </si>
  <si>
    <t>bij gastro-/bronchoscopiën: im 0,01 mg/kg max 0,6 mg/keer 1/2 uur voor de ingreep _x000D_
_x000D_
spasmolyticum: sc/im/iv: 0,01 mg/kg, max 0,4 mg elke 4-6 uur_x000D_
_x000D_
sinusbradycardie: iv 0,01-0,02 mg/kg/dosis, minimaal 0,1 mg en maximaal 1 mg/dosis, max 2 mg/dag_x000D_
_x000D_
antagonist voor organische fosforver-bindingen: iv/im 0,05 mg/kg, max 2 mg/dosis zo nodig elke 10-30 min herhalen op geleide sinusritme_x000D_
_x000D_
antagonist voor parasympathico-mimetica: iv aanvankelijk:_x000D_
&lt; 2  jr: 0,2 mg; 2-4 jr: 0,3 mg; 4-10 jr: 0,6 mg; &gt;10 jr: 1 mg,_x000D_
daarna evt. lagere doses op geleide klinisch beeld _x000D_
_x000D_
Neon.:_x000D_
bij gastro-/bronchoscopieën: im 0,01 mg/kg, 1/2 uur voor ingreep</t>
  </si>
  <si>
    <t>Acidum folicum (foliumzuur)</t>
  </si>
  <si>
    <t>Acipen-V (fenoxymethyl-penicilline)</t>
  </si>
  <si>
    <t>Actrapid (insuline kortwerkend)</t>
  </si>
  <si>
    <t>Adalat retard (nifedipine)</t>
  </si>
  <si>
    <t>Adenocor (adenosine)</t>
  </si>
  <si>
    <t>Adrenaline (epinefrine)</t>
  </si>
  <si>
    <t>Adriblastina RTU (doxorubicine)</t>
  </si>
  <si>
    <t>Akineton (biperideen)</t>
  </si>
  <si>
    <t>Alcohol 8% v/v in glucose 5% (alcohol)</t>
  </si>
  <si>
    <t>Algeldratum desacidans (algeldraat)</t>
  </si>
  <si>
    <t>Alvofact surfactant (colfosceril)</t>
  </si>
  <si>
    <t>Aminohyppuurzuur (p-aminohyppuur-zuur)</t>
  </si>
  <si>
    <t>Aminoven 10% (TPN)</t>
  </si>
  <si>
    <t>Ammonaps (phenylbutyraat)</t>
  </si>
  <si>
    <t>Amsidine (amsacrine)</t>
  </si>
  <si>
    <t>Amukin (amikacine)</t>
  </si>
  <si>
    <t>Ancotil (flucytosine)</t>
  </si>
  <si>
    <t>Andriol (testosteron)</t>
  </si>
  <si>
    <t>Anexate (flumazenil)</t>
  </si>
  <si>
    <t>Apurin iv (allopurinol)</t>
  </si>
  <si>
    <t>Arachide olie (olie)</t>
  </si>
  <si>
    <t>Aranesp (darbepoëtine)</t>
  </si>
  <si>
    <t>Arginine chloride (arginine)</t>
  </si>
  <si>
    <t>Arginine HCl (arginine)</t>
  </si>
  <si>
    <t>Ascal (carbasalaat calcium)</t>
  </si>
  <si>
    <t>Aspegic (acetylsalicylzuur)</t>
  </si>
  <si>
    <t>ATG konijn Fresenius (thymocyten immunoglobuline (ATG))</t>
  </si>
  <si>
    <t>Atropine 0,25% (atropine)</t>
  </si>
  <si>
    <t>Atropine 0,5% (atropine)</t>
  </si>
  <si>
    <t>Atropine sulfaat oraal (atropine)</t>
  </si>
  <si>
    <t>Atropine sulfaat parenteraal (atropine)</t>
  </si>
  <si>
    <t>Atrovent aërosol (ipratropium)</t>
  </si>
  <si>
    <t>Atrovent inhalatievloeistof (ipratropium)</t>
  </si>
  <si>
    <t>Atrovent inhalette (ipratropium)</t>
  </si>
  <si>
    <t>Augmentin (comb.prep.) (amoxicilline + clavulaanzuur)</t>
  </si>
  <si>
    <t>Bacicoline B (comb.prep.) (bacitracine + colistine + hydrocortison)</t>
  </si>
  <si>
    <t>Bactrimel (comb.prep.) (co-trimoxazol)</t>
  </si>
  <si>
    <t>Bactroban 2% (mupirocin)</t>
  </si>
  <si>
    <t>Bactroban neuszalf (mupirocin)</t>
  </si>
  <si>
    <t>Becotide aërosol (beclometason)</t>
  </si>
  <si>
    <t>Becotide rotadisk (beclometason)</t>
  </si>
  <si>
    <t>Benzac W (benzoylperoxide)</t>
  </si>
  <si>
    <t>Betadine oplossing 10% (povidon-jood)</t>
  </si>
  <si>
    <t>Betadine Scrub (povidon-jood)</t>
  </si>
  <si>
    <t>Betadine shampoo (povidon-jood)</t>
  </si>
  <si>
    <t>Betadine zalf (povidon-jood)</t>
  </si>
  <si>
    <t>Betadine zalfgaas (povidon-jood)</t>
  </si>
  <si>
    <t>betaine base (betaine)</t>
  </si>
  <si>
    <t>Betnelan-V (betamethason-17-valeraat)</t>
  </si>
  <si>
    <t>Bisolvon (broomhexine)</t>
  </si>
  <si>
    <t>Bof/mazelen/rubella vaccin RIVM (BMR vaccin)</t>
  </si>
  <si>
    <t>Brevibloc (esmolol)</t>
  </si>
  <si>
    <t>Bricanyl turbuhaler (terbutaline)</t>
  </si>
  <si>
    <t>Bricanyl aërosol (terbutaline)</t>
  </si>
  <si>
    <t>Buscopan (butylscopolamine)</t>
  </si>
  <si>
    <t>Calci-chew (calciumcarbonaat)</t>
  </si>
  <si>
    <t>Calcium Sandoz forte (calcium-lactogluconaat)</t>
  </si>
  <si>
    <t xml:space="preserve">= lanettecreme FNA. O/W creme. Conserv.sorbinezuur. Alleen als handencreme.                                                                                                                                                                                                                                                                                                                                                                                                                                                                                                                                                                                                                                                                                                                                                                                                                                                                                                                                                                                     </t>
  </si>
  <si>
    <t xml:space="preserve">Breed werkingsspectrum, met activiteit tegen o.a. Ps.aeruginosa._x000D_
Kan de thrombocytenaggregatie verstoren._x000D_
Bij cystic fibrosis altijd in combinatie met aminoglycoside._x000D_
Dosis bij nierinsuff.:zie blz ?                                                                                                                                                                                                                                                                                                                                                                                                                                                                                                                                                                                                                                                                                                                                                                                                                                                       </t>
  </si>
  <si>
    <t>Combinatie van trimethoprim en sulfamethoxazol (1:5)_x000D_
Bij hoge dosering plasmaconcentratie meten: sulfamethoxazol dal: 150-200 mg/l, N-4-acetylmetaboliet maximaal 100 mg/l, bij voorkeur niet boven 50 mg/l. Bij nierfunctiestoornissen kan, om optimale sulfamethoxazolspiegel te bereiken, de concentratie van de metaboliet zodanig stijgen dat PCP alternatief behandeld moet worden._x000D_
De drank is saccharosevrij._x000D_
SDD: selectieve darmdecontaminatie_x000D_
Regelmatig bloedbeeld controleren bij langdurig gebruik en bij hoge dosis._x000D_
PCP: Pneumocystis carinii pneumonie._x000D_
Dosis bij nierinsuff.: zie blz ?</t>
  </si>
  <si>
    <t xml:space="preserve">In verband met resistentie-ontwikkeling geen monotherapie!_x000D_
Leverfunctie controleren bij langdurig gebruik._x000D_
De urine kan rood kleuren._x000D_
1 uur voor of 2 uur na de maaltijd innemen._x000D_
Gecontraïndiceerd bij zwangeren (cave profylaxe) en bij dragers van zachte contactlenzen wegens irreversibele verkleuring van de lens._x000D_
_x000D_
_x000D_
_x000D_
Indicaties profylaxe zie Antibiotica-beleid UMC/CMH._x000D_
</t>
  </si>
  <si>
    <t xml:space="preserve">Perifeer infuus 1: lock 4 dd 3 ml FZ  </t>
  </si>
  <si>
    <t>Perifeer infuus 2: lock 4 dd 3 ml FZ</t>
  </si>
  <si>
    <t>100 mg komt overeen met ca. 500 mg hydrocortison._x000D_
Pulsetherapie wordt toegepast op speciale indicatie, na o.a. rejectie van donororganen of therapieresistente SLE._x000D_
_x000D_
Bijw.: hyperglycemie, ritmestoornissen. _x000D_
_x000D_
Bij dreigende dwarslaesie. Effect aangetoond in 1 studie bij patiënten_x000D_
&gt; 13 jr (inhibitie post-traumatische lipid-peroxidatie).</t>
  </si>
  <si>
    <t>Synthetisch tripeptide identiek aan thyreotropine releasing hormone, dat de afgifte van thyreotropine en prolactine stimuleert. _x000D_
Bij diagnostiek schildklierstoornissen en hypofyseafwijkingen._x000D_
Bijw.: misselijkheid, flushing, mictiedrang (alle kortdurend).</t>
  </si>
  <si>
    <t>Servo I</t>
  </si>
  <si>
    <t>AutoMode</t>
  </si>
  <si>
    <t>EndInspCycl</t>
  </si>
  <si>
    <t xml:space="preserve">Adjuvans aan paracetamol bij chronische pijn. Zwak analgetisch. Werkt 3-6 uur. Cave hoestprikkeldemping en obstipatie. Altijd in combinatie met laxans.                                                                                                                                                                                                                                                                                                                                                                                                                                                                                                                                                                                                                                                                                                                                                                                                                                                                                                         </t>
  </si>
  <si>
    <t>Op geleide van spiegels</t>
  </si>
  <si>
    <t xml:space="preserve">Lokaal werkingsniveau 2.                                                                                                                                                                                                                                                                                                                                                                                                                                                                                                                                                                                                                                                                                                                                                                                                                                                                                                                                                                                                                                        </t>
  </si>
  <si>
    <t>bij astma-aanval:_x000D_
opladen iv 6 mg/kg in 20 min_x000D_
onderhoud continu iv:_x000D_
&lt; 2 mnd: 0,13 mg/kg/uur_x000D_
2-6 mnd: 0,4 mg/kg/uur_x000D_
0,5-1 jr:   0,7 mg/kg/uur_x000D_
1-6 jr:      0,9 mg/kg/uur_x000D_
7-16 jr:    0,7 mg/kg/uur_x000D_
&gt; 16 jr:    0,5 mg/kg/uur_x000D_
_x000D_
Neon.:_x000D_
opladen iv  6 mg/kg in 30 min_x000D_
onderhoud iv 4 mg/kg/dag in 4 doses,_x000D_
inlopen in 15 minuten</t>
  </si>
  <si>
    <t>im 0,5 ml, volgens vaccinatieschema:_x000D_
op leeftijd van 2,3,4 en 11 maanden simultaan met DKTP vaccin d.w.z. binnen 24 uur. Indien niet binnen dit tijdsbestek mogelijk dan minimaal een interval van 14 dagen aanhouden._x000D_
_x000D_
wanneer de eerste vaccinatie wordt gegeven tussen 6-12 maanden: 2 primaire doses met een interval van 1-2 maanden, gevolgd door een booster op leeftijd 14-18 maanden_x000D_
_x000D_
wanneer de eerste vaccinatie wordt gegeven na de leeftijd van 12 maanden: éénmalige dosis, geen booster</t>
  </si>
  <si>
    <t xml:space="preserve">Glijmiddel voor catheters en bij scopiën; bevat tevens 0,05% chloorhexidine.                                                                                                                                                                                                                                                                                                                                                                                                                                                                                                                                                                                                                                                                                                                                                                                                                                                                                                                                                                                    </t>
  </si>
  <si>
    <t>5 dd</t>
  </si>
  <si>
    <t>zn</t>
  </si>
  <si>
    <t>Osmotisch diureticum, effect op proximale tubulus. Wordt snel met de urine uitgescheiden. Cave anurie._x000D_
_x000D_
Bij dialyse ter verhoging van osmolariteit._x000D_
Bij hersenoedeem en ter voorkoming van posthypoxy-encefalopathie als zuurstofradicalen scavenger._x000D_
_x000D_
Bij reflexdystrofie experimentele 'scavenger' therapie._x000D_
Controle van de vochtbalans.</t>
  </si>
  <si>
    <t>ß1- en ß2-blokkeerder. Sterk lipofiel._x000D_
t1/2 = 4-6 uur._x000D_
Intraveneus onder OK/IC bewaking._x000D_
Bijw: bradycardie._x000D_
Cave hypoglykemie, verminderde cardiac output._x000D_
Cave omrekeningsfactor or/iv._x000D_
Als antihypertensivum hebben selectieve ß-blokkers (b.v. metoprolol) de voorkeur.</t>
  </si>
  <si>
    <t>ß1-selectief, t1/2 = 3-4 uur._x000D_
Intraveneus onder OK/IC bewaking._x000D_
Cave omrekeningsfactor or/iv._x000D_
Eerste keus ß-blokker bij hypertensie._x000D_
ZOC = Zero Order Control_x000D_
Bij gedilatateerde cardiomyopathie met hartfalen uitsluitend na cardiologische consultatie. Er wordt gestart met een zeer lage orale dosis en per week voorzichtig opgehoogd tot max dosering tenzij klinisch bijwerkingen of verslechtering optreedt.</t>
  </si>
  <si>
    <t>1-3 mg/kg/uur</t>
  </si>
  <si>
    <t>Epiduraal WKZ</t>
  </si>
  <si>
    <t>ml/u</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</si>
  <si>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IE._x000D_
_x000D_
Suppletie bij neonaten is afhankelijk van de soort en de hoeveelheid voeding. Suppletie tot genoemde hoeveelheden.</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</si>
  <si>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t>
  </si>
  <si>
    <t xml:space="preserve">Werking treedt 10-12 uur na inname in. Zorgt voor een zachte ontlasting met weinig krampen. Niet gebruiken voor chronische toediening.                                                                                                                                                                                                                                                                                                                                                                                                                                                                                                                                                                                                                                                                                                                                                                                                                                                                                                                          </t>
  </si>
  <si>
    <t xml:space="preserve">Kan ademhalingsdepressie door barbituraten versterken.                                                                                                                                                                                                                                                                                                                                                                                                                                                                                                                                                                                                                                                                                                                                                                                                                                                                                                                                                                                                          </t>
  </si>
  <si>
    <t>Eerste keuze bij gegeneraliseerde aanvallen (behalve absences) en bij partiële epilepsie._x000D_
Inname met voedsel verbetert sterk de absorptie._x000D_
Therap. plasmaconc.: 4-10 mg/l. Sterke (auto)-enzyminductie: t1/2 van 35 uur naar 10-20 uur in enkele weken._x000D_
Bijw.: sufheid, duizeligheid, ataxie. Kans op overgevoeligheid (exantheem). Eerste tekenen van overdosis: diplopie, ataxie.</t>
  </si>
  <si>
    <t>Langzaam opbouwen i.v.m. bijwerkingen._x000D_
Meestal als adjuvans bij partiële aanvallen en/of gegeneraliseerde tonisch-clonische aanvallen.Titreren tot de laagste effectieve dosis. Bijw: slaperigheid, coördinatiestoornissen, woordvindingsstoornissen, tremor, apathie. T1/2 = 19-25 uur. Bij nierinsuff. is de halfwaardetijd verlengd._x000D_
De capsules mogen worden opengemaakt.</t>
  </si>
  <si>
    <t>groeihorm. secretietest: or 0,15 mg/m2 naar boven afronden op een halve tabl._x000D_
_x000D_
adjuvans bij sedatie op IC: clonidine intraveneuze dagdosering= orale dagdosering welke gegeven wordt in 3-4dd
dus 0,5-2 mcg/kg/uur iv = 0,0125- 0,05 mg/kg/dag in 3-4 dd oraal
Capsules zijn beschikbaar van 0,025 mg en 0,15 mg en een drank is beschikbaar in een dosis van 0,15 mg/ml.</t>
  </si>
  <si>
    <t xml:space="preserve">Postconceptionele leeftijd 28 – 31 weken: Startdosering: 20
mg/kg/dosis éénmalige dosis. Onderhoudsdosering: 20
mg/kg/dag in 2 doses. 
◦ Postconceptionele leeftijd 31 – 36 weken: Startdosering: 20
mg/kg/dosis éénmalige dosis. Onderhoudsdosering: 30
mg/kg/dag in 3 doses. 
■Maximum dosis: 30 mg/kg/dag.
◦ Postconceptionele leeftijd &gt; 36 weken EN a terme neonaat: Startdosering: 20
mg/kg/dosis éénmalige dosis. Onderhoudsdosering: 40
mg/kg/dag in 4 doses. 
■Maximum dosis: 40 mg/kg/dag.
◦ 1mnd-18jr: Startdosering: 20
mg/kg/dosis éénmalige dosis. Onderhoudsdosering: 60
mg/kg/dag in 4 doses. 
■Maximum dosis: 4 g/dag.
■De paracetamol intraveneuze oplossing wordt toegediend als een 15-minuten intraveneus infuus. Het minimum interval tussen iedere toediening dient 4 uur te zijn
</t>
  </si>
  <si>
    <t>infvlst</t>
  </si>
  <si>
    <t>Daktarin (miconazol)</t>
  </si>
  <si>
    <t>Dalacin C (clindamycine)</t>
  </si>
  <si>
    <t>Dantrium (dantroleen)</t>
  </si>
  <si>
    <t>Daraprim (pyrimethamine)</t>
  </si>
  <si>
    <t>Davitamon AD (vitamine A/D)</t>
  </si>
  <si>
    <t>Davitamon D (colecalciferol)</t>
  </si>
  <si>
    <t>Davitamon E (tocoferolacet. dl-a)</t>
  </si>
  <si>
    <t>Davitamon K (fytomenadion)</t>
  </si>
  <si>
    <t>Decadron 0,1% (dexamethason)</t>
  </si>
  <si>
    <t>Depakine (valproaat natrium)</t>
  </si>
  <si>
    <t>Desferal (deferoxamine)</t>
  </si>
  <si>
    <t>Detrusitol (tolterodine)</t>
  </si>
  <si>
    <t>Devaron (colecalciferol)</t>
  </si>
  <si>
    <t>Dexamytrex (comb.prep.) (gentamicine + dexamethason)</t>
  </si>
  <si>
    <t>dextromethorfan san (dextromethorfan)</t>
  </si>
  <si>
    <t>Di-adreson F aquosum (prednisolon)</t>
  </si>
  <si>
    <t>Diamox (acetazolamide)</t>
  </si>
  <si>
    <t>Diazemuls (diazepam)</t>
  </si>
  <si>
    <t>Dichlotride (hydrochloorthiazide)</t>
  </si>
  <si>
    <t>Diflucan (fluconazol)</t>
  </si>
  <si>
    <t>Difterie/kinkhoest/tetanus/polio vaccin RIVM (DKTP vaccin)</t>
  </si>
  <si>
    <t>Difterie/tetanus/polio vaccin RIVM (DTP vaccin)</t>
  </si>
  <si>
    <t>Digitalis antidot (digoxine Fab  fragmenten)</t>
  </si>
  <si>
    <t>digoxine Fab fragmenten (digoxine Fab  fragmenten)</t>
  </si>
  <si>
    <t>Diopine 0,1% (dipivefrine)</t>
  </si>
  <si>
    <t>Diphantoine Z (fenytoïne)</t>
  </si>
  <si>
    <t>Dipiperon (pipamperon)</t>
  </si>
  <si>
    <t>Diprivan (propofol)</t>
  </si>
  <si>
    <t>DMSO (dimethylsulfoxide)</t>
  </si>
  <si>
    <t>Dopamine chloride (dopamine)</t>
  </si>
  <si>
    <t>Dopram (doxapram)</t>
  </si>
  <si>
    <t>Dormicum (midazolam)</t>
  </si>
  <si>
    <t>Dridase (oxybutynine)</t>
  </si>
  <si>
    <t>Dulcolax (bisacodyl)</t>
  </si>
  <si>
    <t>Duphalac (lactulose)</t>
  </si>
  <si>
    <t>Duratears Z (paraffine/vaseline/wolvet)</t>
  </si>
  <si>
    <t>Dytac (triamtereen)</t>
  </si>
  <si>
    <t>Elocon vet (momethason)</t>
  </si>
  <si>
    <t>Emla (comb.) (lidocaïne)</t>
  </si>
  <si>
    <t>Endoxan (cyclofosfamide)</t>
  </si>
  <si>
    <t>Engerix-B (recombinant) (hepatitis B-vaccin)</t>
  </si>
  <si>
    <t>Entocort (budesonide)</t>
  </si>
  <si>
    <t>Ephedrine HCl (efedrine)</t>
  </si>
  <si>
    <t xml:space="preserve">amfotericine-B-lipidencomplex </t>
  </si>
  <si>
    <t>amfotericine-B</t>
  </si>
  <si>
    <t>Abelcet (amfotericine-B-lipidencomplex)</t>
  </si>
  <si>
    <t xml:space="preserve">Orale toedieningsvorm van cefuroxim._x000D_
Tweede generatie cefalosporine._x000D_
Biol. beschikb. is 40-50%. Cefuroximaxetil tijdens of vlak na de maaltijd innemen. t1/2 = 1-2 uur._x000D_
Dosis bij nierinsuff.: zie blz ?                                                                                                                                                                                                                                                                                                                                                                                                                                                                                                                                                                                                                                                                                                                                                                                                                                                     </t>
  </si>
  <si>
    <t>Relefact GnRH, HRF (gonadoreline)</t>
  </si>
  <si>
    <t>Relefact TRH (protireline)</t>
  </si>
  <si>
    <t>Remicade (infliximab)</t>
  </si>
  <si>
    <t>Renitec (enalapril)</t>
  </si>
  <si>
    <t>Rescuvolin (calciumfolinaat)</t>
  </si>
  <si>
    <t>Resonium A natrium-zout (polystyreen-sulfonzuur)</t>
  </si>
  <si>
    <t>Resorcinol + salicylz. in Lanette II FNA (resorcinol (comb.prep.))</t>
  </si>
  <si>
    <t>Retrovir AZT (zidovudine)</t>
  </si>
  <si>
    <t>Rifadin (rifampicine)</t>
  </si>
  <si>
    <t>Ritalin (methylfenidaat)</t>
  </si>
  <si>
    <t>Rivotril (clonazepam)</t>
  </si>
  <si>
    <t>Rocephin (ceftriaxon)</t>
  </si>
  <si>
    <t>Rytmonorm (propafenon)</t>
  </si>
  <si>
    <t>Sabril (vigabatrine)</t>
  </si>
  <si>
    <t>Salazopyrine EC (sulfasalazine)</t>
  </si>
  <si>
    <t>Salicylvaseline (salicylzuur)</t>
  </si>
  <si>
    <t>Salofalk (mesalazine)</t>
  </si>
  <si>
    <t>Sandimmune (ciclosporine)</t>
  </si>
  <si>
    <t>Sandomigran (pizotifeen)</t>
  </si>
  <si>
    <t>Sandostatine (octreotide)</t>
  </si>
  <si>
    <t>Selokeen (metoprolol)</t>
  </si>
  <si>
    <t>Selsun (seleensulfide)</t>
  </si>
  <si>
    <t>Septopal ketting (gentamicine)</t>
  </si>
  <si>
    <t>Seresta (oxazepam)</t>
  </si>
  <si>
    <t>Serevent aërosol (salmeterol)</t>
  </si>
  <si>
    <t>Serevent diskus (salmeterol)</t>
  </si>
  <si>
    <t>Serevent rotadisk (salmeterol)</t>
  </si>
  <si>
    <t>Sevorane (sevofluraan)</t>
  </si>
  <si>
    <t>Simulect (basiliximab)</t>
  </si>
  <si>
    <t>Sinemet (levodopa + carbidopa 10:1)</t>
  </si>
  <si>
    <t>Sintrom mitis (acenocoumarol)</t>
  </si>
  <si>
    <t>AfsprakenVersie</t>
  </si>
  <si>
    <t>plasma-eiwitoplossing</t>
  </si>
  <si>
    <t>methadon+metoclopramide</t>
  </si>
  <si>
    <t>dexa+framycetine+gramicidine</t>
  </si>
  <si>
    <t>bacitracine+colistine+hydrocort</t>
  </si>
  <si>
    <t>tocoferolacet-(Vitamine-E)</t>
  </si>
  <si>
    <t>thymocyten-immunoglob-(ATG)</t>
  </si>
  <si>
    <t>hydrocort+oxytetrac+polymyx-B</t>
  </si>
  <si>
    <t>gentamicine+dexamethason</t>
  </si>
  <si>
    <t>fenol+menthol</t>
  </si>
  <si>
    <t>imipenem+cilastatine</t>
  </si>
  <si>
    <t>lopinavir+ritonavir</t>
  </si>
  <si>
    <t>paracetamol+codeïne</t>
  </si>
  <si>
    <t>piperacilline+tazobactam</t>
  </si>
  <si>
    <t>propanol+isopropanol+mecetronium</t>
  </si>
  <si>
    <t>Frequentie</t>
  </si>
  <si>
    <t>Route</t>
  </si>
  <si>
    <t>Opm</t>
  </si>
  <si>
    <t xml:space="preserve">Speciaal t.b.v. CT scan. Bewaking en saturatiemeting vereist (evt. alternatief is chloralhydraat). Poliklinische toepassing/dagbehandeling: pas naar huis als kind goed wakker is.                                                                                                                                                                                                                                                                                                                                                                                                                                                                                                                                                                                                                                                                                                                                                                                                                                                                              </t>
  </si>
  <si>
    <t>InstMedIVDos_22</t>
  </si>
  <si>
    <t>InstMedIVDos_23</t>
  </si>
  <si>
    <t>InstMedIVDos_17</t>
  </si>
  <si>
    <t>InstMedIVDos_18</t>
  </si>
  <si>
    <t>InstMedIVDos_19</t>
  </si>
  <si>
    <t>InstMedIVStand_20</t>
  </si>
  <si>
    <t>InstMedIVStand_21</t>
  </si>
  <si>
    <t>InstMedIVStand_22</t>
  </si>
  <si>
    <t>InstMedIVStand_23</t>
  </si>
  <si>
    <t>InstMedIVStand_17</t>
  </si>
  <si>
    <t>InstMedIVStand_18</t>
  </si>
  <si>
    <t>InstMedIVStand_19</t>
  </si>
  <si>
    <t>Paraaf gezien door verpleegkundige:</t>
  </si>
  <si>
    <t>N.B. De roodomlijnde labbepalingen alleen op stricte indicatie aanvragen (kunnen niet via de POC)</t>
  </si>
  <si>
    <t>14:00 uur</t>
  </si>
  <si>
    <t>19:00 uur</t>
  </si>
  <si>
    <t>MedicatieContinu</t>
  </si>
  <si>
    <t>MedicatieDiscontinu</t>
  </si>
  <si>
    <t>TakenEnControles</t>
  </si>
  <si>
    <t>IntravasaleToegang</t>
  </si>
  <si>
    <t>VoedingEnTPN</t>
  </si>
  <si>
    <t xml:space="preserve">Derde generatie cefalosporine. T1/2 = ong. 1,5 uur, (bij neon. 3-6 uur)._x000D_
Dosis bij nierinsuff.: zie blz ?                                                                                                                                                                                                                                                                                                                                                                                                                                                                                                                                                                                                                                                                                                                                                                                                                                                                                                                                                      </t>
  </si>
  <si>
    <t>Op frequente controle TSH, FT-4, streefwaarde FT-4: 15-25 pmol/l._x000D_
Lange t1/2 (6-7 dagen). Max. effect na 3-4 weken, na staken houdt werking tot 3 weken aan._x000D_
Neonatologie: op frequente controle TSH, FT-4, streefwaarde FT-4: 20-25 pmol/l._x000D_
Benodigde hoeveelheid, na oplossen in wat water, via een lepeltje in de mond doen. Niet m.b.v. fles, slangetje, speen etc._x000D_
Tekenen overdosering: nervositeit, slapeloosheid, tremor, tachycardie, zweten, braken, koorts, gewichtsverlies en pseudotumor cerebri.</t>
  </si>
  <si>
    <t>Ther. bloedconcentratie: 0,1-0,3 mg/l (HPLC-bepaling) afhankelijk van indicatie en stadium behandeling._x000D_
Bijw.: hypertensie, neurotoxiciteit (tremoren, convulsies, voorbijgaande witte stof afwijkingen), tandvleeshyperplasie, hirsutisme, hypomagnesiëmie, cave nefrotoxiciteit._x000D_
Veel interacties met geneesmiddelen (o.a. nefrotoxische combinaties).</t>
  </si>
  <si>
    <t xml:space="preserve">Niet in het oog.                                                                                                                                                                                                                                                                                                                                                                                                                                                                                                                                                                                                                                                                                                                                                                                                                                                                                                                                                                                                                                                </t>
  </si>
  <si>
    <t xml:space="preserve">Als premedicatie of sedativum bij kleine ingrepen (puncties) en scans. Heeft geen pijnstillende werking. Effect na ± 30 min, werkingsduur ± 60 min. Poliklinische toepassing/dagbehandeling: pas naar huis als kind goed wakker is.                                                                                                                                                                                                                                                                                                                                                                                                                                                                                                                                                                                                                                                                                                                                                                                                                             </t>
  </si>
  <si>
    <t>Werkt snel en kort: goed stuurbaar en helder ontwaken. Cave tensiedaling bij snel inspuiten. Pijnlijk bij toedienen evt. lidocaïne toevoegen. Opgelost in olie-emulsie (10% Intralipid). Cave triglyceriden &lt; 2 mmol/l._x000D_
Voor algemene anesthesie geregistreerd vanaf de leeftijd van 1 maand.</t>
  </si>
  <si>
    <t>Toediening onder bewaking. Geeft amnesie._x000D_
Bijwerking paradoxale reacties: opwinding en duizeligheid. Cave ademdepressie, CARA, ademwegobstructie, comb. met opiaten._x000D_
oraal: effect na 30-45 min._x000D_
rect: effect na 10-20 min._x000D_
iv: effect na 3 min._x000D_
Werkingsduur na 1 dosis 1-2 uur._x000D_
t1/2: 2-4 uur, soms tot 48 uur._x000D_
Poliklinische toepassing/dagbehandeling: pas naar huis als kind goed wakker is._x000D_
Onttrekkingsverschijnselen na langdurig gebruik._x000D_
(Evt. adjuvans bij therapie-resistente status epilepticus, i.o. neuroloog)._x000D_
Geen toepassing bij prematuren.</t>
  </si>
  <si>
    <t xml:space="preserve">bij acute astma-aanval inhalatie:
 &lt; 4 jr: 2,5 mg
    4 jr: 2,5 mg
 &gt; 4 jr: 5,0 mg 
zonodig elk half uur herhalen
bij eerste opvang in combinatie met ipratropiumbromide (= Atrovent)
Neon.: inhalatie
start 0,5 mg/kg
max 1,5 mg/kg
N.B. Bij gebruik van Aeroneb Pro:
Kinderen t/m 4 jaar; 0,25 mg salbutamol
Kinderen vanaf 4 jaar; 0,5 mg salbutamol
Op geleide van het individuele effect kan deze dosering verhoogd of verlaagd worden. </t>
  </si>
  <si>
    <t>N.B. bereiden en voorschrijven volgens protocol en/of voorschrift anesthesist!</t>
  </si>
  <si>
    <t xml:space="preserve">Zalf en creme bevatten hydrocortisonacetaat. Lokaal werkingsniveau 1.                                                                                                                                                                                                                                                                                                                                                                                                                                                                                                                                                                                                                                                                                                                                                                                                                                                                                                                                                                                           </t>
  </si>
  <si>
    <t>Innemen na de maaltijd._x000D_
Toepassing bij kinderen is in onderzoek, uitsluitend toepassen onder controle gastro-enteroloog._x000D_
Gebruik bij gevorderde levercirrose kan leverinsufficiëntie luxeren. Vermindert de cholesterolverzadiging van de gal zodat gevormde cholesterolgalstenen in oplossing gaan. Minstens 3 mnd. behandelen._x000D_
Bijw.: diarree. Niet gelijktijdig toedienen met colestyramine.</t>
  </si>
  <si>
    <t>Tablet met maagzuurresistente granules. Tablet mag gehalveerd worden. Granules niet pulveriseren. Tablet mag uiteenvallen in water, vervolgens door sonde (minimaal ch. 8) toedienen. Bij ernstige reflux-oesophagitis en therapie-resistente ulcera. Kinderen &lt; 1 jaar moeten vaak hoger gedoseerd worden (tot 3 mg/kg/dag)._x000D_
Bij onvoldoende effect in meerdere doses toedienen.</t>
  </si>
  <si>
    <t>Parenteraal ook bij bloedende ulcera._x000D_
Verpakking "flac. voor injectie" nauwelijks te onderscheiden van "flac. voor infusie"; echter aanzienlijk verschil in pH. Infusievloeistof agressief voor de vaten tenzij 1 ampul verdund wordt tot 100 ml. Daarom alleen "flac. voor injectie" opgenomen in assortiment.</t>
  </si>
  <si>
    <t>Toedienen voor de maaltijd en voor het slapen gaan; bij reflux-oesophagitis ná de maaltijd en vóór het slapen gaan! Minimaal 2 uur tijdverschil tussen inname sucralfaat en ciprofloxacine, norfloxacine of fenytoïne i.v.m. absorptie. Cave aluminium-absorptie bij nierinsuff. Ulcogant-preparaten bevatten geen suiker.</t>
  </si>
  <si>
    <t>Niet geregistreerd in Nederland._x000D_
Werd voorheen verstrekt onder de naam Nedeltran 1 ml = 40 mg; 1 dr = 1 mg._x000D_
Sterk anti-histamine effect. Matig hypno-sedatief. Sterk anticholinergisch effect. Bij inslaapstoornissen bij jonge kinderen &gt; 1 jaar._x000D_
Niet combineren met deptropine.</t>
  </si>
  <si>
    <t>Intraveneus bij acuut astma._x000D_
Oplaaddosis om een plasmaconcentratie van 12 mg/l te bereiken. Indien te voren theofylline is gebruikt oplaaddosis aanpassen, denk aan retardvormen. _x000D_
N.B.: bij hart- of leverfalen dosering aanpassen._x000D_
Cave interacties met andere geneesmiddelen! (zie inleiding).</t>
  </si>
  <si>
    <t>Een fosfolipide voor profylaxe en behandeling van hyaliene membranenziekte bij prematuren._x000D_
Cave hemodynamisch significante persisterende ductus arteriosus._x000D_
Na 5e levensdag wordt effect van Surfactant therapie minder._x000D_
Indicatie bij conventionele beademing:_x000D_
FiO2 &gt; 0,6 en PIP &lt; 20 cm H2O_x000D_
FiO2 &gt; 0,45 en PIP &gt; 20 cm H2O_x000D_
Indicatie bij HFO-beademing:_x000D_
MAP &gt; 12 cm H2O en FiO2 &gt; 0,35</t>
  </si>
  <si>
    <t>RSV</t>
  </si>
  <si>
    <t>Bronchio</t>
  </si>
  <si>
    <t xml:space="preserve">colecalciferol 40 IE/dr          </t>
  </si>
  <si>
    <t xml:space="preserve">gentamicine 40 mg/ml          </t>
  </si>
  <si>
    <t>Glucose 5% + NaCl 0,45%</t>
  </si>
  <si>
    <t>Glucose 5% + NaCl 0,9%</t>
  </si>
  <si>
    <t>Ringer lactaat</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</si>
</sst>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quot;€&quot;\ #,##0.00_-;&quot;€&quot;\ #,##0.00\-"/>
    <numFmt numFmtId="165" formatCode="d\ mmmm\ \y\y\y\y"/>
    <numFmt numFmtId="166" formatCode="0\.0"/>
    <numFmt numFmtId="167" formatCode="dd\/mm\/\y\y"/>
    <numFmt numFmtId="168" formatCode="d/mmm/yyyy"/>
    <numFmt numFmtId="169" formatCode="#,##0.00_-"/>
    <numFmt numFmtId="170" formatCode="d\ mmmm\ yyyy"/>
    <numFmt numFmtId="171" formatCode="0.0"/>
    <numFmt numFmtId="172" formatCode="0.000"/>
  </numFmts>
  <fonts count="55" x14ac:knownFonts="1">
    <font>
      <sz val="10"/>
      <name val="Arial"/>
    </font>
    <font>
      <sz val="10"/>
      <name val="Arial"/>
    </font>
    <font>
      <sz val="10"/>
      <color indexed="9"/>
      <name val="Arial"/>
      <family val="2"/>
    </font>
    <font>
      <b/>
      <sz val="10"/>
      <color indexed="9"/>
      <name val="Arial"/>
      <family val="2"/>
    </font>
    <font>
      <b/>
      <sz val="10"/>
      <name val="Arial"/>
      <family val="2"/>
    </font>
    <font>
      <sz val="10"/>
      <color indexed="8"/>
      <name val="Arial"/>
      <family val="2"/>
    </font>
    <font>
      <sz val="9"/>
      <name val="Times New Roman"/>
      <family val="1"/>
    </font>
    <font>
      <sz val="10"/>
      <color indexed="18"/>
      <name val="Arial"/>
      <family val="2"/>
    </font>
    <font>
      <sz val="10"/>
      <color indexed="49"/>
      <name val="Arial"/>
      <family val="2"/>
    </font>
    <font>
      <b/>
      <sz val="10"/>
      <color indexed="18"/>
      <name val="Arial"/>
      <family val="2"/>
    </font>
    <font>
      <i/>
      <sz val="9"/>
      <name val="Arial"/>
      <family val="2"/>
    </font>
    <font>
      <b/>
      <sz val="10"/>
      <color indexed="8"/>
      <name val="Arial"/>
      <family val="2"/>
    </font>
    <font>
      <sz val="8"/>
      <name val="Arial"/>
      <family val="2"/>
    </font>
    <font>
      <sz val="10"/>
      <name val="Arial"/>
      <family val="2"/>
    </font>
    <font>
      <i/>
      <sz val="10"/>
      <name val="Arial"/>
      <family val="2"/>
    </font>
    <font>
      <b/>
      <sz val="8"/>
      <name val="Arial"/>
      <family val="2"/>
    </font>
    <font>
      <u/>
      <sz val="9"/>
      <name val="Times New Roman"/>
      <family val="1"/>
    </font>
    <font>
      <sz val="10"/>
      <name val="Arial"/>
    </font>
    <font>
      <b/>
      <sz val="11"/>
      <name val="Times New Roman"/>
      <family val="1"/>
    </font>
    <font>
      <sz val="7"/>
      <name val="Arial"/>
      <family val="2"/>
    </font>
    <font>
      <sz val="9"/>
      <color indexed="9"/>
      <name val="Times New Roman"/>
      <family val="1"/>
    </font>
    <font>
      <sz val="9"/>
      <color indexed="10"/>
      <name val="Times New Roman"/>
      <family val="1"/>
    </font>
    <font>
      <sz val="10"/>
      <name val="Times New Roman"/>
      <family val="1"/>
    </font>
    <font>
      <i/>
      <sz val="10"/>
      <name val="Times New Roman"/>
      <family val="1"/>
    </font>
    <font>
      <b/>
      <sz val="9"/>
      <name val="Times New Roman"/>
      <family val="1"/>
    </font>
    <font>
      <sz val="8"/>
      <name val="Times New Roman"/>
      <family val="1"/>
    </font>
    <font>
      <sz val="8"/>
      <name val="Arial"/>
    </font>
    <font>
      <sz val="8"/>
      <color indexed="8"/>
      <name val="Arial"/>
      <family val="2"/>
    </font>
    <font>
      <sz val="10"/>
      <color indexed="23"/>
      <name val="Arial"/>
      <family val="2"/>
    </font>
    <font>
      <b/>
      <sz val="10"/>
      <color indexed="55"/>
      <name val="Arial"/>
      <family val="2"/>
    </font>
    <font>
      <b/>
      <sz val="10"/>
      <color indexed="56"/>
      <name val="Arial"/>
      <family val="2"/>
    </font>
    <font>
      <b/>
      <i/>
      <u/>
      <sz val="10"/>
      <name val="Arial"/>
      <family val="2"/>
    </font>
    <font>
      <sz val="9"/>
      <name val="Arial"/>
      <family val="2"/>
    </font>
    <font>
      <sz val="10"/>
      <color indexed="42"/>
      <name val="Arial"/>
      <family val="2"/>
    </font>
    <font>
      <sz val="10"/>
      <color indexed="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sz val="8"/>
      <color indexed="23"/>
      <name val="Arial"/>
      <family val="2"/>
    </font>
    <font>
      <sz val="10"/>
      <color rgb="FF000000"/>
      <name val="Arial"/>
      <family val="2"/>
    </font>
    <font>
      <sz val="8"/>
      <color rgb="FF000000"/>
      <name val="Tahoma"/>
      <family val="2"/>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8"/>
        <bgColor indexed="64"/>
      </patternFill>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indexed="47"/>
        <bgColor indexed="64"/>
      </patternFill>
    </fill>
  </fills>
  <borders count="5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double">
        <color indexed="64"/>
      </top>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style="thin">
        <color indexed="55"/>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style="thin">
        <color indexed="22"/>
      </right>
      <top/>
      <bottom style="thin">
        <color indexed="22"/>
      </bottom>
      <diagonal/>
    </border>
    <border>
      <left/>
      <right/>
      <top/>
      <bottom style="thin">
        <color indexed="40"/>
      </bottom>
      <diagonal/>
    </border>
    <border>
      <left style="thin">
        <color indexed="9"/>
      </left>
      <right style="thin">
        <color indexed="9"/>
      </right>
      <top style="thin">
        <color indexed="9"/>
      </top>
      <bottom style="thin">
        <color indexed="9"/>
      </bottom>
      <diagonal/>
    </border>
    <border>
      <left style="thin">
        <color indexed="9"/>
      </left>
      <right style="thin">
        <color indexed="9"/>
      </right>
      <top style="thin">
        <color indexed="9"/>
      </top>
      <bottom style="thin">
        <color indexed="40"/>
      </bottom>
      <diagonal/>
    </border>
    <border>
      <left style="thin">
        <color indexed="9"/>
      </left>
      <right style="thin">
        <color indexed="9"/>
      </right>
      <top style="thin">
        <color indexed="40"/>
      </top>
      <bottom style="thin">
        <color indexed="40"/>
      </bottom>
      <diagonal/>
    </border>
    <border>
      <left style="thin">
        <color indexed="9"/>
      </left>
      <right style="thin">
        <color indexed="9"/>
      </right>
      <top/>
      <bottom style="thin">
        <color indexed="40"/>
      </bottom>
      <diagonal/>
    </border>
    <border>
      <left/>
      <right/>
      <top style="thin">
        <color indexed="40"/>
      </top>
      <bottom style="thin">
        <color indexed="40"/>
      </bottom>
      <diagonal/>
    </border>
    <border>
      <left/>
      <right/>
      <top style="thin">
        <color indexed="9"/>
      </top>
      <bottom style="thin">
        <color indexed="40"/>
      </bottom>
      <diagonal/>
    </border>
    <border>
      <left/>
      <right/>
      <top style="medium">
        <color indexed="22"/>
      </top>
      <bottom/>
      <diagonal/>
    </border>
    <border>
      <left/>
      <right/>
      <top/>
      <bottom style="medium">
        <color indexed="22"/>
      </bottom>
      <diagonal/>
    </border>
    <border>
      <left/>
      <right/>
      <top/>
      <bottom style="thin">
        <color indexed="15"/>
      </bottom>
      <diagonal/>
    </border>
    <border>
      <left/>
      <right/>
      <top/>
      <bottom style="thin">
        <color indexed="9"/>
      </bottom>
      <diagonal/>
    </border>
    <border>
      <left/>
      <right/>
      <top style="thin">
        <color indexed="9"/>
      </top>
      <bottom style="thin">
        <color indexed="9"/>
      </bottom>
      <diagonal/>
    </border>
    <border>
      <left/>
      <right/>
      <top style="thin">
        <color indexed="9"/>
      </top>
      <bottom/>
      <diagonal/>
    </border>
    <border>
      <left/>
      <right style="thin">
        <color indexed="9"/>
      </right>
      <top/>
      <bottom/>
      <diagonal/>
    </border>
    <border>
      <left/>
      <right style="thin">
        <color indexed="9"/>
      </right>
      <top style="thin">
        <color indexed="9"/>
      </top>
      <bottom/>
      <diagonal/>
    </border>
    <border>
      <left/>
      <right style="thin">
        <color indexed="9"/>
      </right>
      <top/>
      <bottom style="thin">
        <color indexed="9"/>
      </bottom>
      <diagonal/>
    </border>
    <border>
      <left/>
      <right/>
      <top style="thin">
        <color indexed="15"/>
      </top>
      <bottom style="thin">
        <color indexed="15"/>
      </bottom>
      <diagonal/>
    </border>
    <border>
      <left/>
      <right/>
      <top style="thin">
        <color indexed="55"/>
      </top>
      <bottom/>
      <diagonal/>
    </border>
    <border>
      <left/>
      <right/>
      <top/>
      <bottom style="thin">
        <color indexed="22"/>
      </bottom>
      <diagonal/>
    </border>
    <border>
      <left style="thin">
        <color indexed="64"/>
      </left>
      <right/>
      <top style="double">
        <color indexed="64"/>
      </top>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s>
  <cellStyleXfs count="42">
    <xf numFmtId="0" fontId="0" fillId="0" borderId="0"/>
    <xf numFmtId="0" fontId="35" fillId="2" borderId="0" applyNumberFormat="0" applyBorder="0" applyAlignment="0" applyProtection="0"/>
    <xf numFmtId="0" fontId="35" fillId="3" borderId="0" applyNumberFormat="0" applyBorder="0" applyAlignment="0" applyProtection="0"/>
    <xf numFmtId="0" fontId="35" fillId="4" borderId="0" applyNumberFormat="0" applyBorder="0" applyAlignment="0" applyProtection="0"/>
    <xf numFmtId="0" fontId="35" fillId="5" borderId="0" applyNumberFormat="0" applyBorder="0" applyAlignment="0" applyProtection="0"/>
    <xf numFmtId="0" fontId="35" fillId="6" borderId="0" applyNumberFormat="0" applyBorder="0" applyAlignment="0" applyProtection="0"/>
    <xf numFmtId="0" fontId="35" fillId="7" borderId="0" applyNumberFormat="0" applyBorder="0" applyAlignment="0" applyProtection="0"/>
    <xf numFmtId="0" fontId="35" fillId="8" borderId="0" applyNumberFormat="0" applyBorder="0" applyAlignment="0" applyProtection="0"/>
    <xf numFmtId="0" fontId="35" fillId="9" borderId="0" applyNumberFormat="0" applyBorder="0" applyAlignment="0" applyProtection="0"/>
    <xf numFmtId="0" fontId="35" fillId="10" borderId="0" applyNumberFormat="0" applyBorder="0" applyAlignment="0" applyProtection="0"/>
    <xf numFmtId="0" fontId="35" fillId="5" borderId="0" applyNumberFormat="0" applyBorder="0" applyAlignment="0" applyProtection="0"/>
    <xf numFmtId="0" fontId="35" fillId="8" borderId="0" applyNumberFormat="0" applyBorder="0" applyAlignment="0" applyProtection="0"/>
    <xf numFmtId="0" fontId="35" fillId="11" borderId="0" applyNumberFormat="0" applyBorder="0" applyAlignment="0" applyProtection="0"/>
    <xf numFmtId="0" fontId="36" fillId="12" borderId="0" applyNumberFormat="0" applyBorder="0" applyAlignment="0" applyProtection="0"/>
    <xf numFmtId="0" fontId="36" fillId="9" borderId="0" applyNumberFormat="0" applyBorder="0" applyAlignment="0" applyProtection="0"/>
    <xf numFmtId="0" fontId="36" fillId="10"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5" borderId="0" applyNumberFormat="0" applyBorder="0" applyAlignment="0" applyProtection="0"/>
    <xf numFmtId="0" fontId="36" fillId="16" borderId="0" applyNumberFormat="0" applyBorder="0" applyAlignment="0" applyProtection="0"/>
    <xf numFmtId="0" fontId="36" fillId="17" borderId="0" applyNumberFormat="0" applyBorder="0" applyAlignment="0" applyProtection="0"/>
    <xf numFmtId="0" fontId="36" fillId="18"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9" borderId="0" applyNumberFormat="0" applyBorder="0" applyAlignment="0" applyProtection="0"/>
    <xf numFmtId="0" fontId="37" fillId="3" borderId="0" applyNumberFormat="0" applyBorder="0" applyAlignment="0" applyProtection="0"/>
    <xf numFmtId="0" fontId="38" fillId="20" borderId="1" applyNumberFormat="0" applyAlignment="0" applyProtection="0"/>
    <xf numFmtId="0" fontId="39" fillId="21" borderId="2" applyNumberFormat="0" applyAlignment="0" applyProtection="0"/>
    <xf numFmtId="0" fontId="40" fillId="0" borderId="0" applyNumberFormat="0" applyFill="0" applyBorder="0" applyAlignment="0" applyProtection="0"/>
    <xf numFmtId="0" fontId="41" fillId="4" borderId="0" applyNumberFormat="0" applyBorder="0" applyAlignment="0" applyProtection="0"/>
    <xf numFmtId="0" fontId="42" fillId="0" borderId="3" applyNumberFormat="0" applyFill="0" applyAlignment="0" applyProtection="0"/>
    <xf numFmtId="0" fontId="43" fillId="0" borderId="4" applyNumberFormat="0" applyFill="0" applyAlignment="0" applyProtection="0"/>
    <xf numFmtId="0" fontId="44" fillId="0" borderId="5" applyNumberFormat="0" applyFill="0" applyAlignment="0" applyProtection="0"/>
    <xf numFmtId="0" fontId="44" fillId="0" borderId="0" applyNumberFormat="0" applyFill="0" applyBorder="0" applyAlignment="0" applyProtection="0"/>
    <xf numFmtId="0" fontId="45" fillId="7" borderId="1" applyNumberFormat="0" applyAlignment="0" applyProtection="0"/>
    <xf numFmtId="0" fontId="46" fillId="0" borderId="6" applyNumberFormat="0" applyFill="0" applyAlignment="0" applyProtection="0"/>
    <xf numFmtId="0" fontId="47" fillId="22" borderId="0" applyNumberFormat="0" applyBorder="0" applyAlignment="0" applyProtection="0"/>
    <xf numFmtId="0" fontId="1" fillId="23" borderId="7" applyNumberFormat="0" applyFont="0" applyAlignment="0" applyProtection="0"/>
    <xf numFmtId="0" fontId="48" fillId="20" borderId="8" applyNumberFormat="0" applyAlignment="0" applyProtection="0"/>
    <xf numFmtId="0" fontId="49" fillId="0" borderId="0" applyNumberFormat="0" applyFill="0" applyBorder="0" applyAlignment="0" applyProtection="0"/>
    <xf numFmtId="0" fontId="50" fillId="0" borderId="9" applyNumberFormat="0" applyFill="0" applyAlignment="0" applyProtection="0"/>
    <xf numFmtId="0" fontId="51" fillId="0" borderId="0" applyNumberFormat="0" applyFill="0" applyBorder="0" applyAlignment="0" applyProtection="0"/>
  </cellStyleXfs>
  <cellXfs count="441">
    <xf numFmtId="0" fontId="0" fillId="0" borderId="0" xfId="0"/>
    <xf numFmtId="0" fontId="0" fillId="0" borderId="0" xfId="0" applyAlignment="1">
      <alignment horizontal="left"/>
    </xf>
    <xf numFmtId="0" fontId="2" fillId="24" borderId="0" xfId="0" applyFont="1" applyFill="1"/>
    <xf numFmtId="0" fontId="4" fillId="0" borderId="0" xfId="0" applyFont="1"/>
    <xf numFmtId="10" fontId="0" fillId="0" borderId="0" xfId="0" applyNumberFormat="1"/>
    <xf numFmtId="0" fontId="0" fillId="0" borderId="0" xfId="0" applyAlignment="1">
      <alignment horizontal="right"/>
    </xf>
    <xf numFmtId="3" fontId="0" fillId="0" borderId="0" xfId="0" applyNumberFormat="1"/>
    <xf numFmtId="167" fontId="0" fillId="0" borderId="0" xfId="0" applyNumberFormat="1"/>
    <xf numFmtId="0" fontId="5" fillId="0" borderId="0" xfId="0" applyFont="1" applyFill="1"/>
    <xf numFmtId="0" fontId="5" fillId="0" borderId="0" xfId="0" applyFont="1" applyFill="1" applyBorder="1"/>
    <xf numFmtId="0" fontId="4" fillId="0" borderId="0" xfId="0" applyFont="1" applyAlignment="1">
      <alignment horizontal="center"/>
    </xf>
    <xf numFmtId="0" fontId="13" fillId="0" borderId="0" xfId="0" applyFont="1"/>
    <xf numFmtId="0" fontId="4" fillId="0" borderId="10" xfId="0" applyFont="1" applyBorder="1"/>
    <xf numFmtId="0" fontId="0" fillId="0" borderId="11" xfId="0" applyBorder="1"/>
    <xf numFmtId="0" fontId="0" fillId="0" borderId="12" xfId="0" applyBorder="1"/>
    <xf numFmtId="0" fontId="4" fillId="0" borderId="10" xfId="0" applyFont="1" applyBorder="1" applyAlignment="1">
      <alignment horizontal="left"/>
    </xf>
    <xf numFmtId="0" fontId="15" fillId="0" borderId="7" xfId="0" quotePrefix="1" applyNumberFormat="1" applyFont="1" applyBorder="1"/>
    <xf numFmtId="0" fontId="12" fillId="0" borderId="7" xfId="0" applyFont="1" applyBorder="1"/>
    <xf numFmtId="0" fontId="12" fillId="0" borderId="0" xfId="0" applyFont="1"/>
    <xf numFmtId="0" fontId="0" fillId="0" borderId="7" xfId="0" applyBorder="1"/>
    <xf numFmtId="0" fontId="2" fillId="24" borderId="0" xfId="0" applyFont="1" applyFill="1" applyProtection="1"/>
    <xf numFmtId="0" fontId="8" fillId="24" borderId="0" xfId="0" applyFont="1" applyFill="1" applyBorder="1" applyProtection="1"/>
    <xf numFmtId="0" fontId="8" fillId="24" borderId="0" xfId="0" applyFont="1" applyFill="1" applyProtection="1"/>
    <xf numFmtId="2" fontId="0" fillId="0" borderId="0" xfId="0" applyNumberFormat="1"/>
    <xf numFmtId="1" fontId="0" fillId="0" borderId="0" xfId="0" applyNumberFormat="1"/>
    <xf numFmtId="0" fontId="0" fillId="0" borderId="0" xfId="0" applyNumberFormat="1"/>
    <xf numFmtId="0" fontId="13" fillId="0" borderId="0" xfId="0" applyFont="1" applyFill="1"/>
    <xf numFmtId="0" fontId="13" fillId="0" borderId="13" xfId="0" applyFont="1" applyFill="1" applyBorder="1" applyAlignment="1">
      <alignment wrapText="1"/>
    </xf>
    <xf numFmtId="0" fontId="13" fillId="0" borderId="13" xfId="0" applyFont="1" applyFill="1" applyBorder="1" applyAlignment="1">
      <alignment horizontal="left" wrapText="1"/>
    </xf>
    <xf numFmtId="0" fontId="13" fillId="0" borderId="0" xfId="0" applyFont="1" applyFill="1" applyBorder="1"/>
    <xf numFmtId="0" fontId="13" fillId="0" borderId="0" xfId="0" applyFont="1" applyFill="1" applyBorder="1" applyAlignment="1">
      <alignment wrapText="1"/>
    </xf>
    <xf numFmtId="0" fontId="13" fillId="0" borderId="0" xfId="0" applyFont="1" applyFill="1" applyBorder="1" applyAlignment="1">
      <alignment horizontal="left" wrapText="1"/>
    </xf>
    <xf numFmtId="0" fontId="13" fillId="0" borderId="0" xfId="0" applyFont="1" applyFill="1" applyProtection="1">
      <protection locked="0"/>
    </xf>
    <xf numFmtId="0" fontId="13" fillId="0" borderId="0" xfId="0" applyFont="1" applyFill="1" applyAlignment="1" applyProtection="1">
      <alignment horizontal="center"/>
      <protection locked="0"/>
    </xf>
    <xf numFmtId="0" fontId="13" fillId="0" borderId="0" xfId="0" applyFont="1" applyFill="1" applyAlignment="1">
      <alignment wrapText="1"/>
    </xf>
    <xf numFmtId="0" fontId="13" fillId="0" borderId="0" xfId="0" applyFont="1" applyFill="1" applyAlignment="1" applyProtection="1">
      <alignment horizontal="center" wrapText="1"/>
      <protection locked="0"/>
    </xf>
    <xf numFmtId="0" fontId="13" fillId="0" borderId="0" xfId="0" applyFont="1" applyFill="1" applyBorder="1" applyAlignment="1" applyProtection="1">
      <alignment horizontal="center" wrapText="1"/>
      <protection locked="0"/>
    </xf>
    <xf numFmtId="0" fontId="0" fillId="0" borderId="0" xfId="0" applyAlignment="1">
      <alignment wrapText="1"/>
    </xf>
    <xf numFmtId="0" fontId="13" fillId="0" borderId="0" xfId="0" applyFont="1" applyFill="1" applyProtection="1">
      <protection locked="0" hidden="1"/>
    </xf>
    <xf numFmtId="0" fontId="12" fillId="0" borderId="7" xfId="0" quotePrefix="1" applyNumberFormat="1" applyFont="1" applyBorder="1"/>
    <xf numFmtId="0" fontId="12" fillId="0" borderId="0" xfId="0" quotePrefix="1" applyNumberFormat="1" applyFont="1" applyBorder="1"/>
    <xf numFmtId="0" fontId="12" fillId="0" borderId="7" xfId="0" applyNumberFormat="1" applyFont="1" applyBorder="1"/>
    <xf numFmtId="15" fontId="0" fillId="0" borderId="0" xfId="0" applyNumberFormat="1"/>
    <xf numFmtId="0" fontId="0" fillId="24" borderId="0" xfId="0" applyFill="1"/>
    <xf numFmtId="0" fontId="13" fillId="0" borderId="14" xfId="0" applyFont="1" applyBorder="1" applyAlignment="1">
      <alignment vertical="top" wrapText="1"/>
    </xf>
    <xf numFmtId="0" fontId="13" fillId="0" borderId="15" xfId="0" applyFont="1" applyBorder="1" applyAlignment="1">
      <alignment vertical="top" wrapText="1"/>
    </xf>
    <xf numFmtId="0" fontId="13" fillId="0" borderId="16" xfId="0" applyFont="1" applyBorder="1" applyAlignment="1">
      <alignment vertical="top" wrapText="1"/>
    </xf>
    <xf numFmtId="0" fontId="13" fillId="0" borderId="17" xfId="0" applyFont="1" applyBorder="1" applyAlignment="1">
      <alignment vertical="top" wrapText="1"/>
    </xf>
    <xf numFmtId="0" fontId="13" fillId="0" borderId="12" xfId="0" applyFont="1" applyBorder="1" applyAlignment="1">
      <alignment vertical="top" wrapText="1"/>
    </xf>
    <xf numFmtId="0" fontId="13" fillId="0" borderId="0" xfId="0" applyFont="1" applyAlignment="1">
      <alignment vertical="top" wrapText="1"/>
    </xf>
    <xf numFmtId="0" fontId="13" fillId="0" borderId="18" xfId="0" applyFont="1" applyBorder="1" applyAlignment="1">
      <alignment vertical="top" wrapText="1"/>
    </xf>
    <xf numFmtId="0" fontId="13" fillId="0" borderId="19" xfId="0" applyFont="1" applyBorder="1" applyAlignment="1">
      <alignment vertical="top" wrapText="1"/>
    </xf>
    <xf numFmtId="0" fontId="13" fillId="0" borderId="20" xfId="0" applyFont="1" applyBorder="1" applyAlignment="1">
      <alignment vertical="top" wrapText="1"/>
    </xf>
    <xf numFmtId="0" fontId="13" fillId="0" borderId="21" xfId="0" applyFont="1" applyBorder="1" applyAlignment="1">
      <alignment vertical="top" wrapText="1"/>
    </xf>
    <xf numFmtId="0" fontId="13" fillId="0" borderId="22" xfId="0" applyFont="1" applyBorder="1" applyAlignment="1">
      <alignment vertical="top" wrapText="1"/>
    </xf>
    <xf numFmtId="170" fontId="13" fillId="0" borderId="0" xfId="0" applyNumberFormat="1" applyFont="1" applyAlignment="1">
      <alignment horizontal="left"/>
    </xf>
    <xf numFmtId="15" fontId="6" fillId="0" borderId="0" xfId="0" applyNumberFormat="1" applyFont="1" applyFill="1" applyBorder="1" applyAlignment="1">
      <alignment horizontal="left"/>
    </xf>
    <xf numFmtId="0" fontId="6" fillId="0" borderId="0" xfId="0" applyFont="1" applyFill="1" applyBorder="1" applyAlignment="1">
      <alignment horizontal="left"/>
    </xf>
    <xf numFmtId="0" fontId="6" fillId="0" borderId="0" xfId="0" applyFont="1" applyFill="1" applyBorder="1"/>
    <xf numFmtId="1" fontId="6" fillId="0" borderId="0" xfId="0" applyNumberFormat="1" applyFont="1" applyFill="1" applyBorder="1" applyAlignment="1">
      <alignment horizontal="left"/>
    </xf>
    <xf numFmtId="168" fontId="6" fillId="0" borderId="0" xfId="0" applyNumberFormat="1" applyFont="1" applyFill="1" applyBorder="1" applyAlignment="1">
      <alignment horizontal="left"/>
    </xf>
    <xf numFmtId="0" fontId="6" fillId="0" borderId="0" xfId="0" applyFont="1" applyFill="1" applyBorder="1" applyAlignment="1">
      <alignment horizontal="center"/>
    </xf>
    <xf numFmtId="0" fontId="17" fillId="0" borderId="0" xfId="0" applyFont="1" applyFill="1" applyBorder="1"/>
    <xf numFmtId="0" fontId="6" fillId="0" borderId="0" xfId="0" applyFont="1" applyFill="1" applyBorder="1" applyAlignment="1" applyProtection="1">
      <alignment horizontal="left"/>
      <protection locked="0"/>
    </xf>
    <xf numFmtId="0" fontId="17" fillId="0" borderId="0" xfId="0" applyFont="1" applyFill="1" applyBorder="1" applyAlignment="1"/>
    <xf numFmtId="0" fontId="6" fillId="0" borderId="0" xfId="0" quotePrefix="1" applyFont="1" applyFill="1" applyBorder="1"/>
    <xf numFmtId="0" fontId="6" fillId="0" borderId="23" xfId="0" applyFont="1" applyFill="1" applyBorder="1"/>
    <xf numFmtId="0" fontId="6" fillId="0" borderId="11" xfId="0" applyFont="1" applyFill="1" applyBorder="1"/>
    <xf numFmtId="0" fontId="16" fillId="0" borderId="23" xfId="0" applyFont="1" applyFill="1" applyBorder="1"/>
    <xf numFmtId="0" fontId="17" fillId="0" borderId="23" xfId="0" applyFont="1" applyFill="1" applyBorder="1"/>
    <xf numFmtId="0" fontId="6" fillId="0" borderId="0" xfId="0" applyFont="1" applyFill="1" applyBorder="1" applyAlignment="1">
      <alignment horizontal="right"/>
    </xf>
    <xf numFmtId="0" fontId="18" fillId="0" borderId="23" xfId="0" applyFont="1" applyFill="1" applyBorder="1"/>
    <xf numFmtId="0" fontId="6" fillId="0" borderId="23" xfId="0" applyFont="1" applyFill="1" applyBorder="1" applyAlignment="1">
      <alignment horizontal="left"/>
    </xf>
    <xf numFmtId="0" fontId="0" fillId="0" borderId="24" xfId="0" applyNumberFormat="1" applyBorder="1"/>
    <xf numFmtId="0" fontId="0" fillId="0" borderId="0" xfId="0" applyNumberFormat="1" applyBorder="1"/>
    <xf numFmtId="0" fontId="1" fillId="0" borderId="0" xfId="0" applyFont="1" applyFill="1" applyBorder="1"/>
    <xf numFmtId="0" fontId="1" fillId="0" borderId="23" xfId="0" applyFont="1" applyFill="1" applyBorder="1"/>
    <xf numFmtId="0" fontId="1" fillId="0" borderId="0" xfId="0" applyFont="1" applyFill="1" applyBorder="1" applyAlignment="1"/>
    <xf numFmtId="0" fontId="0" fillId="0" borderId="0" xfId="0" applyAlignment="1">
      <alignment horizontal="center"/>
    </xf>
    <xf numFmtId="14" fontId="0" fillId="0" borderId="0" xfId="0" applyNumberFormat="1" applyAlignment="1">
      <alignment horizontal="center"/>
    </xf>
    <xf numFmtId="0" fontId="13" fillId="0" borderId="0" xfId="0" applyFont="1" applyFill="1" applyProtection="1"/>
    <xf numFmtId="0" fontId="13" fillId="0" borderId="0" xfId="0" applyFont="1" applyFill="1" applyBorder="1" applyProtection="1"/>
    <xf numFmtId="0" fontId="4" fillId="0" borderId="0" xfId="0" applyFont="1" applyFill="1" applyBorder="1" applyProtection="1"/>
    <xf numFmtId="0" fontId="13" fillId="0" borderId="23" xfId="0" applyFont="1" applyFill="1" applyBorder="1" applyProtection="1"/>
    <xf numFmtId="0" fontId="13" fillId="25" borderId="0" xfId="0" applyFont="1" applyFill="1" applyBorder="1" applyProtection="1"/>
    <xf numFmtId="0" fontId="13" fillId="0" borderId="23" xfId="0" applyFont="1" applyBorder="1"/>
    <xf numFmtId="0" fontId="6" fillId="26" borderId="0" xfId="0" applyFont="1" applyFill="1" applyBorder="1" applyAlignment="1">
      <alignment horizontal="center"/>
    </xf>
    <xf numFmtId="0" fontId="6" fillId="26" borderId="0" xfId="0" applyFont="1" applyFill="1" applyBorder="1" applyAlignment="1">
      <alignment horizontal="right"/>
    </xf>
    <xf numFmtId="0" fontId="6" fillId="26" borderId="0" xfId="0" applyFont="1" applyFill="1" applyBorder="1"/>
    <xf numFmtId="0" fontId="6" fillId="26" borderId="23" xfId="0" applyFont="1" applyFill="1" applyBorder="1" applyAlignment="1">
      <alignment horizontal="center"/>
    </xf>
    <xf numFmtId="0" fontId="6" fillId="26" borderId="23" xfId="0" applyFont="1" applyFill="1" applyBorder="1"/>
    <xf numFmtId="0" fontId="6" fillId="26" borderId="23" xfId="0" applyFont="1" applyFill="1" applyBorder="1" applyAlignment="1">
      <alignment horizontal="right"/>
    </xf>
    <xf numFmtId="0" fontId="6" fillId="26" borderId="23" xfId="0" applyFont="1" applyFill="1" applyBorder="1" applyAlignment="1">
      <alignment horizontal="left" vertical="top"/>
    </xf>
    <xf numFmtId="0" fontId="6" fillId="26" borderId="0" xfId="0" applyFont="1" applyFill="1" applyBorder="1" applyAlignment="1">
      <alignment horizontal="left" vertical="top"/>
    </xf>
    <xf numFmtId="0" fontId="13" fillId="0" borderId="25" xfId="0" applyFont="1" applyBorder="1"/>
    <xf numFmtId="0" fontId="13" fillId="0" borderId="22" xfId="0" applyFont="1" applyBorder="1"/>
    <xf numFmtId="0" fontId="13" fillId="0" borderId="18" xfId="0" applyFont="1" applyBorder="1"/>
    <xf numFmtId="0" fontId="13" fillId="0" borderId="14" xfId="0" applyFont="1" applyBorder="1"/>
    <xf numFmtId="0" fontId="13" fillId="0" borderId="0" xfId="0" applyFont="1" applyBorder="1"/>
    <xf numFmtId="0" fontId="13" fillId="0" borderId="15" xfId="0" applyFont="1" applyBorder="1"/>
    <xf numFmtId="15" fontId="13" fillId="0" borderId="14" xfId="0" applyNumberFormat="1" applyFont="1" applyBorder="1"/>
    <xf numFmtId="0" fontId="13" fillId="0" borderId="16" xfId="0" applyFont="1" applyBorder="1"/>
    <xf numFmtId="0" fontId="13" fillId="0" borderId="17" xfId="0" applyFont="1" applyBorder="1"/>
    <xf numFmtId="0" fontId="13" fillId="0" borderId="26" xfId="0" applyFont="1" applyBorder="1" applyAlignment="1">
      <alignment vertical="top" wrapText="1"/>
    </xf>
    <xf numFmtId="0" fontId="20" fillId="0" borderId="0" xfId="0" applyFont="1" applyFill="1" applyBorder="1"/>
    <xf numFmtId="0" fontId="21" fillId="0" borderId="0" xfId="0" applyFont="1" applyFill="1" applyBorder="1"/>
    <xf numFmtId="0" fontId="0" fillId="0" borderId="0" xfId="0" applyNumberFormat="1" applyAlignment="1">
      <alignment wrapText="1"/>
    </xf>
    <xf numFmtId="0" fontId="0" fillId="0" borderId="24" xfId="0" applyBorder="1" applyAlignment="1">
      <alignment horizontal="center"/>
    </xf>
    <xf numFmtId="0" fontId="13" fillId="0" borderId="14" xfId="0" applyFont="1" applyBorder="1" applyAlignment="1">
      <alignment horizontal="center" vertical="top" wrapText="1"/>
    </xf>
    <xf numFmtId="0" fontId="13" fillId="0" borderId="0" xfId="0" applyFont="1" applyFill="1" applyBorder="1" applyAlignment="1"/>
    <xf numFmtId="0" fontId="22" fillId="0" borderId="0" xfId="0" applyFont="1" applyAlignment="1">
      <alignment vertical="top" wrapText="1"/>
    </xf>
    <xf numFmtId="0" fontId="13" fillId="0" borderId="15" xfId="0" applyFont="1" applyBorder="1" applyAlignment="1">
      <alignment horizontal="left" vertical="top" wrapText="1"/>
    </xf>
    <xf numFmtId="0" fontId="13" fillId="0" borderId="15" xfId="0" applyFont="1" applyBorder="1" applyAlignment="1">
      <alignment horizontal="center" vertical="top" wrapText="1"/>
    </xf>
    <xf numFmtId="0" fontId="13" fillId="0" borderId="0" xfId="0" applyFont="1" applyBorder="1" applyAlignment="1">
      <alignment horizontal="center" vertical="top" wrapText="1"/>
    </xf>
    <xf numFmtId="0" fontId="13" fillId="0" borderId="0" xfId="0" applyFont="1" applyAlignment="1">
      <alignment horizontal="center" vertical="top"/>
    </xf>
    <xf numFmtId="0" fontId="13" fillId="0" borderId="0" xfId="0" applyFont="1" applyAlignment="1">
      <alignment horizontal="center" vertical="top" wrapText="1"/>
    </xf>
    <xf numFmtId="0" fontId="22" fillId="0" borderId="22" xfId="0" applyFont="1" applyBorder="1" applyAlignment="1">
      <alignment vertical="top" wrapText="1"/>
    </xf>
    <xf numFmtId="0" fontId="16" fillId="0" borderId="0" xfId="0" applyFont="1" applyFill="1" applyBorder="1"/>
    <xf numFmtId="0" fontId="24" fillId="26" borderId="11" xfId="0" applyFont="1" applyFill="1" applyBorder="1"/>
    <xf numFmtId="0" fontId="24" fillId="26" borderId="23" xfId="0" applyFont="1" applyFill="1" applyBorder="1" applyAlignment="1">
      <alignment horizontal="right"/>
    </xf>
    <xf numFmtId="0" fontId="24" fillId="26" borderId="23" xfId="0" applyFont="1" applyFill="1" applyBorder="1" applyAlignment="1">
      <alignment horizontal="left"/>
    </xf>
    <xf numFmtId="0" fontId="6" fillId="0" borderId="23" xfId="0" applyFont="1" applyFill="1" applyBorder="1" applyAlignment="1">
      <alignment horizontal="right"/>
    </xf>
    <xf numFmtId="0" fontId="13" fillId="0" borderId="0" xfId="0" applyFont="1" applyFill="1" applyBorder="1" applyAlignment="1">
      <alignment horizontal="left"/>
    </xf>
    <xf numFmtId="0" fontId="2" fillId="0" borderId="0" xfId="0" applyFont="1" applyFill="1"/>
    <xf numFmtId="0" fontId="6" fillId="26" borderId="22" xfId="0" applyFont="1" applyFill="1" applyBorder="1"/>
    <xf numFmtId="0" fontId="24" fillId="26" borderId="23" xfId="0" applyFont="1" applyFill="1" applyBorder="1"/>
    <xf numFmtId="0" fontId="22" fillId="0" borderId="10" xfId="0" applyFont="1" applyBorder="1" applyAlignment="1">
      <alignment vertical="center" wrapText="1"/>
    </xf>
    <xf numFmtId="0" fontId="22" fillId="0" borderId="11" xfId="0" applyFont="1" applyBorder="1" applyAlignment="1">
      <alignment vertical="center" wrapText="1"/>
    </xf>
    <xf numFmtId="0" fontId="22" fillId="0" borderId="12" xfId="0" applyFont="1" applyBorder="1" applyAlignment="1">
      <alignment vertical="center" wrapText="1"/>
    </xf>
    <xf numFmtId="0" fontId="13" fillId="0" borderId="12" xfId="0" applyFont="1" applyBorder="1" applyAlignment="1">
      <alignment horizontal="center" vertical="center" wrapText="1"/>
    </xf>
    <xf numFmtId="0" fontId="22" fillId="0" borderId="16" xfId="0" applyFont="1" applyBorder="1" applyAlignment="1">
      <alignment vertical="center" wrapText="1"/>
    </xf>
    <xf numFmtId="0" fontId="22" fillId="0" borderId="23" xfId="0" applyFont="1" applyBorder="1" applyAlignment="1">
      <alignment vertical="center" wrapText="1"/>
    </xf>
    <xf numFmtId="0" fontId="22" fillId="0" borderId="17" xfId="0" applyFont="1" applyBorder="1" applyAlignment="1">
      <alignment vertical="center" wrapText="1"/>
    </xf>
    <xf numFmtId="0" fontId="13" fillId="0" borderId="17" xfId="0" applyFont="1" applyBorder="1" applyAlignment="1">
      <alignment horizontal="center" vertical="center" wrapText="1"/>
    </xf>
    <xf numFmtId="0" fontId="22" fillId="0" borderId="14" xfId="0" applyFont="1" applyBorder="1" applyAlignment="1">
      <alignment vertical="center" wrapText="1"/>
    </xf>
    <xf numFmtId="0" fontId="22" fillId="0" borderId="0" xfId="0" applyFont="1" applyAlignment="1">
      <alignment vertical="center" wrapText="1"/>
    </xf>
    <xf numFmtId="0" fontId="22" fillId="0" borderId="15" xfId="0" applyFont="1" applyBorder="1" applyAlignment="1">
      <alignment vertical="center" wrapText="1"/>
    </xf>
    <xf numFmtId="0" fontId="22" fillId="0" borderId="10" xfId="0" applyFont="1" applyBorder="1" applyAlignment="1">
      <alignment vertical="center"/>
    </xf>
    <xf numFmtId="0" fontId="22" fillId="0" borderId="16" xfId="0" applyFont="1" applyBorder="1" applyAlignment="1">
      <alignment vertical="center"/>
    </xf>
    <xf numFmtId="0" fontId="22" fillId="0" borderId="11" xfId="0" applyFont="1" applyBorder="1" applyAlignment="1">
      <alignment vertical="center"/>
    </xf>
    <xf numFmtId="0" fontId="22" fillId="0" borderId="12" xfId="0" applyFont="1" applyBorder="1" applyAlignment="1">
      <alignment vertical="center"/>
    </xf>
    <xf numFmtId="0" fontId="22" fillId="0" borderId="23" xfId="0" applyFont="1" applyBorder="1" applyAlignment="1">
      <alignment vertical="center"/>
    </xf>
    <xf numFmtId="0" fontId="22" fillId="0" borderId="17" xfId="0" applyFont="1" applyBorder="1" applyAlignment="1">
      <alignment vertical="center"/>
    </xf>
    <xf numFmtId="0" fontId="23" fillId="0" borderId="12" xfId="0" applyFont="1" applyBorder="1" applyAlignment="1">
      <alignment vertical="center"/>
    </xf>
    <xf numFmtId="0" fontId="13" fillId="0" borderId="12" xfId="0" applyFont="1" applyBorder="1" applyAlignment="1">
      <alignment horizontal="center" vertical="center"/>
    </xf>
    <xf numFmtId="0" fontId="23" fillId="0" borderId="17" xfId="0" applyFont="1" applyBorder="1" applyAlignment="1">
      <alignment vertical="center"/>
    </xf>
    <xf numFmtId="0" fontId="13" fillId="0" borderId="17" xfId="0" applyFont="1" applyBorder="1" applyAlignment="1">
      <alignment horizontal="center" vertical="center"/>
    </xf>
    <xf numFmtId="0" fontId="6" fillId="0" borderId="27" xfId="0" applyFont="1" applyFill="1" applyBorder="1"/>
    <xf numFmtId="0" fontId="6" fillId="0" borderId="28" xfId="0" applyFont="1" applyFill="1" applyBorder="1"/>
    <xf numFmtId="0" fontId="6" fillId="0" borderId="29" xfId="0" applyFont="1" applyFill="1" applyBorder="1"/>
    <xf numFmtId="0" fontId="6" fillId="0" borderId="27" xfId="0" applyFont="1" applyFill="1" applyBorder="1" applyAlignment="1">
      <alignment horizontal="center"/>
    </xf>
    <xf numFmtId="0" fontId="22" fillId="0" borderId="28" xfId="0" applyFont="1" applyFill="1" applyBorder="1"/>
    <xf numFmtId="0" fontId="22" fillId="0" borderId="29" xfId="0" applyFont="1" applyFill="1" applyBorder="1"/>
    <xf numFmtId="0" fontId="17" fillId="0" borderId="28" xfId="0" applyFont="1" applyFill="1" applyBorder="1"/>
    <xf numFmtId="0" fontId="17" fillId="0" borderId="29" xfId="0" applyFont="1" applyFill="1" applyBorder="1"/>
    <xf numFmtId="0" fontId="22" fillId="0" borderId="27" xfId="0" applyFont="1" applyFill="1" applyBorder="1"/>
    <xf numFmtId="0" fontId="17" fillId="0" borderId="27" xfId="0" applyFont="1" applyFill="1" applyBorder="1"/>
    <xf numFmtId="0" fontId="6" fillId="0" borderId="0" xfId="0" applyFont="1" applyFill="1" applyBorder="1" applyAlignment="1">
      <alignment horizontal="left" vertical="top"/>
    </xf>
    <xf numFmtId="0" fontId="0" fillId="0" borderId="0" xfId="0" applyAlignment="1">
      <alignment horizontal="left" vertical="top"/>
    </xf>
    <xf numFmtId="0" fontId="13" fillId="0" borderId="30" xfId="0" applyFont="1" applyBorder="1" applyAlignment="1">
      <alignment vertical="top" wrapText="1"/>
    </xf>
    <xf numFmtId="0" fontId="13" fillId="0" borderId="31" xfId="0" applyFont="1" applyBorder="1" applyAlignment="1">
      <alignment vertical="top" wrapText="1"/>
    </xf>
    <xf numFmtId="0" fontId="13" fillId="0" borderId="23" xfId="0" applyFont="1" applyBorder="1" applyAlignment="1">
      <alignment horizontal="center" vertical="center" wrapText="1"/>
    </xf>
    <xf numFmtId="0" fontId="22" fillId="0" borderId="22" xfId="0" applyFont="1" applyBorder="1" applyAlignment="1">
      <alignment vertical="center" wrapText="1"/>
    </xf>
    <xf numFmtId="0" fontId="13" fillId="0" borderId="22" xfId="0" applyFont="1" applyBorder="1" applyAlignment="1">
      <alignment horizontal="center" vertical="center" wrapText="1"/>
    </xf>
    <xf numFmtId="0" fontId="13" fillId="0" borderId="24" xfId="0" applyFont="1" applyBorder="1" applyAlignment="1">
      <alignment horizontal="center" vertical="center" wrapText="1"/>
    </xf>
    <xf numFmtId="0" fontId="25" fillId="0" borderId="0" xfId="0" applyFont="1" applyFill="1" applyBorder="1" applyAlignment="1">
      <alignment horizontal="left"/>
    </xf>
    <xf numFmtId="0" fontId="26" fillId="0" borderId="0" xfId="0" applyFont="1" applyAlignment="1">
      <alignment horizontal="left"/>
    </xf>
    <xf numFmtId="0" fontId="10" fillId="26" borderId="7" xfId="0" applyFont="1" applyFill="1" applyBorder="1" applyAlignment="1">
      <alignment wrapText="1"/>
    </xf>
    <xf numFmtId="0" fontId="10" fillId="26" borderId="32" xfId="0" applyFont="1" applyFill="1" applyBorder="1"/>
    <xf numFmtId="0" fontId="10" fillId="26" borderId="33" xfId="0" applyFont="1" applyFill="1" applyBorder="1"/>
    <xf numFmtId="0" fontId="10" fillId="26" borderId="34" xfId="0" applyFont="1" applyFill="1" applyBorder="1"/>
    <xf numFmtId="0" fontId="15" fillId="26" borderId="7" xfId="0" quotePrefix="1" applyNumberFormat="1" applyFont="1" applyFill="1" applyBorder="1"/>
    <xf numFmtId="0" fontId="15" fillId="26" borderId="35" xfId="0" quotePrefix="1" applyNumberFormat="1" applyFont="1" applyFill="1" applyBorder="1"/>
    <xf numFmtId="0" fontId="0" fillId="26" borderId="7" xfId="0" applyFill="1" applyBorder="1"/>
    <xf numFmtId="0" fontId="12" fillId="26" borderId="7" xfId="0" applyFont="1" applyFill="1" applyBorder="1"/>
    <xf numFmtId="16" fontId="12" fillId="26" borderId="7" xfId="0" applyNumberFormat="1" applyFont="1" applyFill="1" applyBorder="1" applyAlignment="1">
      <alignment horizontal="center" vertical="center" wrapText="1"/>
    </xf>
    <xf numFmtId="0" fontId="0" fillId="0" borderId="0" xfId="0" quotePrefix="1" applyAlignment="1">
      <alignment wrapText="1"/>
    </xf>
    <xf numFmtId="0" fontId="5" fillId="26" borderId="0" xfId="0" applyFont="1" applyFill="1"/>
    <xf numFmtId="0" fontId="5" fillId="26" borderId="0" xfId="0" applyFont="1" applyFill="1" applyBorder="1" applyAlignment="1">
      <alignment horizontal="left"/>
    </xf>
    <xf numFmtId="15" fontId="11" fillId="26" borderId="0" xfId="0" applyNumberFormat="1" applyFont="1" applyFill="1" applyBorder="1" applyAlignment="1">
      <alignment horizontal="left"/>
    </xf>
    <xf numFmtId="0" fontId="5" fillId="26" borderId="0" xfId="0" applyFont="1" applyFill="1" applyBorder="1" applyAlignment="1"/>
    <xf numFmtId="15" fontId="11" fillId="26" borderId="0" xfId="0" applyNumberFormat="1" applyFont="1" applyFill="1" applyBorder="1" applyAlignment="1" applyProtection="1">
      <alignment horizontal="left"/>
      <protection locked="0"/>
    </xf>
    <xf numFmtId="0" fontId="11" fillId="26" borderId="0" xfId="0" applyFont="1" applyFill="1" applyBorder="1" applyAlignment="1" applyProtection="1">
      <alignment horizontal="left"/>
      <protection locked="0"/>
    </xf>
    <xf numFmtId="0" fontId="11" fillId="26" borderId="0" xfId="0" applyFont="1" applyFill="1" applyBorder="1" applyAlignment="1">
      <alignment horizontal="left"/>
    </xf>
    <xf numFmtId="0" fontId="5" fillId="26" borderId="0" xfId="0" applyFont="1" applyFill="1" applyBorder="1"/>
    <xf numFmtId="1" fontId="11" fillId="26" borderId="0" xfId="0" applyNumberFormat="1" applyFont="1" applyFill="1" applyBorder="1" applyAlignment="1">
      <alignment horizontal="left"/>
    </xf>
    <xf numFmtId="0" fontId="5" fillId="27" borderId="0" xfId="0" applyFont="1" applyFill="1"/>
    <xf numFmtId="0" fontId="5" fillId="27" borderId="0" xfId="0" applyFont="1" applyFill="1" applyBorder="1"/>
    <xf numFmtId="0" fontId="5" fillId="27" borderId="0" xfId="0" applyFont="1" applyFill="1" applyAlignment="1">
      <alignment horizontal="left"/>
    </xf>
    <xf numFmtId="14" fontId="27" fillId="27" borderId="0" xfId="0" applyNumberFormat="1" applyFont="1" applyFill="1" applyAlignment="1">
      <alignment horizontal="left" vertical="center"/>
    </xf>
    <xf numFmtId="0" fontId="11" fillId="27" borderId="0" xfId="0" applyFont="1" applyFill="1" applyAlignment="1">
      <alignment horizontal="left"/>
    </xf>
    <xf numFmtId="0" fontId="11" fillId="27" borderId="0" xfId="0" applyNumberFormat="1" applyFont="1" applyFill="1"/>
    <xf numFmtId="0" fontId="11" fillId="27" borderId="0" xfId="0" applyFont="1" applyFill="1" applyAlignment="1">
      <alignment horizontal="center"/>
    </xf>
    <xf numFmtId="0" fontId="11" fillId="27" borderId="0" xfId="0" applyFont="1" applyFill="1"/>
    <xf numFmtId="0" fontId="5" fillId="27" borderId="36" xfId="0" applyFont="1" applyFill="1" applyBorder="1" applyAlignment="1">
      <alignment horizontal="left"/>
    </xf>
    <xf numFmtId="0" fontId="5" fillId="27" borderId="36" xfId="0" applyFont="1" applyFill="1" applyBorder="1"/>
    <xf numFmtId="0" fontId="5" fillId="27" borderId="36" xfId="0" applyFont="1" applyFill="1" applyBorder="1" applyAlignment="1"/>
    <xf numFmtId="0" fontId="5" fillId="27" borderId="36" xfId="0" applyNumberFormat="1" applyFont="1" applyFill="1" applyBorder="1"/>
    <xf numFmtId="0" fontId="5" fillId="27" borderId="0" xfId="0" applyFont="1" applyFill="1" applyAlignment="1">
      <alignment wrapText="1"/>
    </xf>
    <xf numFmtId="14" fontId="5" fillId="27" borderId="0" xfId="0" applyNumberFormat="1" applyFont="1" applyFill="1" applyAlignment="1">
      <alignment horizontal="left"/>
    </xf>
    <xf numFmtId="0" fontId="2" fillId="0" borderId="0" xfId="0" applyFont="1" applyFill="1" applyProtection="1"/>
    <xf numFmtId="0" fontId="13" fillId="26" borderId="0" xfId="0" applyFont="1" applyFill="1" applyProtection="1"/>
    <xf numFmtId="0" fontId="4" fillId="27" borderId="0" xfId="0" applyFont="1" applyFill="1"/>
    <xf numFmtId="0" fontId="13" fillId="27" borderId="0" xfId="0" applyFont="1" applyFill="1"/>
    <xf numFmtId="0" fontId="13" fillId="26" borderId="37" xfId="0" applyFont="1" applyFill="1" applyBorder="1"/>
    <xf numFmtId="0" fontId="13" fillId="27" borderId="38" xfId="0" applyFont="1" applyFill="1" applyBorder="1" applyAlignment="1" applyProtection="1">
      <alignment horizontal="left"/>
      <protection locked="0"/>
    </xf>
    <xf numFmtId="166" fontId="13" fillId="27" borderId="39" xfId="0" applyNumberFormat="1" applyFont="1" applyFill="1" applyBorder="1" applyAlignment="1" applyProtection="1">
      <alignment horizontal="left"/>
      <protection locked="0"/>
    </xf>
    <xf numFmtId="2" fontId="13" fillId="27" borderId="39" xfId="0" applyNumberFormat="1" applyFont="1" applyFill="1" applyBorder="1"/>
    <xf numFmtId="0" fontId="13" fillId="27" borderId="39" xfId="0" applyFont="1" applyFill="1" applyBorder="1"/>
    <xf numFmtId="0" fontId="13" fillId="27" borderId="39" xfId="0" applyFont="1" applyFill="1" applyBorder="1" applyAlignment="1">
      <alignment horizontal="center"/>
    </xf>
    <xf numFmtId="0" fontId="13" fillId="27" borderId="40" xfId="0" applyFont="1" applyFill="1" applyBorder="1" applyAlignment="1" applyProtection="1">
      <alignment horizontal="left"/>
      <protection locked="0"/>
    </xf>
    <xf numFmtId="166" fontId="13" fillId="27" borderId="40" xfId="0" applyNumberFormat="1" applyFont="1" applyFill="1" applyBorder="1" applyAlignment="1" applyProtection="1">
      <alignment horizontal="left"/>
      <protection locked="0"/>
    </xf>
    <xf numFmtId="2" fontId="13" fillId="27" borderId="40" xfId="0" applyNumberFormat="1" applyFont="1" applyFill="1" applyBorder="1"/>
    <xf numFmtId="0" fontId="13" fillId="27" borderId="40" xfId="0" applyFont="1" applyFill="1" applyBorder="1"/>
    <xf numFmtId="0" fontId="13" fillId="27" borderId="40" xfId="0" applyFont="1" applyFill="1" applyBorder="1" applyAlignment="1">
      <alignment horizontal="center"/>
    </xf>
    <xf numFmtId="0" fontId="13" fillId="27" borderId="0" xfId="0" applyFont="1" applyFill="1" applyBorder="1"/>
    <xf numFmtId="0" fontId="13" fillId="26" borderId="0" xfId="0" applyFont="1" applyFill="1"/>
    <xf numFmtId="0" fontId="13" fillId="26" borderId="0" xfId="0" applyFont="1" applyFill="1" applyBorder="1" applyAlignment="1">
      <alignment horizontal="left"/>
    </xf>
    <xf numFmtId="15" fontId="4" fillId="26" borderId="0" xfId="0" applyNumberFormat="1" applyFont="1" applyFill="1" applyBorder="1" applyAlignment="1">
      <alignment horizontal="left"/>
    </xf>
    <xf numFmtId="0" fontId="13" fillId="26" borderId="0" xfId="0" applyFont="1" applyFill="1" applyBorder="1" applyAlignment="1"/>
    <xf numFmtId="15" fontId="4" fillId="26" borderId="0" xfId="0" applyNumberFormat="1" applyFont="1" applyFill="1" applyBorder="1" applyAlignment="1" applyProtection="1">
      <alignment horizontal="left"/>
      <protection locked="0"/>
    </xf>
    <xf numFmtId="0" fontId="4" fillId="26" borderId="0" xfId="0" applyFont="1" applyFill="1" applyBorder="1" applyAlignment="1" applyProtection="1">
      <alignment horizontal="left"/>
      <protection locked="0"/>
    </xf>
    <xf numFmtId="0" fontId="4" fillId="26" borderId="0" xfId="0" applyFont="1" applyFill="1" applyBorder="1" applyAlignment="1">
      <alignment horizontal="left"/>
    </xf>
    <xf numFmtId="0" fontId="13" fillId="26" borderId="0" xfId="0" applyFont="1" applyFill="1" applyBorder="1" applyProtection="1"/>
    <xf numFmtId="1" fontId="4" fillId="26" borderId="0" xfId="0" applyNumberFormat="1" applyFont="1" applyFill="1" applyBorder="1" applyAlignment="1">
      <alignment horizontal="left"/>
    </xf>
    <xf numFmtId="0" fontId="3" fillId="0" borderId="0" xfId="0" applyFont="1" applyFill="1" applyBorder="1" applyProtection="1"/>
    <xf numFmtId="0" fontId="9" fillId="0" borderId="0" xfId="0" applyFont="1" applyFill="1" applyBorder="1" applyProtection="1"/>
    <xf numFmtId="0" fontId="13" fillId="0" borderId="0" xfId="0" applyFont="1" applyFill="1" applyBorder="1" applyAlignment="1">
      <alignment horizontal="center"/>
    </xf>
    <xf numFmtId="0" fontId="4" fillId="0" borderId="0" xfId="0" applyFont="1" applyFill="1" applyBorder="1" applyAlignment="1">
      <alignment horizontal="left"/>
    </xf>
    <xf numFmtId="1" fontId="4" fillId="0" borderId="0" xfId="0" applyNumberFormat="1" applyFont="1" applyFill="1" applyBorder="1" applyAlignment="1">
      <alignment horizontal="left"/>
    </xf>
    <xf numFmtId="0" fontId="4" fillId="0" borderId="0" xfId="0" applyFont="1" applyFill="1" applyBorder="1" applyAlignment="1" applyProtection="1">
      <alignment horizontal="center"/>
    </xf>
    <xf numFmtId="0" fontId="13" fillId="0" borderId="0" xfId="0" applyFont="1" applyFill="1" applyAlignment="1"/>
    <xf numFmtId="0" fontId="4" fillId="0" borderId="36" xfId="0" applyFont="1" applyFill="1" applyBorder="1" applyProtection="1"/>
    <xf numFmtId="0" fontId="13" fillId="0" borderId="36" xfId="0" applyFont="1" applyFill="1" applyBorder="1" applyProtection="1"/>
    <xf numFmtId="0" fontId="4" fillId="0" borderId="41" xfId="0" applyFont="1" applyFill="1" applyBorder="1" applyProtection="1"/>
    <xf numFmtId="0" fontId="13" fillId="0" borderId="41" xfId="0" applyFont="1" applyFill="1" applyBorder="1" applyProtection="1"/>
    <xf numFmtId="0" fontId="4" fillId="0" borderId="36" xfId="0" applyFont="1" applyFill="1" applyBorder="1" applyAlignment="1" applyProtection="1">
      <alignment horizontal="center"/>
      <protection locked="0"/>
    </xf>
    <xf numFmtId="0" fontId="4" fillId="0" borderId="42" xfId="0" applyFont="1" applyFill="1" applyBorder="1" applyAlignment="1" applyProtection="1">
      <alignment horizontal="center"/>
      <protection locked="0"/>
    </xf>
    <xf numFmtId="0" fontId="4" fillId="0" borderId="42" xfId="0" applyFont="1" applyFill="1" applyBorder="1" applyProtection="1"/>
    <xf numFmtId="0" fontId="13" fillId="0" borderId="42" xfId="0" applyFont="1" applyFill="1" applyBorder="1" applyProtection="1"/>
    <xf numFmtId="0" fontId="4" fillId="0" borderId="41" xfId="0" applyFont="1" applyFill="1" applyBorder="1" applyAlignment="1" applyProtection="1">
      <alignment horizontal="center"/>
      <protection locked="0"/>
    </xf>
    <xf numFmtId="0" fontId="9" fillId="0" borderId="0" xfId="0" applyFont="1" applyFill="1" applyBorder="1" applyAlignment="1" applyProtection="1">
      <alignment horizontal="left"/>
    </xf>
    <xf numFmtId="0" fontId="7" fillId="0" borderId="0" xfId="0" applyFont="1" applyFill="1" applyBorder="1" applyProtection="1"/>
    <xf numFmtId="0" fontId="7" fillId="27" borderId="0" xfId="0" applyFont="1" applyFill="1" applyProtection="1"/>
    <xf numFmtId="0" fontId="4" fillId="0" borderId="36" xfId="0" applyFont="1" applyFill="1" applyBorder="1" applyAlignment="1" applyProtection="1">
      <alignment horizontal="left"/>
    </xf>
    <xf numFmtId="0" fontId="9" fillId="26" borderId="0" xfId="0" applyFont="1" applyFill="1" applyBorder="1" applyAlignment="1">
      <alignment wrapText="1"/>
    </xf>
    <xf numFmtId="0" fontId="9" fillId="26" borderId="0" xfId="0" applyFont="1" applyFill="1" applyBorder="1" applyAlignment="1">
      <alignment horizontal="left" wrapText="1"/>
    </xf>
    <xf numFmtId="0" fontId="9" fillId="26" borderId="0" xfId="0" applyFont="1" applyFill="1" applyBorder="1"/>
    <xf numFmtId="0" fontId="9" fillId="26" borderId="0" xfId="0" applyFont="1" applyFill="1"/>
    <xf numFmtId="4" fontId="13" fillId="27" borderId="40" xfId="0" applyNumberFormat="1" applyFont="1" applyFill="1" applyBorder="1" applyAlignment="1" applyProtection="1">
      <alignment horizontal="left"/>
    </xf>
    <xf numFmtId="4" fontId="13" fillId="27" borderId="39" xfId="0" applyNumberFormat="1" applyFont="1" applyFill="1" applyBorder="1" applyAlignment="1" applyProtection="1">
      <alignment horizontal="left"/>
    </xf>
    <xf numFmtId="0" fontId="9" fillId="25" borderId="0" xfId="0" applyFont="1" applyFill="1" applyBorder="1" applyProtection="1"/>
    <xf numFmtId="0" fontId="13" fillId="26" borderId="0" xfId="0" applyFont="1" applyFill="1" applyBorder="1"/>
    <xf numFmtId="0" fontId="7" fillId="28" borderId="0" xfId="0" applyFont="1" applyFill="1" applyBorder="1" applyProtection="1"/>
    <xf numFmtId="0" fontId="9" fillId="28" borderId="0" xfId="0" applyFont="1" applyFill="1" applyBorder="1" applyProtection="1"/>
    <xf numFmtId="0" fontId="7" fillId="28" borderId="0" xfId="0" applyFont="1" applyFill="1" applyProtection="1"/>
    <xf numFmtId="0" fontId="29" fillId="0" borderId="36" xfId="0" applyFont="1" applyFill="1" applyBorder="1" applyProtection="1"/>
    <xf numFmtId="0" fontId="29" fillId="0" borderId="41" xfId="0" applyFont="1" applyFill="1" applyBorder="1" applyProtection="1"/>
    <xf numFmtId="0" fontId="29" fillId="0" borderId="0" xfId="0" applyFont="1" applyFill="1" applyBorder="1" applyProtection="1"/>
    <xf numFmtId="170" fontId="13" fillId="26" borderId="0" xfId="0" applyNumberFormat="1" applyFont="1" applyFill="1" applyBorder="1" applyAlignment="1" applyProtection="1">
      <alignment horizontal="left"/>
    </xf>
    <xf numFmtId="0" fontId="13" fillId="0" borderId="0" xfId="0" applyFont="1" applyFill="1" applyBorder="1" applyAlignment="1" applyProtection="1">
      <alignment horizontal="center" vertical="center"/>
    </xf>
    <xf numFmtId="0" fontId="9" fillId="26" borderId="0" xfId="0" applyFont="1" applyFill="1" applyBorder="1" applyAlignment="1" applyProtection="1">
      <alignment horizontal="center"/>
    </xf>
    <xf numFmtId="0" fontId="13" fillId="0" borderId="0" xfId="0" applyFont="1" applyFill="1" applyBorder="1" applyAlignment="1" applyProtection="1">
      <alignment horizontal="left" vertical="center" wrapText="1"/>
    </xf>
    <xf numFmtId="0" fontId="30" fillId="26" borderId="0" xfId="0" applyFont="1" applyFill="1" applyBorder="1" applyProtection="1"/>
    <xf numFmtId="0" fontId="9" fillId="0" borderId="0" xfId="0" applyFont="1" applyFill="1" applyBorder="1" applyAlignment="1" applyProtection="1">
      <alignment horizontal="center"/>
    </xf>
    <xf numFmtId="0" fontId="5" fillId="26" borderId="0" xfId="0" applyFont="1" applyFill="1" applyBorder="1" applyProtection="1"/>
    <xf numFmtId="0" fontId="28" fillId="26" borderId="0" xfId="0" applyFont="1" applyFill="1" applyBorder="1" applyProtection="1"/>
    <xf numFmtId="0" fontId="9" fillId="25" borderId="43" xfId="0" applyFont="1" applyFill="1" applyBorder="1" applyProtection="1"/>
    <xf numFmtId="0" fontId="4" fillId="0" borderId="43" xfId="0" applyFont="1" applyFill="1" applyBorder="1" applyProtection="1"/>
    <xf numFmtId="0" fontId="13" fillId="0" borderId="43" xfId="0" applyFont="1" applyFill="1" applyBorder="1" applyProtection="1"/>
    <xf numFmtId="0" fontId="9" fillId="25" borderId="44" xfId="0" applyFont="1" applyFill="1" applyBorder="1" applyProtection="1"/>
    <xf numFmtId="0" fontId="4" fillId="0" borderId="44" xfId="0" applyFont="1" applyFill="1" applyBorder="1" applyProtection="1"/>
    <xf numFmtId="0" fontId="13" fillId="0" borderId="44" xfId="0" applyFont="1" applyFill="1" applyBorder="1" applyProtection="1"/>
    <xf numFmtId="0" fontId="13" fillId="25" borderId="44" xfId="0" applyFont="1" applyFill="1" applyBorder="1" applyProtection="1"/>
    <xf numFmtId="0" fontId="5" fillId="0" borderId="0" xfId="0" applyFont="1" applyFill="1" applyProtection="1"/>
    <xf numFmtId="0" fontId="11" fillId="0" borderId="0" xfId="0" applyFont="1" applyFill="1" applyProtection="1"/>
    <xf numFmtId="0" fontId="5" fillId="0" borderId="0" xfId="0" applyFont="1" applyFill="1" applyAlignment="1" applyProtection="1">
      <alignment horizontal="center" vertical="center"/>
    </xf>
    <xf numFmtId="172" fontId="0" fillId="0" borderId="0" xfId="0" applyNumberFormat="1"/>
    <xf numFmtId="171" fontId="0" fillId="0" borderId="0" xfId="0" applyNumberFormat="1"/>
    <xf numFmtId="168" fontId="13" fillId="26" borderId="0" xfId="0" applyNumberFormat="1" applyFont="1" applyFill="1" applyBorder="1" applyAlignment="1" applyProtection="1">
      <alignment horizontal="left"/>
    </xf>
    <xf numFmtId="0" fontId="13" fillId="26" borderId="0" xfId="0" applyFont="1" applyFill="1" applyBorder="1" applyAlignment="1">
      <alignment horizontal="right"/>
    </xf>
    <xf numFmtId="0" fontId="13" fillId="26" borderId="45" xfId="0" applyFont="1" applyFill="1" applyBorder="1" applyAlignment="1">
      <alignment horizontal="right"/>
    </xf>
    <xf numFmtId="0" fontId="13" fillId="0" borderId="0" xfId="0" applyFont="1" applyFill="1" applyBorder="1" applyAlignment="1">
      <alignment horizontal="right"/>
    </xf>
    <xf numFmtId="0" fontId="4" fillId="0" borderId="0" xfId="0" applyFont="1" applyFill="1" applyBorder="1"/>
    <xf numFmtId="0" fontId="13" fillId="0" borderId="0" xfId="0" applyNumberFormat="1" applyFont="1" applyFill="1" applyAlignment="1"/>
    <xf numFmtId="0" fontId="13" fillId="0" borderId="0" xfId="0" applyFont="1" applyFill="1" applyAlignment="1">
      <alignment horizontal="right"/>
    </xf>
    <xf numFmtId="0" fontId="13" fillId="0" borderId="46" xfId="0" applyFont="1" applyFill="1" applyBorder="1"/>
    <xf numFmtId="0" fontId="13" fillId="0" borderId="47" xfId="0" applyFont="1" applyFill="1" applyBorder="1"/>
    <xf numFmtId="49" fontId="13" fillId="0" borderId="0" xfId="0" applyNumberFormat="1" applyFont="1" applyFill="1" applyBorder="1" applyAlignment="1">
      <alignment horizontal="left" vertical="top" wrapText="1"/>
    </xf>
    <xf numFmtId="49" fontId="13" fillId="0" borderId="0" xfId="0" applyNumberFormat="1" applyFont="1" applyFill="1" applyAlignment="1">
      <alignment horizontal="left" vertical="top" wrapText="1"/>
    </xf>
    <xf numFmtId="0" fontId="4" fillId="0" borderId="0" xfId="0" applyFont="1" applyFill="1" applyAlignment="1">
      <alignment horizontal="center"/>
    </xf>
    <xf numFmtId="0" fontId="4" fillId="0" borderId="0" xfId="0" applyFont="1" applyFill="1"/>
    <xf numFmtId="0" fontId="9" fillId="0" borderId="0" xfId="0" applyFont="1" applyFill="1"/>
    <xf numFmtId="0" fontId="31" fillId="0" borderId="0" xfId="0" applyFont="1" applyFill="1" applyBorder="1"/>
    <xf numFmtId="0" fontId="13" fillId="0" borderId="46" xfId="0" applyFont="1" applyFill="1" applyBorder="1" applyAlignment="1">
      <alignment horizontal="center"/>
    </xf>
    <xf numFmtId="0" fontId="13" fillId="0" borderId="46" xfId="0" applyFont="1" applyFill="1" applyBorder="1" applyAlignment="1">
      <alignment horizontal="left"/>
    </xf>
    <xf numFmtId="0" fontId="4" fillId="0" borderId="46" xfId="0" applyFont="1" applyFill="1" applyBorder="1"/>
    <xf numFmtId="0" fontId="4" fillId="0" borderId="48" xfId="0" applyFont="1" applyFill="1" applyBorder="1"/>
    <xf numFmtId="0" fontId="13" fillId="0" borderId="48" xfId="0" applyFont="1" applyFill="1" applyBorder="1"/>
    <xf numFmtId="0" fontId="4" fillId="0" borderId="49" xfId="0" applyFont="1" applyFill="1" applyBorder="1"/>
    <xf numFmtId="0" fontId="13" fillId="0" borderId="0" xfId="0" applyFont="1" applyFill="1" applyBorder="1" applyProtection="1">
      <protection locked="0" hidden="1"/>
    </xf>
    <xf numFmtId="0" fontId="13" fillId="0" borderId="49" xfId="0" applyFont="1" applyFill="1" applyBorder="1" applyProtection="1">
      <protection locked="0" hidden="1"/>
    </xf>
    <xf numFmtId="0" fontId="13" fillId="0" borderId="50" xfId="0" applyFont="1" applyFill="1" applyBorder="1"/>
    <xf numFmtId="0" fontId="13" fillId="0" borderId="49" xfId="0" applyFont="1" applyFill="1" applyBorder="1"/>
    <xf numFmtId="0" fontId="13" fillId="0" borderId="51" xfId="0" applyFont="1" applyFill="1" applyBorder="1"/>
    <xf numFmtId="0" fontId="9" fillId="0" borderId="0" xfId="0" applyFont="1" applyFill="1" applyBorder="1"/>
    <xf numFmtId="0" fontId="13" fillId="26" borderId="46" xfId="0" applyFont="1" applyFill="1" applyBorder="1"/>
    <xf numFmtId="0" fontId="13" fillId="26" borderId="48" xfId="0" applyFont="1" applyFill="1" applyBorder="1"/>
    <xf numFmtId="0" fontId="13" fillId="26" borderId="0" xfId="0" applyFont="1" applyFill="1" applyBorder="1" applyAlignment="1">
      <alignment horizontal="center"/>
    </xf>
    <xf numFmtId="0" fontId="13" fillId="26" borderId="0" xfId="0" applyFont="1" applyFill="1" applyAlignment="1" applyProtection="1">
      <alignment horizontal="right"/>
      <protection locked="0" hidden="1"/>
    </xf>
    <xf numFmtId="0" fontId="13" fillId="26" borderId="0" xfId="0" applyFont="1" applyFill="1" applyProtection="1">
      <protection locked="0" hidden="1"/>
    </xf>
    <xf numFmtId="0" fontId="13" fillId="26" borderId="0" xfId="0" applyFont="1" applyFill="1" applyAlignment="1">
      <alignment horizontal="right"/>
    </xf>
    <xf numFmtId="0" fontId="7" fillId="28" borderId="0" xfId="0" applyFont="1" applyFill="1" applyBorder="1"/>
    <xf numFmtId="0" fontId="9" fillId="28" borderId="0" xfId="0" applyFont="1" applyFill="1" applyBorder="1"/>
    <xf numFmtId="0" fontId="13" fillId="26" borderId="45" xfId="0" applyFont="1" applyFill="1" applyBorder="1"/>
    <xf numFmtId="0" fontId="13" fillId="0" borderId="45" xfId="0" applyFont="1" applyFill="1" applyBorder="1" applyAlignment="1">
      <alignment horizontal="left"/>
    </xf>
    <xf numFmtId="0" fontId="13" fillId="0" borderId="45" xfId="0" applyFont="1" applyFill="1" applyBorder="1"/>
    <xf numFmtId="0" fontId="13" fillId="0" borderId="45" xfId="0" applyFont="1" applyFill="1" applyBorder="1" applyProtection="1">
      <protection locked="0" hidden="1"/>
    </xf>
    <xf numFmtId="0" fontId="4" fillId="26" borderId="0" xfId="0" applyFont="1" applyFill="1" applyBorder="1"/>
    <xf numFmtId="0" fontId="13" fillId="0" borderId="52" xfId="0" applyFont="1" applyFill="1" applyBorder="1"/>
    <xf numFmtId="0" fontId="13" fillId="0" borderId="45" xfId="0" applyFont="1" applyFill="1" applyBorder="1" applyAlignment="1">
      <alignment horizontal="center"/>
    </xf>
    <xf numFmtId="49" fontId="13" fillId="0" borderId="45" xfId="0" applyNumberFormat="1" applyFont="1" applyFill="1" applyBorder="1" applyAlignment="1">
      <alignment horizontal="left" vertical="top" wrapText="1"/>
    </xf>
    <xf numFmtId="0" fontId="13" fillId="0" borderId="45" xfId="0" applyNumberFormat="1" applyFont="1" applyFill="1" applyBorder="1" applyAlignment="1"/>
    <xf numFmtId="0" fontId="13" fillId="0" borderId="45" xfId="0" applyFont="1" applyFill="1" applyBorder="1" applyAlignment="1" applyProtection="1">
      <alignment horizontal="left"/>
      <protection locked="0"/>
    </xf>
    <xf numFmtId="0" fontId="13" fillId="0" borderId="45" xfId="0" applyFont="1" applyFill="1" applyBorder="1" applyAlignment="1">
      <alignment shrinkToFit="1"/>
    </xf>
    <xf numFmtId="0" fontId="2" fillId="0" borderId="45" xfId="0" applyFont="1" applyFill="1" applyBorder="1" applyAlignment="1">
      <alignment shrinkToFit="1"/>
    </xf>
    <xf numFmtId="0" fontId="24" fillId="0" borderId="0" xfId="0" applyFont="1" applyFill="1" applyBorder="1"/>
    <xf numFmtId="165" fontId="13" fillId="0" borderId="0" xfId="0" applyNumberFormat="1" applyFont="1" applyFill="1" applyBorder="1" applyAlignment="1">
      <alignment horizontal="left"/>
    </xf>
    <xf numFmtId="0" fontId="6" fillId="0" borderId="29" xfId="0" applyFont="1" applyFill="1" applyBorder="1" applyAlignment="1">
      <alignment horizontal="center"/>
    </xf>
    <xf numFmtId="0" fontId="6" fillId="0" borderId="53" xfId="0" applyFont="1" applyFill="1" applyBorder="1"/>
    <xf numFmtId="0" fontId="6" fillId="0" borderId="53" xfId="0" applyFont="1" applyFill="1" applyBorder="1" applyAlignment="1">
      <alignment horizontal="center"/>
    </xf>
    <xf numFmtId="0" fontId="17" fillId="0" borderId="53" xfId="0" applyFont="1" applyFill="1" applyBorder="1"/>
    <xf numFmtId="0" fontId="22" fillId="0" borderId="53" xfId="0" applyFont="1" applyFill="1" applyBorder="1"/>
    <xf numFmtId="0" fontId="9" fillId="0" borderId="0" xfId="0" applyFont="1" applyFill="1" applyAlignment="1">
      <alignment horizontal="center"/>
    </xf>
    <xf numFmtId="0" fontId="3" fillId="0" borderId="42" xfId="0" applyFont="1" applyFill="1" applyBorder="1" applyProtection="1"/>
    <xf numFmtId="0" fontId="3" fillId="0" borderId="41" xfId="0" applyFont="1" applyFill="1" applyBorder="1" applyProtection="1"/>
    <xf numFmtId="49" fontId="0" fillId="0" borderId="0" xfId="0" applyNumberFormat="1" applyBorder="1" applyAlignment="1">
      <alignment horizontal="left" vertical="top" wrapText="1"/>
    </xf>
    <xf numFmtId="49" fontId="0" fillId="0" borderId="0" xfId="0" applyNumberFormat="1" applyBorder="1" applyAlignment="1">
      <alignment horizontal="left" vertical="top"/>
    </xf>
    <xf numFmtId="0" fontId="33" fillId="26" borderId="0" xfId="0" applyFont="1" applyFill="1" applyBorder="1"/>
    <xf numFmtId="0" fontId="0" fillId="26" borderId="0" xfId="0" applyFill="1"/>
    <xf numFmtId="165" fontId="34" fillId="0" borderId="0" xfId="0" applyNumberFormat="1" applyFont="1" applyFill="1" applyBorder="1" applyAlignment="1">
      <alignment horizontal="left"/>
    </xf>
    <xf numFmtId="0" fontId="13" fillId="28" borderId="0" xfId="0" applyFont="1" applyFill="1" applyBorder="1"/>
    <xf numFmtId="0" fontId="13" fillId="28" borderId="0" xfId="0" applyFont="1" applyFill="1"/>
    <xf numFmtId="0" fontId="19" fillId="0" borderId="33" xfId="0" applyFont="1" applyBorder="1" applyAlignment="1">
      <alignment vertical="top" wrapText="1"/>
    </xf>
    <xf numFmtId="0" fontId="12" fillId="0" borderId="33" xfId="0" applyFont="1" applyBorder="1" applyAlignment="1">
      <alignment horizontal="right" vertical="top" wrapText="1"/>
    </xf>
    <xf numFmtId="0" fontId="12" fillId="0" borderId="33" xfId="0" applyFont="1" applyBorder="1" applyAlignment="1">
      <alignment vertical="top" wrapText="1"/>
    </xf>
    <xf numFmtId="14" fontId="0" fillId="0" borderId="0" xfId="0" applyNumberFormat="1"/>
    <xf numFmtId="49" fontId="0" fillId="0" borderId="0" xfId="0" quotePrefix="1" applyNumberFormat="1"/>
    <xf numFmtId="49" fontId="0" fillId="0" borderId="0" xfId="0" applyNumberFormat="1"/>
    <xf numFmtId="0" fontId="12" fillId="0" borderId="0" xfId="0" applyFont="1" applyAlignment="1">
      <alignment wrapText="1"/>
    </xf>
    <xf numFmtId="169" fontId="12" fillId="0" borderId="0" xfId="0" applyNumberFormat="1" applyFont="1" applyAlignment="1">
      <alignment wrapText="1"/>
    </xf>
    <xf numFmtId="0" fontId="0" fillId="0" borderId="0" xfId="0" applyAlignment="1"/>
    <xf numFmtId="0" fontId="0" fillId="0" borderId="0" xfId="0" quotePrefix="1" applyAlignment="1"/>
    <xf numFmtId="164" fontId="0" fillId="0" borderId="0" xfId="0" applyNumberFormat="1" applyAlignment="1"/>
    <xf numFmtId="22" fontId="0" fillId="0" borderId="0" xfId="0" applyNumberFormat="1"/>
    <xf numFmtId="0" fontId="9" fillId="25" borderId="43" xfId="0" applyFont="1" applyFill="1" applyBorder="1" applyAlignment="1" applyProtection="1">
      <alignment horizontal="right"/>
    </xf>
    <xf numFmtId="0" fontId="52" fillId="0" borderId="43" xfId="0" applyFont="1" applyFill="1" applyBorder="1" applyProtection="1"/>
    <xf numFmtId="0" fontId="52" fillId="0" borderId="0" xfId="0" applyFont="1" applyFill="1" applyBorder="1" applyProtection="1"/>
    <xf numFmtId="0" fontId="52" fillId="0" borderId="44" xfId="0" applyFont="1" applyFill="1" applyBorder="1" applyProtection="1"/>
    <xf numFmtId="0" fontId="52" fillId="0" borderId="0" xfId="0" applyFont="1" applyBorder="1" applyAlignment="1"/>
    <xf numFmtId="0" fontId="52" fillId="0" borderId="44" xfId="0" applyFont="1" applyBorder="1" applyAlignment="1"/>
    <xf numFmtId="0" fontId="52" fillId="0" borderId="0" xfId="0" applyFont="1" applyFill="1" applyProtection="1"/>
    <xf numFmtId="0" fontId="12" fillId="0" borderId="0" xfId="0" applyFont="1" applyFill="1" applyBorder="1" applyProtection="1"/>
    <xf numFmtId="0" fontId="2" fillId="27" borderId="0" xfId="0" applyFont="1" applyFill="1"/>
    <xf numFmtId="0" fontId="2" fillId="27" borderId="0" xfId="0" applyFont="1" applyFill="1" applyAlignment="1">
      <alignment wrapText="1"/>
    </xf>
    <xf numFmtId="0" fontId="13" fillId="26" borderId="0" xfId="0" applyFont="1" applyFill="1" applyBorder="1" applyAlignment="1">
      <alignment vertical="top" wrapText="1"/>
    </xf>
    <xf numFmtId="0" fontId="13" fillId="26" borderId="0" xfId="0" applyFont="1" applyFill="1" applyBorder="1" applyAlignment="1">
      <alignment horizontal="left" vertical="top" wrapText="1"/>
    </xf>
    <xf numFmtId="0" fontId="13" fillId="26" borderId="0" xfId="0" applyFont="1" applyFill="1" applyBorder="1" applyAlignment="1">
      <alignment wrapText="1"/>
    </xf>
    <xf numFmtId="0" fontId="13" fillId="0" borderId="0" xfId="0" applyFont="1" applyFill="1" applyBorder="1" applyAlignment="1" applyProtection="1">
      <alignment horizontal="left" vertical="center" wrapText="1"/>
    </xf>
    <xf numFmtId="0" fontId="13" fillId="0" borderId="44" xfId="0" applyFont="1" applyFill="1" applyBorder="1" applyAlignment="1" applyProtection="1">
      <alignment horizontal="left" vertical="center" wrapText="1"/>
    </xf>
    <xf numFmtId="0" fontId="6" fillId="0" borderId="0" xfId="0" applyFont="1" applyFill="1" applyBorder="1" applyAlignment="1">
      <alignment horizontal="left" vertical="top" wrapText="1"/>
    </xf>
    <xf numFmtId="0" fontId="0" fillId="0" borderId="0" xfId="0" applyBorder="1" applyAlignment="1">
      <alignment horizontal="left" vertical="top" wrapText="1"/>
    </xf>
    <xf numFmtId="0" fontId="0" fillId="0" borderId="23" xfId="0" applyBorder="1" applyAlignment="1">
      <alignment horizontal="left" vertical="top" wrapText="1"/>
    </xf>
    <xf numFmtId="0" fontId="0" fillId="0" borderId="0" xfId="0" applyAlignment="1">
      <alignment horizontal="left" vertical="top" wrapText="1"/>
    </xf>
    <xf numFmtId="0" fontId="6" fillId="0" borderId="0" xfId="0" applyFont="1" applyFill="1" applyBorder="1" applyAlignment="1">
      <alignment wrapText="1"/>
    </xf>
    <xf numFmtId="0" fontId="6" fillId="0" borderId="0" xfId="0" applyFont="1" applyFill="1" applyBorder="1" applyAlignment="1">
      <alignment horizontal="left"/>
    </xf>
    <xf numFmtId="0" fontId="32" fillId="0" borderId="0" xfId="0" applyFont="1" applyFill="1" applyBorder="1" applyAlignment="1">
      <alignment horizontal="left" vertical="top" shrinkToFit="1"/>
    </xf>
    <xf numFmtId="0" fontId="13" fillId="0" borderId="0" xfId="0" applyFont="1" applyBorder="1" applyAlignment="1">
      <alignment shrinkToFit="1"/>
    </xf>
    <xf numFmtId="0" fontId="6" fillId="0" borderId="23" xfId="0" applyFont="1" applyFill="1" applyBorder="1" applyAlignment="1" applyProtection="1">
      <alignment horizontal="left" shrinkToFit="1"/>
      <protection locked="0"/>
    </xf>
    <xf numFmtId="0" fontId="0" fillId="0" borderId="23" xfId="0" applyBorder="1" applyAlignment="1">
      <alignment shrinkToFit="1"/>
    </xf>
    <xf numFmtId="49" fontId="6" fillId="0" borderId="0" xfId="0" applyNumberFormat="1" applyFont="1" applyFill="1" applyBorder="1" applyAlignment="1">
      <alignment horizontal="left" vertical="top" wrapText="1"/>
    </xf>
    <xf numFmtId="49" fontId="0" fillId="0" borderId="0" xfId="0" applyNumberFormat="1" applyBorder="1" applyAlignment="1">
      <alignment horizontal="left" vertical="top" wrapText="1"/>
    </xf>
    <xf numFmtId="0" fontId="6" fillId="0" borderId="0" xfId="0" applyFont="1" applyFill="1" applyBorder="1" applyAlignment="1">
      <alignment vertical="top" shrinkToFit="1"/>
    </xf>
    <xf numFmtId="0" fontId="0" fillId="0" borderId="0" xfId="0" applyBorder="1" applyAlignment="1">
      <alignment vertical="top" shrinkToFit="1"/>
    </xf>
    <xf numFmtId="0" fontId="32" fillId="0" borderId="22" xfId="0" applyFont="1" applyFill="1" applyBorder="1" applyAlignment="1">
      <alignment horizontal="left" vertical="top" shrinkToFit="1"/>
    </xf>
    <xf numFmtId="0" fontId="13" fillId="0" borderId="22" xfId="0" applyFont="1" applyBorder="1" applyAlignment="1">
      <alignment shrinkToFit="1"/>
    </xf>
    <xf numFmtId="0" fontId="13" fillId="0" borderId="0" xfId="0" applyFont="1" applyAlignment="1">
      <alignment shrinkToFit="1"/>
    </xf>
    <xf numFmtId="0" fontId="13" fillId="0" borderId="0" xfId="0" applyFont="1" applyBorder="1" applyAlignment="1">
      <alignment horizontal="left" vertical="top" shrinkToFit="1"/>
    </xf>
    <xf numFmtId="0" fontId="6" fillId="0" borderId="28" xfId="0" applyFont="1" applyFill="1" applyBorder="1" applyAlignment="1">
      <alignment horizontal="left" wrapText="1"/>
    </xf>
    <xf numFmtId="0" fontId="6" fillId="0" borderId="29" xfId="0" applyFont="1" applyFill="1" applyBorder="1" applyAlignment="1">
      <alignment horizontal="left" wrapText="1"/>
    </xf>
    <xf numFmtId="0" fontId="6" fillId="0" borderId="0" xfId="0" applyFont="1" applyFill="1" applyBorder="1" applyAlignment="1">
      <alignment horizontal="left" vertical="top" shrinkToFit="1"/>
    </xf>
    <xf numFmtId="0" fontId="0" fillId="0" borderId="0" xfId="0" applyBorder="1" applyAlignment="1">
      <alignment horizontal="left" vertical="top" shrinkToFit="1"/>
    </xf>
    <xf numFmtId="0" fontId="0" fillId="0" borderId="0" xfId="0" applyAlignment="1">
      <alignment shrinkToFit="1"/>
    </xf>
    <xf numFmtId="0" fontId="6" fillId="0" borderId="22" xfId="0" applyFont="1" applyFill="1" applyBorder="1" applyAlignment="1">
      <alignment horizontal="left" vertical="top" shrinkToFit="1"/>
    </xf>
    <xf numFmtId="0" fontId="0" fillId="0" borderId="22" xfId="0" applyBorder="1" applyAlignment="1">
      <alignment shrinkToFit="1"/>
    </xf>
    <xf numFmtId="0" fontId="0" fillId="0" borderId="0" xfId="0" applyBorder="1" applyAlignment="1">
      <alignment shrinkToFit="1"/>
    </xf>
    <xf numFmtId="0" fontId="13" fillId="0" borderId="0" xfId="0" applyFont="1" applyFill="1" applyBorder="1" applyAlignment="1">
      <alignment horizontal="left" vertical="top" wrapText="1"/>
    </xf>
    <xf numFmtId="0" fontId="13" fillId="0" borderId="0" xfId="0" applyFont="1" applyFill="1" applyAlignment="1"/>
    <xf numFmtId="0" fontId="5" fillId="27" borderId="0" xfId="0" applyFont="1" applyFill="1" applyBorder="1" applyAlignment="1"/>
    <xf numFmtId="0" fontId="13" fillId="0" borderId="13" xfId="0" applyFont="1" applyBorder="1" applyAlignment="1"/>
    <xf numFmtId="15" fontId="0" fillId="0" borderId="54" xfId="0" applyNumberFormat="1" applyBorder="1" applyAlignment="1"/>
    <xf numFmtId="15" fontId="0" fillId="0" borderId="54" xfId="0" applyNumberFormat="1" applyBorder="1" applyAlignment="1">
      <alignment horizontal="left"/>
    </xf>
    <xf numFmtId="0" fontId="13" fillId="0" borderId="0" xfId="0" applyNumberFormat="1" applyFont="1" applyFill="1" applyBorder="1" applyAlignment="1">
      <alignment horizontal="left" wrapText="1"/>
    </xf>
    <xf numFmtId="0" fontId="32" fillId="0" borderId="0" xfId="0" applyFont="1" applyFill="1" applyBorder="1" applyAlignment="1">
      <alignment horizontal="center" vertical="top"/>
    </xf>
    <xf numFmtId="0" fontId="22" fillId="0" borderId="10" xfId="0" applyFont="1" applyBorder="1" applyAlignment="1">
      <alignment vertical="top" wrapText="1"/>
    </xf>
    <xf numFmtId="0" fontId="22" fillId="0" borderId="11" xfId="0" applyFont="1" applyBorder="1" applyAlignment="1">
      <alignment vertical="top" wrapText="1"/>
    </xf>
    <xf numFmtId="0" fontId="22" fillId="0" borderId="12" xfId="0" applyFont="1" applyBorder="1" applyAlignment="1">
      <alignment vertical="top" wrapText="1"/>
    </xf>
    <xf numFmtId="0" fontId="13" fillId="0" borderId="30" xfId="0" applyFont="1" applyBorder="1" applyAlignment="1">
      <alignment horizontal="center" vertical="top" wrapText="1"/>
    </xf>
    <xf numFmtId="0" fontId="13" fillId="0" borderId="31" xfId="0" applyFont="1" applyBorder="1" applyAlignment="1">
      <alignment horizontal="center" vertical="top" wrapText="1"/>
    </xf>
    <xf numFmtId="0" fontId="13" fillId="0" borderId="30" xfId="0" applyFont="1" applyBorder="1" applyAlignment="1">
      <alignment vertical="top" wrapText="1"/>
    </xf>
    <xf numFmtId="0" fontId="13" fillId="0" borderId="31" xfId="0" applyFont="1" applyBorder="1" applyAlignment="1">
      <alignment vertical="top" wrapText="1"/>
    </xf>
    <xf numFmtId="0" fontId="22" fillId="0" borderId="55" xfId="0" applyFont="1" applyBorder="1" applyAlignment="1">
      <alignment horizontal="center" vertical="top" wrapText="1"/>
    </xf>
    <xf numFmtId="0" fontId="22" fillId="0" borderId="26" xfId="0" applyFont="1" applyBorder="1" applyAlignment="1">
      <alignment horizontal="center" vertical="top" wrapText="1"/>
    </xf>
    <xf numFmtId="0" fontId="13" fillId="0" borderId="22" xfId="0" applyFont="1" applyBorder="1" applyAlignment="1">
      <alignment horizontal="right" vertical="top" wrapText="1"/>
    </xf>
    <xf numFmtId="0" fontId="22" fillId="0" borderId="11" xfId="0" applyFont="1" applyBorder="1" applyAlignment="1">
      <alignment horizontal="left" vertical="center" wrapText="1"/>
    </xf>
    <xf numFmtId="0" fontId="22" fillId="0" borderId="12" xfId="0" applyFont="1" applyBorder="1" applyAlignment="1">
      <alignment horizontal="left" vertical="center" wrapText="1"/>
    </xf>
    <xf numFmtId="0" fontId="22" fillId="0" borderId="22" xfId="0" applyFont="1" applyBorder="1" applyAlignment="1">
      <alignment horizontal="right" vertical="top" wrapText="1"/>
    </xf>
    <xf numFmtId="0" fontId="22" fillId="0" borderId="56" xfId="0" applyFont="1" applyBorder="1" applyAlignment="1">
      <alignment vertical="top" wrapText="1"/>
    </xf>
    <xf numFmtId="0" fontId="22" fillId="0" borderId="57" xfId="0" applyFont="1" applyBorder="1" applyAlignment="1">
      <alignment vertical="top" wrapText="1"/>
    </xf>
    <xf numFmtId="0" fontId="22" fillId="0" borderId="20" xfId="0" applyFont="1" applyBorder="1" applyAlignment="1">
      <alignment vertical="top" wrapText="1"/>
    </xf>
    <xf numFmtId="0" fontId="13" fillId="0" borderId="56" xfId="0" applyFont="1" applyBorder="1" applyAlignment="1">
      <alignment horizontal="center" vertical="top" wrapText="1"/>
    </xf>
    <xf numFmtId="0" fontId="13" fillId="0" borderId="57" xfId="0" applyFont="1" applyBorder="1" applyAlignment="1">
      <alignment horizontal="center" vertical="top" wrapText="1"/>
    </xf>
    <xf numFmtId="0" fontId="13" fillId="0" borderId="20" xfId="0" applyFont="1" applyBorder="1" applyAlignment="1">
      <alignment horizontal="center" vertical="top" wrapText="1"/>
    </xf>
    <xf numFmtId="0" fontId="13" fillId="0" borderId="25" xfId="0" applyFont="1" applyBorder="1" applyAlignment="1">
      <alignment vertical="top" wrapText="1"/>
    </xf>
    <xf numFmtId="0" fontId="13" fillId="0" borderId="16" xfId="0" applyFont="1" applyBorder="1" applyAlignment="1">
      <alignment vertical="top" wrapText="1"/>
    </xf>
    <xf numFmtId="0" fontId="13" fillId="0" borderId="22" xfId="0" applyFont="1" applyBorder="1" applyAlignment="1">
      <alignment vertical="top" wrapText="1"/>
    </xf>
    <xf numFmtId="0" fontId="13" fillId="0" borderId="23" xfId="0" applyFont="1" applyBorder="1" applyAlignment="1">
      <alignment vertical="top" wrapText="1"/>
    </xf>
    <xf numFmtId="0" fontId="4" fillId="0" borderId="22" xfId="0" applyFont="1" applyBorder="1" applyAlignment="1">
      <alignment vertical="top" wrapText="1"/>
    </xf>
    <xf numFmtId="0" fontId="4" fillId="0" borderId="23" xfId="0" applyFont="1" applyBorder="1" applyAlignment="1">
      <alignment vertical="top" wrapText="1"/>
    </xf>
    <xf numFmtId="0" fontId="13" fillId="0" borderId="55" xfId="0" applyFont="1" applyBorder="1" applyAlignment="1">
      <alignment horizontal="center" vertical="top" wrapText="1"/>
    </xf>
    <xf numFmtId="0" fontId="13" fillId="0" borderId="26" xfId="0" applyFont="1" applyBorder="1" applyAlignment="1">
      <alignment horizontal="center" vertical="top" wrapText="1"/>
    </xf>
    <xf numFmtId="0" fontId="22" fillId="0" borderId="11" xfId="0" applyFont="1" applyBorder="1" applyAlignment="1">
      <alignment vertical="center" wrapText="1"/>
    </xf>
    <xf numFmtId="0" fontId="22" fillId="0" borderId="12" xfId="0" applyFont="1" applyBorder="1" applyAlignment="1">
      <alignment vertical="center" wrapText="1"/>
    </xf>
    <xf numFmtId="0" fontId="14" fillId="0" borderId="56" xfId="0" applyFont="1" applyBorder="1" applyAlignment="1">
      <alignment vertical="top" wrapText="1"/>
    </xf>
    <xf numFmtId="0" fontId="14" fillId="0" borderId="57" xfId="0" applyFont="1" applyBorder="1" applyAlignment="1">
      <alignment vertical="top" wrapText="1"/>
    </xf>
    <xf numFmtId="0" fontId="14" fillId="0" borderId="20" xfId="0" applyFont="1" applyBorder="1" applyAlignment="1">
      <alignment vertical="top" wrapText="1"/>
    </xf>
    <xf numFmtId="0" fontId="14" fillId="0" borderId="10" xfId="0" applyFont="1" applyBorder="1" applyAlignment="1">
      <alignment vertical="top" wrapText="1"/>
    </xf>
    <xf numFmtId="0" fontId="14" fillId="0" borderId="11" xfId="0" applyFont="1" applyBorder="1" applyAlignment="1">
      <alignment vertical="top" wrapText="1"/>
    </xf>
    <xf numFmtId="0" fontId="14" fillId="0" borderId="12" xfId="0" applyFont="1" applyBorder="1" applyAlignment="1">
      <alignment vertical="top" wrapText="1"/>
    </xf>
    <xf numFmtId="0" fontId="22" fillId="0" borderId="10" xfId="0" applyFont="1" applyBorder="1" applyAlignment="1">
      <alignment vertical="center"/>
    </xf>
    <xf numFmtId="0" fontId="22" fillId="0" borderId="11" xfId="0" applyFont="1" applyBorder="1" applyAlignment="1">
      <alignment vertical="center"/>
    </xf>
  </cellXfs>
  <cellStyles count="4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te" xfId="37"/>
    <cellStyle name="Output" xfId="38"/>
    <cellStyle name="Title" xfId="39"/>
    <cellStyle name="Total" xfId="40"/>
    <cellStyle name="Warning Text" xfId="41"/>
  </cellStyles>
  <dxfs count="2">
    <dxf>
      <font>
        <b/>
        <i val="0"/>
        <condense val="0"/>
        <extend val="0"/>
      </font>
    </dxf>
    <dxf>
      <font>
        <condense val="0"/>
        <extend val="0"/>
        <color indexed="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1.xml"/><Relationship Id="rId18" Type="http://schemas.openxmlformats.org/officeDocument/2006/relationships/worksheet" Target="worksheets/sheet16.xml"/><Relationship Id="rId26" Type="http://schemas.openxmlformats.org/officeDocument/2006/relationships/worksheet" Target="worksheets/sheet24.xml"/><Relationship Id="rId39" Type="http://schemas.openxmlformats.org/officeDocument/2006/relationships/worksheet" Target="worksheets/sheet37.xml"/><Relationship Id="rId21" Type="http://schemas.openxmlformats.org/officeDocument/2006/relationships/worksheet" Target="worksheets/sheet19.xml"/><Relationship Id="rId34" Type="http://schemas.openxmlformats.org/officeDocument/2006/relationships/worksheet" Target="worksheets/sheet32.xml"/><Relationship Id="rId42" Type="http://schemas.openxmlformats.org/officeDocument/2006/relationships/styles" Target="styles.xml"/><Relationship Id="rId7" Type="http://schemas.openxmlformats.org/officeDocument/2006/relationships/worksheet" Target="worksheets/sheet5.xml"/><Relationship Id="rId2" Type="http://schemas.openxmlformats.org/officeDocument/2006/relationships/chartsheet" Target="chartsheets/sheet1.xml"/><Relationship Id="rId16" Type="http://schemas.openxmlformats.org/officeDocument/2006/relationships/worksheet" Target="worksheets/sheet14.xml"/><Relationship Id="rId29" Type="http://schemas.openxmlformats.org/officeDocument/2006/relationships/worksheet" Target="worksheets/sheet27.xml"/><Relationship Id="rId1" Type="http://schemas.openxmlformats.org/officeDocument/2006/relationships/worksheet" Target="worksheets/sheet1.xml"/><Relationship Id="rId6" Type="http://schemas.openxmlformats.org/officeDocument/2006/relationships/worksheet" Target="worksheets/sheet4.xml"/><Relationship Id="rId11" Type="http://schemas.openxmlformats.org/officeDocument/2006/relationships/worksheet" Target="worksheets/sheet9.xml"/><Relationship Id="rId24" Type="http://schemas.openxmlformats.org/officeDocument/2006/relationships/worksheet" Target="worksheets/sheet22.xml"/><Relationship Id="rId32" Type="http://schemas.openxmlformats.org/officeDocument/2006/relationships/worksheet" Target="worksheets/sheet30.xml"/><Relationship Id="rId37" Type="http://schemas.openxmlformats.org/officeDocument/2006/relationships/worksheet" Target="worksheets/sheet35.xml"/><Relationship Id="rId40" Type="http://schemas.openxmlformats.org/officeDocument/2006/relationships/worksheet" Target="worksheets/sheet38.xml"/><Relationship Id="rId45" Type="http://schemas.microsoft.com/office/2006/relationships/vbaProject" Target="vbaProject.bin"/><Relationship Id="rId5" Type="http://schemas.openxmlformats.org/officeDocument/2006/relationships/worksheet" Target="worksheets/sheet3.xml"/><Relationship Id="rId15" Type="http://schemas.openxmlformats.org/officeDocument/2006/relationships/worksheet" Target="worksheets/sheet13.xml"/><Relationship Id="rId23" Type="http://schemas.openxmlformats.org/officeDocument/2006/relationships/worksheet" Target="worksheets/sheet21.xml"/><Relationship Id="rId28" Type="http://schemas.openxmlformats.org/officeDocument/2006/relationships/worksheet" Target="worksheets/sheet26.xml"/><Relationship Id="rId36" Type="http://schemas.openxmlformats.org/officeDocument/2006/relationships/worksheet" Target="worksheets/sheet34.xml"/><Relationship Id="rId10" Type="http://schemas.openxmlformats.org/officeDocument/2006/relationships/worksheet" Target="worksheets/sheet8.xml"/><Relationship Id="rId19" Type="http://schemas.openxmlformats.org/officeDocument/2006/relationships/worksheet" Target="worksheets/sheet17.xml"/><Relationship Id="rId31" Type="http://schemas.openxmlformats.org/officeDocument/2006/relationships/worksheet" Target="worksheets/sheet29.xml"/><Relationship Id="rId44" Type="http://schemas.openxmlformats.org/officeDocument/2006/relationships/calcChain" Target="calcChain.xml"/><Relationship Id="rId4" Type="http://schemas.openxmlformats.org/officeDocument/2006/relationships/worksheet" Target="worksheets/sheet2.xml"/><Relationship Id="rId9" Type="http://schemas.openxmlformats.org/officeDocument/2006/relationships/worksheet" Target="worksheets/sheet7.xml"/><Relationship Id="rId14" Type="http://schemas.openxmlformats.org/officeDocument/2006/relationships/worksheet" Target="worksheets/sheet12.xml"/><Relationship Id="rId22" Type="http://schemas.openxmlformats.org/officeDocument/2006/relationships/worksheet" Target="worksheets/sheet20.xml"/><Relationship Id="rId27" Type="http://schemas.openxmlformats.org/officeDocument/2006/relationships/worksheet" Target="worksheets/sheet25.xml"/><Relationship Id="rId30" Type="http://schemas.openxmlformats.org/officeDocument/2006/relationships/worksheet" Target="worksheets/sheet28.xml"/><Relationship Id="rId35" Type="http://schemas.openxmlformats.org/officeDocument/2006/relationships/worksheet" Target="worksheets/sheet33.xml"/><Relationship Id="rId43" Type="http://schemas.openxmlformats.org/officeDocument/2006/relationships/sharedStrings" Target="sharedStrings.xml"/><Relationship Id="rId8" Type="http://schemas.openxmlformats.org/officeDocument/2006/relationships/worksheet" Target="worksheets/sheet6.xml"/><Relationship Id="rId3" Type="http://schemas.openxmlformats.org/officeDocument/2006/relationships/chartsheet" Target="chartsheets/sheet2.xml"/><Relationship Id="rId12" Type="http://schemas.openxmlformats.org/officeDocument/2006/relationships/worksheet" Target="worksheets/sheet10.xml"/><Relationship Id="rId17" Type="http://schemas.openxmlformats.org/officeDocument/2006/relationships/worksheet" Target="worksheets/sheet15.xml"/><Relationship Id="rId25" Type="http://schemas.openxmlformats.org/officeDocument/2006/relationships/worksheet" Target="worksheets/sheet23.xml"/><Relationship Id="rId33" Type="http://schemas.openxmlformats.org/officeDocument/2006/relationships/worksheet" Target="worksheets/sheet31.xml"/><Relationship Id="rId38" Type="http://schemas.openxmlformats.org/officeDocument/2006/relationships/worksheet" Target="worksheets/sheet36.xml"/><Relationship Id="rId46" Type="http://schemas.microsoft.com/office/2006/relationships/attachedToolbars" Target="attachedToolbars.bin"/><Relationship Id="rId20" Type="http://schemas.openxmlformats.org/officeDocument/2006/relationships/worksheet" Target="worksheets/sheet18.xml"/><Relationship Id="rId41"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meisje</a:t>
            </a:r>
          </a:p>
        </c:rich>
      </c:tx>
      <c:layout>
        <c:manualLayout>
          <c:xMode val="edge"/>
          <c:yMode val="edge"/>
          <c:x val="0.42605997931747674"/>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52016546018614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GewMeisje!$E$2:$E$49</c:f>
              <c:numCache>
                <c:formatCode>General</c:formatCode>
                <c:ptCount val="48"/>
                <c:pt idx="0">
                  <c:v>3.04</c:v>
                </c:pt>
                <c:pt idx="1">
                  <c:v>3.04</c:v>
                </c:pt>
                <c:pt idx="2">
                  <c:v>3.54</c:v>
                </c:pt>
                <c:pt idx="3">
                  <c:v>3.99</c:v>
                </c:pt>
                <c:pt idx="4">
                  <c:v>4.4000000000000004</c:v>
                </c:pt>
                <c:pt idx="5">
                  <c:v>5.0999999999999996</c:v>
                </c:pt>
                <c:pt idx="6">
                  <c:v>5.82</c:v>
                </c:pt>
                <c:pt idx="7">
                  <c:v>6.34</c:v>
                </c:pt>
                <c:pt idx="8">
                  <c:v>6.92</c:v>
                </c:pt>
                <c:pt idx="9">
                  <c:v>7.48</c:v>
                </c:pt>
                <c:pt idx="10">
                  <c:v>7.8</c:v>
                </c:pt>
                <c:pt idx="11">
                  <c:v>9.1999999999999993</c:v>
                </c:pt>
                <c:pt idx="12">
                  <c:v>10.3</c:v>
                </c:pt>
                <c:pt idx="13">
                  <c:v>11.2</c:v>
                </c:pt>
                <c:pt idx="14">
                  <c:v>12</c:v>
                </c:pt>
                <c:pt idx="15">
                  <c:v>12.8</c:v>
                </c:pt>
                <c:pt idx="16">
                  <c:v>13.6</c:v>
                </c:pt>
                <c:pt idx="17">
                  <c:v>14.4</c:v>
                </c:pt>
                <c:pt idx="18">
                  <c:v>15.2</c:v>
                </c:pt>
                <c:pt idx="19">
                  <c:v>15.9</c:v>
                </c:pt>
                <c:pt idx="20">
                  <c:v>16.7</c:v>
                </c:pt>
                <c:pt idx="21">
                  <c:v>17.600000000000001</c:v>
                </c:pt>
                <c:pt idx="22">
                  <c:v>18.600000000000001</c:v>
                </c:pt>
                <c:pt idx="23">
                  <c:v>19.600000000000001</c:v>
                </c:pt>
                <c:pt idx="24">
                  <c:v>20.7</c:v>
                </c:pt>
                <c:pt idx="25">
                  <c:v>21.7</c:v>
                </c:pt>
                <c:pt idx="26">
                  <c:v>22.8</c:v>
                </c:pt>
                <c:pt idx="27">
                  <c:v>23.8</c:v>
                </c:pt>
                <c:pt idx="28">
                  <c:v>24.8</c:v>
                </c:pt>
                <c:pt idx="29">
                  <c:v>25.9</c:v>
                </c:pt>
                <c:pt idx="30">
                  <c:v>27.1</c:v>
                </c:pt>
                <c:pt idx="31">
                  <c:v>28.5</c:v>
                </c:pt>
                <c:pt idx="32">
                  <c:v>30.2</c:v>
                </c:pt>
                <c:pt idx="33">
                  <c:v>31.9</c:v>
                </c:pt>
                <c:pt idx="34">
                  <c:v>33.700000000000003</c:v>
                </c:pt>
                <c:pt idx="35">
                  <c:v>35.5</c:v>
                </c:pt>
                <c:pt idx="36">
                  <c:v>37.299999999999997</c:v>
                </c:pt>
                <c:pt idx="37">
                  <c:v>39.299999999999997</c:v>
                </c:pt>
                <c:pt idx="38">
                  <c:v>41.3</c:v>
                </c:pt>
                <c:pt idx="39">
                  <c:v>43</c:v>
                </c:pt>
                <c:pt idx="40">
                  <c:v>44.4</c:v>
                </c:pt>
                <c:pt idx="41">
                  <c:v>45.6</c:v>
                </c:pt>
                <c:pt idx="42">
                  <c:v>46.3</c:v>
                </c:pt>
                <c:pt idx="43">
                  <c:v>46.8</c:v>
                </c:pt>
                <c:pt idx="44">
                  <c:v>47</c:v>
                </c:pt>
                <c:pt idx="45">
                  <c:v>47.2</c:v>
                </c:pt>
                <c:pt idx="46">
                  <c:v>47.3</c:v>
                </c:pt>
                <c:pt idx="47">
                  <c:v>47.3</c:v>
                </c:pt>
              </c:numCache>
            </c:numRef>
          </c:yVal>
          <c:smooth val="1"/>
        </c:ser>
        <c:ser>
          <c:idx val="2"/>
          <c:order val="1"/>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GewMeisje!$F$2:$F$49</c:f>
              <c:numCache>
                <c:formatCode>General</c:formatCode>
                <c:ptCount val="48"/>
                <c:pt idx="0">
                  <c:v>3.21</c:v>
                </c:pt>
                <c:pt idx="1">
                  <c:v>3.21</c:v>
                </c:pt>
                <c:pt idx="2">
                  <c:v>3.74</c:v>
                </c:pt>
                <c:pt idx="3">
                  <c:v>4.22</c:v>
                </c:pt>
                <c:pt idx="4">
                  <c:v>4.6500000000000004</c:v>
                </c:pt>
                <c:pt idx="5">
                  <c:v>5.47</c:v>
                </c:pt>
                <c:pt idx="6">
                  <c:v>6.31</c:v>
                </c:pt>
                <c:pt idx="7">
                  <c:v>6.83</c:v>
                </c:pt>
                <c:pt idx="8">
                  <c:v>7.45</c:v>
                </c:pt>
                <c:pt idx="9">
                  <c:v>8.01</c:v>
                </c:pt>
                <c:pt idx="10">
                  <c:v>8.3000000000000007</c:v>
                </c:pt>
                <c:pt idx="11">
                  <c:v>9.6999999999999993</c:v>
                </c:pt>
                <c:pt idx="12">
                  <c:v>10.8</c:v>
                </c:pt>
                <c:pt idx="13">
                  <c:v>11.8</c:v>
                </c:pt>
                <c:pt idx="14">
                  <c:v>12.8</c:v>
                </c:pt>
                <c:pt idx="15">
                  <c:v>13.7</c:v>
                </c:pt>
                <c:pt idx="16">
                  <c:v>14.6</c:v>
                </c:pt>
                <c:pt idx="17">
                  <c:v>15.5</c:v>
                </c:pt>
                <c:pt idx="18">
                  <c:v>16.3</c:v>
                </c:pt>
                <c:pt idx="19">
                  <c:v>17.100000000000001</c:v>
                </c:pt>
                <c:pt idx="20">
                  <c:v>17.899999999999999</c:v>
                </c:pt>
                <c:pt idx="21">
                  <c:v>18.8</c:v>
                </c:pt>
                <c:pt idx="22">
                  <c:v>19.899999999999999</c:v>
                </c:pt>
                <c:pt idx="23">
                  <c:v>21.1</c:v>
                </c:pt>
                <c:pt idx="24">
                  <c:v>22.3</c:v>
                </c:pt>
                <c:pt idx="25">
                  <c:v>23.5</c:v>
                </c:pt>
                <c:pt idx="26">
                  <c:v>24.7</c:v>
                </c:pt>
                <c:pt idx="27">
                  <c:v>25.9</c:v>
                </c:pt>
                <c:pt idx="28">
                  <c:v>27.1</c:v>
                </c:pt>
                <c:pt idx="29">
                  <c:v>28.3</c:v>
                </c:pt>
                <c:pt idx="30">
                  <c:v>29.6</c:v>
                </c:pt>
                <c:pt idx="31">
                  <c:v>31.2</c:v>
                </c:pt>
                <c:pt idx="32">
                  <c:v>33.1</c:v>
                </c:pt>
                <c:pt idx="33">
                  <c:v>35.200000000000003</c:v>
                </c:pt>
                <c:pt idx="34">
                  <c:v>37.5</c:v>
                </c:pt>
                <c:pt idx="35">
                  <c:v>39.799999999999997</c:v>
                </c:pt>
                <c:pt idx="36">
                  <c:v>41.9</c:v>
                </c:pt>
                <c:pt idx="37">
                  <c:v>43.7</c:v>
                </c:pt>
                <c:pt idx="38">
                  <c:v>45.3</c:v>
                </c:pt>
                <c:pt idx="39">
                  <c:v>46.9</c:v>
                </c:pt>
                <c:pt idx="40">
                  <c:v>48.2</c:v>
                </c:pt>
                <c:pt idx="41">
                  <c:v>49.2</c:v>
                </c:pt>
                <c:pt idx="42">
                  <c:v>49.9</c:v>
                </c:pt>
                <c:pt idx="43">
                  <c:v>50.2</c:v>
                </c:pt>
                <c:pt idx="44">
                  <c:v>50.5</c:v>
                </c:pt>
                <c:pt idx="45">
                  <c:v>50.7</c:v>
                </c:pt>
                <c:pt idx="46">
                  <c:v>50.8</c:v>
                </c:pt>
                <c:pt idx="47">
                  <c:v>50.8</c:v>
                </c:pt>
              </c:numCache>
            </c:numRef>
          </c:yVal>
          <c:smooth val="1"/>
        </c:ser>
        <c:ser>
          <c:idx val="3"/>
          <c:order val="2"/>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GewMeisje!$G$2:$G$49</c:f>
              <c:numCache>
                <c:formatCode>General</c:formatCode>
                <c:ptCount val="48"/>
                <c:pt idx="0">
                  <c:v>3.41</c:v>
                </c:pt>
                <c:pt idx="1">
                  <c:v>3.41</c:v>
                </c:pt>
                <c:pt idx="2">
                  <c:v>3.97</c:v>
                </c:pt>
                <c:pt idx="3">
                  <c:v>4.49</c:v>
                </c:pt>
                <c:pt idx="4">
                  <c:v>4.99</c:v>
                </c:pt>
                <c:pt idx="5">
                  <c:v>5.84</c:v>
                </c:pt>
                <c:pt idx="6">
                  <c:v>6.68</c:v>
                </c:pt>
                <c:pt idx="7">
                  <c:v>7.25</c:v>
                </c:pt>
                <c:pt idx="8">
                  <c:v>7.95</c:v>
                </c:pt>
                <c:pt idx="9">
                  <c:v>8.52</c:v>
                </c:pt>
                <c:pt idx="10">
                  <c:v>8.8000000000000007</c:v>
                </c:pt>
                <c:pt idx="11">
                  <c:v>10.4</c:v>
                </c:pt>
                <c:pt idx="12">
                  <c:v>11.7</c:v>
                </c:pt>
                <c:pt idx="13">
                  <c:v>12.8</c:v>
                </c:pt>
                <c:pt idx="14">
                  <c:v>13.8</c:v>
                </c:pt>
                <c:pt idx="15">
                  <c:v>14.7</c:v>
                </c:pt>
                <c:pt idx="16">
                  <c:v>15.6</c:v>
                </c:pt>
                <c:pt idx="17">
                  <c:v>16.5</c:v>
                </c:pt>
                <c:pt idx="18">
                  <c:v>17.399999999999999</c:v>
                </c:pt>
                <c:pt idx="19">
                  <c:v>18.399999999999999</c:v>
                </c:pt>
                <c:pt idx="20">
                  <c:v>19.399999999999999</c:v>
                </c:pt>
                <c:pt idx="21">
                  <c:v>20.5</c:v>
                </c:pt>
                <c:pt idx="22">
                  <c:v>21.6</c:v>
                </c:pt>
                <c:pt idx="23">
                  <c:v>22.8</c:v>
                </c:pt>
                <c:pt idx="24">
                  <c:v>24</c:v>
                </c:pt>
                <c:pt idx="25">
                  <c:v>25.2</c:v>
                </c:pt>
                <c:pt idx="26">
                  <c:v>26.5</c:v>
                </c:pt>
                <c:pt idx="27">
                  <c:v>27.8</c:v>
                </c:pt>
                <c:pt idx="28">
                  <c:v>29.1</c:v>
                </c:pt>
                <c:pt idx="29">
                  <c:v>30.5</c:v>
                </c:pt>
                <c:pt idx="30">
                  <c:v>32.5</c:v>
                </c:pt>
                <c:pt idx="31">
                  <c:v>34.5</c:v>
                </c:pt>
                <c:pt idx="32">
                  <c:v>36.9</c:v>
                </c:pt>
                <c:pt idx="33">
                  <c:v>39.299999999999997</c:v>
                </c:pt>
                <c:pt idx="34">
                  <c:v>41.7</c:v>
                </c:pt>
                <c:pt idx="35">
                  <c:v>44.1</c:v>
                </c:pt>
                <c:pt idx="36">
                  <c:v>46.3</c:v>
                </c:pt>
                <c:pt idx="37">
                  <c:v>48.1</c:v>
                </c:pt>
                <c:pt idx="38">
                  <c:v>49.6</c:v>
                </c:pt>
                <c:pt idx="39">
                  <c:v>50.9</c:v>
                </c:pt>
                <c:pt idx="40">
                  <c:v>51.8</c:v>
                </c:pt>
                <c:pt idx="41">
                  <c:v>52.5</c:v>
                </c:pt>
                <c:pt idx="42">
                  <c:v>52.9</c:v>
                </c:pt>
                <c:pt idx="43">
                  <c:v>53.3</c:v>
                </c:pt>
                <c:pt idx="44">
                  <c:v>53.6</c:v>
                </c:pt>
                <c:pt idx="45">
                  <c:v>53.8</c:v>
                </c:pt>
                <c:pt idx="46">
                  <c:v>53.9</c:v>
                </c:pt>
                <c:pt idx="47">
                  <c:v>53.9</c:v>
                </c:pt>
              </c:numCache>
            </c:numRef>
          </c:yVal>
          <c:smooth val="1"/>
        </c:ser>
        <c:ser>
          <c:idx val="4"/>
          <c:order val="3"/>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GewMeisje!$H$2:$H$49</c:f>
              <c:numCache>
                <c:formatCode>General</c:formatCode>
                <c:ptCount val="48"/>
                <c:pt idx="0">
                  <c:v>3.71</c:v>
                </c:pt>
                <c:pt idx="1">
                  <c:v>3.71</c:v>
                </c:pt>
                <c:pt idx="2">
                  <c:v>4.29</c:v>
                </c:pt>
                <c:pt idx="3">
                  <c:v>4.82</c:v>
                </c:pt>
                <c:pt idx="4">
                  <c:v>5.33</c:v>
                </c:pt>
                <c:pt idx="5">
                  <c:v>6.2</c:v>
                </c:pt>
                <c:pt idx="6">
                  <c:v>7.15</c:v>
                </c:pt>
                <c:pt idx="7">
                  <c:v>7.8</c:v>
                </c:pt>
                <c:pt idx="8">
                  <c:v>8.5299999999999994</c:v>
                </c:pt>
                <c:pt idx="9">
                  <c:v>9.16</c:v>
                </c:pt>
                <c:pt idx="10">
                  <c:v>9.5</c:v>
                </c:pt>
                <c:pt idx="11">
                  <c:v>11.3</c:v>
                </c:pt>
                <c:pt idx="12">
                  <c:v>12.6</c:v>
                </c:pt>
                <c:pt idx="13">
                  <c:v>13.8</c:v>
                </c:pt>
                <c:pt idx="14">
                  <c:v>14.9</c:v>
                </c:pt>
                <c:pt idx="15">
                  <c:v>16</c:v>
                </c:pt>
                <c:pt idx="16">
                  <c:v>17</c:v>
                </c:pt>
                <c:pt idx="17">
                  <c:v>18</c:v>
                </c:pt>
                <c:pt idx="18">
                  <c:v>19</c:v>
                </c:pt>
                <c:pt idx="19">
                  <c:v>20</c:v>
                </c:pt>
                <c:pt idx="20">
                  <c:v>21</c:v>
                </c:pt>
                <c:pt idx="21">
                  <c:v>22.2</c:v>
                </c:pt>
                <c:pt idx="22">
                  <c:v>23.4</c:v>
                </c:pt>
                <c:pt idx="23">
                  <c:v>24.8</c:v>
                </c:pt>
                <c:pt idx="24">
                  <c:v>26.2</c:v>
                </c:pt>
                <c:pt idx="25">
                  <c:v>27.6</c:v>
                </c:pt>
                <c:pt idx="26">
                  <c:v>29</c:v>
                </c:pt>
                <c:pt idx="27">
                  <c:v>30.5</c:v>
                </c:pt>
                <c:pt idx="28">
                  <c:v>32.1</c:v>
                </c:pt>
                <c:pt idx="29">
                  <c:v>33.9</c:v>
                </c:pt>
                <c:pt idx="30">
                  <c:v>36.200000000000003</c:v>
                </c:pt>
                <c:pt idx="31">
                  <c:v>38.799999999999997</c:v>
                </c:pt>
                <c:pt idx="32">
                  <c:v>41.6</c:v>
                </c:pt>
                <c:pt idx="33">
                  <c:v>44.2</c:v>
                </c:pt>
                <c:pt idx="34">
                  <c:v>46.6</c:v>
                </c:pt>
                <c:pt idx="35">
                  <c:v>49</c:v>
                </c:pt>
                <c:pt idx="36">
                  <c:v>51.2</c:v>
                </c:pt>
                <c:pt idx="37">
                  <c:v>53</c:v>
                </c:pt>
                <c:pt idx="38">
                  <c:v>54.5</c:v>
                </c:pt>
                <c:pt idx="39">
                  <c:v>55.8</c:v>
                </c:pt>
                <c:pt idx="40">
                  <c:v>56.6</c:v>
                </c:pt>
                <c:pt idx="41">
                  <c:v>57.3</c:v>
                </c:pt>
                <c:pt idx="42">
                  <c:v>57.7</c:v>
                </c:pt>
                <c:pt idx="43">
                  <c:v>58</c:v>
                </c:pt>
                <c:pt idx="44">
                  <c:v>58.3</c:v>
                </c:pt>
                <c:pt idx="45">
                  <c:v>58.5</c:v>
                </c:pt>
                <c:pt idx="46">
                  <c:v>58.6</c:v>
                </c:pt>
                <c:pt idx="47">
                  <c:v>58.6</c:v>
                </c:pt>
              </c:numCache>
            </c:numRef>
          </c:yVal>
          <c:smooth val="1"/>
        </c:ser>
        <c:ser>
          <c:idx val="5"/>
          <c:order val="4"/>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GewMeisje!$I$2:$I$49</c:f>
              <c:numCache>
                <c:formatCode>General</c:formatCode>
                <c:ptCount val="48"/>
                <c:pt idx="0">
                  <c:v>4</c:v>
                </c:pt>
                <c:pt idx="1">
                  <c:v>4</c:v>
                </c:pt>
                <c:pt idx="2">
                  <c:v>4.63</c:v>
                </c:pt>
                <c:pt idx="3">
                  <c:v>5.19</c:v>
                </c:pt>
                <c:pt idx="4">
                  <c:v>5.75</c:v>
                </c:pt>
                <c:pt idx="5">
                  <c:v>6.68</c:v>
                </c:pt>
                <c:pt idx="6">
                  <c:v>7.64</c:v>
                </c:pt>
                <c:pt idx="7">
                  <c:v>8.3000000000000007</c:v>
                </c:pt>
                <c:pt idx="8">
                  <c:v>9.09</c:v>
                </c:pt>
                <c:pt idx="9">
                  <c:v>9.76</c:v>
                </c:pt>
                <c:pt idx="10">
                  <c:v>10.1</c:v>
                </c:pt>
                <c:pt idx="11">
                  <c:v>12</c:v>
                </c:pt>
                <c:pt idx="12">
                  <c:v>13.5</c:v>
                </c:pt>
                <c:pt idx="13">
                  <c:v>14.7</c:v>
                </c:pt>
                <c:pt idx="14">
                  <c:v>15.9</c:v>
                </c:pt>
                <c:pt idx="15">
                  <c:v>17.100000000000001</c:v>
                </c:pt>
                <c:pt idx="16">
                  <c:v>18.3</c:v>
                </c:pt>
                <c:pt idx="17">
                  <c:v>19.399999999999999</c:v>
                </c:pt>
                <c:pt idx="18">
                  <c:v>20.5</c:v>
                </c:pt>
                <c:pt idx="19">
                  <c:v>21.6</c:v>
                </c:pt>
                <c:pt idx="20">
                  <c:v>22.9</c:v>
                </c:pt>
                <c:pt idx="21">
                  <c:v>24.2</c:v>
                </c:pt>
                <c:pt idx="22">
                  <c:v>25.7</c:v>
                </c:pt>
                <c:pt idx="23">
                  <c:v>27.2</c:v>
                </c:pt>
                <c:pt idx="24">
                  <c:v>28.8</c:v>
                </c:pt>
                <c:pt idx="25">
                  <c:v>30.5</c:v>
                </c:pt>
                <c:pt idx="26">
                  <c:v>32.200000000000003</c:v>
                </c:pt>
                <c:pt idx="27">
                  <c:v>34</c:v>
                </c:pt>
                <c:pt idx="28">
                  <c:v>35.799999999999997</c:v>
                </c:pt>
                <c:pt idx="29">
                  <c:v>37.9</c:v>
                </c:pt>
                <c:pt idx="30">
                  <c:v>40.5</c:v>
                </c:pt>
                <c:pt idx="31">
                  <c:v>43.5</c:v>
                </c:pt>
                <c:pt idx="32">
                  <c:v>46.8</c:v>
                </c:pt>
                <c:pt idx="33">
                  <c:v>50</c:v>
                </c:pt>
                <c:pt idx="34">
                  <c:v>52.7</c:v>
                </c:pt>
                <c:pt idx="35">
                  <c:v>55.2</c:v>
                </c:pt>
                <c:pt idx="36">
                  <c:v>57.4</c:v>
                </c:pt>
                <c:pt idx="37">
                  <c:v>59.1</c:v>
                </c:pt>
                <c:pt idx="38">
                  <c:v>60.5</c:v>
                </c:pt>
                <c:pt idx="39">
                  <c:v>61.6</c:v>
                </c:pt>
                <c:pt idx="40">
                  <c:v>62.2</c:v>
                </c:pt>
                <c:pt idx="41">
                  <c:v>62.6</c:v>
                </c:pt>
                <c:pt idx="42">
                  <c:v>62.9</c:v>
                </c:pt>
                <c:pt idx="43">
                  <c:v>63.1</c:v>
                </c:pt>
                <c:pt idx="44">
                  <c:v>63.3</c:v>
                </c:pt>
                <c:pt idx="45">
                  <c:v>63.5</c:v>
                </c:pt>
                <c:pt idx="46">
                  <c:v>63.7</c:v>
                </c:pt>
                <c:pt idx="47">
                  <c:v>63.7</c:v>
                </c:pt>
              </c:numCache>
            </c:numRef>
          </c:yVal>
          <c:smooth val="1"/>
        </c:ser>
        <c:ser>
          <c:idx val="6"/>
          <c:order val="5"/>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GewMeisje!$J$2:$J$49</c:f>
              <c:numCache>
                <c:formatCode>General</c:formatCode>
                <c:ptCount val="48"/>
                <c:pt idx="0">
                  <c:v>4.25</c:v>
                </c:pt>
                <c:pt idx="1">
                  <c:v>4.25</c:v>
                </c:pt>
                <c:pt idx="2">
                  <c:v>4.91</c:v>
                </c:pt>
                <c:pt idx="3">
                  <c:v>5.52</c:v>
                </c:pt>
                <c:pt idx="4">
                  <c:v>6.11</c:v>
                </c:pt>
                <c:pt idx="5">
                  <c:v>7.09</c:v>
                </c:pt>
                <c:pt idx="6">
                  <c:v>8.1199999999999992</c:v>
                </c:pt>
                <c:pt idx="7">
                  <c:v>8.83</c:v>
                </c:pt>
                <c:pt idx="8">
                  <c:v>9.6199999999999992</c:v>
                </c:pt>
                <c:pt idx="9">
                  <c:v>10.33</c:v>
                </c:pt>
                <c:pt idx="10">
                  <c:v>10.7</c:v>
                </c:pt>
                <c:pt idx="11">
                  <c:v>12.8</c:v>
                </c:pt>
                <c:pt idx="12">
                  <c:v>14.3</c:v>
                </c:pt>
                <c:pt idx="13">
                  <c:v>15.7</c:v>
                </c:pt>
                <c:pt idx="14">
                  <c:v>17.2</c:v>
                </c:pt>
                <c:pt idx="15">
                  <c:v>18.5</c:v>
                </c:pt>
                <c:pt idx="16">
                  <c:v>19.8</c:v>
                </c:pt>
                <c:pt idx="17">
                  <c:v>21</c:v>
                </c:pt>
                <c:pt idx="18">
                  <c:v>22.2</c:v>
                </c:pt>
                <c:pt idx="19">
                  <c:v>23.6</c:v>
                </c:pt>
                <c:pt idx="20">
                  <c:v>25</c:v>
                </c:pt>
                <c:pt idx="21">
                  <c:v>26.6</c:v>
                </c:pt>
                <c:pt idx="22">
                  <c:v>28.3</c:v>
                </c:pt>
                <c:pt idx="23">
                  <c:v>30.2</c:v>
                </c:pt>
                <c:pt idx="24">
                  <c:v>32.1</c:v>
                </c:pt>
                <c:pt idx="25">
                  <c:v>34</c:v>
                </c:pt>
                <c:pt idx="26">
                  <c:v>36</c:v>
                </c:pt>
                <c:pt idx="27">
                  <c:v>38</c:v>
                </c:pt>
                <c:pt idx="28">
                  <c:v>40.4</c:v>
                </c:pt>
                <c:pt idx="29">
                  <c:v>43</c:v>
                </c:pt>
                <c:pt idx="30">
                  <c:v>46.1</c:v>
                </c:pt>
                <c:pt idx="31">
                  <c:v>49.9</c:v>
                </c:pt>
                <c:pt idx="32">
                  <c:v>53.9</c:v>
                </c:pt>
                <c:pt idx="33">
                  <c:v>56.7</c:v>
                </c:pt>
                <c:pt idx="34">
                  <c:v>58.9</c:v>
                </c:pt>
                <c:pt idx="35">
                  <c:v>60.9</c:v>
                </c:pt>
                <c:pt idx="36">
                  <c:v>63</c:v>
                </c:pt>
                <c:pt idx="37">
                  <c:v>64.8</c:v>
                </c:pt>
                <c:pt idx="38">
                  <c:v>66.3</c:v>
                </c:pt>
                <c:pt idx="39">
                  <c:v>67.2</c:v>
                </c:pt>
                <c:pt idx="40">
                  <c:v>67.599999999999994</c:v>
                </c:pt>
                <c:pt idx="41">
                  <c:v>67.8</c:v>
                </c:pt>
                <c:pt idx="42">
                  <c:v>68</c:v>
                </c:pt>
                <c:pt idx="43">
                  <c:v>68.2</c:v>
                </c:pt>
                <c:pt idx="44">
                  <c:v>68.400000000000006</c:v>
                </c:pt>
                <c:pt idx="45">
                  <c:v>68.5</c:v>
                </c:pt>
                <c:pt idx="46">
                  <c:v>68.5</c:v>
                </c:pt>
                <c:pt idx="47">
                  <c:v>68.5</c:v>
                </c:pt>
              </c:numCache>
            </c:numRef>
          </c:yVal>
          <c:smooth val="1"/>
        </c:ser>
        <c:ser>
          <c:idx val="7"/>
          <c:order val="6"/>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GewMeisje!$K$2:$K$49</c:f>
              <c:numCache>
                <c:formatCode>General</c:formatCode>
                <c:ptCount val="48"/>
                <c:pt idx="0">
                  <c:v>4.53</c:v>
                </c:pt>
                <c:pt idx="1">
                  <c:v>4.53</c:v>
                </c:pt>
                <c:pt idx="2">
                  <c:v>5.22</c:v>
                </c:pt>
                <c:pt idx="3">
                  <c:v>5.87</c:v>
                </c:pt>
                <c:pt idx="4">
                  <c:v>6.49</c:v>
                </c:pt>
                <c:pt idx="5">
                  <c:v>7.55</c:v>
                </c:pt>
                <c:pt idx="6">
                  <c:v>8.66</c:v>
                </c:pt>
                <c:pt idx="7">
                  <c:v>9.41</c:v>
                </c:pt>
                <c:pt idx="8">
                  <c:v>10.3</c:v>
                </c:pt>
                <c:pt idx="9">
                  <c:v>11.06</c:v>
                </c:pt>
                <c:pt idx="10">
                  <c:v>11.4</c:v>
                </c:pt>
                <c:pt idx="11">
                  <c:v>13.5</c:v>
                </c:pt>
                <c:pt idx="12">
                  <c:v>15.2</c:v>
                </c:pt>
                <c:pt idx="13">
                  <c:v>16.899999999999999</c:v>
                </c:pt>
                <c:pt idx="14">
                  <c:v>18.5</c:v>
                </c:pt>
                <c:pt idx="15">
                  <c:v>20</c:v>
                </c:pt>
                <c:pt idx="16">
                  <c:v>21.5</c:v>
                </c:pt>
                <c:pt idx="17">
                  <c:v>22.9</c:v>
                </c:pt>
                <c:pt idx="18">
                  <c:v>24.2</c:v>
                </c:pt>
                <c:pt idx="19">
                  <c:v>25.7</c:v>
                </c:pt>
                <c:pt idx="20">
                  <c:v>27.4</c:v>
                </c:pt>
                <c:pt idx="21">
                  <c:v>29.3</c:v>
                </c:pt>
                <c:pt idx="22">
                  <c:v>31.3</c:v>
                </c:pt>
                <c:pt idx="23">
                  <c:v>33.4</c:v>
                </c:pt>
                <c:pt idx="24">
                  <c:v>35.5</c:v>
                </c:pt>
                <c:pt idx="25">
                  <c:v>37.9</c:v>
                </c:pt>
                <c:pt idx="26">
                  <c:v>40.299999999999997</c:v>
                </c:pt>
                <c:pt idx="27">
                  <c:v>42.7</c:v>
                </c:pt>
                <c:pt idx="28">
                  <c:v>45.4</c:v>
                </c:pt>
                <c:pt idx="29">
                  <c:v>48.4</c:v>
                </c:pt>
                <c:pt idx="30">
                  <c:v>51.6</c:v>
                </c:pt>
                <c:pt idx="31">
                  <c:v>55.5</c:v>
                </c:pt>
                <c:pt idx="32">
                  <c:v>59.7</c:v>
                </c:pt>
                <c:pt idx="33">
                  <c:v>63.7</c:v>
                </c:pt>
                <c:pt idx="34">
                  <c:v>66.400000000000006</c:v>
                </c:pt>
                <c:pt idx="35">
                  <c:v>68.2</c:v>
                </c:pt>
                <c:pt idx="36">
                  <c:v>70</c:v>
                </c:pt>
                <c:pt idx="37">
                  <c:v>71.3</c:v>
                </c:pt>
                <c:pt idx="38">
                  <c:v>72.400000000000006</c:v>
                </c:pt>
                <c:pt idx="39">
                  <c:v>73.2</c:v>
                </c:pt>
                <c:pt idx="40">
                  <c:v>73.8</c:v>
                </c:pt>
                <c:pt idx="41">
                  <c:v>74</c:v>
                </c:pt>
                <c:pt idx="42">
                  <c:v>74.099999999999994</c:v>
                </c:pt>
                <c:pt idx="43">
                  <c:v>74.099999999999994</c:v>
                </c:pt>
                <c:pt idx="44">
                  <c:v>74</c:v>
                </c:pt>
                <c:pt idx="45">
                  <c:v>73.8</c:v>
                </c:pt>
                <c:pt idx="46">
                  <c:v>73.8</c:v>
                </c:pt>
                <c:pt idx="47">
                  <c:v>73.8</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GewMeisje!$N$2</c:f>
              <c:numCache>
                <c:formatCode>General</c:formatCode>
                <c:ptCount val="1"/>
                <c:pt idx="0">
                  <c:v>0</c:v>
                </c:pt>
              </c:numCache>
            </c:numRef>
          </c:xVal>
          <c:yVal>
            <c:numRef>
              <c:f>GewMeisje!$O$2</c:f>
              <c:numCache>
                <c:formatCode>General</c:formatCode>
                <c:ptCount val="1"/>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GewMeisje!$N$3</c:f>
              <c:numCache>
                <c:formatCode>General</c:formatCode>
                <c:ptCount val="1"/>
                <c:pt idx="0">
                  <c:v>1.5</c:v>
                </c:pt>
              </c:numCache>
            </c:numRef>
          </c:xVal>
          <c:yVal>
            <c:numRef>
              <c:f>GewMeisje!$D$14</c:f>
              <c:numCache>
                <c:formatCode>General</c:formatCode>
                <c:ptCount val="1"/>
                <c:pt idx="0">
                  <c:v>12.5</c:v>
                </c:pt>
              </c:numCache>
            </c:numRef>
          </c:yVal>
          <c:smooth val="1"/>
        </c:ser>
        <c:dLbls>
          <c:showLegendKey val="0"/>
          <c:showVal val="0"/>
          <c:showCatName val="0"/>
          <c:showSerName val="0"/>
          <c:showPercent val="0"/>
          <c:showBubbleSize val="0"/>
        </c:dLbls>
        <c:axId val="167877168"/>
        <c:axId val="167877728"/>
      </c:scatterChart>
      <c:valAx>
        <c:axId val="167877168"/>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087900723888313"/>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167877728"/>
        <c:crosses val="autoZero"/>
        <c:crossBetween val="midCat"/>
        <c:majorUnit val="12"/>
        <c:minorUnit val="12"/>
      </c:valAx>
      <c:valAx>
        <c:axId val="167877728"/>
        <c:scaling>
          <c:orientation val="minMax"/>
          <c:max val="80"/>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167877168"/>
        <c:crosses val="autoZero"/>
        <c:crossBetween val="midCat"/>
        <c:majorUnit val="10"/>
        <c:minorUnit val="10"/>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jongen</a:t>
            </a:r>
          </a:p>
        </c:rich>
      </c:tx>
      <c:layout>
        <c:manualLayout>
          <c:xMode val="edge"/>
          <c:yMode val="edge"/>
          <c:x val="0.42399172699069287"/>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83040330920372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GewJongen!$E$2:$E$13</c:f>
              <c:numCache>
                <c:formatCode>General</c:formatCode>
                <c:ptCount val="12"/>
                <c:pt idx="0">
                  <c:v>3.02</c:v>
                </c:pt>
                <c:pt idx="1">
                  <c:v>3.02</c:v>
                </c:pt>
                <c:pt idx="2">
                  <c:v>3.62</c:v>
                </c:pt>
                <c:pt idx="3">
                  <c:v>4.12</c:v>
                </c:pt>
                <c:pt idx="4">
                  <c:v>4.55</c:v>
                </c:pt>
                <c:pt idx="5">
                  <c:v>5.35</c:v>
                </c:pt>
                <c:pt idx="6">
                  <c:v>6.18</c:v>
                </c:pt>
                <c:pt idx="7">
                  <c:v>6.7</c:v>
                </c:pt>
                <c:pt idx="8">
                  <c:v>7.4</c:v>
                </c:pt>
                <c:pt idx="9">
                  <c:v>8.0299999999999994</c:v>
                </c:pt>
                <c:pt idx="10">
                  <c:v>8.3000000000000007</c:v>
                </c:pt>
              </c:numCache>
            </c:numRef>
          </c:yVal>
          <c:smooth val="1"/>
        </c:ser>
        <c:ser>
          <c:idx val="2"/>
          <c:order val="1"/>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GewJongen!$F$2:$F$13</c:f>
              <c:numCache>
                <c:formatCode>General</c:formatCode>
                <c:ptCount val="12"/>
                <c:pt idx="0">
                  <c:v>3.23</c:v>
                </c:pt>
                <c:pt idx="1">
                  <c:v>3.23</c:v>
                </c:pt>
                <c:pt idx="2">
                  <c:v>3.83</c:v>
                </c:pt>
                <c:pt idx="3">
                  <c:v>4.42</c:v>
                </c:pt>
                <c:pt idx="4">
                  <c:v>4.92</c:v>
                </c:pt>
                <c:pt idx="5">
                  <c:v>5.77</c:v>
                </c:pt>
                <c:pt idx="6">
                  <c:v>6.62</c:v>
                </c:pt>
                <c:pt idx="7">
                  <c:v>7.17</c:v>
                </c:pt>
                <c:pt idx="8">
                  <c:v>7.89</c:v>
                </c:pt>
                <c:pt idx="9">
                  <c:v>8.5399999999999991</c:v>
                </c:pt>
                <c:pt idx="10">
                  <c:v>8.8000000000000007</c:v>
                </c:pt>
              </c:numCache>
            </c:numRef>
          </c:yVal>
          <c:smooth val="1"/>
        </c:ser>
        <c:ser>
          <c:idx val="3"/>
          <c:order val="2"/>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GewJongen!$G$2:$G$13</c:f>
              <c:numCache>
                <c:formatCode>General</c:formatCode>
                <c:ptCount val="12"/>
                <c:pt idx="0">
                  <c:v>3.52</c:v>
                </c:pt>
                <c:pt idx="1">
                  <c:v>3.52</c:v>
                </c:pt>
                <c:pt idx="2">
                  <c:v>4.1500000000000004</c:v>
                </c:pt>
                <c:pt idx="3">
                  <c:v>4.74</c:v>
                </c:pt>
                <c:pt idx="4">
                  <c:v>5.23</c:v>
                </c:pt>
                <c:pt idx="5">
                  <c:v>6.17</c:v>
                </c:pt>
                <c:pt idx="6">
                  <c:v>7.08</c:v>
                </c:pt>
                <c:pt idx="7">
                  <c:v>7.67</c:v>
                </c:pt>
                <c:pt idx="8">
                  <c:v>8.4499999999999993</c:v>
                </c:pt>
                <c:pt idx="9">
                  <c:v>9.11</c:v>
                </c:pt>
                <c:pt idx="10">
                  <c:v>9.4</c:v>
                </c:pt>
              </c:numCache>
            </c:numRef>
          </c:yVal>
          <c:smooth val="1"/>
        </c:ser>
        <c:ser>
          <c:idx val="4"/>
          <c:order val="3"/>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GewJongen!$H$2:$H$13</c:f>
              <c:numCache>
                <c:formatCode>General</c:formatCode>
                <c:ptCount val="12"/>
                <c:pt idx="0">
                  <c:v>3.83</c:v>
                </c:pt>
                <c:pt idx="1">
                  <c:v>3.83</c:v>
                </c:pt>
                <c:pt idx="2">
                  <c:v>4.5</c:v>
                </c:pt>
                <c:pt idx="3">
                  <c:v>5.13</c:v>
                </c:pt>
                <c:pt idx="4">
                  <c:v>5.64</c:v>
                </c:pt>
                <c:pt idx="5">
                  <c:v>6.6</c:v>
                </c:pt>
                <c:pt idx="6">
                  <c:v>7.56</c:v>
                </c:pt>
                <c:pt idx="7">
                  <c:v>8.1999999999999993</c:v>
                </c:pt>
                <c:pt idx="8">
                  <c:v>9.02</c:v>
                </c:pt>
                <c:pt idx="9">
                  <c:v>9.73</c:v>
                </c:pt>
                <c:pt idx="10">
                  <c:v>10.1</c:v>
                </c:pt>
              </c:numCache>
            </c:numRef>
          </c:yVal>
          <c:smooth val="1"/>
        </c:ser>
        <c:ser>
          <c:idx val="5"/>
          <c:order val="4"/>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GewJongen!$I$2:$I$13</c:f>
              <c:numCache>
                <c:formatCode>General</c:formatCode>
                <c:ptCount val="12"/>
                <c:pt idx="0">
                  <c:v>4.17</c:v>
                </c:pt>
                <c:pt idx="1">
                  <c:v>4.17</c:v>
                </c:pt>
                <c:pt idx="2">
                  <c:v>4.8499999999999996</c:v>
                </c:pt>
                <c:pt idx="3">
                  <c:v>5.5</c:v>
                </c:pt>
                <c:pt idx="4">
                  <c:v>6.06</c:v>
                </c:pt>
                <c:pt idx="5">
                  <c:v>7.06</c:v>
                </c:pt>
                <c:pt idx="6">
                  <c:v>8.1</c:v>
                </c:pt>
                <c:pt idx="7">
                  <c:v>8.7899999999999991</c:v>
                </c:pt>
                <c:pt idx="8">
                  <c:v>9.69</c:v>
                </c:pt>
                <c:pt idx="9">
                  <c:v>10.44</c:v>
                </c:pt>
                <c:pt idx="10">
                  <c:v>10.8</c:v>
                </c:pt>
              </c:numCache>
            </c:numRef>
          </c:yVal>
          <c:smooth val="1"/>
        </c:ser>
        <c:ser>
          <c:idx val="6"/>
          <c:order val="5"/>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GewJongen!$J$2:$J$13</c:f>
              <c:numCache>
                <c:formatCode>General</c:formatCode>
                <c:ptCount val="12"/>
                <c:pt idx="0">
                  <c:v>4.46</c:v>
                </c:pt>
                <c:pt idx="1">
                  <c:v>4.46</c:v>
                </c:pt>
                <c:pt idx="2">
                  <c:v>5.18</c:v>
                </c:pt>
                <c:pt idx="3">
                  <c:v>5.86</c:v>
                </c:pt>
                <c:pt idx="4">
                  <c:v>6.44</c:v>
                </c:pt>
                <c:pt idx="5">
                  <c:v>7.51</c:v>
                </c:pt>
                <c:pt idx="6">
                  <c:v>8.6</c:v>
                </c:pt>
                <c:pt idx="7">
                  <c:v>9.32</c:v>
                </c:pt>
                <c:pt idx="8">
                  <c:v>10.24</c:v>
                </c:pt>
                <c:pt idx="9">
                  <c:v>11.01</c:v>
                </c:pt>
                <c:pt idx="10">
                  <c:v>11.4</c:v>
                </c:pt>
              </c:numCache>
            </c:numRef>
          </c:yVal>
          <c:smooth val="1"/>
        </c:ser>
        <c:ser>
          <c:idx val="7"/>
          <c:order val="6"/>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GewJongen!$K$2:$K$13</c:f>
              <c:numCache>
                <c:formatCode>General</c:formatCode>
                <c:ptCount val="12"/>
                <c:pt idx="0">
                  <c:v>4.8099999999999996</c:v>
                </c:pt>
                <c:pt idx="1">
                  <c:v>4.8099999999999996</c:v>
                </c:pt>
                <c:pt idx="2">
                  <c:v>5.57</c:v>
                </c:pt>
                <c:pt idx="3">
                  <c:v>6.28</c:v>
                </c:pt>
                <c:pt idx="4">
                  <c:v>6.89</c:v>
                </c:pt>
                <c:pt idx="5">
                  <c:v>8</c:v>
                </c:pt>
                <c:pt idx="6">
                  <c:v>9.1999999999999993</c:v>
                </c:pt>
                <c:pt idx="7">
                  <c:v>10</c:v>
                </c:pt>
                <c:pt idx="8">
                  <c:v>10.94</c:v>
                </c:pt>
                <c:pt idx="9">
                  <c:v>11.74</c:v>
                </c:pt>
                <c:pt idx="10">
                  <c:v>12.1</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GewJongen!$C$13</c:f>
              <c:numCache>
                <c:formatCode>General</c:formatCode>
                <c:ptCount val="1"/>
                <c:pt idx="0">
                  <c:v>0</c:v>
                </c:pt>
              </c:numCache>
            </c:numRef>
          </c:xVal>
          <c:yVal>
            <c:numRef>
              <c:f>GewJongen!$D$13</c:f>
              <c:numCache>
                <c:formatCode>General</c:formatCode>
                <c:ptCount val="1"/>
                <c:pt idx="0">
                  <c:v>10</c:v>
                </c:pt>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GewJongen!$C$14</c:f>
              <c:numCache>
                <c:formatCode>General</c:formatCode>
                <c:ptCount val="1"/>
                <c:pt idx="0">
                  <c:v>1.5</c:v>
                </c:pt>
              </c:numCache>
            </c:numRef>
          </c:xVal>
          <c:yVal>
            <c:numRef>
              <c:f>GewJongen!$D$14</c:f>
              <c:numCache>
                <c:formatCode>General</c:formatCode>
                <c:ptCount val="1"/>
                <c:pt idx="0">
                  <c:v>3.4</c:v>
                </c:pt>
              </c:numCache>
            </c:numRef>
          </c:yVal>
          <c:smooth val="1"/>
        </c:ser>
        <c:dLbls>
          <c:showLegendKey val="0"/>
          <c:showVal val="0"/>
          <c:showCatName val="0"/>
          <c:showSerName val="0"/>
          <c:showPercent val="0"/>
          <c:showBubbleSize val="0"/>
        </c:dLbls>
        <c:axId val="205307824"/>
        <c:axId val="205308384"/>
      </c:scatterChart>
      <c:valAx>
        <c:axId val="205307824"/>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2947259565667"/>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05308384"/>
        <c:crosses val="autoZero"/>
        <c:crossBetween val="midCat"/>
        <c:majorUnit val="1"/>
        <c:minorUnit val="0.5"/>
      </c:valAx>
      <c:valAx>
        <c:axId val="205308384"/>
        <c:scaling>
          <c:orientation val="minMax"/>
          <c:max val="14"/>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05307824"/>
        <c:crosses val="autoZero"/>
        <c:crossBetween val="midCat"/>
        <c:majorUnit val="1"/>
        <c:minorUnit val="0.5"/>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sheetPr codeName="Grafiek4"/>
  <sheetViews>
    <sheetView workbookViewId="0" zoomToFit="1"/>
  </sheetViews>
  <pageMargins left="0.75" right="0.75" top="1" bottom="1" header="0.5" footer="0.5"/>
  <pageSetup paperSize="9" orientation="landscape" r:id="rId1"/>
  <headerFooter alignWithMargins="0"/>
  <drawing r:id="rId2"/>
</chartsheet>
</file>

<file path=xl/chartsheets/sheet2.xml><?xml version="1.0" encoding="utf-8"?>
<chartsheet xmlns="http://schemas.openxmlformats.org/spreadsheetml/2006/main" xmlns:r="http://schemas.openxmlformats.org/officeDocument/2006/relationships">
  <sheetPr codeName="Grafiek3"/>
  <sheetViews>
    <sheetView workbookViewId="0" zoomToFit="1"/>
  </sheetViews>
  <pageMargins left="0.75" right="0.75" top="1" bottom="1" header="0.5" footer="0.5"/>
  <headerFooter alignWithMargins="0"/>
  <drawing r:id="rId1"/>
</chartsheet>
</file>

<file path=xl/ctrlProps/ctrlProp1.xml><?xml version="1.0" encoding="utf-8"?>
<formControlPr xmlns="http://schemas.microsoft.com/office/spreadsheetml/2009/9/main" objectType="Drop" dropStyle="combo" dx="16" fmlaLink="ber_IVmed!$B$31" fmlaRange="tblDoseringen" sel="1" val="18"/>
</file>

<file path=xl/ctrlProps/ctrlProp2.xml><?xml version="1.0" encoding="utf-8"?>
<formControlPr xmlns="http://schemas.microsoft.com/office/spreadsheetml/2009/9/main" objectType="Drop" dropStyle="combo" dx="16" fmlaLink="ber_IVmed!$B$32" fmlaRange="tblDoseringen" sel="1" val="0"/>
</file>

<file path=xl/ctrlProps/ctrlProp3.xml><?xml version="1.0" encoding="utf-8"?>
<formControlPr xmlns="http://schemas.microsoft.com/office/spreadsheetml/2009/9/main" objectType="Drop" dropStyle="combo" dx="16" fmlaLink="ber_IVmed!$B$33" fmlaRange="tblDoseringen" sel="1" val="11"/>
</file>

<file path=xl/ctrlProps/ctrlProp4.xml><?xml version="1.0" encoding="utf-8"?>
<formControlPr xmlns="http://schemas.microsoft.com/office/spreadsheetml/2009/9/main" objectType="Drop" dropStyle="combo" dx="16" fmlaLink="ber_IVmed!$B$34" fmlaRange="tblDoseringen" sel="1" val="16"/>
</file>

<file path=xl/ctrlProps/ctrlProp5.xml><?xml version="1.0" encoding="utf-8"?>
<formControlPr xmlns="http://schemas.microsoft.com/office/spreadsheetml/2009/9/main" objectType="Drop" dropStyle="combo" dx="16" fmlaLink="ber_IVmed!$B$35" fmlaRange="tblDoseringen" sel="1" val="0"/>
</file>

<file path=xl/ctrlProps/ctrlProp6.xml><?xml version="1.0" encoding="utf-8"?>
<formControlPr xmlns="http://schemas.microsoft.com/office/spreadsheetml/2009/9/main" objectType="Drop" dropStyle="combo" dx="16" fmlaLink="ber_IVmed!$B$36" fmlaRange="tblDoseringen" sel="1" val="0"/>
</file>

<file path=xl/ctrlProps/ctrlProp7.xml><?xml version="1.0" encoding="utf-8"?>
<formControlPr xmlns="http://schemas.microsoft.com/office/spreadsheetml/2009/9/main" objectType="Drop" dropStyle="combo" dx="16" fmlaLink="ber_IVmed!$B$37" fmlaRange="tblDoseringen" sel="1" val="8"/>
</file>

<file path=xl/ctrlProps/ctrlProp8.xml><?xml version="1.0" encoding="utf-8"?>
<formControlPr xmlns="http://schemas.microsoft.com/office/spreadsheetml/2009/9/main" objectType="Drop" dropStyle="combo" dx="16" fmlaLink="ber_IVmed!$B$38" fmlaRange="tblDoseringen" sel="1" val="0"/>
</file>

<file path=xl/ctrlProps/ctrlProp9.xml><?xml version="1.0" encoding="utf-8"?>
<formControlPr xmlns="http://schemas.microsoft.com/office/spreadsheetml/2009/9/main" objectType="Drop" dropStyle="combo" dx="16" fmlaLink="ber_IVmed!$B$39" fmlaRange="tblDoseringen" sel="1" val="0"/>
</file>

<file path=xl/ctrlProps/ctrlProp10.xml><?xml version="1.0" encoding="utf-8"?>
<formControlPr xmlns="http://schemas.microsoft.com/office/spreadsheetml/2009/9/main" objectType="Drop" dropStyle="combo" dx="16" fmlaLink="ber_IVmed!$D$31" fmlaRange="tblOplossing" sel="4" val="0"/>
</file>

<file path=xl/ctrlProps/ctrlProp11.xml><?xml version="1.0" encoding="utf-8"?>
<formControlPr xmlns="http://schemas.microsoft.com/office/spreadsheetml/2009/9/main" objectType="Drop" dropStyle="combo" dx="16" fmlaLink="ber_IVmed!$D$32" fmlaRange="tblOplossing" sel="4" val="0"/>
</file>

<file path=xl/ctrlProps/ctrlProp12.xml><?xml version="1.0" encoding="utf-8"?>
<formControlPr xmlns="http://schemas.microsoft.com/office/spreadsheetml/2009/9/main" objectType="Drop" dropStyle="combo" dx="16" fmlaLink="ber_IVmed!$D$33" fmlaRange="tblOplossing" sel="4" val="0"/>
</file>

<file path=xl/ctrlProps/ctrlProp13.xml><?xml version="1.0" encoding="utf-8"?>
<formControlPr xmlns="http://schemas.microsoft.com/office/spreadsheetml/2009/9/main" objectType="Drop" dropStyle="combo" dx="16" fmlaLink="ber_IVmed!$D$34" fmlaRange="tblOplossing" sel="4" val="0"/>
</file>

<file path=xl/ctrlProps/ctrlProp14.xml><?xml version="1.0" encoding="utf-8"?>
<formControlPr xmlns="http://schemas.microsoft.com/office/spreadsheetml/2009/9/main" objectType="Drop" dropStyle="combo" dx="16" fmlaLink="ber_IVmed!$D$35" fmlaRange="tblOplossing" sel="4" val="0"/>
</file>

<file path=xl/ctrlProps/ctrlProp15.xml><?xml version="1.0" encoding="utf-8"?>
<formControlPr xmlns="http://schemas.microsoft.com/office/spreadsheetml/2009/9/main" objectType="Drop" dropStyle="combo" dx="16" fmlaLink="ber_IVmed!$D$36" fmlaRange="tblOplossing" sel="4" val="0"/>
</file>

<file path=xl/ctrlProps/ctrlProp16.xml><?xml version="1.0" encoding="utf-8"?>
<formControlPr xmlns="http://schemas.microsoft.com/office/spreadsheetml/2009/9/main" objectType="Drop" dropStyle="combo" dx="16" fmlaLink="ber_IVmed!$D$37" fmlaRange="tblOplossing" sel="4" val="0"/>
</file>

<file path=xl/ctrlProps/ctrlProp17.xml><?xml version="1.0" encoding="utf-8"?>
<formControlPr xmlns="http://schemas.microsoft.com/office/spreadsheetml/2009/9/main" objectType="Drop" dropStyle="combo" dx="16" fmlaLink="ber_IVmed!$D$38" fmlaRange="tblOplossing" sel="4" val="0"/>
</file>

<file path=xl/ctrlProps/ctrlProp18.xml><?xml version="1.0" encoding="utf-8"?>
<formControlPr xmlns="http://schemas.microsoft.com/office/spreadsheetml/2009/9/main" objectType="Drop" dropStyle="combo" dx="16" fmlaLink="ber_IVmed!$D$39" fmlaRange="tblOplossing" sel="4" val="0"/>
</file>

<file path=xl/ctrlProps/ctrlProp19.xml><?xml version="1.0" encoding="utf-8"?>
<formControlPr xmlns="http://schemas.microsoft.com/office/spreadsheetml/2009/9/main" objectType="Drop" dropStyle="combo" dx="16" fmlaLink="ber_IVmed!$D$43" fmlaRange="tblOplossing" sel="4" val="0"/>
</file>

<file path=xl/ctrlProps/ctrlProp20.xml><?xml version="1.0" encoding="utf-8"?>
<formControlPr xmlns="http://schemas.microsoft.com/office/spreadsheetml/2009/9/main" objectType="Drop" dropStyle="combo" dx="16" fmlaLink="ber_IVmed!$D$41" fmlaRange="oplossing" sel="0" val="0"/>
</file>

<file path=xl/ctrlProps/ctrlProp21.xml><?xml version="1.0" encoding="utf-8"?>
<formControlPr xmlns="http://schemas.microsoft.com/office/spreadsheetml/2009/9/main" objectType="Drop" dropStyle="combo" dx="16" fmlaLink="ber_IVmed!$D$42" fmlaRange="oplossing" sel="0" val="0"/>
</file>

<file path=xl/ctrlProps/ctrlProp22.xml><?xml version="1.0" encoding="utf-8"?>
<formControlPr xmlns="http://schemas.microsoft.com/office/spreadsheetml/2009/9/main" objectType="Spin" dx="15" fmlaLink="ber_IVmed!$C$43" max="100" min="1" page="10"/>
</file>

<file path=xl/ctrlProps/ctrlProp23.xml><?xml version="1.0" encoding="utf-8"?>
<formControlPr xmlns="http://schemas.microsoft.com/office/spreadsheetml/2009/9/main" objectType="Drop" dropStyle="combo" dx="16" fmlaLink="ber_IVmed!$D$44" fmlaRange="tblOplossing" sel="4" val="0"/>
</file>

<file path=xl/ctrlProps/ctrlProp24.xml><?xml version="1.0" encoding="utf-8"?>
<formControlPr xmlns="http://schemas.microsoft.com/office/spreadsheetml/2009/9/main" objectType="Spin" dx="15" fmlaLink="ber_IVmed!$C$44" max="100" min="1" page="10"/>
</file>

<file path=xl/ctrlProps/ctrlProp25.xml><?xml version="1.0" encoding="utf-8"?>
<formControlPr xmlns="http://schemas.microsoft.com/office/spreadsheetml/2009/9/main" objectType="Drop" dropStyle="combo" dx="16" fmlaLink="ber_IVmed!$D$45" fmlaRange="tblOplossing" sel="4" val="0"/>
</file>

<file path=xl/ctrlProps/ctrlProp26.xml><?xml version="1.0" encoding="utf-8"?>
<formControlPr xmlns="http://schemas.microsoft.com/office/spreadsheetml/2009/9/main" objectType="Spin" dx="15" fmlaLink="ber_IVmed!$C$45" max="100" min="1" page="10"/>
</file>

<file path=xl/ctrlProps/ctrlProp27.xml><?xml version="1.0" encoding="utf-8"?>
<formControlPr xmlns="http://schemas.microsoft.com/office/spreadsheetml/2009/9/main" objectType="Spin" dx="15" fmlaLink="ber_IVmed!$E$43" max="500" page="10" val="0"/>
</file>

<file path=xl/ctrlProps/ctrlProp28.xml><?xml version="1.0" encoding="utf-8"?>
<formControlPr xmlns="http://schemas.microsoft.com/office/spreadsheetml/2009/9/main" objectType="Spin" dx="15" fmlaLink="ber_IVmed!$E$44" max="500" page="10" val="0"/>
</file>

<file path=xl/ctrlProps/ctrlProp29.xml><?xml version="1.0" encoding="utf-8"?>
<formControlPr xmlns="http://schemas.microsoft.com/office/spreadsheetml/2009/9/main" objectType="Spin" dx="15" fmlaLink="ber_IVmed!$E$45" max="500" page="10" val="0"/>
</file>

<file path=xl/ctrlProps/ctrlProp30.xml><?xml version="1.0" encoding="utf-8"?>
<formControlPr xmlns="http://schemas.microsoft.com/office/spreadsheetml/2009/9/main" objectType="Drop" dropStyle="combo" dx="16" fmlaLink="ber_IVmed!$D$41" fmlaRange="tblOplossing" sel="4" val="0"/>
</file>

<file path=xl/ctrlProps/ctrlProp31.xml><?xml version="1.0" encoding="utf-8"?>
<formControlPr xmlns="http://schemas.microsoft.com/office/spreadsheetml/2009/9/main" objectType="Spin" dx="15" fmlaLink="ber_IVmed!$C$41" max="100" min="1" page="10"/>
</file>

<file path=xl/ctrlProps/ctrlProp32.xml><?xml version="1.0" encoding="utf-8"?>
<formControlPr xmlns="http://schemas.microsoft.com/office/spreadsheetml/2009/9/main" objectType="Spin" dx="15" fmlaLink="ber_IVmed!$E$41" max="500" page="10" val="0"/>
</file>

<file path=xl/ctrlProps/ctrlProp33.xml><?xml version="1.0" encoding="utf-8"?>
<formControlPr xmlns="http://schemas.microsoft.com/office/spreadsheetml/2009/9/main" objectType="Drop" dropStyle="combo" dx="16" fmlaLink="ber_IVmed!$D$42" fmlaRange="tblOplossing" sel="4" val="0"/>
</file>

<file path=xl/ctrlProps/ctrlProp34.xml><?xml version="1.0" encoding="utf-8"?>
<formControlPr xmlns="http://schemas.microsoft.com/office/spreadsheetml/2009/9/main" objectType="Spin" dx="15" fmlaLink="ber_IVmed!$C$42" max="100" min="1" page="10"/>
</file>

<file path=xl/ctrlProps/ctrlProp35.xml><?xml version="1.0" encoding="utf-8"?>
<formControlPr xmlns="http://schemas.microsoft.com/office/spreadsheetml/2009/9/main" objectType="Spin" dx="15" fmlaLink="ber_IVmed!$E$42" max="500" page="10" val="0"/>
</file>

<file path=xl/ctrlProps/ctrlProp36.xml><?xml version="1.0" encoding="utf-8"?>
<formControlPr xmlns="http://schemas.microsoft.com/office/spreadsheetml/2009/9/main" objectType="Drop" dropStyle="combo" dx="16" fmlaLink="ber_IVmed!$B$40" fmlaRange="tblDoseringen" sel="1" val="18"/>
</file>

<file path=xl/ctrlProps/ctrlProp37.xml><?xml version="1.0" encoding="utf-8"?>
<formControlPr xmlns="http://schemas.microsoft.com/office/spreadsheetml/2009/9/main" objectType="Drop" dropStyle="combo" dx="16" fmlaLink="ber_IVmed!$D$40" fmlaRange="tblOplossing" sel="4" val="0"/>
</file>

<file path=xl/ctrlProps/ctrlProp38.xml><?xml version="1.0" encoding="utf-8"?>
<formControlPr xmlns="http://schemas.microsoft.com/office/spreadsheetml/2009/9/main" objectType="Spin" dx="15" fmlaLink="ber_IVmed!$E$31" max="1000" page="10"/>
</file>

<file path=xl/ctrlProps/ctrlProp39.xml><?xml version="1.0" encoding="utf-8"?>
<formControlPr xmlns="http://schemas.microsoft.com/office/spreadsheetml/2009/9/main" objectType="Spin" dx="15" fmlaLink="ber_IVmed!$E$32" max="1000" page="10" val="0"/>
</file>

<file path=xl/ctrlProps/ctrlProp40.xml><?xml version="1.0" encoding="utf-8"?>
<formControlPr xmlns="http://schemas.microsoft.com/office/spreadsheetml/2009/9/main" objectType="Spin" dx="15" fmlaLink="ber_IVmed!$E$33" max="1000" page="10" val="0"/>
</file>

<file path=xl/ctrlProps/ctrlProp41.xml><?xml version="1.0" encoding="utf-8"?>
<formControlPr xmlns="http://schemas.microsoft.com/office/spreadsheetml/2009/9/main" objectType="Spin" dx="15" fmlaLink="ber_IVmed!$E$34" max="1000" page="10" val="0"/>
</file>

<file path=xl/ctrlProps/ctrlProp42.xml><?xml version="1.0" encoding="utf-8"?>
<formControlPr xmlns="http://schemas.microsoft.com/office/spreadsheetml/2009/9/main" objectType="Spin" dx="15" fmlaLink="ber_IVmed!$E$35" max="1000" page="10" val="0"/>
</file>

<file path=xl/ctrlProps/ctrlProp43.xml><?xml version="1.0" encoding="utf-8"?>
<formControlPr xmlns="http://schemas.microsoft.com/office/spreadsheetml/2009/9/main" objectType="Spin" dx="15" fmlaLink="ber_IVmed!$E$36" max="1000" page="10" val="0"/>
</file>

<file path=xl/ctrlProps/ctrlProp44.xml><?xml version="1.0" encoding="utf-8"?>
<formControlPr xmlns="http://schemas.microsoft.com/office/spreadsheetml/2009/9/main" objectType="Spin" dx="15" fmlaLink="ber_IVmed!$E$37" max="1000" page="10" val="0"/>
</file>

<file path=xl/ctrlProps/ctrlProp45.xml><?xml version="1.0" encoding="utf-8"?>
<formControlPr xmlns="http://schemas.microsoft.com/office/spreadsheetml/2009/9/main" objectType="Spin" dx="15" fmlaLink="ber_IVmed!$E$38" max="1000" page="10" val="0"/>
</file>

<file path=xl/ctrlProps/ctrlProp46.xml><?xml version="1.0" encoding="utf-8"?>
<formControlPr xmlns="http://schemas.microsoft.com/office/spreadsheetml/2009/9/main" objectType="Spin" dx="15" fmlaLink="ber_IVmed!$E$39" max="1000" page="10" val="0"/>
</file>

<file path=xl/ctrlProps/ctrlProp47.xml><?xml version="1.0" encoding="utf-8"?>
<formControlPr xmlns="http://schemas.microsoft.com/office/spreadsheetml/2009/9/main" objectType="Spin" dx="15" fmlaLink="ber_IVmed!$E$40" max="1000" page="10" val="0"/>
</file>

<file path=xl/ctrlProps/ctrlProp48.xml><?xml version="1.0" encoding="utf-8"?>
<formControlPr xmlns="http://schemas.microsoft.com/office/spreadsheetml/2009/9/main" objectType="Spin" dx="15" fmlaLink="dbBead!$G$2" max="1000" min="25" page="10" val="100"/>
</file>

<file path=xl/ctrlProps/ctrlProp49.xml><?xml version="1.0" encoding="utf-8"?>
<formControlPr xmlns="http://schemas.microsoft.com/office/spreadsheetml/2009/9/main" objectType="Spin" dx="15" fmlaLink="dbBead!$H$2" max="200" min="40" page="10" val="80"/>
</file>

<file path=xl/ctrlProps/ctrlProp50.xml><?xml version="1.0" encoding="utf-8"?>
<formControlPr xmlns="http://schemas.microsoft.com/office/spreadsheetml/2009/9/main" objectType="Spin" dx="15" fmlaLink="ber_IVmed!$E$14" max="100" page="10" val="10"/>
</file>

<file path=xl/ctrlProps/ctrlProp51.xml><?xml version="1.0" encoding="utf-8"?>
<formControlPr xmlns="http://schemas.microsoft.com/office/spreadsheetml/2009/9/main" objectType="Spin" dx="15" fmlaLink="ber_IVmed!$D$14" inc="12" max="50" min="12" page="10" val="50"/>
</file>

<file path=xl/ctrlProps/ctrlProp52.xml><?xml version="1.0" encoding="utf-8"?>
<formControlPr xmlns="http://schemas.microsoft.com/office/spreadsheetml/2009/9/main" objectType="Spin" dx="15" fmlaLink="ber_IVmed!$F$10" max="150" min="1" page="10" val="10"/>
</file>

<file path=xl/ctrlProps/ctrlProp53.xml><?xml version="1.0" encoding="utf-8"?>
<formControlPr xmlns="http://schemas.microsoft.com/office/spreadsheetml/2009/9/main" objectType="Spin" dx="15" fmlaLink="ber_IVmed!#REF!" max="100" page="10" val="0"/>
</file>

<file path=xl/ctrlProps/ctrlProp54.xml><?xml version="1.0" encoding="utf-8"?>
<formControlPr xmlns="http://schemas.microsoft.com/office/spreadsheetml/2009/9/main" objectType="Spin" dx="15" fmlaLink="ber_IVmed!#REF!" inc="12" max="50" min="12" page="10" val="12"/>
</file>

<file path=xl/ctrlProps/ctrlProp55.xml><?xml version="1.0" encoding="utf-8"?>
<formControlPr xmlns="http://schemas.microsoft.com/office/spreadsheetml/2009/9/main" objectType="Spin" dx="15" fmlaLink="ber_IVmed!$F$10" max="150" min="1" page="10" val="10"/>
</file>

<file path=xl/ctrlProps/ctrlProp56.xml><?xml version="1.0" encoding="utf-8"?>
<formControlPr xmlns="http://schemas.microsoft.com/office/spreadsheetml/2009/9/main" objectType="Spin" dx="15" fmlaLink="ber_IVmed!$F$14" max="150" min="1" page="10" val="10"/>
</file>

<file path=xl/ctrlProps/ctrlProp57.xml><?xml version="1.0" encoding="utf-8"?>
<formControlPr xmlns="http://schemas.microsoft.com/office/spreadsheetml/2009/9/main" objectType="Spin" dx="15" fmlaLink="ber_IVmed!#REF!" max="150" min="1" page="10" val="0"/>
</file>

<file path=xl/ctrlProps/ctrlProp58.xml><?xml version="1.0" encoding="utf-8"?>
<formControlPr xmlns="http://schemas.microsoft.com/office/spreadsheetml/2009/9/main" objectType="Spin" dx="15" fmlaLink="ber_IVmed!$D$14" inc="12" max="50" min="12" page="10" val="50"/>
</file>

<file path=xl/ctrlProps/ctrlProp59.xml><?xml version="1.0" encoding="utf-8"?>
<formControlPr xmlns="http://schemas.microsoft.com/office/spreadsheetml/2009/9/main" objectType="Spin" dx="15" fmlaLink="ber_IVmed!$D$12" inc="12" max="50" min="12" page="10" val="50"/>
</file>

<file path=xl/ctrlProps/ctrlProp60.xml><?xml version="1.0" encoding="utf-8"?>
<formControlPr xmlns="http://schemas.microsoft.com/office/spreadsheetml/2009/9/main" objectType="Spin" dx="15" fmlaLink="ber_IVmed!$F$14" max="15" min="3" page="10" val="10"/>
</file>

<file path=xl/ctrlProps/ctrlProp61.xml><?xml version="1.0" encoding="utf-8"?>
<formControlPr xmlns="http://schemas.microsoft.com/office/spreadsheetml/2009/9/main" objectType="Spin" dx="15" fmlaLink="ber_IVmed!$F$12" max="150" min="1" page="10" val="20"/>
</file>

<file path=xl/ctrlProps/ctrlProp62.xml><?xml version="1.0" encoding="utf-8"?>
<formControlPr xmlns="http://schemas.microsoft.com/office/spreadsheetml/2009/9/main" objectType="Spin" dx="15" fmlaLink="ber_IVmed!$E$14" max="100" page="10" val="10"/>
</file>

<file path=xl/ctrlProps/ctrlProp63.xml><?xml version="1.0" encoding="utf-8"?>
<formControlPr xmlns="http://schemas.microsoft.com/office/spreadsheetml/2009/9/main" objectType="Spin" dx="15" fmlaLink="ber_IVmed!$F$22" max="10" min="1" page="10"/>
</file>

<file path=xl/ctrlProps/ctrlProp64.xml><?xml version="1.0" encoding="utf-8"?>
<formControlPr xmlns="http://schemas.microsoft.com/office/spreadsheetml/2009/9/main" objectType="Spin" dx="15" fmlaLink="ber_IVmed!$D$4" max="60" min="1" page="10" val="50"/>
</file>

<file path=xl/ctrlProps/ctrlProp65.xml><?xml version="1.0" encoding="utf-8"?>
<formControlPr xmlns="http://schemas.microsoft.com/office/spreadsheetml/2009/9/main" objectType="Spin" dx="15" fmlaLink="ber_IVmed!$E$4" max="1000" min="1" page="10" val="10"/>
</file>

<file path=xl/ctrlProps/ctrlProp66.xml><?xml version="1.0" encoding="utf-8"?>
<formControlPr xmlns="http://schemas.microsoft.com/office/spreadsheetml/2009/9/main" objectType="Spin" dx="15" fmlaLink="ber_IVmed!$F$4" max="100" min="5" page="10" val="10"/>
</file>

<file path=xl/ctrlProps/ctrlProp67.xml><?xml version="1.0" encoding="utf-8"?>
<formControlPr xmlns="http://schemas.microsoft.com/office/spreadsheetml/2009/9/main" objectType="Spin" dx="15" fmlaLink="ber_IVmed!$F$6" inc="5" max="100" min="25" page="10" val="25"/>
</file>

<file path=xl/ctrlProps/ctrlProp68.xml><?xml version="1.0" encoding="utf-8"?>
<formControlPr xmlns="http://schemas.microsoft.com/office/spreadsheetml/2009/9/main" objectType="Spin" dx="15" fmlaLink="ber_IVmed!$F$7" inc="5" max="200" min="25" page="10" val="100"/>
</file>

<file path=xl/ctrlProps/ctrlProp69.xml><?xml version="1.0" encoding="utf-8"?>
<formControlPr xmlns="http://schemas.microsoft.com/office/spreadsheetml/2009/9/main" objectType="Spin" dx="15" fmlaLink="ber_IVmed!$F$8" max="20" min="1" page="10" val="10"/>
</file>

<file path=xl/ctrlProps/ctrlProp70.xml><?xml version="1.0" encoding="utf-8"?>
<formControlPr xmlns="http://schemas.microsoft.com/office/spreadsheetml/2009/9/main" objectType="Spin" dx="15" fmlaLink="ber_IVmed!$F$10" max="30" min="5" page="10" val="10"/>
</file>

<file path=xl/ctrlProps/ctrlProp71.xml><?xml version="1.0" encoding="utf-8"?>
<formControlPr xmlns="http://schemas.microsoft.com/office/spreadsheetml/2009/9/main" objectType="Spin" dx="15" fmlaLink="ber_IVmed!$F$11" max="10" min="5" page="10" val="5"/>
</file>

<file path=xl/ctrlProps/ctrlProp72.xml><?xml version="1.0" encoding="utf-8"?>
<formControlPr xmlns="http://schemas.microsoft.com/office/spreadsheetml/2009/9/main" objectType="Spin" dx="15" fmlaLink="ber_IVmed!$F$12" inc="5" max="40" min="10" page="10" val="20"/>
</file>

<file path=xl/ctrlProps/ctrlProp73.xml><?xml version="1.0" encoding="utf-8"?>
<formControlPr xmlns="http://schemas.microsoft.com/office/spreadsheetml/2009/9/main" objectType="Spin" dx="15" fmlaLink="ber_IVmed!$F$13" inc="5" max="40" min="10" page="10" val="15"/>
</file>

<file path=xl/ctrlProps/ctrlProp74.xml><?xml version="1.0" encoding="utf-8"?>
<formControlPr xmlns="http://schemas.microsoft.com/office/spreadsheetml/2009/9/main" objectType="Spin" dx="15" fmlaLink="ber_IVmed!$F$14" max="150" min="1" page="10" val="10"/>
</file>

<file path=xl/ctrlProps/ctrlProp75.xml><?xml version="1.0" encoding="utf-8"?>
<formControlPr xmlns="http://schemas.microsoft.com/office/spreadsheetml/2009/9/main" objectType="Spin" dx="15" max="30000" page="10" val="0"/>
</file>

<file path=xl/ctrlProps/ctrlProp76.xml><?xml version="1.0" encoding="utf-8"?>
<formControlPr xmlns="http://schemas.microsoft.com/office/spreadsheetml/2009/9/main" objectType="Spin" dx="15" fmlaLink="ber_IVmed!$F$16" inc="5" max="50" min="5" page="10" val="10"/>
</file>

<file path=xl/ctrlProps/ctrlProp77.xml><?xml version="1.0" encoding="utf-8"?>
<formControlPr xmlns="http://schemas.microsoft.com/office/spreadsheetml/2009/9/main" objectType="Spin" dx="15" fmlaLink="ber_IVmed!$F$17" inc="5" max="70" min="15" page="10" val="30"/>
</file>

<file path=xl/ctrlProps/ctrlProp78.xml><?xml version="1.0" encoding="utf-8"?>
<formControlPr xmlns="http://schemas.microsoft.com/office/spreadsheetml/2009/9/main" objectType="Spin" dx="15" fmlaLink="ber_IVmed!$F$18" inc="5" max="500" min="125" page="10" val="250"/>
</file>

<file path=xl/ctrlProps/ctrlProp79.xml><?xml version="1.0" encoding="utf-8"?>
<formControlPr xmlns="http://schemas.microsoft.com/office/spreadsheetml/2009/9/main" objectType="Spin" dx="15" fmlaLink="ber_IVmed!$F$21" inc="5" max="200" min="5" page="10" val="10"/>
</file>

<file path=xl/ctrlProps/ctrlProp80.xml><?xml version="1.0" encoding="utf-8"?>
<formControlPr xmlns="http://schemas.microsoft.com/office/spreadsheetml/2009/9/main" objectType="Spin" dx="15" fmlaLink="ber_IVmed!$F$24" max="12" min="6" page="10" val="6"/>
</file>

<file path=xl/ctrlProps/ctrlProp81.xml><?xml version="1.0" encoding="utf-8"?>
<formControlPr xmlns="http://schemas.microsoft.com/office/spreadsheetml/2009/9/main" objectType="Spin" dx="15" fmlaLink="ber_IVmed!$F$25" max="20" min="2" page="10" val="2"/>
</file>

<file path=xl/ctrlProps/ctrlProp82.xml><?xml version="1.0" encoding="utf-8"?>
<formControlPr xmlns="http://schemas.microsoft.com/office/spreadsheetml/2009/9/main" objectType="Spin" dx="15" fmlaLink="ber_IVmed!$F$26" inc="10" max="100" min="50" page="10" val="70"/>
</file>

<file path=xl/ctrlProps/ctrlProp83.xml><?xml version="1.0" encoding="utf-8"?>
<formControlPr xmlns="http://schemas.microsoft.com/office/spreadsheetml/2009/9/main" objectType="Spin" dx="15" fmlaLink="ber_IVmed!$K$4" max="100" min="1" page="10"/>
</file>

<file path=xl/ctrlProps/ctrlProp84.xml><?xml version="1.0" encoding="utf-8"?>
<formControlPr xmlns="http://schemas.microsoft.com/office/spreadsheetml/2009/9/main" objectType="Spin" dx="15" fmlaLink="ber_IVmed!$K$6" inc="5" max="50" min="5" page="10" val="50"/>
</file>

<file path=xl/ctrlProps/ctrlProp85.xml><?xml version="1.0" encoding="utf-8"?>
<formControlPr xmlns="http://schemas.microsoft.com/office/spreadsheetml/2009/9/main" objectType="Spin" dx="15" fmlaLink="ber_IVmed!$K$7" inc="5" max="150" min="15" page="10" val="150"/>
</file>

<file path=xl/ctrlProps/ctrlProp86.xml><?xml version="1.0" encoding="utf-8"?>
<formControlPr xmlns="http://schemas.microsoft.com/office/spreadsheetml/2009/9/main" objectType="Spin" dx="15" fmlaLink="ber_IVmed!$K$8" inc="125" max="2500" min="125" page="10" val="2500"/>
</file>

<file path=xl/ctrlProps/ctrlProp87.xml><?xml version="1.0" encoding="utf-8"?>
<formControlPr xmlns="http://schemas.microsoft.com/office/spreadsheetml/2009/9/main" objectType="Spin" dx="15" fmlaLink="ber_IVmed!$K$10" inc="5" max="50" min="5" page="10" val="50"/>
</file>

<file path=xl/ctrlProps/ctrlProp88.xml><?xml version="1.0" encoding="utf-8"?>
<formControlPr xmlns="http://schemas.microsoft.com/office/spreadsheetml/2009/9/main" objectType="Spin" dx="15" fmlaLink="ber_IVmed!$K$11" inc="5" max="100" min="5" page="10" val="100"/>
</file>

<file path=xl/ctrlProps/ctrlProp89.xml><?xml version="1.0" encoding="utf-8"?>
<formControlPr xmlns="http://schemas.microsoft.com/office/spreadsheetml/2009/9/main" objectType="Spin" dx="15" fmlaLink="ber_IVmed!$K$12" inc="10" max="250" min="10" page="10" val="20"/>
</file>

<file path=xl/ctrlProps/ctrlProp90.xml><?xml version="1.0" encoding="utf-8"?>
<formControlPr xmlns="http://schemas.microsoft.com/office/spreadsheetml/2009/9/main" objectType="Spin" dx="15" fmlaLink="ber_IVmed!$K$13" inc="100" max="5000" min="100" page="10" val="5000"/>
</file>

<file path=xl/ctrlProps/ctrlProp91.xml><?xml version="1.0" encoding="utf-8"?>
<formControlPr xmlns="http://schemas.microsoft.com/office/spreadsheetml/2009/9/main" objectType="Spin" dx="15" fmlaLink="ber_IVmed!$K$14" inc="2" max="20" min="2" page="10" val="2"/>
</file>

<file path=xl/ctrlProps/ctrlProp92.xml><?xml version="1.0" encoding="utf-8"?>
<formControlPr xmlns="http://schemas.microsoft.com/office/spreadsheetml/2009/9/main" objectType="Spin" dx="15" max="30000" page="10" val="0"/>
</file>

<file path=xl/ctrlProps/ctrlProp93.xml><?xml version="1.0" encoding="utf-8"?>
<formControlPr xmlns="http://schemas.microsoft.com/office/spreadsheetml/2009/9/main" objectType="Spin" dx="15" fmlaLink="ber_IVmed!$K$16" inc="5" max="50" min="5" page="10" val="5"/>
</file>

<file path=xl/ctrlProps/ctrlProp94.xml><?xml version="1.0" encoding="utf-8"?>
<formControlPr xmlns="http://schemas.microsoft.com/office/spreadsheetml/2009/9/main" objectType="Spin" dx="15" fmlaLink="ber_IVmed!$K$17" max="10" min="1" page="10" val="10"/>
</file>

<file path=xl/ctrlProps/ctrlProp95.xml><?xml version="1.0" encoding="utf-8"?>
<formControlPr xmlns="http://schemas.microsoft.com/office/spreadsheetml/2009/9/main" objectType="Spin" dx="15" fmlaLink="ber_IVmed!$K$18" max="10" min="1" page="10" val="10"/>
</file>

<file path=xl/ctrlProps/ctrlProp96.xml><?xml version="1.0" encoding="utf-8"?>
<formControlPr xmlns="http://schemas.microsoft.com/office/spreadsheetml/2009/9/main" objectType="Spin" dx="15" fmlaLink="ber_IVmed!$K$21" max="5" min="1" page="10" val="5"/>
</file>

<file path=xl/ctrlProps/ctrlProp97.xml><?xml version="1.0" encoding="utf-8"?>
<formControlPr xmlns="http://schemas.microsoft.com/office/spreadsheetml/2009/9/main" objectType="Spin" dx="15" fmlaLink="ber_IVmed!$K$24" inc="10" max="50" min="10" page="10" val="50"/>
</file>

<file path=xl/ctrlProps/ctrlProp98.xml><?xml version="1.0" encoding="utf-8"?>
<formControlPr xmlns="http://schemas.microsoft.com/office/spreadsheetml/2009/9/main" objectType="Spin" dx="15" fmlaLink="ber_IVmed!$K$25" max="5" min="1" page="10" val="5"/>
</file>

<file path=xl/ctrlProps/ctrlProp99.xml><?xml version="1.0" encoding="utf-8"?>
<formControlPr xmlns="http://schemas.microsoft.com/office/spreadsheetml/2009/9/main" objectType="Spin" dx="15" fmlaLink="ber_IVmed!$K$26" inc="25" max="500" min="25" page="10" val="500"/>
</file>

<file path=xl/ctrlProps/ctrlProp100.xml><?xml version="1.0" encoding="utf-8"?>
<formControlPr xmlns="http://schemas.microsoft.com/office/spreadsheetml/2009/9/main" objectType="Spin" dx="15" fmlaLink="ber_IVmed!$D$6" max="60" min="1" page="10" val="50"/>
</file>

<file path=xl/ctrlProps/ctrlProp101.xml><?xml version="1.0" encoding="utf-8"?>
<formControlPr xmlns="http://schemas.microsoft.com/office/spreadsheetml/2009/9/main" objectType="Spin" dx="15" fmlaLink="ber_IVmed!$E$6" max="1000" min="1" page="10" val="10"/>
</file>

<file path=xl/ctrlProps/ctrlProp102.xml><?xml version="1.0" encoding="utf-8"?>
<formControlPr xmlns="http://schemas.microsoft.com/office/spreadsheetml/2009/9/main" objectType="Spin" dx="15" fmlaLink="ber_IVmed!$D$7" max="60" min="1" page="10" val="50"/>
</file>

<file path=xl/ctrlProps/ctrlProp103.xml><?xml version="1.0" encoding="utf-8"?>
<formControlPr xmlns="http://schemas.microsoft.com/office/spreadsheetml/2009/9/main" objectType="Spin" dx="15" fmlaLink="ber_IVmed!$E$7" max="1000" min="1" page="10" val="10"/>
</file>

<file path=xl/ctrlProps/ctrlProp104.xml><?xml version="1.0" encoding="utf-8"?>
<formControlPr xmlns="http://schemas.microsoft.com/office/spreadsheetml/2009/9/main" objectType="Spin" dx="15" fmlaLink="ber_IVmed!$D$8" max="60" min="1" page="10" val="50"/>
</file>

<file path=xl/ctrlProps/ctrlProp105.xml><?xml version="1.0" encoding="utf-8"?>
<formControlPr xmlns="http://schemas.microsoft.com/office/spreadsheetml/2009/9/main" objectType="Spin" dx="15" fmlaLink="ber_IVmed!$E$8" max="1000" min="1" page="10" val="10"/>
</file>

<file path=xl/ctrlProps/ctrlProp106.xml><?xml version="1.0" encoding="utf-8"?>
<formControlPr xmlns="http://schemas.microsoft.com/office/spreadsheetml/2009/9/main" objectType="Spin" dx="15" fmlaLink="ber_IVmed!$E$10" max="1000" min="1" page="10" val="10"/>
</file>

<file path=xl/ctrlProps/ctrlProp107.xml><?xml version="1.0" encoding="utf-8"?>
<formControlPr xmlns="http://schemas.microsoft.com/office/spreadsheetml/2009/9/main" objectType="Spin" dx="15" fmlaLink="ber_IVmed!$D$11" max="60" min="1" page="10" val="50"/>
</file>

<file path=xl/ctrlProps/ctrlProp108.xml><?xml version="1.0" encoding="utf-8"?>
<formControlPr xmlns="http://schemas.microsoft.com/office/spreadsheetml/2009/9/main" objectType="Spin" dx="15" fmlaLink="ber_IVmed!$E$11" max="1000" min="1" page="10" val="10"/>
</file>

<file path=xl/ctrlProps/ctrlProp109.xml><?xml version="1.0" encoding="utf-8"?>
<formControlPr xmlns="http://schemas.microsoft.com/office/spreadsheetml/2009/9/main" objectType="Spin" dx="15" fmlaLink="ber_IVmed!$D$12" max="60" min="1" page="10" val="50"/>
</file>

<file path=xl/ctrlProps/ctrlProp110.xml><?xml version="1.0" encoding="utf-8"?>
<formControlPr xmlns="http://schemas.microsoft.com/office/spreadsheetml/2009/9/main" objectType="Spin" dx="15" fmlaLink="ber_IVmed!$E$12" max="1000" min="1" page="10" val="10"/>
</file>

<file path=xl/ctrlProps/ctrlProp111.xml><?xml version="1.0" encoding="utf-8"?>
<formControlPr xmlns="http://schemas.microsoft.com/office/spreadsheetml/2009/9/main" objectType="Spin" dx="15" fmlaLink="ber_IVmed!$D$13" max="60" min="1" page="10" val="50"/>
</file>

<file path=xl/ctrlProps/ctrlProp112.xml><?xml version="1.0" encoding="utf-8"?>
<formControlPr xmlns="http://schemas.microsoft.com/office/spreadsheetml/2009/9/main" objectType="Spin" dx="15" fmlaLink="ber_IVmed!$E$13" max="1000" min="1" page="10" val="10"/>
</file>

<file path=xl/ctrlProps/ctrlProp113.xml><?xml version="1.0" encoding="utf-8"?>
<formControlPr xmlns="http://schemas.microsoft.com/office/spreadsheetml/2009/9/main" objectType="Spin" dx="15" fmlaLink="ber_IVmed!$D$14" max="60" min="1" page="10" val="50"/>
</file>

<file path=xl/ctrlProps/ctrlProp114.xml><?xml version="1.0" encoding="utf-8"?>
<formControlPr xmlns="http://schemas.microsoft.com/office/spreadsheetml/2009/9/main" objectType="Spin" dx="15" fmlaLink="ber_IVmed!$E$14" max="1000" min="1" page="10" val="10"/>
</file>

<file path=xl/ctrlProps/ctrlProp115.xml><?xml version="1.0" encoding="utf-8"?>
<formControlPr xmlns="http://schemas.microsoft.com/office/spreadsheetml/2009/9/main" objectType="Spin" dx="15" fmlaLink="ber_IVmed!$D$15" max="60" min="1" page="10" val="50"/>
</file>

<file path=xl/ctrlProps/ctrlProp116.xml><?xml version="1.0" encoding="utf-8"?>
<formControlPr xmlns="http://schemas.microsoft.com/office/spreadsheetml/2009/9/main" objectType="Spin" dx="15" fmlaLink="ber_IVmed!$E$15" max="1000" min="1" page="10" val="10"/>
</file>

<file path=xl/ctrlProps/ctrlProp117.xml><?xml version="1.0" encoding="utf-8"?>
<formControlPr xmlns="http://schemas.microsoft.com/office/spreadsheetml/2009/9/main" objectType="Spin" dx="15" fmlaLink="ber_IVmed!$D$16" max="60" min="1" page="10" val="50"/>
</file>

<file path=xl/ctrlProps/ctrlProp118.xml><?xml version="1.0" encoding="utf-8"?>
<formControlPr xmlns="http://schemas.microsoft.com/office/spreadsheetml/2009/9/main" objectType="Spin" dx="15" fmlaLink="ber_IVmed!$E$16" max="1000" min="1" page="10" val="10"/>
</file>

<file path=xl/ctrlProps/ctrlProp119.xml><?xml version="1.0" encoding="utf-8"?>
<formControlPr xmlns="http://schemas.microsoft.com/office/spreadsheetml/2009/9/main" objectType="Spin" dx="15" fmlaLink="ber_IVmed!$D$17" max="60" min="1" page="10" val="50"/>
</file>

<file path=xl/ctrlProps/ctrlProp120.xml><?xml version="1.0" encoding="utf-8"?>
<formControlPr xmlns="http://schemas.microsoft.com/office/spreadsheetml/2009/9/main" objectType="Spin" dx="15" fmlaLink="ber_IVmed!$E$17" max="1000" min="1" page="10" val="10"/>
</file>

<file path=xl/ctrlProps/ctrlProp121.xml><?xml version="1.0" encoding="utf-8"?>
<formControlPr xmlns="http://schemas.microsoft.com/office/spreadsheetml/2009/9/main" objectType="Spin" dx="15" fmlaLink="ber_IVmed!$D$18" max="60" min="1" page="10" val="50"/>
</file>

<file path=xl/ctrlProps/ctrlProp122.xml><?xml version="1.0" encoding="utf-8"?>
<formControlPr xmlns="http://schemas.microsoft.com/office/spreadsheetml/2009/9/main" objectType="Spin" dx="15" fmlaLink="ber_IVmed!$E$18" max="1000" min="1" page="10" val="10"/>
</file>

<file path=xl/ctrlProps/ctrlProp123.xml><?xml version="1.0" encoding="utf-8"?>
<formControlPr xmlns="http://schemas.microsoft.com/office/spreadsheetml/2009/9/main" objectType="Spin" dx="15" fmlaLink="ber_IVmed!$D$21" max="60" min="1" page="10" val="50"/>
</file>

<file path=xl/ctrlProps/ctrlProp124.xml><?xml version="1.0" encoding="utf-8"?>
<formControlPr xmlns="http://schemas.microsoft.com/office/spreadsheetml/2009/9/main" objectType="Spin" dx="15" fmlaLink="ber_IVmed!$E$21" max="1000" min="1" page="10" val="10"/>
</file>

<file path=xl/ctrlProps/ctrlProp125.xml><?xml version="1.0" encoding="utf-8"?>
<formControlPr xmlns="http://schemas.microsoft.com/office/spreadsheetml/2009/9/main" objectType="Spin" dx="15" fmlaLink="ber_IVmed!$D$24" max="60" min="1" page="10" val="50"/>
</file>

<file path=xl/ctrlProps/ctrlProp126.xml><?xml version="1.0" encoding="utf-8"?>
<formControlPr xmlns="http://schemas.microsoft.com/office/spreadsheetml/2009/9/main" objectType="Spin" dx="15" fmlaLink="ber_IVmed!$E$24" max="1000" min="1" page="10" val="10"/>
</file>

<file path=xl/ctrlProps/ctrlProp127.xml><?xml version="1.0" encoding="utf-8"?>
<formControlPr xmlns="http://schemas.microsoft.com/office/spreadsheetml/2009/9/main" objectType="Spin" dx="15" fmlaLink="ber_IVmed!$D$25" max="60" min="1" page="10" val="50"/>
</file>

<file path=xl/ctrlProps/ctrlProp128.xml><?xml version="1.0" encoding="utf-8"?>
<formControlPr xmlns="http://schemas.microsoft.com/office/spreadsheetml/2009/9/main" objectType="Spin" dx="15" fmlaLink="ber_IVmed!$E$25" max="1000" min="1" page="10" val="10"/>
</file>

<file path=xl/ctrlProps/ctrlProp129.xml><?xml version="1.0" encoding="utf-8"?>
<formControlPr xmlns="http://schemas.microsoft.com/office/spreadsheetml/2009/9/main" objectType="Spin" dx="15" fmlaLink="ber_IVmed!$D$26" max="60" min="1" page="10" val="50"/>
</file>

<file path=xl/ctrlProps/ctrlProp130.xml><?xml version="1.0" encoding="utf-8"?>
<formControlPr xmlns="http://schemas.microsoft.com/office/spreadsheetml/2009/9/main" objectType="Spin" dx="15" fmlaLink="ber_IVmed!$E$26" max="1000" min="1" page="10" val="10"/>
</file>

<file path=xl/ctrlProps/ctrlProp131.xml><?xml version="1.0" encoding="utf-8"?>
<formControlPr xmlns="http://schemas.microsoft.com/office/spreadsheetml/2009/9/main" objectType="Spin" dx="15" fmlaLink="ber_IVmed!$D$3" max="60" min="1" page="10" val="50"/>
</file>

<file path=xl/ctrlProps/ctrlProp132.xml><?xml version="1.0" encoding="utf-8"?>
<formControlPr xmlns="http://schemas.microsoft.com/office/spreadsheetml/2009/9/main" objectType="Spin" dx="15" fmlaLink="ber_IVmed!$E$3" max="1000" min="1" page="10" val="10"/>
</file>

<file path=xl/ctrlProps/ctrlProp133.xml><?xml version="1.0" encoding="utf-8"?>
<formControlPr xmlns="http://schemas.microsoft.com/office/spreadsheetml/2009/9/main" objectType="Spin" dx="15" fmlaLink="ber_IVmed!$F$3" max="500" min="1" page="10" val="5"/>
</file>

<file path=xl/ctrlProps/ctrlProp134.xml><?xml version="1.0" encoding="utf-8"?>
<formControlPr xmlns="http://schemas.microsoft.com/office/spreadsheetml/2009/9/main" objectType="Spin" dx="15" fmlaLink="ber_IVmed!$K$3" max="100" min="10" page="10" val="10"/>
</file>

<file path=xl/ctrlProps/ctrlProp135.xml><?xml version="1.0" encoding="utf-8"?>
<formControlPr xmlns="http://schemas.microsoft.com/office/spreadsheetml/2009/9/main" objectType="Spin" dx="15" fmlaLink="ber_IVmed!$F$9" max="20" min="1" page="10" val="5"/>
</file>

<file path=xl/ctrlProps/ctrlProp136.xml><?xml version="1.0" encoding="utf-8"?>
<formControlPr xmlns="http://schemas.microsoft.com/office/spreadsheetml/2009/9/main" objectType="Spin" dx="15" fmlaLink="ber_IVmed!$K$9" inc="10" max="200" min="40" page="10" val="200"/>
</file>

<file path=xl/ctrlProps/ctrlProp137.xml><?xml version="1.0" encoding="utf-8"?>
<formControlPr xmlns="http://schemas.microsoft.com/office/spreadsheetml/2009/9/main" objectType="Spin" dx="15" fmlaLink="ber_IVmed!$D$9" max="60" min="1" page="10" val="50"/>
</file>

<file path=xl/ctrlProps/ctrlProp138.xml><?xml version="1.0" encoding="utf-8"?>
<formControlPr xmlns="http://schemas.microsoft.com/office/spreadsheetml/2009/9/main" objectType="Spin" dx="15" fmlaLink="ber_IVmed!$E$9" max="1000" min="1" page="10" val="10"/>
</file>

<file path=xl/ctrlProps/ctrlProp139.xml><?xml version="1.0" encoding="utf-8"?>
<formControlPr xmlns="http://schemas.microsoft.com/office/spreadsheetml/2009/9/main" objectType="Spin" dx="15" fmlaLink="ber_IVmed!$D$27" inc="24" max="100" min="24" page="10" val="100"/>
</file>

<file path=xl/ctrlProps/ctrlProp140.xml><?xml version="1.0" encoding="utf-8"?>
<formControlPr xmlns="http://schemas.microsoft.com/office/spreadsheetml/2009/9/main" objectType="Spin" dx="15" fmlaLink="ber_IVmed!$C$27" max="48" min="1" page="10"/>
</file>

<file path=xl/ctrlProps/ctrlProp141.xml><?xml version="1.0" encoding="utf-8"?>
<formControlPr xmlns="http://schemas.microsoft.com/office/spreadsheetml/2009/9/main" objectType="Spin" dx="15" fmlaLink="ber_Med_disc!$H$2" max="12" min="1" page="10"/>
</file>

<file path=xl/ctrlProps/ctrlProp142.xml><?xml version="1.0" encoding="utf-8"?>
<formControlPr xmlns="http://schemas.microsoft.com/office/spreadsheetml/2009/9/main" objectType="Spin" dx="15" fmlaLink="ber_Med_disc!$B$2" max="30000" page="10" val="1500"/>
</file>

<file path=xl/ctrlProps/ctrlProp143.xml><?xml version="1.0" encoding="utf-8"?>
<formControlPr xmlns="http://schemas.microsoft.com/office/spreadsheetml/2009/9/main" objectType="Spin" dx="15" fmlaLink="ber_Med_disc!$F$2" max="100" page="10" val="0"/>
</file>

<file path=xl/ctrlProps/ctrlProp144.xml><?xml version="1.0" encoding="utf-8"?>
<formControlPr xmlns="http://schemas.microsoft.com/office/spreadsheetml/2009/9/main" objectType="Drop" dropStyle="combo" dx="16" fmlaLink="ber_Med_disc!$N$2" fmlaRange="ber_Med_disc!$B$27:$B$30" sel="0" val="0"/>
</file>

<file path=xl/ctrlProps/ctrlProp145.xml><?xml version="1.0" encoding="utf-8"?>
<formControlPr xmlns="http://schemas.microsoft.com/office/spreadsheetml/2009/9/main" objectType="Spin" dx="15" fmlaLink="ber_Med_disc!$M$2" max="30000" page="10" val="0"/>
</file>

<file path=xl/ctrlProps/ctrlProp146.xml><?xml version="1.0" encoding="utf-8"?>
<formControlPr xmlns="http://schemas.microsoft.com/office/spreadsheetml/2009/9/main" objectType="Spin" dx="15" fmlaLink="ber_Med_disc!$B$3" max="30000" page="10" val="1500"/>
</file>

<file path=xl/ctrlProps/ctrlProp147.xml><?xml version="1.0" encoding="utf-8"?>
<formControlPr xmlns="http://schemas.microsoft.com/office/spreadsheetml/2009/9/main" objectType="Spin" dx="15" fmlaLink="ber_Med_disc!$F$3" max="100" page="10" val="0"/>
</file>

<file path=xl/ctrlProps/ctrlProp148.xml><?xml version="1.0" encoding="utf-8"?>
<formControlPr xmlns="http://schemas.microsoft.com/office/spreadsheetml/2009/9/main" objectType="Drop" dropStyle="combo" dx="16" fmlaLink="ber_Med_disc!$N$3" fmlaRange="ber_Med_disc!$B$27:$B$30" sel="0" val="0"/>
</file>

<file path=xl/ctrlProps/ctrlProp149.xml><?xml version="1.0" encoding="utf-8"?>
<formControlPr xmlns="http://schemas.microsoft.com/office/spreadsheetml/2009/9/main" objectType="Spin" dx="15" fmlaLink="ber_Med_disc!$M$3" max="30000" page="10" val="0"/>
</file>

<file path=xl/ctrlProps/ctrlProp150.xml><?xml version="1.0" encoding="utf-8"?>
<formControlPr xmlns="http://schemas.microsoft.com/office/spreadsheetml/2009/9/main" objectType="Spin" dx="15" fmlaLink="ber_Med_disc!$H$4" max="12" min="1" page="10"/>
</file>

<file path=xl/ctrlProps/ctrlProp151.xml><?xml version="1.0" encoding="utf-8"?>
<formControlPr xmlns="http://schemas.microsoft.com/office/spreadsheetml/2009/9/main" objectType="Spin" dx="15" fmlaLink="ber_Med_disc!$B$4" max="30000" page="10" val="1500"/>
</file>

<file path=xl/ctrlProps/ctrlProp152.xml><?xml version="1.0" encoding="utf-8"?>
<formControlPr xmlns="http://schemas.microsoft.com/office/spreadsheetml/2009/9/main" objectType="Spin" dx="15" fmlaLink="ber_Med_disc!$F$4" max="100" page="10" val="0"/>
</file>

<file path=xl/ctrlProps/ctrlProp153.xml><?xml version="1.0" encoding="utf-8"?>
<formControlPr xmlns="http://schemas.microsoft.com/office/spreadsheetml/2009/9/main" objectType="Drop" dropStyle="combo" dx="16" fmlaLink="ber_Med_disc!$N$4" fmlaRange="ber_Med_disc!$B$27:$B$30" sel="0" val="0"/>
</file>

<file path=xl/ctrlProps/ctrlProp154.xml><?xml version="1.0" encoding="utf-8"?>
<formControlPr xmlns="http://schemas.microsoft.com/office/spreadsheetml/2009/9/main" objectType="Spin" dx="15" fmlaLink="ber_Med_disc!$M$4" max="30000" page="10" val="0"/>
</file>

<file path=xl/ctrlProps/ctrlProp155.xml><?xml version="1.0" encoding="utf-8"?>
<formControlPr xmlns="http://schemas.microsoft.com/office/spreadsheetml/2009/9/main" objectType="Spin" dx="15" fmlaLink="ber_Med_disc!$H$5" max="12" min="1" page="10"/>
</file>

<file path=xl/ctrlProps/ctrlProp156.xml><?xml version="1.0" encoding="utf-8"?>
<formControlPr xmlns="http://schemas.microsoft.com/office/spreadsheetml/2009/9/main" objectType="Spin" dx="15" fmlaLink="ber_Med_disc!$B$5" max="30000" page="10" val="1500"/>
</file>

<file path=xl/ctrlProps/ctrlProp157.xml><?xml version="1.0" encoding="utf-8"?>
<formControlPr xmlns="http://schemas.microsoft.com/office/spreadsheetml/2009/9/main" objectType="Spin" dx="15" fmlaLink="ber_Med_disc!$F$5" max="100" page="10" val="0"/>
</file>

<file path=xl/ctrlProps/ctrlProp158.xml><?xml version="1.0" encoding="utf-8"?>
<formControlPr xmlns="http://schemas.microsoft.com/office/spreadsheetml/2009/9/main" objectType="Drop" dropStyle="combo" dx="16" fmlaLink="ber_Med_disc!$N$5" fmlaRange="ber_Med_disc!$B$27:$B$30" sel="0" val="0"/>
</file>

<file path=xl/ctrlProps/ctrlProp159.xml><?xml version="1.0" encoding="utf-8"?>
<formControlPr xmlns="http://schemas.microsoft.com/office/spreadsheetml/2009/9/main" objectType="Spin" dx="15" fmlaLink="ber_Med_disc!$M$5" max="30000" page="10" val="0"/>
</file>

<file path=xl/ctrlProps/ctrlProp160.xml><?xml version="1.0" encoding="utf-8"?>
<formControlPr xmlns="http://schemas.microsoft.com/office/spreadsheetml/2009/9/main" objectType="Spin" dx="15" fmlaLink="ber_Med_disc!$H$6" max="12" min="1" page="10"/>
</file>

<file path=xl/ctrlProps/ctrlProp161.xml><?xml version="1.0" encoding="utf-8"?>
<formControlPr xmlns="http://schemas.microsoft.com/office/spreadsheetml/2009/9/main" objectType="Spin" dx="15" fmlaLink="ber_Med_disc!$B$6" max="30000" page="10" val="1500"/>
</file>

<file path=xl/ctrlProps/ctrlProp162.xml><?xml version="1.0" encoding="utf-8"?>
<formControlPr xmlns="http://schemas.microsoft.com/office/spreadsheetml/2009/9/main" objectType="Spin" dx="15" fmlaLink="ber_Med_disc!$F$6" max="100" page="10" val="0"/>
</file>

<file path=xl/ctrlProps/ctrlProp163.xml><?xml version="1.0" encoding="utf-8"?>
<formControlPr xmlns="http://schemas.microsoft.com/office/spreadsheetml/2009/9/main" objectType="Drop" dropStyle="combo" dx="16" fmlaLink="ber_Med_disc!$N$6" fmlaRange="ber_Med_disc!$B$27:$B$30" sel="0" val="0"/>
</file>

<file path=xl/ctrlProps/ctrlProp164.xml><?xml version="1.0" encoding="utf-8"?>
<formControlPr xmlns="http://schemas.microsoft.com/office/spreadsheetml/2009/9/main" objectType="Spin" dx="15" fmlaLink="ber_Med_disc!$M$6" max="30000" page="10" val="0"/>
</file>

<file path=xl/ctrlProps/ctrlProp165.xml><?xml version="1.0" encoding="utf-8"?>
<formControlPr xmlns="http://schemas.microsoft.com/office/spreadsheetml/2009/9/main" objectType="Spin" dx="15" fmlaLink="ber_Med_disc!$H$7" max="12" min="1" page="10"/>
</file>

<file path=xl/ctrlProps/ctrlProp166.xml><?xml version="1.0" encoding="utf-8"?>
<formControlPr xmlns="http://schemas.microsoft.com/office/spreadsheetml/2009/9/main" objectType="Spin" dx="15" fmlaLink="ber_Med_disc!$B$7" max="30000" page="10" val="1500"/>
</file>

<file path=xl/ctrlProps/ctrlProp167.xml><?xml version="1.0" encoding="utf-8"?>
<formControlPr xmlns="http://schemas.microsoft.com/office/spreadsheetml/2009/9/main" objectType="Spin" dx="15" fmlaLink="ber_Med_disc!$F$7" max="100" page="10" val="0"/>
</file>

<file path=xl/ctrlProps/ctrlProp168.xml><?xml version="1.0" encoding="utf-8"?>
<formControlPr xmlns="http://schemas.microsoft.com/office/spreadsheetml/2009/9/main" objectType="Drop" dropStyle="combo" dx="16" fmlaLink="ber_Med_disc!$N$7" fmlaRange="ber_Med_disc!$B$27:$B$30" sel="0" val="0"/>
</file>

<file path=xl/ctrlProps/ctrlProp169.xml><?xml version="1.0" encoding="utf-8"?>
<formControlPr xmlns="http://schemas.microsoft.com/office/spreadsheetml/2009/9/main" objectType="Spin" dx="15" fmlaLink="ber_Med_disc!$M$7" max="30000" page="10" val="0"/>
</file>

<file path=xl/ctrlProps/ctrlProp170.xml><?xml version="1.0" encoding="utf-8"?>
<formControlPr xmlns="http://schemas.microsoft.com/office/spreadsheetml/2009/9/main" objectType="Spin" dx="15" fmlaLink="ber_Med_disc!$H$8" max="12" min="1" page="10"/>
</file>

<file path=xl/ctrlProps/ctrlProp171.xml><?xml version="1.0" encoding="utf-8"?>
<formControlPr xmlns="http://schemas.microsoft.com/office/spreadsheetml/2009/9/main" objectType="Spin" dx="15" fmlaLink="ber_Med_disc!$B$8" max="30000" page="10" val="1500"/>
</file>

<file path=xl/ctrlProps/ctrlProp172.xml><?xml version="1.0" encoding="utf-8"?>
<formControlPr xmlns="http://schemas.microsoft.com/office/spreadsheetml/2009/9/main" objectType="Spin" dx="15" fmlaLink="ber_Med_disc!$F$8" max="100" page="10" val="0"/>
</file>

<file path=xl/ctrlProps/ctrlProp173.xml><?xml version="1.0" encoding="utf-8"?>
<formControlPr xmlns="http://schemas.microsoft.com/office/spreadsheetml/2009/9/main" objectType="Drop" dropStyle="combo" dx="16" fmlaLink="ber_Med_disc!$N$8" fmlaRange="ber_Med_disc!$B$27:$B$30" sel="0" val="0"/>
</file>

<file path=xl/ctrlProps/ctrlProp174.xml><?xml version="1.0" encoding="utf-8"?>
<formControlPr xmlns="http://schemas.microsoft.com/office/spreadsheetml/2009/9/main" objectType="Spin" dx="15" fmlaLink="ber_Med_disc!$M$8" max="30000" page="10" val="0"/>
</file>

<file path=xl/ctrlProps/ctrlProp175.xml><?xml version="1.0" encoding="utf-8"?>
<formControlPr xmlns="http://schemas.microsoft.com/office/spreadsheetml/2009/9/main" objectType="Spin" dx="15" fmlaLink="ber_Med_disc!$H$9" max="12" min="1" page="10"/>
</file>

<file path=xl/ctrlProps/ctrlProp176.xml><?xml version="1.0" encoding="utf-8"?>
<formControlPr xmlns="http://schemas.microsoft.com/office/spreadsheetml/2009/9/main" objectType="Spin" dx="15" fmlaLink="ber_Med_disc!$B$9" max="30000" page="10" val="1500"/>
</file>

<file path=xl/ctrlProps/ctrlProp177.xml><?xml version="1.0" encoding="utf-8"?>
<formControlPr xmlns="http://schemas.microsoft.com/office/spreadsheetml/2009/9/main" objectType="Spin" dx="15" fmlaLink="ber_Med_disc!$F$9" max="100" page="10" val="0"/>
</file>

<file path=xl/ctrlProps/ctrlProp178.xml><?xml version="1.0" encoding="utf-8"?>
<formControlPr xmlns="http://schemas.microsoft.com/office/spreadsheetml/2009/9/main" objectType="Drop" dropStyle="combo" dx="16" fmlaLink="ber_Med_disc!$N$9" fmlaRange="ber_Med_disc!$B$27:$B$30" sel="0" val="0"/>
</file>

<file path=xl/ctrlProps/ctrlProp179.xml><?xml version="1.0" encoding="utf-8"?>
<formControlPr xmlns="http://schemas.microsoft.com/office/spreadsheetml/2009/9/main" objectType="Spin" dx="15" fmlaLink="ber_Med_disc!$M$9" max="30000" page="10" val="0"/>
</file>

<file path=xl/ctrlProps/ctrlProp180.xml><?xml version="1.0" encoding="utf-8"?>
<formControlPr xmlns="http://schemas.microsoft.com/office/spreadsheetml/2009/9/main" objectType="Spin" dx="15" fmlaLink="ber_Med_disc!$H$10" max="12" min="1" page="10"/>
</file>

<file path=xl/ctrlProps/ctrlProp181.xml><?xml version="1.0" encoding="utf-8"?>
<formControlPr xmlns="http://schemas.microsoft.com/office/spreadsheetml/2009/9/main" objectType="Spin" dx="15" fmlaLink="ber_Med_disc!$B$10" max="30000" page="10" val="1500"/>
</file>

<file path=xl/ctrlProps/ctrlProp182.xml><?xml version="1.0" encoding="utf-8"?>
<formControlPr xmlns="http://schemas.microsoft.com/office/spreadsheetml/2009/9/main" objectType="Spin" dx="15" fmlaLink="ber_Med_disc!$F$10" max="100" page="10" val="0"/>
</file>

<file path=xl/ctrlProps/ctrlProp183.xml><?xml version="1.0" encoding="utf-8"?>
<formControlPr xmlns="http://schemas.microsoft.com/office/spreadsheetml/2009/9/main" objectType="Drop" dropStyle="combo" dx="16" fmlaLink="ber_Med_disc!$N$10" fmlaRange="ber_Med_disc!$B$27:$B$30" sel="0" val="0"/>
</file>

<file path=xl/ctrlProps/ctrlProp184.xml><?xml version="1.0" encoding="utf-8"?>
<formControlPr xmlns="http://schemas.microsoft.com/office/spreadsheetml/2009/9/main" objectType="Spin" dx="15" fmlaLink="ber_Med_disc!$M$10" max="30000" page="10" val="0"/>
</file>

<file path=xl/ctrlProps/ctrlProp185.xml><?xml version="1.0" encoding="utf-8"?>
<formControlPr xmlns="http://schemas.microsoft.com/office/spreadsheetml/2009/9/main" objectType="Spin" dx="15" fmlaLink="ber_Med_disc!$H$11" max="12" min="1" page="10"/>
</file>

<file path=xl/ctrlProps/ctrlProp186.xml><?xml version="1.0" encoding="utf-8"?>
<formControlPr xmlns="http://schemas.microsoft.com/office/spreadsheetml/2009/9/main" objectType="Spin" dx="15" fmlaLink="ber_Med_disc!$B$11" max="30000" page="10" val="1500"/>
</file>

<file path=xl/ctrlProps/ctrlProp187.xml><?xml version="1.0" encoding="utf-8"?>
<formControlPr xmlns="http://schemas.microsoft.com/office/spreadsheetml/2009/9/main" objectType="Spin" dx="15" fmlaLink="ber_Med_disc!$F$11" max="100" page="10" val="0"/>
</file>

<file path=xl/ctrlProps/ctrlProp188.xml><?xml version="1.0" encoding="utf-8"?>
<formControlPr xmlns="http://schemas.microsoft.com/office/spreadsheetml/2009/9/main" objectType="Drop" dropStyle="combo" dx="16" fmlaLink="ber_Med_disc!$N$11" fmlaRange="ber_Med_disc!$B$27:$B$30" sel="0" val="0"/>
</file>

<file path=xl/ctrlProps/ctrlProp189.xml><?xml version="1.0" encoding="utf-8"?>
<formControlPr xmlns="http://schemas.microsoft.com/office/spreadsheetml/2009/9/main" objectType="Spin" dx="15" fmlaLink="ber_Med_disc!$M$11" max="30000" page="10" val="0"/>
</file>

<file path=xl/ctrlProps/ctrlProp190.xml><?xml version="1.0" encoding="utf-8"?>
<formControlPr xmlns="http://schemas.microsoft.com/office/spreadsheetml/2009/9/main" objectType="Spin" dx="15" fmlaLink="ber_Med_disc!$H$12" max="12" min="1" page="10"/>
</file>

<file path=xl/ctrlProps/ctrlProp191.xml><?xml version="1.0" encoding="utf-8"?>
<formControlPr xmlns="http://schemas.microsoft.com/office/spreadsheetml/2009/9/main" objectType="Spin" dx="15" fmlaLink="ber_Med_disc!$B$12" max="30000" page="10" val="1500"/>
</file>

<file path=xl/ctrlProps/ctrlProp192.xml><?xml version="1.0" encoding="utf-8"?>
<formControlPr xmlns="http://schemas.microsoft.com/office/spreadsheetml/2009/9/main" objectType="Spin" dx="15" fmlaLink="ber_Med_disc!$F$12" max="100" page="10" val="0"/>
</file>

<file path=xl/ctrlProps/ctrlProp193.xml><?xml version="1.0" encoding="utf-8"?>
<formControlPr xmlns="http://schemas.microsoft.com/office/spreadsheetml/2009/9/main" objectType="Drop" dropStyle="combo" dx="16" fmlaLink="ber_Med_disc!$N$12" fmlaRange="ber_Med_disc!$B$27:$B$30" sel="0" val="0"/>
</file>

<file path=xl/ctrlProps/ctrlProp194.xml><?xml version="1.0" encoding="utf-8"?>
<formControlPr xmlns="http://schemas.microsoft.com/office/spreadsheetml/2009/9/main" objectType="Spin" dx="15" fmlaLink="ber_Med_disc!$M$12" max="30000" page="10" val="0"/>
</file>

<file path=xl/ctrlProps/ctrlProp195.xml><?xml version="1.0" encoding="utf-8"?>
<formControlPr xmlns="http://schemas.microsoft.com/office/spreadsheetml/2009/9/main" objectType="Spin" dx="15" fmlaLink="ber_Med_disc!$H$13" max="12" min="1" page="10"/>
</file>

<file path=xl/ctrlProps/ctrlProp196.xml><?xml version="1.0" encoding="utf-8"?>
<formControlPr xmlns="http://schemas.microsoft.com/office/spreadsheetml/2009/9/main" objectType="Spin" dx="15" fmlaLink="ber_Med_disc!$B$13" max="30000" page="10" val="1500"/>
</file>

<file path=xl/ctrlProps/ctrlProp197.xml><?xml version="1.0" encoding="utf-8"?>
<formControlPr xmlns="http://schemas.microsoft.com/office/spreadsheetml/2009/9/main" objectType="Spin" dx="15" fmlaLink="ber_Med_disc!$F$13" max="100" page="10" val="0"/>
</file>

<file path=xl/ctrlProps/ctrlProp198.xml><?xml version="1.0" encoding="utf-8"?>
<formControlPr xmlns="http://schemas.microsoft.com/office/spreadsheetml/2009/9/main" objectType="Drop" dropStyle="combo" dx="16" fmlaLink="ber_Med_disc!$N$13" fmlaRange="ber_Med_disc!$B$27:$B$30" sel="0" val="0"/>
</file>

<file path=xl/ctrlProps/ctrlProp199.xml><?xml version="1.0" encoding="utf-8"?>
<formControlPr xmlns="http://schemas.microsoft.com/office/spreadsheetml/2009/9/main" objectType="Spin" dx="15" fmlaLink="ber_Med_disc!$M$13" max="30000" page="10" val="0"/>
</file>

<file path=xl/ctrlProps/ctrlProp200.xml><?xml version="1.0" encoding="utf-8"?>
<formControlPr xmlns="http://schemas.microsoft.com/office/spreadsheetml/2009/9/main" objectType="Spin" dx="15" fmlaLink="ber_Med_disc!$H$14" max="12" min="1" page="10"/>
</file>

<file path=xl/ctrlProps/ctrlProp201.xml><?xml version="1.0" encoding="utf-8"?>
<formControlPr xmlns="http://schemas.microsoft.com/office/spreadsheetml/2009/9/main" objectType="Spin" dx="15" fmlaLink="ber_Med_disc!$B$14" max="30000" page="10" val="1500"/>
</file>

<file path=xl/ctrlProps/ctrlProp202.xml><?xml version="1.0" encoding="utf-8"?>
<formControlPr xmlns="http://schemas.microsoft.com/office/spreadsheetml/2009/9/main" objectType="Spin" dx="15" fmlaLink="ber_Med_disc!$F$14" max="100" page="10" val="0"/>
</file>

<file path=xl/ctrlProps/ctrlProp203.xml><?xml version="1.0" encoding="utf-8"?>
<formControlPr xmlns="http://schemas.microsoft.com/office/spreadsheetml/2009/9/main" objectType="Drop" dropStyle="combo" dx="16" fmlaLink="ber_Med_disc!$N$14" fmlaRange="ber_Med_disc!$B$27:$B$30" sel="0" val="0"/>
</file>

<file path=xl/ctrlProps/ctrlProp204.xml><?xml version="1.0" encoding="utf-8"?>
<formControlPr xmlns="http://schemas.microsoft.com/office/spreadsheetml/2009/9/main" objectType="Spin" dx="15" fmlaLink="ber_Med_disc!$M$14" max="30000" page="10" val="0"/>
</file>

<file path=xl/ctrlProps/ctrlProp205.xml><?xml version="1.0" encoding="utf-8"?>
<formControlPr xmlns="http://schemas.microsoft.com/office/spreadsheetml/2009/9/main" objectType="Spin" dx="15" fmlaLink="ber_Med_disc!$H$15" max="12" min="1" page="10"/>
</file>

<file path=xl/ctrlProps/ctrlProp206.xml><?xml version="1.0" encoding="utf-8"?>
<formControlPr xmlns="http://schemas.microsoft.com/office/spreadsheetml/2009/9/main" objectType="Spin" dx="15" fmlaLink="ber_Med_disc!$B$15" max="30000" page="10" val="1500"/>
</file>

<file path=xl/ctrlProps/ctrlProp207.xml><?xml version="1.0" encoding="utf-8"?>
<formControlPr xmlns="http://schemas.microsoft.com/office/spreadsheetml/2009/9/main" objectType="Spin" dx="15" fmlaLink="ber_Med_disc!$F$15" max="100" page="10" val="0"/>
</file>

<file path=xl/ctrlProps/ctrlProp208.xml><?xml version="1.0" encoding="utf-8"?>
<formControlPr xmlns="http://schemas.microsoft.com/office/spreadsheetml/2009/9/main" objectType="Drop" dropStyle="combo" dx="16" fmlaLink="ber_Med_disc!$N$15" fmlaRange="ber_Med_disc!$B$27:$B$30" sel="0" val="0"/>
</file>

<file path=xl/ctrlProps/ctrlProp209.xml><?xml version="1.0" encoding="utf-8"?>
<formControlPr xmlns="http://schemas.microsoft.com/office/spreadsheetml/2009/9/main" objectType="Spin" dx="15" fmlaLink="ber_Med_disc!$M$15" max="30000" page="10" val="0"/>
</file>

<file path=xl/ctrlProps/ctrlProp210.xml><?xml version="1.0" encoding="utf-8"?>
<formControlPr xmlns="http://schemas.microsoft.com/office/spreadsheetml/2009/9/main" objectType="Spin" dx="15" fmlaLink="ber_Med_disc!$H$16" max="12" min="1" page="10"/>
</file>

<file path=xl/ctrlProps/ctrlProp211.xml><?xml version="1.0" encoding="utf-8"?>
<formControlPr xmlns="http://schemas.microsoft.com/office/spreadsheetml/2009/9/main" objectType="Spin" dx="15" fmlaLink="ber_Med_disc!$B$16" max="30000" page="10" val="1500"/>
</file>

<file path=xl/ctrlProps/ctrlProp212.xml><?xml version="1.0" encoding="utf-8"?>
<formControlPr xmlns="http://schemas.microsoft.com/office/spreadsheetml/2009/9/main" objectType="Spin" dx="15" fmlaLink="ber_Med_disc!$F$16" max="100" page="10" val="0"/>
</file>

<file path=xl/ctrlProps/ctrlProp213.xml><?xml version="1.0" encoding="utf-8"?>
<formControlPr xmlns="http://schemas.microsoft.com/office/spreadsheetml/2009/9/main" objectType="Drop" dropStyle="combo" dx="16" fmlaLink="ber_Med_disc!$N$16" fmlaRange="ber_Med_disc!$B$27:$B$30" sel="0" val="0"/>
</file>

<file path=xl/ctrlProps/ctrlProp214.xml><?xml version="1.0" encoding="utf-8"?>
<formControlPr xmlns="http://schemas.microsoft.com/office/spreadsheetml/2009/9/main" objectType="Spin" dx="15" fmlaLink="ber_Med_disc!$M$16" max="30000" page="10" val="0"/>
</file>

<file path=xl/ctrlProps/ctrlProp215.xml><?xml version="1.0" encoding="utf-8"?>
<formControlPr xmlns="http://schemas.microsoft.com/office/spreadsheetml/2009/9/main" objectType="Spin" dx="15" fmlaLink="ber_Med_disc!$H$17" max="12" min="1" page="10"/>
</file>

<file path=xl/ctrlProps/ctrlProp216.xml><?xml version="1.0" encoding="utf-8"?>
<formControlPr xmlns="http://schemas.microsoft.com/office/spreadsheetml/2009/9/main" objectType="Spin" dx="15" fmlaLink="ber_Med_disc!$B$17" max="30000" page="10" val="1500"/>
</file>

<file path=xl/ctrlProps/ctrlProp217.xml><?xml version="1.0" encoding="utf-8"?>
<formControlPr xmlns="http://schemas.microsoft.com/office/spreadsheetml/2009/9/main" objectType="Spin" dx="15" fmlaLink="ber_Med_disc!$F$17" max="1000" page="10" val="0"/>
</file>

<file path=xl/ctrlProps/ctrlProp218.xml><?xml version="1.0" encoding="utf-8"?>
<formControlPr xmlns="http://schemas.microsoft.com/office/spreadsheetml/2009/9/main" objectType="Drop" dropStyle="combo" dx="16" fmlaLink="ber_Med_disc!$N$17" fmlaRange="ber_Med_disc!$B$27:$B$30" sel="0" val="0"/>
</file>

<file path=xl/ctrlProps/ctrlProp219.xml><?xml version="1.0" encoding="utf-8"?>
<formControlPr xmlns="http://schemas.microsoft.com/office/spreadsheetml/2009/9/main" objectType="Spin" dx="15" fmlaLink="ber_Med_disc!$M$17" max="30000" page="10" val="0"/>
</file>

<file path=xl/ctrlProps/ctrlProp220.xml><?xml version="1.0" encoding="utf-8"?>
<formControlPr xmlns="http://schemas.microsoft.com/office/spreadsheetml/2009/9/main" objectType="Spin" dx="15" fmlaLink="ber_Med_disc!$H$18" max="12" min="1" page="10"/>
</file>

<file path=xl/ctrlProps/ctrlProp221.xml><?xml version="1.0" encoding="utf-8"?>
<formControlPr xmlns="http://schemas.microsoft.com/office/spreadsheetml/2009/9/main" objectType="Spin" dx="15" fmlaLink="ber_Med_disc!$B$18" max="30000" page="10" val="1500"/>
</file>

<file path=xl/ctrlProps/ctrlProp222.xml><?xml version="1.0" encoding="utf-8"?>
<formControlPr xmlns="http://schemas.microsoft.com/office/spreadsheetml/2009/9/main" objectType="Spin" dx="15" fmlaLink="ber_Med_disc!$F$18" max="1000" page="10" val="0"/>
</file>

<file path=xl/ctrlProps/ctrlProp223.xml><?xml version="1.0" encoding="utf-8"?>
<formControlPr xmlns="http://schemas.microsoft.com/office/spreadsheetml/2009/9/main" objectType="Drop" dropStyle="combo" dx="16" fmlaLink="ber_Med_disc!$N$18" fmlaRange="ber_Med_disc!$B$27:$B$30" sel="0" val="0"/>
</file>

<file path=xl/ctrlProps/ctrlProp224.xml><?xml version="1.0" encoding="utf-8"?>
<formControlPr xmlns="http://schemas.microsoft.com/office/spreadsheetml/2009/9/main" objectType="Spin" dx="15" fmlaLink="ber_Med_disc!$M$18" max="30000" page="10" val="0"/>
</file>

<file path=xl/ctrlProps/ctrlProp225.xml><?xml version="1.0" encoding="utf-8"?>
<formControlPr xmlns="http://schemas.microsoft.com/office/spreadsheetml/2009/9/main" objectType="Spin" dx="15" fmlaLink="ber_Med_disc!$H$19" max="12" min="1" page="10"/>
</file>

<file path=xl/ctrlProps/ctrlProp226.xml><?xml version="1.0" encoding="utf-8"?>
<formControlPr xmlns="http://schemas.microsoft.com/office/spreadsheetml/2009/9/main" objectType="Spin" dx="15" fmlaLink="ber_Med_disc!$B$19" max="30000" page="10" val="1500"/>
</file>

<file path=xl/ctrlProps/ctrlProp227.xml><?xml version="1.0" encoding="utf-8"?>
<formControlPr xmlns="http://schemas.microsoft.com/office/spreadsheetml/2009/9/main" objectType="Spin" dx="15" fmlaLink="ber_Med_disc!$F$19" max="1000" page="10" val="0"/>
</file>

<file path=xl/ctrlProps/ctrlProp228.xml><?xml version="1.0" encoding="utf-8"?>
<formControlPr xmlns="http://schemas.microsoft.com/office/spreadsheetml/2009/9/main" objectType="Drop" dropStyle="combo" dx="16" fmlaLink="ber_Med_disc!$N$19" fmlaRange="ber_Med_disc!$B$27:$B$30" sel="0" val="0"/>
</file>

<file path=xl/ctrlProps/ctrlProp229.xml><?xml version="1.0" encoding="utf-8"?>
<formControlPr xmlns="http://schemas.microsoft.com/office/spreadsheetml/2009/9/main" objectType="Spin" dx="15" fmlaLink="ber_Med_disc!$M$19" max="30000" page="10" val="0"/>
</file>

<file path=xl/ctrlProps/ctrlProp230.xml><?xml version="1.0" encoding="utf-8"?>
<formControlPr xmlns="http://schemas.microsoft.com/office/spreadsheetml/2009/9/main" objectType="Spin" dx="15" fmlaLink="ber_Med_disc!$H$20" max="12" min="1" page="10"/>
</file>

<file path=xl/ctrlProps/ctrlProp231.xml><?xml version="1.0" encoding="utf-8"?>
<formControlPr xmlns="http://schemas.microsoft.com/office/spreadsheetml/2009/9/main" objectType="Spin" dx="15" fmlaLink="ber_Med_disc!$B$20" max="30000" page="10" val="1500"/>
</file>

<file path=xl/ctrlProps/ctrlProp232.xml><?xml version="1.0" encoding="utf-8"?>
<formControlPr xmlns="http://schemas.microsoft.com/office/spreadsheetml/2009/9/main" objectType="Spin" dx="15" fmlaLink="ber_Med_disc!$F$20" max="1000" page="10" val="0"/>
</file>

<file path=xl/ctrlProps/ctrlProp233.xml><?xml version="1.0" encoding="utf-8"?>
<formControlPr xmlns="http://schemas.microsoft.com/office/spreadsheetml/2009/9/main" objectType="Drop" dropStyle="combo" dx="16" fmlaLink="ber_Med_disc!$N$20" fmlaRange="ber_Med_disc!$B$27:$B$30" sel="0" val="0"/>
</file>

<file path=xl/ctrlProps/ctrlProp234.xml><?xml version="1.0" encoding="utf-8"?>
<formControlPr xmlns="http://schemas.microsoft.com/office/spreadsheetml/2009/9/main" objectType="Spin" dx="15" fmlaLink="ber_Med_disc!$M$20" max="30000" page="10" val="0"/>
</file>

<file path=xl/ctrlProps/ctrlProp235.xml><?xml version="1.0" encoding="utf-8"?>
<formControlPr xmlns="http://schemas.microsoft.com/office/spreadsheetml/2009/9/main" objectType="Spin" dx="15" fmlaLink="ber_Med_disc!$H$21" max="12" min="1" page="10"/>
</file>

<file path=xl/ctrlProps/ctrlProp236.xml><?xml version="1.0" encoding="utf-8"?>
<formControlPr xmlns="http://schemas.microsoft.com/office/spreadsheetml/2009/9/main" objectType="Spin" dx="15" fmlaLink="ber_Med_disc!$B$21" max="30000" page="10" val="1500"/>
</file>

<file path=xl/ctrlProps/ctrlProp237.xml><?xml version="1.0" encoding="utf-8"?>
<formControlPr xmlns="http://schemas.microsoft.com/office/spreadsheetml/2009/9/main" objectType="Spin" dx="15" fmlaLink="ber_Med_disc!$F$21" max="1000" page="10" val="0"/>
</file>

<file path=xl/ctrlProps/ctrlProp238.xml><?xml version="1.0" encoding="utf-8"?>
<formControlPr xmlns="http://schemas.microsoft.com/office/spreadsheetml/2009/9/main" objectType="Drop" dropStyle="combo" dx="16" fmlaLink="ber_Med_disc!$N$21" fmlaRange="ber_Med_disc!$B$27:$B$30" sel="0" val="0"/>
</file>

<file path=xl/ctrlProps/ctrlProp239.xml><?xml version="1.0" encoding="utf-8"?>
<formControlPr xmlns="http://schemas.microsoft.com/office/spreadsheetml/2009/9/main" objectType="Spin" dx="15" fmlaLink="ber_Med_disc!$M$21" max="30000" page="10" val="0"/>
</file>

<file path=xl/ctrlProps/ctrlProp240.xml><?xml version="1.0" encoding="utf-8"?>
<formControlPr xmlns="http://schemas.microsoft.com/office/spreadsheetml/2009/9/main" objectType="Spin" dx="15" fmlaLink="ber_Med_disc!$H$3" max="12" min="1" page="10"/>
</file>

<file path=xl/ctrlProps/ctrlProp241.xml><?xml version="1.0" encoding="utf-8"?>
<formControlPr xmlns="http://schemas.microsoft.com/office/spreadsheetml/2009/9/main" objectType="Spin" dx="15" fmlaLink="ber_Med_disc!$P$2" inc="5" max="1440" page="10" val="0"/>
</file>

<file path=xl/ctrlProps/ctrlProp242.xml><?xml version="1.0" encoding="utf-8"?>
<formControlPr xmlns="http://schemas.microsoft.com/office/spreadsheetml/2009/9/main" objectType="Spin" dx="15" fmlaLink="ber_Med_disc!$P$3" inc="5" max="1440" page="10" val="0"/>
</file>

<file path=xl/ctrlProps/ctrlProp243.xml><?xml version="1.0" encoding="utf-8"?>
<formControlPr xmlns="http://schemas.microsoft.com/office/spreadsheetml/2009/9/main" objectType="Spin" dx="15" fmlaLink="ber_Med_disc!$P$4" inc="5" max="1440" page="10" val="0"/>
</file>

<file path=xl/ctrlProps/ctrlProp244.xml><?xml version="1.0" encoding="utf-8"?>
<formControlPr xmlns="http://schemas.microsoft.com/office/spreadsheetml/2009/9/main" objectType="Spin" dx="15" fmlaLink="ber_Med_disc!$P$5" inc="5" max="1440" page="10" val="0"/>
</file>

<file path=xl/ctrlProps/ctrlProp245.xml><?xml version="1.0" encoding="utf-8"?>
<formControlPr xmlns="http://schemas.microsoft.com/office/spreadsheetml/2009/9/main" objectType="Spin" dx="15" fmlaLink="ber_Med_disc!$P$6" inc="5" max="1440" page="10" val="0"/>
</file>

<file path=xl/ctrlProps/ctrlProp246.xml><?xml version="1.0" encoding="utf-8"?>
<formControlPr xmlns="http://schemas.microsoft.com/office/spreadsheetml/2009/9/main" objectType="Spin" dx="15" fmlaLink="ber_Med_disc!$P$7" inc="5" max="1440" page="10" val="0"/>
</file>

<file path=xl/ctrlProps/ctrlProp247.xml><?xml version="1.0" encoding="utf-8"?>
<formControlPr xmlns="http://schemas.microsoft.com/office/spreadsheetml/2009/9/main" objectType="Spin" dx="15" fmlaLink="ber_Med_disc!$P$8" inc="5" max="1440" page="10" val="0"/>
</file>

<file path=xl/ctrlProps/ctrlProp248.xml><?xml version="1.0" encoding="utf-8"?>
<formControlPr xmlns="http://schemas.microsoft.com/office/spreadsheetml/2009/9/main" objectType="Spin" dx="15" fmlaLink="ber_Med_disc!$P$9" inc="5" max="1440" page="10" val="0"/>
</file>

<file path=xl/ctrlProps/ctrlProp249.xml><?xml version="1.0" encoding="utf-8"?>
<formControlPr xmlns="http://schemas.microsoft.com/office/spreadsheetml/2009/9/main" objectType="Spin" dx="15" fmlaLink="ber_Med_disc!$P$10" inc="5" max="1440" page="10" val="0"/>
</file>

<file path=xl/ctrlProps/ctrlProp250.xml><?xml version="1.0" encoding="utf-8"?>
<formControlPr xmlns="http://schemas.microsoft.com/office/spreadsheetml/2009/9/main" objectType="Spin" dx="15" fmlaLink="ber_Med_disc!$P$11" inc="5" max="1440" page="10" val="0"/>
</file>

<file path=xl/ctrlProps/ctrlProp251.xml><?xml version="1.0" encoding="utf-8"?>
<formControlPr xmlns="http://schemas.microsoft.com/office/spreadsheetml/2009/9/main" objectType="Spin" dx="15" fmlaLink="ber_Med_disc!$P$12" inc="5" max="1440" page="10" val="0"/>
</file>

<file path=xl/ctrlProps/ctrlProp252.xml><?xml version="1.0" encoding="utf-8"?>
<formControlPr xmlns="http://schemas.microsoft.com/office/spreadsheetml/2009/9/main" objectType="Spin" dx="15" fmlaLink="ber_Med_disc!$P$13" inc="5" max="1440" page="10" val="0"/>
</file>

<file path=xl/ctrlProps/ctrlProp253.xml><?xml version="1.0" encoding="utf-8"?>
<formControlPr xmlns="http://schemas.microsoft.com/office/spreadsheetml/2009/9/main" objectType="Spin" dx="15" fmlaLink="ber_Med_disc!$P$14" inc="5" max="1440" page="10" val="0"/>
</file>

<file path=xl/ctrlProps/ctrlProp254.xml><?xml version="1.0" encoding="utf-8"?>
<formControlPr xmlns="http://schemas.microsoft.com/office/spreadsheetml/2009/9/main" objectType="Spin" dx="15" fmlaLink="ber_Med_disc!$P$15" inc="5" max="1440" page="10" val="0"/>
</file>

<file path=xl/ctrlProps/ctrlProp255.xml><?xml version="1.0" encoding="utf-8"?>
<formControlPr xmlns="http://schemas.microsoft.com/office/spreadsheetml/2009/9/main" objectType="Spin" dx="15" fmlaLink="ber_Med_disc!$P$16" inc="5" max="1440" page="10" val="0"/>
</file>

<file path=xl/ctrlProps/ctrlProp256.xml><?xml version="1.0" encoding="utf-8"?>
<formControlPr xmlns="http://schemas.microsoft.com/office/spreadsheetml/2009/9/main" objectType="Spin" dx="15" fmlaLink="ber_Med_disc!$P$17" inc="5" max="1440" page="10" val="0"/>
</file>

<file path=xl/ctrlProps/ctrlProp257.xml><?xml version="1.0" encoding="utf-8"?>
<formControlPr xmlns="http://schemas.microsoft.com/office/spreadsheetml/2009/9/main" objectType="Spin" dx="15" fmlaLink="ber_Med_disc!$P$18" inc="5" max="1440" page="10" val="0"/>
</file>

<file path=xl/ctrlProps/ctrlProp258.xml><?xml version="1.0" encoding="utf-8"?>
<formControlPr xmlns="http://schemas.microsoft.com/office/spreadsheetml/2009/9/main" objectType="Spin" dx="15" fmlaLink="ber_Med_disc!$P$19" inc="5" max="1440" page="10" val="0"/>
</file>

<file path=xl/ctrlProps/ctrlProp259.xml><?xml version="1.0" encoding="utf-8"?>
<formControlPr xmlns="http://schemas.microsoft.com/office/spreadsheetml/2009/9/main" objectType="Spin" dx="15" fmlaLink="ber_Med_disc!$P$20" inc="5" max="1440" page="10" val="0"/>
</file>

<file path=xl/ctrlProps/ctrlProp260.xml><?xml version="1.0" encoding="utf-8"?>
<formControlPr xmlns="http://schemas.microsoft.com/office/spreadsheetml/2009/9/main" objectType="Spin" dx="15" fmlaLink="ber_Med_disc!$P$21" inc="5" max="1440" page="10" val="0"/>
</file>

<file path=xl/ctrlProps/ctrlProp261.xml><?xml version="1.0" encoding="utf-8"?>
<formControlPr xmlns="http://schemas.microsoft.com/office/spreadsheetml/2009/9/main" objectType="Drop" dropStyle="combo" dx="16" fmlaLink="ber_Med_disc!$N$4" fmlaRange="ber_Med_disc!$B$27:$B$30" sel="0" val="0"/>
</file>

<file path=xl/ctrlProps/ctrlProp262.xml><?xml version="1.0" encoding="utf-8"?>
<formControlPr xmlns="http://schemas.microsoft.com/office/spreadsheetml/2009/9/main" objectType="Spin" dx="15" fmlaLink="dbBead!$G$2" max="1000" min="25" page="10" val="100"/>
</file>

<file path=xl/ctrlProps/ctrlProp263.xml><?xml version="1.0" encoding="utf-8"?>
<formControlPr xmlns="http://schemas.microsoft.com/office/spreadsheetml/2009/9/main" objectType="Spin" dx="15" fmlaLink="dbBead!$H$2" max="200" min="40" page="10" val="80"/>
</file>

<file path=xl/ctrlProps/ctrlProp264.xml><?xml version="1.0" encoding="utf-8"?>
<formControlPr xmlns="http://schemas.microsoft.com/office/spreadsheetml/2009/9/main" objectType="Drop" dropStyle="combo" dx="16" fmlaLink="ber_Infusen!$E$2" fmlaRange="tblInfusen" sel="1" val="0"/>
</file>

<file path=xl/ctrlProps/ctrlProp265.xml><?xml version="1.0" encoding="utf-8"?>
<formControlPr xmlns="http://schemas.microsoft.com/office/spreadsheetml/2009/9/main" objectType="Drop" dropStyle="combo" dx="16" fmlaLink="ber_Infusen!$E$3" fmlaRange="tblInfusen" sel="1" val="0"/>
</file>

<file path=xl/ctrlProps/ctrlProp266.xml><?xml version="1.0" encoding="utf-8"?>
<formControlPr xmlns="http://schemas.microsoft.com/office/spreadsheetml/2009/9/main" objectType="Drop" dropStyle="combo" dx="16" fmlaLink="ber_Infusen!$E$4" fmlaRange="tblInfusen" sel="1" val="0"/>
</file>

<file path=xl/ctrlProps/ctrlProp267.xml><?xml version="1.0" encoding="utf-8"?>
<formControlPr xmlns="http://schemas.microsoft.com/office/spreadsheetml/2009/9/main" objectType="Drop" dropStyle="combo" dx="16" fmlaLink="ber_Infusen!$E$5" fmlaRange="tblInfusen" sel="1" val="20"/>
</file>

<file path=xl/ctrlProps/ctrlProp268.xml><?xml version="1.0" encoding="utf-8"?>
<formControlPr xmlns="http://schemas.microsoft.com/office/spreadsheetml/2009/9/main" objectType="Drop" dropStyle="combo" dx="16" fmlaLink="ber_Infusen!$E$6" fmlaRange="tblInfusen" sel="1" val="0"/>
</file>

<file path=xl/ctrlProps/ctrlProp269.xml><?xml version="1.0" encoding="utf-8"?>
<formControlPr xmlns="http://schemas.microsoft.com/office/spreadsheetml/2009/9/main" objectType="Drop" dropStyle="combo" dx="16" fmlaLink="ber_Infusen!$E$7" fmlaRange="tblInfusen" sel="1" val="0"/>
</file>

<file path=xl/ctrlProps/ctrlProp270.xml><?xml version="1.0" encoding="utf-8"?>
<formControlPr xmlns="http://schemas.microsoft.com/office/spreadsheetml/2009/9/main" objectType="Drop" dropStyle="combo" dx="16" fmlaLink="ber_Infusen!$M$1" fmlaRange="tblAanvAfspr" sel="1" val="0"/>
</file>

<file path=xl/ctrlProps/ctrlProp271.xml><?xml version="1.0" encoding="utf-8"?>
<formControlPr xmlns="http://schemas.microsoft.com/office/spreadsheetml/2009/9/main" objectType="Drop" dropStyle="combo" dx="16" fmlaLink="ber_Infusen!$M$2" fmlaRange="tblAanvAfspr" sel="1" val="0"/>
</file>

<file path=xl/ctrlProps/ctrlProp272.xml><?xml version="1.0" encoding="utf-8"?>
<formControlPr xmlns="http://schemas.microsoft.com/office/spreadsheetml/2009/9/main" objectType="Drop" dropStyle="combo" dx="16" fmlaLink="ber_Infusen!$M$3" fmlaRange="tblAanvAfspr" sel="1" val="0"/>
</file>

<file path=xl/ctrlProps/ctrlProp273.xml><?xml version="1.0" encoding="utf-8"?>
<formControlPr xmlns="http://schemas.microsoft.com/office/spreadsheetml/2009/9/main" objectType="Drop" dropStyle="combo" dx="16" fmlaLink="ber_Infusen!$M$4" fmlaRange="tblAanvAfspr" sel="1" val="0"/>
</file>

<file path=xl/ctrlProps/ctrlProp274.xml><?xml version="1.0" encoding="utf-8"?>
<formControlPr xmlns="http://schemas.microsoft.com/office/spreadsheetml/2009/9/main" objectType="Spin" dx="15" fmlaLink="dbBead!$G$2" max="1000" min="25" page="10" val="100"/>
</file>

<file path=xl/ctrlProps/ctrlProp275.xml><?xml version="1.0" encoding="utf-8"?>
<formControlPr xmlns="http://schemas.microsoft.com/office/spreadsheetml/2009/9/main" objectType="Spin" dx="15" fmlaLink="dbBead!$H$2" max="200" min="40" page="10" val="80"/>
</file>

<file path=xl/ctrlProps/ctrlProp276.xml><?xml version="1.0" encoding="utf-8"?>
<formControlPr xmlns="http://schemas.microsoft.com/office/spreadsheetml/2009/9/main" objectType="Drop" dropStyle="combo" dx="16" fmlaLink="ber_Infusen!$O$1" fmlaRange="ber_Infusen!$O$2:$O$5" sel="0" val="0"/>
</file>

<file path=xl/ctrlProps/ctrlProp277.xml><?xml version="1.0" encoding="utf-8"?>
<formControlPr xmlns="http://schemas.microsoft.com/office/spreadsheetml/2009/9/main" objectType="Drop" dropStyle="combo" dx="16" fmlaLink="ber_Infusen!$P$1" fmlaRange="ber_Infusen!$P$2:$P$5" sel="0" val="0"/>
</file>

<file path=xl/ctrlProps/ctrlProp278.xml><?xml version="1.0" encoding="utf-8"?>
<formControlPr xmlns="http://schemas.microsoft.com/office/spreadsheetml/2009/9/main" objectType="Spin" dx="15" fmlaLink="ber_Infusen!$R$1" max="200" min="30" page="10" val="30"/>
</file>

<file path=xl/ctrlProps/ctrlProp279.xml><?xml version="1.0" encoding="utf-8"?>
<formControlPr xmlns="http://schemas.microsoft.com/office/spreadsheetml/2009/9/main" objectType="Spin" dx="15" fmlaLink="ber_Infusen!$R$2" max="20" page="10" val="0"/>
</file>

<file path=xl/ctrlProps/ctrlProp280.xml><?xml version="1.0" encoding="utf-8"?>
<formControlPr xmlns="http://schemas.microsoft.com/office/spreadsheetml/2009/9/main" objectType="Spin" dx="15" fmlaLink="ber_Infusen!$R$3" max="20" page="10" val="0"/>
</file>

<file path=xl/ctrlProps/ctrlProp281.xml><?xml version="1.0" encoding="utf-8"?>
<formControlPr xmlns="http://schemas.microsoft.com/office/spreadsheetml/2009/9/main" objectType="Spin" dx="15" fmlaLink="ber_Infusen!$R$4" max="250" min="20" page="10" val="20"/>
</file>

<file path=xl/ctrlProps/ctrlProp282.xml><?xml version="1.0" encoding="utf-8"?>
<formControlPr xmlns="http://schemas.microsoft.com/office/spreadsheetml/2009/9/main" objectType="Spin" dx="15" fmlaLink="ber_Infusen!$R$5" max="100" min="4" page="10" val="4"/>
</file>

<file path=xl/ctrlProps/ctrlProp283.xml><?xml version="1.0" encoding="utf-8"?>
<formControlPr xmlns="http://schemas.microsoft.com/office/spreadsheetml/2009/9/main" objectType="Spin" dx="15" fmlaLink="ber_Infusen!$R$6" max="100" min="4" page="10" val="4"/>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Spin" dx="15" fmlaLink="ber_Infusen!$H$3" max="24" page="10" val="0"/>
</file>

<file path=xl/ctrlProps/ctrlProp286.xml><?xml version="1.0" encoding="utf-8"?>
<formControlPr xmlns="http://schemas.microsoft.com/office/spreadsheetml/2009/9/main" objectType="Spin" dx="15" fmlaLink="ber_Infusen!$H$6" max="24" page="10" val="0"/>
</file>

<file path=xl/ctrlProps/ctrlProp287.xml><?xml version="1.0" encoding="utf-8"?>
<formControlPr xmlns="http://schemas.microsoft.com/office/spreadsheetml/2009/9/main" objectType="Spin" dx="15" fmlaLink="ber_Infusen!$H$2" max="24" page="10" val="0"/>
</file>

<file path=xl/ctrlProps/ctrlProp288.xml><?xml version="1.0" encoding="utf-8"?>
<formControlPr xmlns="http://schemas.microsoft.com/office/spreadsheetml/2009/9/main" objectType="Spin" dx="15" fmlaLink="ber_Infusen!$H$8" max="24" page="10" val="0"/>
</file>

<file path=xl/ctrlProps/ctrlProp289.xml><?xml version="1.0" encoding="utf-8"?>
<formControlPr xmlns="http://schemas.microsoft.com/office/spreadsheetml/2009/9/main" objectType="CheckBox" checked="Checked" fmlaLink="ber_Infusen!$P$8" lockText="1" noThreeD="1"/>
</file>

<file path=xl/ctrlProps/ctrlProp290.xml><?xml version="1.0" encoding="utf-8"?>
<formControlPr xmlns="http://schemas.microsoft.com/office/spreadsheetml/2009/9/main" objectType="Spin" dx="15" fmlaLink="ber_PO!$L$22" max="24" min="1" page="10"/>
</file>

<file path=xl/ctrlProps/ctrlProp291.xml><?xml version="1.0" encoding="utf-8"?>
<formControlPr xmlns="http://schemas.microsoft.com/office/spreadsheetml/2009/9/main" objectType="Spin" dx="15" fmlaLink="ber_PO!$M$22" max="10000" min="1" page="10"/>
</file>

<file path=xl/ctrlProps/ctrlProp292.xml><?xml version="1.0" encoding="utf-8"?>
<formControlPr xmlns="http://schemas.microsoft.com/office/spreadsheetml/2009/9/main" objectType="Drop" dropStyle="combo" dx="16" fmlaLink="ber_PO!$P$22" fmlaRange="tblVoedingPO" sel="1" val="0"/>
</file>

<file path=xl/ctrlProps/ctrlProp293.xml><?xml version="1.0" encoding="utf-8"?>
<formControlPr xmlns="http://schemas.microsoft.com/office/spreadsheetml/2009/9/main" objectType="Spin" dx="15" fmlaLink="ber_TPN!$D$3" max="300" page="10" val="0"/>
</file>

<file path=xl/ctrlProps/ctrlProp294.xml><?xml version="1.0" encoding="utf-8"?>
<formControlPr xmlns="http://schemas.microsoft.com/office/spreadsheetml/2009/9/main" objectType="Spin" dx="15" fmlaLink="ber_TPN!$E$7" max="5000" min="1" page="10"/>
</file>

<file path=xl/ctrlProps/ctrlProp295.xml><?xml version="1.0" encoding="utf-8"?>
<formControlPr xmlns="http://schemas.microsoft.com/office/spreadsheetml/2009/9/main" objectType="Spin" dx="15" fmlaLink="ber_TPN!$E$8" max="5000" min="1" page="10"/>
</file>

<file path=xl/ctrlProps/ctrlProp296.xml><?xml version="1.0" encoding="utf-8"?>
<formControlPr xmlns="http://schemas.microsoft.com/office/spreadsheetml/2009/9/main" objectType="Spin" dx="15" fmlaLink="ber_TPN!$E$9" max="5000" min="1" page="10"/>
</file>

<file path=xl/ctrlProps/ctrlProp297.xml><?xml version="1.0" encoding="utf-8"?>
<formControlPr xmlns="http://schemas.microsoft.com/office/spreadsheetml/2009/9/main" objectType="CheckBox" fmlaLink="ber_TPN!$C$7" lockText="1"/>
</file>

<file path=xl/ctrlProps/ctrlProp298.xml><?xml version="1.0" encoding="utf-8"?>
<formControlPr xmlns="http://schemas.microsoft.com/office/spreadsheetml/2009/9/main" objectType="CheckBox" fmlaLink="ber_TPN!$C$8" lockText="1"/>
</file>

<file path=xl/ctrlProps/ctrlProp299.xml><?xml version="1.0" encoding="utf-8"?>
<formControlPr xmlns="http://schemas.microsoft.com/office/spreadsheetml/2009/9/main" objectType="CheckBox" fmlaLink="ber_TPN!$C$9" lockText="1"/>
</file>

<file path=xl/ctrlProps/ctrlProp300.xml><?xml version="1.0" encoding="utf-8"?>
<formControlPr xmlns="http://schemas.microsoft.com/office/spreadsheetml/2009/9/main" objectType="Spin" dx="15" fmlaLink="ber_TPN!$D$12" max="200" page="10" val="0"/>
</file>

<file path=xl/ctrlProps/ctrlProp301.xml><?xml version="1.0" encoding="utf-8"?>
<formControlPr xmlns="http://schemas.microsoft.com/office/spreadsheetml/2009/9/main" objectType="CheckBox" fmlaLink="ber_TPN!$C$14" lockText="1"/>
</file>

<file path=xl/ctrlProps/ctrlProp302.xml><?xml version="1.0" encoding="utf-8"?>
<formControlPr xmlns="http://schemas.microsoft.com/office/spreadsheetml/2009/9/main" objectType="CheckBox" fmlaLink="ber_TPN!$C$15" lockText="1"/>
</file>

<file path=xl/ctrlProps/ctrlProp303.xml><?xml version="1.0" encoding="utf-8"?>
<formControlPr xmlns="http://schemas.microsoft.com/office/spreadsheetml/2009/9/main" objectType="Spin" dx="15" fmlaLink="ber_TPN!$E$14" max="55" min="1" page="10"/>
</file>

<file path=xl/ctrlProps/ctrlProp304.xml><?xml version="1.0" encoding="utf-8"?>
<formControlPr xmlns="http://schemas.microsoft.com/office/spreadsheetml/2009/9/main" objectType="Spin" dx="15" fmlaLink="ber_TPN!$E$15" max="55" min="1" page="10"/>
</file>

<file path=xl/ctrlProps/ctrlProp305.xml><?xml version="1.0" encoding="utf-8"?>
<formControlPr xmlns="http://schemas.microsoft.com/office/spreadsheetml/2009/9/main" objectType="Drop" dropStyle="combo" dx="16" fmlaLink="ber_PO!$A$1" fmlaRange="tblSonde" sel="1" val="0"/>
</file>

<file path=xl/ctrlProps/ctrlProp306.xml><?xml version="1.0" encoding="utf-8"?>
<formControlPr xmlns="http://schemas.microsoft.com/office/spreadsheetml/2009/9/main" objectType="CheckBox" fmlaLink="ber_TPN!$C$10" lockText="1"/>
</file>

<file path=xl/ctrlProps/ctrlProp307.xml><?xml version="1.0" encoding="utf-8"?>
<formControlPr xmlns="http://schemas.microsoft.com/office/spreadsheetml/2009/9/main" objectType="CheckBox" fmlaLink="ber_TPN!$C$11" lockText="1"/>
</file>

<file path=xl/ctrlProps/ctrlProp308.xml><?xml version="1.0" encoding="utf-8"?>
<formControlPr xmlns="http://schemas.microsoft.com/office/spreadsheetml/2009/9/main" objectType="Spin" dx="15" fmlaLink="ber_TPN!$E$10" max="5000" min="1" page="10"/>
</file>

<file path=xl/ctrlProps/ctrlProp309.xml><?xml version="1.0" encoding="utf-8"?>
<formControlPr xmlns="http://schemas.microsoft.com/office/spreadsheetml/2009/9/main" objectType="Spin" dx="15" fmlaLink="ber_TPN!$E$11" max="200" min="1" page="10"/>
</file>

<file path=xl/ctrlProps/ctrlProp310.xml><?xml version="1.0" encoding="utf-8"?>
<formControlPr xmlns="http://schemas.microsoft.com/office/spreadsheetml/2009/9/main" objectType="Drop" dropStyle="combo" dx="16" fmlaLink="ber_TPN!$B$4" fmlaRange="tblTPN" sel="1" val="0"/>
</file>

<file path=xl/ctrlProps/ctrlProp311.xml><?xml version="1.0" encoding="utf-8"?>
<formControlPr xmlns="http://schemas.microsoft.com/office/spreadsheetml/2009/9/main" objectType="Drop" dropStyle="combo" dx="16" fmlaLink="ber_TPN!$B$6" fmlaRange="tblSSTGlucose" sel="1" val="6"/>
</file>

<file path=xl/ctrlProps/ctrlProp312.xml><?xml version="1.0" encoding="utf-8"?>
<formControlPr xmlns="http://schemas.microsoft.com/office/spreadsheetml/2009/9/main" objectType="Spin" dx="15" fmlaLink="ber_TPN!$E$4" max="4000" page="10" val="0"/>
</file>

<file path=xl/ctrlProps/ctrlProp313.xml><?xml version="1.0" encoding="utf-8"?>
<formControlPr xmlns="http://schemas.microsoft.com/office/spreadsheetml/2009/9/main" objectType="Spin" dx="15" fmlaLink="ber_PO!$L$23" max="12" min="1" page="10"/>
</file>

<file path=xl/ctrlProps/ctrlProp314.xml><?xml version="1.0" encoding="utf-8"?>
<formControlPr xmlns="http://schemas.microsoft.com/office/spreadsheetml/2009/9/main" objectType="Spin" dx="15" fmlaLink="ber_PO!$M$23" max="100" page="10" val="0"/>
</file>

<file path=xl/ctrlProps/ctrlProp315.xml><?xml version="1.0" encoding="utf-8"?>
<formControlPr xmlns="http://schemas.microsoft.com/office/spreadsheetml/2009/9/main" objectType="Drop" dropStyle="combo" dx="16" fmlaLink="ber_PO!$P$23" fmlaRange="ber_PO!$B$22:$B$39" sel="0" val="0"/>
</file>

<file path=xl/ctrlProps/ctrlProp316.xml><?xml version="1.0" encoding="utf-8"?>
<formControlPr xmlns="http://schemas.microsoft.com/office/spreadsheetml/2009/9/main" objectType="Spin" dx="15" fmlaLink="ber_TPN!$E$5" max="15" page="10" val="0"/>
</file>

<file path=xl/ctrlProps/ctrlProp317.xml><?xml version="1.0" encoding="utf-8"?>
<formControlPr xmlns="http://schemas.microsoft.com/office/spreadsheetml/2009/9/main" objectType="Spin" dx="15" fmlaLink="ber_PO!$L$24" max="12" min="1" page="10"/>
</file>

<file path=xl/ctrlProps/ctrlProp318.xml><?xml version="1.0" encoding="utf-8"?>
<formControlPr xmlns="http://schemas.microsoft.com/office/spreadsheetml/2009/9/main" objectType="Spin" dx="15" fmlaLink="ber_PO!$M$24" max="100" page="10" val="0"/>
</file>

<file path=xl/ctrlProps/ctrlProp319.xml><?xml version="1.0" encoding="utf-8"?>
<formControlPr xmlns="http://schemas.microsoft.com/office/spreadsheetml/2009/9/main" objectType="Drop" dropStyle="combo" dx="16" fmlaLink="ber_PO!$P$24" fmlaRange="ber_PO!$B$22:$B$33" sel="0" val="0"/>
</file>

<file path=xl/ctrlProps/ctrlProp320.xml><?xml version="1.0" encoding="utf-8"?>
<formControlPr xmlns="http://schemas.microsoft.com/office/spreadsheetml/2009/9/main" objectType="Spin" dx="15" fmlaLink="ber_PO!$L$25" max="12" min="1" page="10"/>
</file>

<file path=xl/ctrlProps/ctrlProp321.xml><?xml version="1.0" encoding="utf-8"?>
<formControlPr xmlns="http://schemas.microsoft.com/office/spreadsheetml/2009/9/main" objectType="Spin" dx="15" fmlaLink="ber_PO!$M$25" max="100" page="10" val="0"/>
</file>

<file path=xl/ctrlProps/ctrlProp322.xml><?xml version="1.0" encoding="utf-8"?>
<formControlPr xmlns="http://schemas.microsoft.com/office/spreadsheetml/2009/9/main" objectType="Drop" dropStyle="combo" dx="16" fmlaLink="ber_PO!$P$25" fmlaRange="ber_PO!$B$22:$B$33" sel="0" val="0"/>
</file>

<file path=xl/ctrlProps/ctrlProp323.xml><?xml version="1.0" encoding="utf-8"?>
<formControlPr xmlns="http://schemas.microsoft.com/office/spreadsheetml/2009/9/main" objectType="Spin" dx="15" fmlaLink="ber_TPN!$D$18" max="200" page="10" val="0"/>
</file>

<file path=xl/ctrlProps/ctrlProp324.xml><?xml version="1.0" encoding="utf-8"?>
<formControlPr xmlns="http://schemas.microsoft.com/office/spreadsheetml/2009/9/main" objectType="Spin" dx="15" fmlaLink="ber_TPN!$E$20" max="1000" min="1" page="10"/>
</file>

<file path=xl/ctrlProps/ctrlProp325.xml><?xml version="1.0" encoding="utf-8"?>
<formControlPr xmlns="http://schemas.microsoft.com/office/spreadsheetml/2009/9/main" objectType="Spin" dx="15" fmlaLink="ber_TPN!$E$21" max="200" min="1" page="10"/>
</file>

<file path=xl/ctrlProps/ctrlProp326.xml><?xml version="1.0" encoding="utf-8"?>
<formControlPr xmlns="http://schemas.microsoft.com/office/spreadsheetml/2009/9/main" objectType="CheckBox" fmlaLink="ber_TPN!$C$20" lockText="1"/>
</file>

<file path=xl/ctrlProps/ctrlProp327.xml><?xml version="1.0" encoding="utf-8"?>
<formControlPr xmlns="http://schemas.microsoft.com/office/spreadsheetml/2009/9/main" objectType="CheckBox" fmlaLink="ber_TPN!$C$21" lockText="1"/>
</file>

<file path=xl/ctrlProps/ctrlProp328.xml><?xml version="1.0" encoding="utf-8"?>
<formControlPr xmlns="http://schemas.microsoft.com/office/spreadsheetml/2009/9/main" objectType="Drop" dropStyle="combo" dx="16" fmlaLink="ber_TPN!$B$19" fmlaRange="tblSSTGlucose" sel="1" val="5"/>
</file>

<file path=xl/ctrlProps/ctrlProp329.xml><?xml version="1.0" encoding="utf-8"?>
<formControlPr xmlns="http://schemas.microsoft.com/office/spreadsheetml/2009/9/main" objectType="Spin" dx="15" fmlaLink="dbBead!$G$2" max="1000" min="25" page="10" val="100"/>
</file>

<file path=xl/ctrlProps/ctrlProp330.xml><?xml version="1.0" encoding="utf-8"?>
<formControlPr xmlns="http://schemas.microsoft.com/office/spreadsheetml/2009/9/main" objectType="Spin" dx="15" fmlaLink="dbBead!$H$2" max="200" min="40" page="10" val="80"/>
</file>

<file path=xl/ctrlProps/ctrlProp331.xml><?xml version="1.0" encoding="utf-8"?>
<formControlPr xmlns="http://schemas.microsoft.com/office/spreadsheetml/2009/9/main" objectType="CheckBox" fmlaLink="Ber_Lab!$C$5" lockText="1"/>
</file>

<file path=xl/ctrlProps/ctrlProp332.xml><?xml version="1.0" encoding="utf-8"?>
<formControlPr xmlns="http://schemas.microsoft.com/office/spreadsheetml/2009/9/main" objectType="CheckBox" fmlaLink="Ber_Lab!C6" lockText="1"/>
</file>

<file path=xl/ctrlProps/ctrlProp333.xml><?xml version="1.0" encoding="utf-8"?>
<formControlPr xmlns="http://schemas.microsoft.com/office/spreadsheetml/2009/9/main" objectType="CheckBox" fmlaLink="Ber_Lab!C8" lockText="1"/>
</file>

<file path=xl/ctrlProps/ctrlProp334.xml><?xml version="1.0" encoding="utf-8"?>
<formControlPr xmlns="http://schemas.microsoft.com/office/spreadsheetml/2009/9/main" objectType="CheckBox" fmlaLink="Ber_Lab!C9" lockText="1"/>
</file>

<file path=xl/ctrlProps/ctrlProp335.xml><?xml version="1.0" encoding="utf-8"?>
<formControlPr xmlns="http://schemas.microsoft.com/office/spreadsheetml/2009/9/main" objectType="CheckBox" fmlaLink="Ber_Lab!C14" lockText="1"/>
</file>

<file path=xl/ctrlProps/ctrlProp336.xml><?xml version="1.0" encoding="utf-8"?>
<formControlPr xmlns="http://schemas.microsoft.com/office/spreadsheetml/2009/9/main" objectType="CheckBox" fmlaLink="Ber_Lab!C13" lockText="1"/>
</file>

<file path=xl/ctrlProps/ctrlProp337.xml><?xml version="1.0" encoding="utf-8"?>
<formControlPr xmlns="http://schemas.microsoft.com/office/spreadsheetml/2009/9/main" objectType="CheckBox" fmlaLink="Ber_Lab!C27" lockText="1"/>
</file>

<file path=xl/ctrlProps/ctrlProp338.xml><?xml version="1.0" encoding="utf-8"?>
<formControlPr xmlns="http://schemas.microsoft.com/office/spreadsheetml/2009/9/main" objectType="CheckBox" fmlaLink="Ber_Lab!C16" lockText="1"/>
</file>

<file path=xl/ctrlProps/ctrlProp339.xml><?xml version="1.0" encoding="utf-8"?>
<formControlPr xmlns="http://schemas.microsoft.com/office/spreadsheetml/2009/9/main" objectType="CheckBox" fmlaLink="Ber_Lab!C18" lockText="1"/>
</file>

<file path=xl/ctrlProps/ctrlProp340.xml><?xml version="1.0" encoding="utf-8"?>
<formControlPr xmlns="http://schemas.microsoft.com/office/spreadsheetml/2009/9/main" objectType="CheckBox" fmlaLink="Ber_Lab!C19" lockText="1"/>
</file>

<file path=xl/ctrlProps/ctrlProp341.xml><?xml version="1.0" encoding="utf-8"?>
<formControlPr xmlns="http://schemas.microsoft.com/office/spreadsheetml/2009/9/main" objectType="CheckBox" fmlaLink="Ber_Lab!C20" lockText="1"/>
</file>

<file path=xl/ctrlProps/ctrlProp342.xml><?xml version="1.0" encoding="utf-8"?>
<formControlPr xmlns="http://schemas.microsoft.com/office/spreadsheetml/2009/9/main" objectType="CheckBox" fmlaLink="Ber_Lab!C12" lockText="1"/>
</file>

<file path=xl/ctrlProps/ctrlProp343.xml><?xml version="1.0" encoding="utf-8"?>
<formControlPr xmlns="http://schemas.microsoft.com/office/spreadsheetml/2009/9/main" objectType="CheckBox" fmlaLink="Ber_Lab!C28" lockText="1"/>
</file>

<file path=xl/ctrlProps/ctrlProp344.xml><?xml version="1.0" encoding="utf-8"?>
<formControlPr xmlns="http://schemas.microsoft.com/office/spreadsheetml/2009/9/main" objectType="CheckBox" fmlaLink="Ber_Lab!G5" lockText="1"/>
</file>

<file path=xl/ctrlProps/ctrlProp345.xml><?xml version="1.0" encoding="utf-8"?>
<formControlPr xmlns="http://schemas.microsoft.com/office/spreadsheetml/2009/9/main" objectType="CheckBox" fmlaLink="Ber_Lab!G6" lockText="1"/>
</file>

<file path=xl/ctrlProps/ctrlProp346.xml><?xml version="1.0" encoding="utf-8"?>
<formControlPr xmlns="http://schemas.microsoft.com/office/spreadsheetml/2009/9/main" objectType="CheckBox" fmlaLink="Ber_Lab!G8" lockText="1"/>
</file>

<file path=xl/ctrlProps/ctrlProp347.xml><?xml version="1.0" encoding="utf-8"?>
<formControlPr xmlns="http://schemas.microsoft.com/office/spreadsheetml/2009/9/main" objectType="CheckBox" fmlaLink="Ber_Lab!G9" lockText="1"/>
</file>

<file path=xl/ctrlProps/ctrlProp348.xml><?xml version="1.0" encoding="utf-8"?>
<formControlPr xmlns="http://schemas.microsoft.com/office/spreadsheetml/2009/9/main" objectType="CheckBox" fmlaLink="Ber_Lab!G14" lockText="1"/>
</file>

<file path=xl/ctrlProps/ctrlProp349.xml><?xml version="1.0" encoding="utf-8"?>
<formControlPr xmlns="http://schemas.microsoft.com/office/spreadsheetml/2009/9/main" objectType="CheckBox" fmlaLink="Ber_Lab!G13" lockText="1"/>
</file>

<file path=xl/ctrlProps/ctrlProp350.xml><?xml version="1.0" encoding="utf-8"?>
<formControlPr xmlns="http://schemas.microsoft.com/office/spreadsheetml/2009/9/main" objectType="CheckBox" fmlaLink="Ber_Lab!G27" lockText="1"/>
</file>

<file path=xl/ctrlProps/ctrlProp351.xml><?xml version="1.0" encoding="utf-8"?>
<formControlPr xmlns="http://schemas.microsoft.com/office/spreadsheetml/2009/9/main" objectType="CheckBox" fmlaLink="Ber_Lab!G16" lockText="1"/>
</file>

<file path=xl/ctrlProps/ctrlProp352.xml><?xml version="1.0" encoding="utf-8"?>
<formControlPr xmlns="http://schemas.microsoft.com/office/spreadsheetml/2009/9/main" objectType="CheckBox" fmlaLink="Ber_Lab!G18" lockText="1"/>
</file>

<file path=xl/ctrlProps/ctrlProp353.xml><?xml version="1.0" encoding="utf-8"?>
<formControlPr xmlns="http://schemas.microsoft.com/office/spreadsheetml/2009/9/main" objectType="CheckBox" fmlaLink="Ber_Lab!G19" lockText="1"/>
</file>

<file path=xl/ctrlProps/ctrlProp354.xml><?xml version="1.0" encoding="utf-8"?>
<formControlPr xmlns="http://schemas.microsoft.com/office/spreadsheetml/2009/9/main" objectType="CheckBox" fmlaLink="Ber_Lab!G20" lockText="1"/>
</file>

<file path=xl/ctrlProps/ctrlProp355.xml><?xml version="1.0" encoding="utf-8"?>
<formControlPr xmlns="http://schemas.microsoft.com/office/spreadsheetml/2009/9/main" objectType="CheckBox" fmlaLink="Ber_Lab!G12" lockText="1"/>
</file>

<file path=xl/ctrlProps/ctrlProp356.xml><?xml version="1.0" encoding="utf-8"?>
<formControlPr xmlns="http://schemas.microsoft.com/office/spreadsheetml/2009/9/main" objectType="CheckBox" fmlaLink="Ber_Lab!G28" lockText="1"/>
</file>

<file path=xl/ctrlProps/ctrlProp357.xml><?xml version="1.0" encoding="utf-8"?>
<formControlPr xmlns="http://schemas.microsoft.com/office/spreadsheetml/2009/9/main" objectType="CheckBox" fmlaLink="Ber_Lab!I5" lockText="1"/>
</file>

<file path=xl/ctrlProps/ctrlProp358.xml><?xml version="1.0" encoding="utf-8"?>
<formControlPr xmlns="http://schemas.microsoft.com/office/spreadsheetml/2009/9/main" objectType="CheckBox" fmlaLink="Ber_Lab!I6" lockText="1"/>
</file>

<file path=xl/ctrlProps/ctrlProp359.xml><?xml version="1.0" encoding="utf-8"?>
<formControlPr xmlns="http://schemas.microsoft.com/office/spreadsheetml/2009/9/main" objectType="CheckBox" fmlaLink="Ber_Lab!I8" lockText="1"/>
</file>

<file path=xl/ctrlProps/ctrlProp360.xml><?xml version="1.0" encoding="utf-8"?>
<formControlPr xmlns="http://schemas.microsoft.com/office/spreadsheetml/2009/9/main" objectType="CheckBox" fmlaLink="Ber_Lab!I9" lockText="1"/>
</file>

<file path=xl/ctrlProps/ctrlProp361.xml><?xml version="1.0" encoding="utf-8"?>
<formControlPr xmlns="http://schemas.microsoft.com/office/spreadsheetml/2009/9/main" objectType="CheckBox" fmlaLink="Ber_Lab!I14" lockText="1"/>
</file>

<file path=xl/ctrlProps/ctrlProp362.xml><?xml version="1.0" encoding="utf-8"?>
<formControlPr xmlns="http://schemas.microsoft.com/office/spreadsheetml/2009/9/main" objectType="CheckBox" fmlaLink="Ber_Lab!I13" lockText="1"/>
</file>

<file path=xl/ctrlProps/ctrlProp363.xml><?xml version="1.0" encoding="utf-8"?>
<formControlPr xmlns="http://schemas.microsoft.com/office/spreadsheetml/2009/9/main" objectType="CheckBox" fmlaLink="Ber_Lab!I27" lockText="1"/>
</file>

<file path=xl/ctrlProps/ctrlProp364.xml><?xml version="1.0" encoding="utf-8"?>
<formControlPr xmlns="http://schemas.microsoft.com/office/spreadsheetml/2009/9/main" objectType="CheckBox" fmlaLink="Ber_Lab!I16" lockText="1"/>
</file>

<file path=xl/ctrlProps/ctrlProp365.xml><?xml version="1.0" encoding="utf-8"?>
<formControlPr xmlns="http://schemas.microsoft.com/office/spreadsheetml/2009/9/main" objectType="CheckBox" fmlaLink="Ber_Lab!I18" lockText="1"/>
</file>

<file path=xl/ctrlProps/ctrlProp366.xml><?xml version="1.0" encoding="utf-8"?>
<formControlPr xmlns="http://schemas.microsoft.com/office/spreadsheetml/2009/9/main" objectType="CheckBox" fmlaLink="Ber_Lab!I19" lockText="1"/>
</file>

<file path=xl/ctrlProps/ctrlProp367.xml><?xml version="1.0" encoding="utf-8"?>
<formControlPr xmlns="http://schemas.microsoft.com/office/spreadsheetml/2009/9/main" objectType="CheckBox" fmlaLink="Ber_Lab!I20" lockText="1"/>
</file>

<file path=xl/ctrlProps/ctrlProp368.xml><?xml version="1.0" encoding="utf-8"?>
<formControlPr xmlns="http://schemas.microsoft.com/office/spreadsheetml/2009/9/main" objectType="CheckBox" fmlaLink="Ber_Lab!I12" lockText="1"/>
</file>

<file path=xl/ctrlProps/ctrlProp369.xml><?xml version="1.0" encoding="utf-8"?>
<formControlPr xmlns="http://schemas.microsoft.com/office/spreadsheetml/2009/9/main" objectType="CheckBox" fmlaLink="Ber_Lab!I28" lockText="1"/>
</file>

<file path=xl/ctrlProps/ctrlProp370.xml><?xml version="1.0" encoding="utf-8"?>
<formControlPr xmlns="http://schemas.microsoft.com/office/spreadsheetml/2009/9/main" objectType="CheckBox" fmlaLink="Ber_Lab!M5" lockText="1"/>
</file>

<file path=xl/ctrlProps/ctrlProp371.xml><?xml version="1.0" encoding="utf-8"?>
<formControlPr xmlns="http://schemas.microsoft.com/office/spreadsheetml/2009/9/main" objectType="CheckBox" fmlaLink="Ber_Lab!M6" lockText="1"/>
</file>

<file path=xl/ctrlProps/ctrlProp372.xml><?xml version="1.0" encoding="utf-8"?>
<formControlPr xmlns="http://schemas.microsoft.com/office/spreadsheetml/2009/9/main" objectType="CheckBox" fmlaLink="Ber_Lab!M8" lockText="1"/>
</file>

<file path=xl/ctrlProps/ctrlProp373.xml><?xml version="1.0" encoding="utf-8"?>
<formControlPr xmlns="http://schemas.microsoft.com/office/spreadsheetml/2009/9/main" objectType="CheckBox" fmlaLink="Ber_Lab!M9" lockText="1"/>
</file>

<file path=xl/ctrlProps/ctrlProp374.xml><?xml version="1.0" encoding="utf-8"?>
<formControlPr xmlns="http://schemas.microsoft.com/office/spreadsheetml/2009/9/main" objectType="CheckBox" fmlaLink="Ber_Lab!M14" lockText="1"/>
</file>

<file path=xl/ctrlProps/ctrlProp375.xml><?xml version="1.0" encoding="utf-8"?>
<formControlPr xmlns="http://schemas.microsoft.com/office/spreadsheetml/2009/9/main" objectType="CheckBox" fmlaLink="Ber_Lab!M13" lockText="1"/>
</file>

<file path=xl/ctrlProps/ctrlProp376.xml><?xml version="1.0" encoding="utf-8"?>
<formControlPr xmlns="http://schemas.microsoft.com/office/spreadsheetml/2009/9/main" objectType="CheckBox" fmlaLink="Ber_Lab!M27" lockText="1"/>
</file>

<file path=xl/ctrlProps/ctrlProp377.xml><?xml version="1.0" encoding="utf-8"?>
<formControlPr xmlns="http://schemas.microsoft.com/office/spreadsheetml/2009/9/main" objectType="CheckBox" fmlaLink="Ber_Lab!M16" lockText="1"/>
</file>

<file path=xl/ctrlProps/ctrlProp378.xml><?xml version="1.0" encoding="utf-8"?>
<formControlPr xmlns="http://schemas.microsoft.com/office/spreadsheetml/2009/9/main" objectType="CheckBox" fmlaLink="Ber_Lab!M18" lockText="1"/>
</file>

<file path=xl/ctrlProps/ctrlProp379.xml><?xml version="1.0" encoding="utf-8"?>
<formControlPr xmlns="http://schemas.microsoft.com/office/spreadsheetml/2009/9/main" objectType="CheckBox" fmlaLink="Ber_Lab!M19" lockText="1"/>
</file>

<file path=xl/ctrlProps/ctrlProp380.xml><?xml version="1.0" encoding="utf-8"?>
<formControlPr xmlns="http://schemas.microsoft.com/office/spreadsheetml/2009/9/main" objectType="CheckBox" fmlaLink="Ber_Lab!M20" lockText="1"/>
</file>

<file path=xl/ctrlProps/ctrlProp381.xml><?xml version="1.0" encoding="utf-8"?>
<formControlPr xmlns="http://schemas.microsoft.com/office/spreadsheetml/2009/9/main" objectType="CheckBox" fmlaLink="Ber_Lab!M12" lockText="1"/>
</file>

<file path=xl/ctrlProps/ctrlProp382.xml><?xml version="1.0" encoding="utf-8"?>
<formControlPr xmlns="http://schemas.microsoft.com/office/spreadsheetml/2009/9/main" objectType="CheckBox" fmlaLink="Ber_Lab!M28" lockText="1"/>
</file>

<file path=xl/ctrlProps/ctrlProp383.xml><?xml version="1.0" encoding="utf-8"?>
<formControlPr xmlns="http://schemas.microsoft.com/office/spreadsheetml/2009/9/main" objectType="CheckBox" fmlaLink="Ber_Lab!C29" lockText="1"/>
</file>

<file path=xl/ctrlProps/ctrlProp384.xml><?xml version="1.0" encoding="utf-8"?>
<formControlPr xmlns="http://schemas.microsoft.com/office/spreadsheetml/2009/9/main" objectType="CheckBox" fmlaLink="Ber_Lab!G29" lockText="1"/>
</file>

<file path=xl/ctrlProps/ctrlProp385.xml><?xml version="1.0" encoding="utf-8"?>
<formControlPr xmlns="http://schemas.microsoft.com/office/spreadsheetml/2009/9/main" objectType="CheckBox" fmlaLink="Ber_Lab!I29" lockText="1"/>
</file>

<file path=xl/ctrlProps/ctrlProp386.xml><?xml version="1.0" encoding="utf-8"?>
<formControlPr xmlns="http://schemas.microsoft.com/office/spreadsheetml/2009/9/main" objectType="CheckBox" fmlaLink="Ber_Lab!M29" lockText="1"/>
</file>

<file path=xl/ctrlProps/ctrlProp387.xml><?xml version="1.0" encoding="utf-8"?>
<formControlPr xmlns="http://schemas.microsoft.com/office/spreadsheetml/2009/9/main" objectType="CheckBox" fmlaLink="Ber_Lab!C7" lockText="1"/>
</file>

<file path=xl/ctrlProps/ctrlProp388.xml><?xml version="1.0" encoding="utf-8"?>
<formControlPr xmlns="http://schemas.microsoft.com/office/spreadsheetml/2009/9/main" objectType="CheckBox" fmlaLink="Ber_Lab!G7" lockText="1"/>
</file>

<file path=xl/ctrlProps/ctrlProp389.xml><?xml version="1.0" encoding="utf-8"?>
<formControlPr xmlns="http://schemas.microsoft.com/office/spreadsheetml/2009/9/main" objectType="CheckBox" fmlaLink="Ber_Lab!I7" lockText="1"/>
</file>

<file path=xl/ctrlProps/ctrlProp390.xml><?xml version="1.0" encoding="utf-8"?>
<formControlPr xmlns="http://schemas.microsoft.com/office/spreadsheetml/2009/9/main" objectType="CheckBox" fmlaLink="Ber_Lab!M7" lockText="1"/>
</file>

<file path=xl/ctrlProps/ctrlProp391.xml><?xml version="1.0" encoding="utf-8"?>
<formControlPr xmlns="http://schemas.microsoft.com/office/spreadsheetml/2009/9/main" objectType="CheckBox" fmlaLink="Ber_Lab!C17" lockText="1"/>
</file>

<file path=xl/ctrlProps/ctrlProp392.xml><?xml version="1.0" encoding="utf-8"?>
<formControlPr xmlns="http://schemas.microsoft.com/office/spreadsheetml/2009/9/main" objectType="CheckBox" fmlaLink="Ber_Lab!G17" lockText="1"/>
</file>

<file path=xl/ctrlProps/ctrlProp393.xml><?xml version="1.0" encoding="utf-8"?>
<formControlPr xmlns="http://schemas.microsoft.com/office/spreadsheetml/2009/9/main" objectType="CheckBox" fmlaLink="Ber_Lab!I17" lockText="1"/>
</file>

<file path=xl/ctrlProps/ctrlProp394.xml><?xml version="1.0" encoding="utf-8"?>
<formControlPr xmlns="http://schemas.microsoft.com/office/spreadsheetml/2009/9/main" objectType="CheckBox" fmlaLink="Ber_Lab!M17" lockText="1"/>
</file>

<file path=xl/ctrlProps/ctrlProp395.xml><?xml version="1.0" encoding="utf-8"?>
<formControlPr xmlns="http://schemas.microsoft.com/office/spreadsheetml/2009/9/main" objectType="CheckBox" fmlaLink="Ber_Lab!$E$5" lockText="1"/>
</file>

<file path=xl/ctrlProps/ctrlProp396.xml><?xml version="1.0" encoding="utf-8"?>
<formControlPr xmlns="http://schemas.microsoft.com/office/spreadsheetml/2009/9/main" objectType="CheckBox" fmlaLink="Ber_Lab!E6" lockText="1"/>
</file>

<file path=xl/ctrlProps/ctrlProp397.xml><?xml version="1.0" encoding="utf-8"?>
<formControlPr xmlns="http://schemas.microsoft.com/office/spreadsheetml/2009/9/main" objectType="CheckBox" fmlaLink="Ber_Lab!E8" lockText="1"/>
</file>

<file path=xl/ctrlProps/ctrlProp398.xml><?xml version="1.0" encoding="utf-8"?>
<formControlPr xmlns="http://schemas.microsoft.com/office/spreadsheetml/2009/9/main" objectType="CheckBox" fmlaLink="Ber_Lab!E9" lockText="1"/>
</file>

<file path=xl/ctrlProps/ctrlProp399.xml><?xml version="1.0" encoding="utf-8"?>
<formControlPr xmlns="http://schemas.microsoft.com/office/spreadsheetml/2009/9/main" objectType="CheckBox" fmlaLink="Ber_Lab!E14" lockText="1"/>
</file>

<file path=xl/ctrlProps/ctrlProp400.xml><?xml version="1.0" encoding="utf-8"?>
<formControlPr xmlns="http://schemas.microsoft.com/office/spreadsheetml/2009/9/main" objectType="CheckBox" fmlaLink="Ber_Lab!E13" lockText="1"/>
</file>

<file path=xl/ctrlProps/ctrlProp401.xml><?xml version="1.0" encoding="utf-8"?>
<formControlPr xmlns="http://schemas.microsoft.com/office/spreadsheetml/2009/9/main" objectType="CheckBox" fmlaLink="Ber_Lab!E27" lockText="1"/>
</file>

<file path=xl/ctrlProps/ctrlProp402.xml><?xml version="1.0" encoding="utf-8"?>
<formControlPr xmlns="http://schemas.microsoft.com/office/spreadsheetml/2009/9/main" objectType="CheckBox" fmlaLink="Ber_Lab!E16" lockText="1"/>
</file>

<file path=xl/ctrlProps/ctrlProp403.xml><?xml version="1.0" encoding="utf-8"?>
<formControlPr xmlns="http://schemas.microsoft.com/office/spreadsheetml/2009/9/main" objectType="CheckBox" fmlaLink="Ber_Lab!E18" lockText="1"/>
</file>

<file path=xl/ctrlProps/ctrlProp404.xml><?xml version="1.0" encoding="utf-8"?>
<formControlPr xmlns="http://schemas.microsoft.com/office/spreadsheetml/2009/9/main" objectType="CheckBox" fmlaLink="Ber_Lab!E19" lockText="1"/>
</file>

<file path=xl/ctrlProps/ctrlProp405.xml><?xml version="1.0" encoding="utf-8"?>
<formControlPr xmlns="http://schemas.microsoft.com/office/spreadsheetml/2009/9/main" objectType="CheckBox" fmlaLink="Ber_Lab!E20" lockText="1"/>
</file>

<file path=xl/ctrlProps/ctrlProp406.xml><?xml version="1.0" encoding="utf-8"?>
<formControlPr xmlns="http://schemas.microsoft.com/office/spreadsheetml/2009/9/main" objectType="CheckBox" fmlaLink="Ber_Lab!E12" lockText="1"/>
</file>

<file path=xl/ctrlProps/ctrlProp407.xml><?xml version="1.0" encoding="utf-8"?>
<formControlPr xmlns="http://schemas.microsoft.com/office/spreadsheetml/2009/9/main" objectType="CheckBox" fmlaLink="Ber_Lab!E28" lockText="1"/>
</file>

<file path=xl/ctrlProps/ctrlProp408.xml><?xml version="1.0" encoding="utf-8"?>
<formControlPr xmlns="http://schemas.microsoft.com/office/spreadsheetml/2009/9/main" objectType="CheckBox" fmlaLink="Ber_Lab!E29" lockText="1"/>
</file>

<file path=xl/ctrlProps/ctrlProp409.xml><?xml version="1.0" encoding="utf-8"?>
<formControlPr xmlns="http://schemas.microsoft.com/office/spreadsheetml/2009/9/main" objectType="CheckBox" fmlaLink="Ber_Lab!E7" lockText="1"/>
</file>

<file path=xl/ctrlProps/ctrlProp410.xml><?xml version="1.0" encoding="utf-8"?>
<formControlPr xmlns="http://schemas.microsoft.com/office/spreadsheetml/2009/9/main" objectType="CheckBox" fmlaLink="Ber_Lab!E17" lockText="1"/>
</file>

<file path=xl/ctrlProps/ctrlProp411.xml><?xml version="1.0" encoding="utf-8"?>
<formControlPr xmlns="http://schemas.microsoft.com/office/spreadsheetml/2009/9/main" objectType="CheckBox" fmlaLink="Ber_Lab!O5" lockText="1"/>
</file>

<file path=xl/ctrlProps/ctrlProp412.xml><?xml version="1.0" encoding="utf-8"?>
<formControlPr xmlns="http://schemas.microsoft.com/office/spreadsheetml/2009/9/main" objectType="CheckBox" fmlaLink="Ber_Lab!O6" lockText="1"/>
</file>

<file path=xl/ctrlProps/ctrlProp413.xml><?xml version="1.0" encoding="utf-8"?>
<formControlPr xmlns="http://schemas.microsoft.com/office/spreadsheetml/2009/9/main" objectType="CheckBox" fmlaLink="Ber_Lab!O8" lockText="1"/>
</file>

<file path=xl/ctrlProps/ctrlProp414.xml><?xml version="1.0" encoding="utf-8"?>
<formControlPr xmlns="http://schemas.microsoft.com/office/spreadsheetml/2009/9/main" objectType="CheckBox" fmlaLink="Ber_Lab!O9" lockText="1"/>
</file>

<file path=xl/ctrlProps/ctrlProp415.xml><?xml version="1.0" encoding="utf-8"?>
<formControlPr xmlns="http://schemas.microsoft.com/office/spreadsheetml/2009/9/main" objectType="CheckBox" fmlaLink="Ber_Lab!O14" lockText="1"/>
</file>

<file path=xl/ctrlProps/ctrlProp416.xml><?xml version="1.0" encoding="utf-8"?>
<formControlPr xmlns="http://schemas.microsoft.com/office/spreadsheetml/2009/9/main" objectType="CheckBox" fmlaLink="Ber_Lab!O13" lockText="1"/>
</file>

<file path=xl/ctrlProps/ctrlProp417.xml><?xml version="1.0" encoding="utf-8"?>
<formControlPr xmlns="http://schemas.microsoft.com/office/spreadsheetml/2009/9/main" objectType="CheckBox" fmlaLink="Ber_Lab!O27" lockText="1"/>
</file>

<file path=xl/ctrlProps/ctrlProp418.xml><?xml version="1.0" encoding="utf-8"?>
<formControlPr xmlns="http://schemas.microsoft.com/office/spreadsheetml/2009/9/main" objectType="CheckBox" fmlaLink="Ber_Lab!O16" lockText="1"/>
</file>

<file path=xl/ctrlProps/ctrlProp419.xml><?xml version="1.0" encoding="utf-8"?>
<formControlPr xmlns="http://schemas.microsoft.com/office/spreadsheetml/2009/9/main" objectType="CheckBox" fmlaLink="Ber_Lab!O18" lockText="1"/>
</file>

<file path=xl/ctrlProps/ctrlProp420.xml><?xml version="1.0" encoding="utf-8"?>
<formControlPr xmlns="http://schemas.microsoft.com/office/spreadsheetml/2009/9/main" objectType="CheckBox" fmlaLink="Ber_Lab!O19" lockText="1"/>
</file>

<file path=xl/ctrlProps/ctrlProp421.xml><?xml version="1.0" encoding="utf-8"?>
<formControlPr xmlns="http://schemas.microsoft.com/office/spreadsheetml/2009/9/main" objectType="CheckBox" fmlaLink="Ber_Lab!O20" lockText="1"/>
</file>

<file path=xl/ctrlProps/ctrlProp422.xml><?xml version="1.0" encoding="utf-8"?>
<formControlPr xmlns="http://schemas.microsoft.com/office/spreadsheetml/2009/9/main" objectType="CheckBox" fmlaLink="Ber_Lab!O12" lockText="1"/>
</file>

<file path=xl/ctrlProps/ctrlProp423.xml><?xml version="1.0" encoding="utf-8"?>
<formControlPr xmlns="http://schemas.microsoft.com/office/spreadsheetml/2009/9/main" objectType="CheckBox" fmlaLink="Ber_Lab!O28" lockText="1"/>
</file>

<file path=xl/ctrlProps/ctrlProp424.xml><?xml version="1.0" encoding="utf-8"?>
<formControlPr xmlns="http://schemas.microsoft.com/office/spreadsheetml/2009/9/main" objectType="CheckBox" fmlaLink="Ber_Lab!O29" lockText="1"/>
</file>

<file path=xl/ctrlProps/ctrlProp425.xml><?xml version="1.0" encoding="utf-8"?>
<formControlPr xmlns="http://schemas.microsoft.com/office/spreadsheetml/2009/9/main" objectType="CheckBox" fmlaLink="Ber_Lab!O7" lockText="1"/>
</file>

<file path=xl/ctrlProps/ctrlProp426.xml><?xml version="1.0" encoding="utf-8"?>
<formControlPr xmlns="http://schemas.microsoft.com/office/spreadsheetml/2009/9/main" objectType="CheckBox" fmlaLink="Ber_Lab!O17" lockText="1"/>
</file>

<file path=xl/ctrlProps/ctrlProp427.xml><?xml version="1.0" encoding="utf-8"?>
<formControlPr xmlns="http://schemas.microsoft.com/office/spreadsheetml/2009/9/main" objectType="CheckBox" fmlaLink="Ber_Lab!Q5" lockText="1"/>
</file>

<file path=xl/ctrlProps/ctrlProp428.xml><?xml version="1.0" encoding="utf-8"?>
<formControlPr xmlns="http://schemas.microsoft.com/office/spreadsheetml/2009/9/main" objectType="CheckBox" fmlaLink="Ber_Lab!Q6" lockText="1"/>
</file>

<file path=xl/ctrlProps/ctrlProp429.xml><?xml version="1.0" encoding="utf-8"?>
<formControlPr xmlns="http://schemas.microsoft.com/office/spreadsheetml/2009/9/main" objectType="CheckBox" fmlaLink="Ber_Lab!Q8" lockText="1"/>
</file>

<file path=xl/ctrlProps/ctrlProp430.xml><?xml version="1.0" encoding="utf-8"?>
<formControlPr xmlns="http://schemas.microsoft.com/office/spreadsheetml/2009/9/main" objectType="CheckBox" fmlaLink="Ber_Lab!Q9" lockText="1"/>
</file>

<file path=xl/ctrlProps/ctrlProp431.xml><?xml version="1.0" encoding="utf-8"?>
<formControlPr xmlns="http://schemas.microsoft.com/office/spreadsheetml/2009/9/main" objectType="CheckBox" fmlaLink="Ber_Lab!Q14" lockText="1"/>
</file>

<file path=xl/ctrlProps/ctrlProp432.xml><?xml version="1.0" encoding="utf-8"?>
<formControlPr xmlns="http://schemas.microsoft.com/office/spreadsheetml/2009/9/main" objectType="CheckBox" fmlaLink="Ber_Lab!Q13" lockText="1"/>
</file>

<file path=xl/ctrlProps/ctrlProp433.xml><?xml version="1.0" encoding="utf-8"?>
<formControlPr xmlns="http://schemas.microsoft.com/office/spreadsheetml/2009/9/main" objectType="CheckBox" fmlaLink="Ber_Lab!Q27" lockText="1"/>
</file>

<file path=xl/ctrlProps/ctrlProp434.xml><?xml version="1.0" encoding="utf-8"?>
<formControlPr xmlns="http://schemas.microsoft.com/office/spreadsheetml/2009/9/main" objectType="CheckBox" fmlaLink="Ber_Lab!Q16" lockText="1"/>
</file>

<file path=xl/ctrlProps/ctrlProp435.xml><?xml version="1.0" encoding="utf-8"?>
<formControlPr xmlns="http://schemas.microsoft.com/office/spreadsheetml/2009/9/main" objectType="CheckBox" fmlaLink="Ber_Lab!Q18" lockText="1"/>
</file>

<file path=xl/ctrlProps/ctrlProp436.xml><?xml version="1.0" encoding="utf-8"?>
<formControlPr xmlns="http://schemas.microsoft.com/office/spreadsheetml/2009/9/main" objectType="CheckBox" fmlaLink="Ber_Lab!Q19" lockText="1"/>
</file>

<file path=xl/ctrlProps/ctrlProp437.xml><?xml version="1.0" encoding="utf-8"?>
<formControlPr xmlns="http://schemas.microsoft.com/office/spreadsheetml/2009/9/main" objectType="CheckBox" fmlaLink="Ber_Lab!Q20" lockText="1"/>
</file>

<file path=xl/ctrlProps/ctrlProp438.xml><?xml version="1.0" encoding="utf-8"?>
<formControlPr xmlns="http://schemas.microsoft.com/office/spreadsheetml/2009/9/main" objectType="CheckBox" fmlaLink="Ber_Lab!Q12" lockText="1"/>
</file>

<file path=xl/ctrlProps/ctrlProp439.xml><?xml version="1.0" encoding="utf-8"?>
<formControlPr xmlns="http://schemas.microsoft.com/office/spreadsheetml/2009/9/main" objectType="CheckBox" fmlaLink="Ber_Lab!Q28" lockText="1"/>
</file>

<file path=xl/ctrlProps/ctrlProp440.xml><?xml version="1.0" encoding="utf-8"?>
<formControlPr xmlns="http://schemas.microsoft.com/office/spreadsheetml/2009/9/main" objectType="CheckBox" fmlaLink="Ber_Lab!Q29" lockText="1"/>
</file>

<file path=xl/ctrlProps/ctrlProp441.xml><?xml version="1.0" encoding="utf-8"?>
<formControlPr xmlns="http://schemas.microsoft.com/office/spreadsheetml/2009/9/main" objectType="CheckBox" fmlaLink="Ber_Lab!Q7" lockText="1"/>
</file>

<file path=xl/ctrlProps/ctrlProp442.xml><?xml version="1.0" encoding="utf-8"?>
<formControlPr xmlns="http://schemas.microsoft.com/office/spreadsheetml/2009/9/main" objectType="CheckBox" fmlaLink="Ber_Lab!Q17" lockText="1"/>
</file>

<file path=xl/ctrlProps/ctrlProp443.xml><?xml version="1.0" encoding="utf-8"?>
<formControlPr xmlns="http://schemas.microsoft.com/office/spreadsheetml/2009/9/main" objectType="CheckBox" fmlaLink="Ber_Lab!C30" lockText="1"/>
</file>

<file path=xl/ctrlProps/ctrlProp444.xml><?xml version="1.0" encoding="utf-8"?>
<formControlPr xmlns="http://schemas.microsoft.com/office/spreadsheetml/2009/9/main" objectType="CheckBox" fmlaLink="Ber_Lab!G30" lockText="1"/>
</file>

<file path=xl/ctrlProps/ctrlProp445.xml><?xml version="1.0" encoding="utf-8"?>
<formControlPr xmlns="http://schemas.microsoft.com/office/spreadsheetml/2009/9/main" objectType="CheckBox" fmlaLink="Ber_Lab!I30" lockText="1"/>
</file>

<file path=xl/ctrlProps/ctrlProp446.xml><?xml version="1.0" encoding="utf-8"?>
<formControlPr xmlns="http://schemas.microsoft.com/office/spreadsheetml/2009/9/main" objectType="CheckBox" fmlaLink="Ber_Lab!M30" lockText="1"/>
</file>

<file path=xl/ctrlProps/ctrlProp447.xml><?xml version="1.0" encoding="utf-8"?>
<formControlPr xmlns="http://schemas.microsoft.com/office/spreadsheetml/2009/9/main" objectType="CheckBox" fmlaLink="Ber_Lab!E30" lockText="1"/>
</file>

<file path=xl/ctrlProps/ctrlProp448.xml><?xml version="1.0" encoding="utf-8"?>
<formControlPr xmlns="http://schemas.microsoft.com/office/spreadsheetml/2009/9/main" objectType="CheckBox" fmlaLink="Ber_Lab!O30" lockText="1"/>
</file>

<file path=xl/ctrlProps/ctrlProp449.xml><?xml version="1.0" encoding="utf-8"?>
<formControlPr xmlns="http://schemas.microsoft.com/office/spreadsheetml/2009/9/main" objectType="CheckBox" fmlaLink="Ber_Lab!Q30" lockText="1"/>
</file>

<file path=xl/ctrlProps/ctrlProp450.xml><?xml version="1.0" encoding="utf-8"?>
<formControlPr xmlns="http://schemas.microsoft.com/office/spreadsheetml/2009/9/main" objectType="CheckBox" fmlaLink="Ber_Lab!C31" lockText="1"/>
</file>

<file path=xl/ctrlProps/ctrlProp451.xml><?xml version="1.0" encoding="utf-8"?>
<formControlPr xmlns="http://schemas.microsoft.com/office/spreadsheetml/2009/9/main" objectType="CheckBox" fmlaLink="Ber_Lab!G31" lockText="1"/>
</file>

<file path=xl/ctrlProps/ctrlProp452.xml><?xml version="1.0" encoding="utf-8"?>
<formControlPr xmlns="http://schemas.microsoft.com/office/spreadsheetml/2009/9/main" objectType="CheckBox" fmlaLink="Ber_Lab!I31" lockText="1"/>
</file>

<file path=xl/ctrlProps/ctrlProp453.xml><?xml version="1.0" encoding="utf-8"?>
<formControlPr xmlns="http://schemas.microsoft.com/office/spreadsheetml/2009/9/main" objectType="CheckBox" fmlaLink="Ber_Lab!M31" lockText="1"/>
</file>

<file path=xl/ctrlProps/ctrlProp454.xml><?xml version="1.0" encoding="utf-8"?>
<formControlPr xmlns="http://schemas.microsoft.com/office/spreadsheetml/2009/9/main" objectType="CheckBox" fmlaLink="Ber_Lab!E31" lockText="1"/>
</file>

<file path=xl/ctrlProps/ctrlProp455.xml><?xml version="1.0" encoding="utf-8"?>
<formControlPr xmlns="http://schemas.microsoft.com/office/spreadsheetml/2009/9/main" objectType="CheckBox" fmlaLink="Ber_Lab!O31" lockText="1"/>
</file>

<file path=xl/ctrlProps/ctrlProp456.xml><?xml version="1.0" encoding="utf-8"?>
<formControlPr xmlns="http://schemas.microsoft.com/office/spreadsheetml/2009/9/main" objectType="CheckBox" fmlaLink="Ber_Lab!Q31" lockText="1"/>
</file>

<file path=xl/ctrlProps/ctrlProp457.xml><?xml version="1.0" encoding="utf-8"?>
<formControlPr xmlns="http://schemas.microsoft.com/office/spreadsheetml/2009/9/main" objectType="CheckBox" fmlaLink="Ber_Lab!C10" lockText="1"/>
</file>

<file path=xl/ctrlProps/ctrlProp458.xml><?xml version="1.0" encoding="utf-8"?>
<formControlPr xmlns="http://schemas.microsoft.com/office/spreadsheetml/2009/9/main" objectType="CheckBox" fmlaLink="Ber_Lab!G10" lockText="1"/>
</file>

<file path=xl/ctrlProps/ctrlProp459.xml><?xml version="1.0" encoding="utf-8"?>
<formControlPr xmlns="http://schemas.microsoft.com/office/spreadsheetml/2009/9/main" objectType="CheckBox" fmlaLink="Ber_Lab!I10" lockText="1"/>
</file>

<file path=xl/ctrlProps/ctrlProp460.xml><?xml version="1.0" encoding="utf-8"?>
<formControlPr xmlns="http://schemas.microsoft.com/office/spreadsheetml/2009/9/main" objectType="CheckBox" fmlaLink="Ber_Lab!M10" lockText="1"/>
</file>

<file path=xl/ctrlProps/ctrlProp461.xml><?xml version="1.0" encoding="utf-8"?>
<formControlPr xmlns="http://schemas.microsoft.com/office/spreadsheetml/2009/9/main" objectType="CheckBox" fmlaLink="Ber_Lab!E10" lockText="1"/>
</file>

<file path=xl/ctrlProps/ctrlProp462.xml><?xml version="1.0" encoding="utf-8"?>
<formControlPr xmlns="http://schemas.microsoft.com/office/spreadsheetml/2009/9/main" objectType="CheckBox" fmlaLink="Ber_Lab!O10" lockText="1"/>
</file>

<file path=xl/ctrlProps/ctrlProp463.xml><?xml version="1.0" encoding="utf-8"?>
<formControlPr xmlns="http://schemas.microsoft.com/office/spreadsheetml/2009/9/main" objectType="CheckBox" fmlaLink="Ber_Lab!Q10" lockText="1"/>
</file>

<file path=xl/ctrlProps/ctrlProp464.xml><?xml version="1.0" encoding="utf-8"?>
<formControlPr xmlns="http://schemas.microsoft.com/office/spreadsheetml/2009/9/main" objectType="CheckBox" fmlaLink="Ber_Lab!C11" lockText="1"/>
</file>

<file path=xl/ctrlProps/ctrlProp465.xml><?xml version="1.0" encoding="utf-8"?>
<formControlPr xmlns="http://schemas.microsoft.com/office/spreadsheetml/2009/9/main" objectType="CheckBox" fmlaLink="Ber_Lab!G11" lockText="1"/>
</file>

<file path=xl/ctrlProps/ctrlProp466.xml><?xml version="1.0" encoding="utf-8"?>
<formControlPr xmlns="http://schemas.microsoft.com/office/spreadsheetml/2009/9/main" objectType="CheckBox" fmlaLink="Ber_Lab!I11" lockText="1"/>
</file>

<file path=xl/ctrlProps/ctrlProp467.xml><?xml version="1.0" encoding="utf-8"?>
<formControlPr xmlns="http://schemas.microsoft.com/office/spreadsheetml/2009/9/main" objectType="CheckBox" fmlaLink="Ber_Lab!M11" lockText="1"/>
</file>

<file path=xl/ctrlProps/ctrlProp468.xml><?xml version="1.0" encoding="utf-8"?>
<formControlPr xmlns="http://schemas.microsoft.com/office/spreadsheetml/2009/9/main" objectType="CheckBox" fmlaLink="Ber_Lab!E11" lockText="1"/>
</file>

<file path=xl/ctrlProps/ctrlProp469.xml><?xml version="1.0" encoding="utf-8"?>
<formControlPr xmlns="http://schemas.microsoft.com/office/spreadsheetml/2009/9/main" objectType="CheckBox" fmlaLink="Ber_Lab!O11" lockText="1"/>
</file>

<file path=xl/ctrlProps/ctrlProp470.xml><?xml version="1.0" encoding="utf-8"?>
<formControlPr xmlns="http://schemas.microsoft.com/office/spreadsheetml/2009/9/main" objectType="CheckBox" fmlaLink="Ber_Lab!Q11" lockText="1"/>
</file>

<file path=xl/ctrlProps/ctrlProp471.xml><?xml version="1.0" encoding="utf-8"?>
<formControlPr xmlns="http://schemas.microsoft.com/office/spreadsheetml/2009/9/main" objectType="CheckBox" fmlaLink="Ber_Lab!C15" lockText="1"/>
</file>

<file path=xl/ctrlProps/ctrlProp472.xml><?xml version="1.0" encoding="utf-8"?>
<formControlPr xmlns="http://schemas.microsoft.com/office/spreadsheetml/2009/9/main" objectType="CheckBox" fmlaLink="Ber_Lab!G15" lockText="1"/>
</file>

<file path=xl/ctrlProps/ctrlProp473.xml><?xml version="1.0" encoding="utf-8"?>
<formControlPr xmlns="http://schemas.microsoft.com/office/spreadsheetml/2009/9/main" objectType="CheckBox" fmlaLink="Ber_Lab!I15" lockText="1"/>
</file>

<file path=xl/ctrlProps/ctrlProp474.xml><?xml version="1.0" encoding="utf-8"?>
<formControlPr xmlns="http://schemas.microsoft.com/office/spreadsheetml/2009/9/main" objectType="CheckBox" fmlaLink="Ber_Lab!M15" lockText="1"/>
</file>

<file path=xl/ctrlProps/ctrlProp475.xml><?xml version="1.0" encoding="utf-8"?>
<formControlPr xmlns="http://schemas.microsoft.com/office/spreadsheetml/2009/9/main" objectType="CheckBox" fmlaLink="Ber_Lab!E15" lockText="1"/>
</file>

<file path=xl/ctrlProps/ctrlProp476.xml><?xml version="1.0" encoding="utf-8"?>
<formControlPr xmlns="http://schemas.microsoft.com/office/spreadsheetml/2009/9/main" objectType="CheckBox" fmlaLink="Ber_Lab!O15" lockText="1"/>
</file>

<file path=xl/ctrlProps/ctrlProp477.xml><?xml version="1.0" encoding="utf-8"?>
<formControlPr xmlns="http://schemas.microsoft.com/office/spreadsheetml/2009/9/main" objectType="CheckBox" fmlaLink="Ber_Lab!Q15" lockText="1"/>
</file>

<file path=xl/ctrlProps/ctrlProp478.xml><?xml version="1.0" encoding="utf-8"?>
<formControlPr xmlns="http://schemas.microsoft.com/office/spreadsheetml/2009/9/main" objectType="CheckBox" fmlaLink="Ber_Lab!C21" lockText="1"/>
</file>

<file path=xl/ctrlProps/ctrlProp479.xml><?xml version="1.0" encoding="utf-8"?>
<formControlPr xmlns="http://schemas.microsoft.com/office/spreadsheetml/2009/9/main" objectType="CheckBox" fmlaLink="Ber_Lab!G21" lockText="1"/>
</file>

<file path=xl/ctrlProps/ctrlProp480.xml><?xml version="1.0" encoding="utf-8"?>
<formControlPr xmlns="http://schemas.microsoft.com/office/spreadsheetml/2009/9/main" objectType="CheckBox" fmlaLink="Ber_Lab!I21" lockText="1"/>
</file>

<file path=xl/ctrlProps/ctrlProp481.xml><?xml version="1.0" encoding="utf-8"?>
<formControlPr xmlns="http://schemas.microsoft.com/office/spreadsheetml/2009/9/main" objectType="CheckBox" fmlaLink="Ber_Lab!M21" lockText="1"/>
</file>

<file path=xl/ctrlProps/ctrlProp482.xml><?xml version="1.0" encoding="utf-8"?>
<formControlPr xmlns="http://schemas.microsoft.com/office/spreadsheetml/2009/9/main" objectType="CheckBox" fmlaLink="Ber_Lab!E21" lockText="1"/>
</file>

<file path=xl/ctrlProps/ctrlProp483.xml><?xml version="1.0" encoding="utf-8"?>
<formControlPr xmlns="http://schemas.microsoft.com/office/spreadsheetml/2009/9/main" objectType="CheckBox" fmlaLink="Ber_Lab!O21" lockText="1"/>
</file>

<file path=xl/ctrlProps/ctrlProp484.xml><?xml version="1.0" encoding="utf-8"?>
<formControlPr xmlns="http://schemas.microsoft.com/office/spreadsheetml/2009/9/main" objectType="CheckBox" fmlaLink="Ber_Lab!Q21" lockText="1"/>
</file>

<file path=xl/ctrlProps/ctrlProp485.xml><?xml version="1.0" encoding="utf-8"?>
<formControlPr xmlns="http://schemas.microsoft.com/office/spreadsheetml/2009/9/main" objectType="CheckBox" fmlaLink="Ber_Lab!C22" lockText="1"/>
</file>

<file path=xl/ctrlProps/ctrlProp486.xml><?xml version="1.0" encoding="utf-8"?>
<formControlPr xmlns="http://schemas.microsoft.com/office/spreadsheetml/2009/9/main" objectType="CheckBox" fmlaLink="Ber_Lab!G22" lockText="1"/>
</file>

<file path=xl/ctrlProps/ctrlProp487.xml><?xml version="1.0" encoding="utf-8"?>
<formControlPr xmlns="http://schemas.microsoft.com/office/spreadsheetml/2009/9/main" objectType="CheckBox" fmlaLink="Ber_Lab!I22" lockText="1"/>
</file>

<file path=xl/ctrlProps/ctrlProp488.xml><?xml version="1.0" encoding="utf-8"?>
<formControlPr xmlns="http://schemas.microsoft.com/office/spreadsheetml/2009/9/main" objectType="CheckBox" fmlaLink="Ber_Lab!M22" lockText="1"/>
</file>

<file path=xl/ctrlProps/ctrlProp489.xml><?xml version="1.0" encoding="utf-8"?>
<formControlPr xmlns="http://schemas.microsoft.com/office/spreadsheetml/2009/9/main" objectType="CheckBox" fmlaLink="Ber_Lab!E22" lockText="1"/>
</file>

<file path=xl/ctrlProps/ctrlProp490.xml><?xml version="1.0" encoding="utf-8"?>
<formControlPr xmlns="http://schemas.microsoft.com/office/spreadsheetml/2009/9/main" objectType="CheckBox" fmlaLink="Ber_Lab!O22" lockText="1"/>
</file>

<file path=xl/ctrlProps/ctrlProp491.xml><?xml version="1.0" encoding="utf-8"?>
<formControlPr xmlns="http://schemas.microsoft.com/office/spreadsheetml/2009/9/main" objectType="CheckBox" fmlaLink="Ber_Lab!Q22" lockText="1"/>
</file>

<file path=xl/ctrlProps/ctrlProp492.xml><?xml version="1.0" encoding="utf-8"?>
<formControlPr xmlns="http://schemas.microsoft.com/office/spreadsheetml/2009/9/main" objectType="CheckBox" fmlaLink="Ber_Lab!C23" lockText="1"/>
</file>

<file path=xl/ctrlProps/ctrlProp493.xml><?xml version="1.0" encoding="utf-8"?>
<formControlPr xmlns="http://schemas.microsoft.com/office/spreadsheetml/2009/9/main" objectType="CheckBox" fmlaLink="Ber_Lab!G23" lockText="1"/>
</file>

<file path=xl/ctrlProps/ctrlProp494.xml><?xml version="1.0" encoding="utf-8"?>
<formControlPr xmlns="http://schemas.microsoft.com/office/spreadsheetml/2009/9/main" objectType="CheckBox" fmlaLink="Ber_Lab!I23" lockText="1"/>
</file>

<file path=xl/ctrlProps/ctrlProp495.xml><?xml version="1.0" encoding="utf-8"?>
<formControlPr xmlns="http://schemas.microsoft.com/office/spreadsheetml/2009/9/main" objectType="CheckBox" fmlaLink="Ber_Lab!M23" lockText="1"/>
</file>

<file path=xl/ctrlProps/ctrlProp496.xml><?xml version="1.0" encoding="utf-8"?>
<formControlPr xmlns="http://schemas.microsoft.com/office/spreadsheetml/2009/9/main" objectType="CheckBox" fmlaLink="Ber_Lab!E23" lockText="1"/>
</file>

<file path=xl/ctrlProps/ctrlProp497.xml><?xml version="1.0" encoding="utf-8"?>
<formControlPr xmlns="http://schemas.microsoft.com/office/spreadsheetml/2009/9/main" objectType="CheckBox" fmlaLink="Ber_Lab!O23" lockText="1"/>
</file>

<file path=xl/ctrlProps/ctrlProp498.xml><?xml version="1.0" encoding="utf-8"?>
<formControlPr xmlns="http://schemas.microsoft.com/office/spreadsheetml/2009/9/main" objectType="CheckBox" fmlaLink="Ber_Lab!Q23" lockText="1"/>
</file>

<file path=xl/ctrlProps/ctrlProp499.xml><?xml version="1.0" encoding="utf-8"?>
<formControlPr xmlns="http://schemas.microsoft.com/office/spreadsheetml/2009/9/main" objectType="CheckBox" fmlaLink="Ber_Lab!C24" lockText="1"/>
</file>

<file path=xl/ctrlProps/ctrlProp500.xml><?xml version="1.0" encoding="utf-8"?>
<formControlPr xmlns="http://schemas.microsoft.com/office/spreadsheetml/2009/9/main" objectType="CheckBox" fmlaLink="Ber_Lab!G24" lockText="1"/>
</file>

<file path=xl/ctrlProps/ctrlProp501.xml><?xml version="1.0" encoding="utf-8"?>
<formControlPr xmlns="http://schemas.microsoft.com/office/spreadsheetml/2009/9/main" objectType="CheckBox" fmlaLink="Ber_Lab!I24" lockText="1"/>
</file>

<file path=xl/ctrlProps/ctrlProp502.xml><?xml version="1.0" encoding="utf-8"?>
<formControlPr xmlns="http://schemas.microsoft.com/office/spreadsheetml/2009/9/main" objectType="CheckBox" fmlaLink="Ber_Lab!M24" lockText="1"/>
</file>

<file path=xl/ctrlProps/ctrlProp503.xml><?xml version="1.0" encoding="utf-8"?>
<formControlPr xmlns="http://schemas.microsoft.com/office/spreadsheetml/2009/9/main" objectType="CheckBox" fmlaLink="Ber_Lab!E24" lockText="1"/>
</file>

<file path=xl/ctrlProps/ctrlProp504.xml><?xml version="1.0" encoding="utf-8"?>
<formControlPr xmlns="http://schemas.microsoft.com/office/spreadsheetml/2009/9/main" objectType="CheckBox" fmlaLink="Ber_Lab!O24" lockText="1"/>
</file>

<file path=xl/ctrlProps/ctrlProp505.xml><?xml version="1.0" encoding="utf-8"?>
<formControlPr xmlns="http://schemas.microsoft.com/office/spreadsheetml/2009/9/main" objectType="CheckBox" fmlaLink="Ber_Lab!Q24" lockText="1"/>
</file>

<file path=xl/ctrlProps/ctrlProp506.xml><?xml version="1.0" encoding="utf-8"?>
<formControlPr xmlns="http://schemas.microsoft.com/office/spreadsheetml/2009/9/main" objectType="CheckBox" fmlaLink="Ber_Lab!C25" lockText="1"/>
</file>

<file path=xl/ctrlProps/ctrlProp507.xml><?xml version="1.0" encoding="utf-8"?>
<formControlPr xmlns="http://schemas.microsoft.com/office/spreadsheetml/2009/9/main" objectType="CheckBox" fmlaLink="Ber_Lab!G25" lockText="1"/>
</file>

<file path=xl/ctrlProps/ctrlProp508.xml><?xml version="1.0" encoding="utf-8"?>
<formControlPr xmlns="http://schemas.microsoft.com/office/spreadsheetml/2009/9/main" objectType="CheckBox" fmlaLink="Ber_Lab!I25" lockText="1"/>
</file>

<file path=xl/ctrlProps/ctrlProp509.xml><?xml version="1.0" encoding="utf-8"?>
<formControlPr xmlns="http://schemas.microsoft.com/office/spreadsheetml/2009/9/main" objectType="CheckBox" fmlaLink="Ber_Lab!M25" lockText="1"/>
</file>

<file path=xl/ctrlProps/ctrlProp510.xml><?xml version="1.0" encoding="utf-8"?>
<formControlPr xmlns="http://schemas.microsoft.com/office/spreadsheetml/2009/9/main" objectType="CheckBox" fmlaLink="Ber_Lab!E25" lockText="1"/>
</file>

<file path=xl/ctrlProps/ctrlProp511.xml><?xml version="1.0" encoding="utf-8"?>
<formControlPr xmlns="http://schemas.microsoft.com/office/spreadsheetml/2009/9/main" objectType="CheckBox" fmlaLink="Ber_Lab!O25" lockText="1"/>
</file>

<file path=xl/ctrlProps/ctrlProp512.xml><?xml version="1.0" encoding="utf-8"?>
<formControlPr xmlns="http://schemas.microsoft.com/office/spreadsheetml/2009/9/main" objectType="CheckBox" fmlaLink="Ber_Lab!Q25" lockText="1"/>
</file>

<file path=xl/ctrlProps/ctrlProp513.xml><?xml version="1.0" encoding="utf-8"?>
<formControlPr xmlns="http://schemas.microsoft.com/office/spreadsheetml/2009/9/main" objectType="CheckBox" fmlaLink="Ber_Lab!C26" lockText="1"/>
</file>

<file path=xl/ctrlProps/ctrlProp514.xml><?xml version="1.0" encoding="utf-8"?>
<formControlPr xmlns="http://schemas.microsoft.com/office/spreadsheetml/2009/9/main" objectType="CheckBox" fmlaLink="Ber_Lab!G26" lockText="1"/>
</file>

<file path=xl/ctrlProps/ctrlProp515.xml><?xml version="1.0" encoding="utf-8"?>
<formControlPr xmlns="http://schemas.microsoft.com/office/spreadsheetml/2009/9/main" objectType="CheckBox" fmlaLink="Ber_Lab!I26" lockText="1"/>
</file>

<file path=xl/ctrlProps/ctrlProp516.xml><?xml version="1.0" encoding="utf-8"?>
<formControlPr xmlns="http://schemas.microsoft.com/office/spreadsheetml/2009/9/main" objectType="CheckBox" fmlaLink="Ber_Lab!M26" lockText="1"/>
</file>

<file path=xl/ctrlProps/ctrlProp517.xml><?xml version="1.0" encoding="utf-8"?>
<formControlPr xmlns="http://schemas.microsoft.com/office/spreadsheetml/2009/9/main" objectType="CheckBox" fmlaLink="Ber_Lab!E26" lockText="1"/>
</file>

<file path=xl/ctrlProps/ctrlProp518.xml><?xml version="1.0" encoding="utf-8"?>
<formControlPr xmlns="http://schemas.microsoft.com/office/spreadsheetml/2009/9/main" objectType="CheckBox" fmlaLink="Ber_Lab!O26" lockText="1"/>
</file>

<file path=xl/ctrlProps/ctrlProp519.xml><?xml version="1.0" encoding="utf-8"?>
<formControlPr xmlns="http://schemas.microsoft.com/office/spreadsheetml/2009/9/main" objectType="CheckBox" fmlaLink="Ber_Lab!Q26"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xdr:from>
      <xdr:col>3</xdr:col>
      <xdr:colOff>847725</xdr:colOff>
      <xdr:row>41</xdr:row>
      <xdr:rowOff>238125</xdr:rowOff>
    </xdr:from>
    <xdr:to>
      <xdr:col>7</xdr:col>
      <xdr:colOff>0</xdr:colOff>
      <xdr:row>44</xdr:row>
      <xdr:rowOff>0</xdr:rowOff>
    </xdr:to>
    <xdr:sp macro="" textlink="">
      <xdr:nvSpPr>
        <xdr:cNvPr id="105473" name="Text Box 1"/>
        <xdr:cNvSpPr txBox="1">
          <a:spLocks noChangeArrowheads="1"/>
        </xdr:cNvSpPr>
      </xdr:nvSpPr>
      <xdr:spPr bwMode="auto">
        <a:xfrm>
          <a:off x="3457575" y="9896475"/>
          <a:ext cx="4010025" cy="504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72000" tIns="46800" rIns="90000" bIns="46800" anchor="t" upright="1"/>
        <a:lstStyle/>
        <a:p>
          <a:pPr algn="l" rtl="0">
            <a:defRPr sz="1000"/>
          </a:pPr>
          <a:r>
            <a:rPr lang="nl-NL" sz="800" b="0" i="0" u="none" strike="noStrike" baseline="0">
              <a:solidFill>
                <a:srgbClr val="000000"/>
              </a:solidFill>
              <a:latin typeface="Arial"/>
              <a:cs typeface="Arial"/>
            </a:rPr>
            <a:t>Copyright Informedica 2001. Deze software behoort tot het freeware domein. De auteurs zijn niet aansprakelijk voor eventuele doserings fouten. Gebruikers van dit programma doen dit op hun eigen verantwoordelijkheid.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xdr:colOff>
      <xdr:row>124</xdr:row>
      <xdr:rowOff>9525</xdr:rowOff>
    </xdr:from>
    <xdr:to>
      <xdr:col>2</xdr:col>
      <xdr:colOff>666750</xdr:colOff>
      <xdr:row>125</xdr:row>
      <xdr:rowOff>0</xdr:rowOff>
    </xdr:to>
    <xdr:sp macro="[0]!opmIntakeMedIV" textlink="">
      <xdr:nvSpPr>
        <xdr:cNvPr id="21512" name="Rectangle 8"/>
        <xdr:cNvSpPr>
          <a:spLocks noChangeArrowheads="1"/>
        </xdr:cNvSpPr>
      </xdr:nvSpPr>
      <xdr:spPr bwMode="auto">
        <a:xfrm>
          <a:off x="381000" y="18764250"/>
          <a:ext cx="6381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21514" name="Rectangle 10"/>
        <xdr:cNvSpPr>
          <a:spLocks noChangeArrowheads="1"/>
        </xdr:cNvSpPr>
      </xdr:nvSpPr>
      <xdr:spPr bwMode="auto">
        <a:xfrm>
          <a:off x="190500" y="8439150"/>
          <a:ext cx="30480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21516" name="Rectangle 12"/>
        <xdr:cNvSpPr>
          <a:spLocks noChangeArrowheads="1"/>
        </xdr:cNvSpPr>
      </xdr:nvSpPr>
      <xdr:spPr bwMode="auto">
        <a:xfrm>
          <a:off x="190500" y="8677275"/>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21517" name="Rectangle 13"/>
        <xdr:cNvSpPr>
          <a:spLocks noChangeArrowheads="1"/>
        </xdr:cNvSpPr>
      </xdr:nvSpPr>
      <xdr:spPr bwMode="auto">
        <a:xfrm>
          <a:off x="190500" y="8763000"/>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17</xdr:row>
      <xdr:rowOff>9525</xdr:rowOff>
    </xdr:from>
    <xdr:to>
      <xdr:col>9</xdr:col>
      <xdr:colOff>733425</xdr:colOff>
      <xdr:row>19</xdr:row>
      <xdr:rowOff>0</xdr:rowOff>
    </xdr:to>
    <xdr:sp macro="[0]!opmAfsprBeademing" textlink="">
      <xdr:nvSpPr>
        <xdr:cNvPr id="21624" name="Rectangle 120"/>
        <xdr:cNvSpPr>
          <a:spLocks noChangeArrowheads="1"/>
        </xdr:cNvSpPr>
      </xdr:nvSpPr>
      <xdr:spPr bwMode="auto">
        <a:xfrm>
          <a:off x="171450" y="2447925"/>
          <a:ext cx="641985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123</xdr:row>
      <xdr:rowOff>104775</xdr:rowOff>
    </xdr:from>
    <xdr:to>
      <xdr:col>10</xdr:col>
      <xdr:colOff>0</xdr:colOff>
      <xdr:row>124</xdr:row>
      <xdr:rowOff>142875</xdr:rowOff>
    </xdr:to>
    <xdr:sp macro="[0]!opmIntakeMedIV" textlink="">
      <xdr:nvSpPr>
        <xdr:cNvPr id="21625" name="Rectangle 121"/>
        <xdr:cNvSpPr>
          <a:spLocks noChangeArrowheads="1"/>
        </xdr:cNvSpPr>
      </xdr:nvSpPr>
      <xdr:spPr bwMode="auto">
        <a:xfrm>
          <a:off x="190500" y="187071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133350</xdr:rowOff>
    </xdr:from>
    <xdr:to>
      <xdr:col>10</xdr:col>
      <xdr:colOff>9525</xdr:colOff>
      <xdr:row>37</xdr:row>
      <xdr:rowOff>19050</xdr:rowOff>
    </xdr:to>
    <xdr:sp macro="[0]!opmVoedPO" textlink="">
      <xdr:nvSpPr>
        <xdr:cNvPr id="21626" name="Rectangle 122"/>
        <xdr:cNvSpPr>
          <a:spLocks noChangeArrowheads="1"/>
        </xdr:cNvSpPr>
      </xdr:nvSpPr>
      <xdr:spPr bwMode="auto">
        <a:xfrm>
          <a:off x="200025" y="55245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77</xdr:row>
      <xdr:rowOff>76200</xdr:rowOff>
    </xdr:from>
    <xdr:to>
      <xdr:col>9</xdr:col>
      <xdr:colOff>742950</xdr:colOff>
      <xdr:row>78</xdr:row>
      <xdr:rowOff>142875</xdr:rowOff>
    </xdr:to>
    <xdr:sp macro="[0]!opmAfsprInfusen" textlink="">
      <xdr:nvSpPr>
        <xdr:cNvPr id="21627" name="Rectangle 123"/>
        <xdr:cNvSpPr>
          <a:spLocks noChangeArrowheads="1"/>
        </xdr:cNvSpPr>
      </xdr:nvSpPr>
      <xdr:spPr bwMode="auto">
        <a:xfrm>
          <a:off x="190500" y="11668125"/>
          <a:ext cx="64103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28" name="Rectangle 124"/>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21629" name="Rectangle 125"/>
        <xdr:cNvSpPr>
          <a:spLocks noChangeArrowheads="1"/>
        </xdr:cNvSpPr>
      </xdr:nvSpPr>
      <xdr:spPr bwMode="auto">
        <a:xfrm>
          <a:off x="314325" y="6772275"/>
          <a:ext cx="628650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56</xdr:row>
      <xdr:rowOff>123825</xdr:rowOff>
    </xdr:to>
    <xdr:sp macro="[0]!opmOverig_2" textlink="">
      <xdr:nvSpPr>
        <xdr:cNvPr id="21630" name="Rectangle 126"/>
        <xdr:cNvSpPr>
          <a:spLocks noChangeArrowheads="1"/>
        </xdr:cNvSpPr>
      </xdr:nvSpPr>
      <xdr:spPr bwMode="auto">
        <a:xfrm>
          <a:off x="200025" y="8458200"/>
          <a:ext cx="6400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4</xdr:row>
      <xdr:rowOff>9525</xdr:rowOff>
    </xdr:from>
    <xdr:to>
      <xdr:col>2</xdr:col>
      <xdr:colOff>771525</xdr:colOff>
      <xdr:row>5</xdr:row>
      <xdr:rowOff>0</xdr:rowOff>
    </xdr:to>
    <xdr:sp macro="[0]!gaNaarBeademing" textlink="">
      <xdr:nvSpPr>
        <xdr:cNvPr id="21635" name="Rectangle 131"/>
        <xdr:cNvSpPr>
          <a:spLocks noChangeArrowheads="1"/>
        </xdr:cNvSpPr>
      </xdr:nvSpPr>
      <xdr:spPr bwMode="auto">
        <a:xfrm>
          <a:off x="171450" y="619125"/>
          <a:ext cx="9525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80</xdr:row>
      <xdr:rowOff>114300</xdr:rowOff>
    </xdr:from>
    <xdr:to>
      <xdr:col>4</xdr:col>
      <xdr:colOff>161925</xdr:colOff>
      <xdr:row>81</xdr:row>
      <xdr:rowOff>142875</xdr:rowOff>
    </xdr:to>
    <xdr:sp macro="[0]!gaNaarMedicatieIV" textlink="">
      <xdr:nvSpPr>
        <xdr:cNvPr id="21636" name="Rectangle 132"/>
        <xdr:cNvSpPr>
          <a:spLocks noChangeArrowheads="1"/>
        </xdr:cNvSpPr>
      </xdr:nvSpPr>
      <xdr:spPr bwMode="auto">
        <a:xfrm>
          <a:off x="171450" y="12163425"/>
          <a:ext cx="20288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69</xdr:row>
      <xdr:rowOff>114300</xdr:rowOff>
    </xdr:from>
    <xdr:to>
      <xdr:col>2</xdr:col>
      <xdr:colOff>676275</xdr:colOff>
      <xdr:row>71</xdr:row>
      <xdr:rowOff>9525</xdr:rowOff>
    </xdr:to>
    <xdr:sp macro="[0]!gaNaarInfusen" textlink="">
      <xdr:nvSpPr>
        <xdr:cNvPr id="21637" name="Rectangle 133"/>
        <xdr:cNvSpPr>
          <a:spLocks noChangeArrowheads="1"/>
        </xdr:cNvSpPr>
      </xdr:nvSpPr>
      <xdr:spPr bwMode="auto">
        <a:xfrm>
          <a:off x="152400" y="104870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21638" name="Rectangle 134"/>
        <xdr:cNvSpPr>
          <a:spLocks noChangeArrowheads="1"/>
        </xdr:cNvSpPr>
      </xdr:nvSpPr>
      <xdr:spPr bwMode="auto">
        <a:xfrm>
          <a:off x="200025" y="7210425"/>
          <a:ext cx="8763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21639" name="Rectangle 135"/>
        <xdr:cNvSpPr>
          <a:spLocks noChangeArrowheads="1"/>
        </xdr:cNvSpPr>
      </xdr:nvSpPr>
      <xdr:spPr bwMode="auto">
        <a:xfrm>
          <a:off x="171450" y="4467225"/>
          <a:ext cx="67627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101</xdr:row>
      <xdr:rowOff>0</xdr:rowOff>
    </xdr:from>
    <xdr:to>
      <xdr:col>2</xdr:col>
      <xdr:colOff>485775</xdr:colOff>
      <xdr:row>101</xdr:row>
      <xdr:rowOff>142875</xdr:rowOff>
    </xdr:to>
    <xdr:sp macro="[0]!gaNaarIntake" textlink="">
      <xdr:nvSpPr>
        <xdr:cNvPr id="21640" name="Rectangle 136"/>
        <xdr:cNvSpPr>
          <a:spLocks noChangeArrowheads="1"/>
        </xdr:cNvSpPr>
      </xdr:nvSpPr>
      <xdr:spPr bwMode="auto">
        <a:xfrm>
          <a:off x="161925" y="15249525"/>
          <a:ext cx="6762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21641" name="Rectangle 137"/>
        <xdr:cNvSpPr>
          <a:spLocks noChangeArrowheads="1"/>
        </xdr:cNvSpPr>
      </xdr:nvSpPr>
      <xdr:spPr bwMode="auto">
        <a:xfrm>
          <a:off x="133350" y="5848350"/>
          <a:ext cx="51435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98</xdr:row>
      <xdr:rowOff>123825</xdr:rowOff>
    </xdr:from>
    <xdr:to>
      <xdr:col>9</xdr:col>
      <xdr:colOff>742950</xdr:colOff>
      <xdr:row>100</xdr:row>
      <xdr:rowOff>9525</xdr:rowOff>
    </xdr:to>
    <xdr:sp macro="[0]!opmAfsprMedIV_1" textlink="">
      <xdr:nvSpPr>
        <xdr:cNvPr id="21642" name="Rectangle 138"/>
        <xdr:cNvSpPr>
          <a:spLocks noChangeArrowheads="1"/>
        </xdr:cNvSpPr>
      </xdr:nvSpPr>
      <xdr:spPr bwMode="auto">
        <a:xfrm>
          <a:off x="180975" y="1491615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21643" name="Rectangle 139"/>
        <xdr:cNvSpPr>
          <a:spLocks noChangeArrowheads="1"/>
        </xdr:cNvSpPr>
      </xdr:nvSpPr>
      <xdr:spPr bwMode="auto">
        <a:xfrm>
          <a:off x="200025" y="5514975"/>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44" name="Rectangle 140"/>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Beademing" textlink="">
      <xdr:nvSpPr>
        <xdr:cNvPr id="70657" name="Rectangle 1"/>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600075</xdr:colOff>
      <xdr:row>16</xdr:row>
      <xdr:rowOff>0</xdr:rowOff>
    </xdr:to>
    <xdr:sp macro="[0]!opmAfsprInfusen" textlink="">
      <xdr:nvSpPr>
        <xdr:cNvPr id="70658" name="Rectangle 2"/>
        <xdr:cNvSpPr>
          <a:spLocks noChangeArrowheads="1"/>
        </xdr:cNvSpPr>
      </xdr:nvSpPr>
      <xdr:spPr bwMode="auto">
        <a:xfrm>
          <a:off x="390525" y="2390775"/>
          <a:ext cx="58674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AfsprMedIV_1" textlink="">
      <xdr:nvSpPr>
        <xdr:cNvPr id="70659" name="Rectangle 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571500</xdr:colOff>
      <xdr:row>16</xdr:row>
      <xdr:rowOff>0</xdr:rowOff>
    </xdr:to>
    <xdr:sp macro="[0]!opmIntakeMedIV" textlink="">
      <xdr:nvSpPr>
        <xdr:cNvPr id="70660" name="Rectangle 4"/>
        <xdr:cNvSpPr>
          <a:spLocks noChangeArrowheads="1"/>
        </xdr:cNvSpPr>
      </xdr:nvSpPr>
      <xdr:spPr bwMode="auto">
        <a:xfrm>
          <a:off x="390525" y="2390775"/>
          <a:ext cx="5838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0661" name="Rectangle 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2" name="Rectangle 6"/>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3" name="Rectangle 7"/>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4" name="Rectangle 8"/>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5" name="Rectangle 9"/>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0666" name="Rectangle 10"/>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638175</xdr:colOff>
      <xdr:row>16</xdr:row>
      <xdr:rowOff>0</xdr:rowOff>
    </xdr:to>
    <xdr:sp macro="[0]!opmOverig_3" textlink="">
      <xdr:nvSpPr>
        <xdr:cNvPr id="70667" name="Rectangle 11"/>
        <xdr:cNvSpPr>
          <a:spLocks noChangeArrowheads="1"/>
        </xdr:cNvSpPr>
      </xdr:nvSpPr>
      <xdr:spPr bwMode="auto">
        <a:xfrm>
          <a:off x="190500" y="2390775"/>
          <a:ext cx="61055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4" textlink="">
      <xdr:nvSpPr>
        <xdr:cNvPr id="70668" name="Rectangle 12"/>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5" textlink="">
      <xdr:nvSpPr>
        <xdr:cNvPr id="70669" name="Rectangle 1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79" name="Rectangle 2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161925</xdr:colOff>
      <xdr:row>16</xdr:row>
      <xdr:rowOff>0</xdr:rowOff>
    </xdr:from>
    <xdr:to>
      <xdr:col>10</xdr:col>
      <xdr:colOff>190500</xdr:colOff>
      <xdr:row>16</xdr:row>
      <xdr:rowOff>0</xdr:rowOff>
    </xdr:to>
    <xdr:sp macro="[0]!opmOverig_1" textlink="">
      <xdr:nvSpPr>
        <xdr:cNvPr id="70686" name="Rectangle 30"/>
        <xdr:cNvSpPr>
          <a:spLocks noChangeArrowheads="1"/>
        </xdr:cNvSpPr>
      </xdr:nvSpPr>
      <xdr:spPr bwMode="auto">
        <a:xfrm>
          <a:off x="342900" y="23907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676275</xdr:colOff>
      <xdr:row>16</xdr:row>
      <xdr:rowOff>0</xdr:rowOff>
    </xdr:to>
    <xdr:sp macro="[0]!opmAfsprInfusen" textlink="">
      <xdr:nvSpPr>
        <xdr:cNvPr id="70687" name="Rectangle 31"/>
        <xdr:cNvSpPr>
          <a:spLocks noChangeArrowheads="1"/>
        </xdr:cNvSpPr>
      </xdr:nvSpPr>
      <xdr:spPr bwMode="auto">
        <a:xfrm>
          <a:off x="390525" y="2390775"/>
          <a:ext cx="59436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IntakeMedIV" textlink="">
      <xdr:nvSpPr>
        <xdr:cNvPr id="70688" name="Rectangle 32"/>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89" name="Rectangle 3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0" name="Rectangle 34"/>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1" name="Rectangle 3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695325</xdr:colOff>
      <xdr:row>16</xdr:row>
      <xdr:rowOff>0</xdr:rowOff>
    </xdr:to>
    <xdr:sp macro="[0]!opmOverig_2" textlink="">
      <xdr:nvSpPr>
        <xdr:cNvPr id="70692" name="Rectangle 36"/>
        <xdr:cNvSpPr>
          <a:spLocks noChangeArrowheads="1"/>
        </xdr:cNvSpPr>
      </xdr:nvSpPr>
      <xdr:spPr bwMode="auto">
        <a:xfrm>
          <a:off x="190500" y="2390775"/>
          <a:ext cx="61626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93" name="Rectangle 37"/>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0694" name="Rectangle 38"/>
        <xdr:cNvSpPr>
          <a:spLocks noChangeArrowheads="1"/>
        </xdr:cNvSpPr>
      </xdr:nvSpPr>
      <xdr:spPr bwMode="auto">
        <a:xfrm>
          <a:off x="390525" y="2390775"/>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0696" name="Rectangle 40"/>
        <xdr:cNvSpPr>
          <a:spLocks noChangeArrowheads="1"/>
        </xdr:cNvSpPr>
      </xdr:nvSpPr>
      <xdr:spPr bwMode="auto">
        <a:xfrm>
          <a:off x="180975" y="2390775"/>
          <a:ext cx="61912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142875</xdr:colOff>
      <xdr:row>4</xdr:row>
      <xdr:rowOff>0</xdr:rowOff>
    </xdr:from>
    <xdr:to>
      <xdr:col>2</xdr:col>
      <xdr:colOff>742950</xdr:colOff>
      <xdr:row>4</xdr:row>
      <xdr:rowOff>123825</xdr:rowOff>
    </xdr:to>
    <xdr:sp macro="[0]!gaNaarBeademing" textlink="">
      <xdr:nvSpPr>
        <xdr:cNvPr id="70697" name="Rectangle 41"/>
        <xdr:cNvSpPr>
          <a:spLocks noChangeArrowheads="1"/>
        </xdr:cNvSpPr>
      </xdr:nvSpPr>
      <xdr:spPr bwMode="auto">
        <a:xfrm>
          <a:off x="142875" y="581025"/>
          <a:ext cx="9620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0698" name="Rectangle 42"/>
        <xdr:cNvSpPr>
          <a:spLocks noChangeArrowheads="1"/>
        </xdr:cNvSpPr>
      </xdr:nvSpPr>
      <xdr:spPr bwMode="auto">
        <a:xfrm>
          <a:off x="390525" y="28098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699" name="Rectangle 43"/>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0" name="Rectangle 44"/>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1" name="Rectangle 45"/>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0702" name="Rectangle 46"/>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0703" name="Rectangle 47"/>
        <xdr:cNvSpPr>
          <a:spLocks noChangeArrowheads="1"/>
        </xdr:cNvSpPr>
      </xdr:nvSpPr>
      <xdr:spPr bwMode="auto">
        <a:xfrm>
          <a:off x="2286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0704" name="Rectangle 48"/>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0705" name="Rectangle 49"/>
        <xdr:cNvSpPr>
          <a:spLocks noChangeArrowheads="1"/>
        </xdr:cNvSpPr>
      </xdr:nvSpPr>
      <xdr:spPr bwMode="auto">
        <a:xfrm>
          <a:off x="180975" y="28098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0706" name="Rectangle 50"/>
        <xdr:cNvSpPr>
          <a:spLocks noChangeArrowheads="1"/>
        </xdr:cNvSpPr>
      </xdr:nvSpPr>
      <xdr:spPr bwMode="auto">
        <a:xfrm>
          <a:off x="314325" y="280987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0707" name="Rectangle 51"/>
        <xdr:cNvSpPr>
          <a:spLocks noChangeArrowheads="1"/>
        </xdr:cNvSpPr>
      </xdr:nvSpPr>
      <xdr:spPr bwMode="auto">
        <a:xfrm>
          <a:off x="200025" y="280987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0708" name="Rectangle 52"/>
        <xdr:cNvSpPr>
          <a:spLocks noChangeArrowheads="1"/>
        </xdr:cNvSpPr>
      </xdr:nvSpPr>
      <xdr:spPr bwMode="auto">
        <a:xfrm>
          <a:off x="171450" y="280987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0709" name="Rectangle 53"/>
        <xdr:cNvSpPr>
          <a:spLocks noChangeArrowheads="1"/>
        </xdr:cNvSpPr>
      </xdr:nvSpPr>
      <xdr:spPr bwMode="auto">
        <a:xfrm>
          <a:off x="152400"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0710" name="Rectangle 54"/>
        <xdr:cNvSpPr>
          <a:spLocks noChangeArrowheads="1"/>
        </xdr:cNvSpPr>
      </xdr:nvSpPr>
      <xdr:spPr bwMode="auto">
        <a:xfrm>
          <a:off x="200025"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0711" name="Rectangle 55"/>
        <xdr:cNvSpPr>
          <a:spLocks noChangeArrowheads="1"/>
        </xdr:cNvSpPr>
      </xdr:nvSpPr>
      <xdr:spPr bwMode="auto">
        <a:xfrm>
          <a:off x="171450"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0712" name="Rectangle 56"/>
        <xdr:cNvSpPr>
          <a:spLocks noChangeArrowheads="1"/>
        </xdr:cNvSpPr>
      </xdr:nvSpPr>
      <xdr:spPr bwMode="auto">
        <a:xfrm>
          <a:off x="161925"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0713" name="Rectangle 57"/>
        <xdr:cNvSpPr>
          <a:spLocks noChangeArrowheads="1"/>
        </xdr:cNvSpPr>
      </xdr:nvSpPr>
      <xdr:spPr bwMode="auto">
        <a:xfrm>
          <a:off x="133350" y="280987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9</xdr:col>
      <xdr:colOff>685800</xdr:colOff>
      <xdr:row>19</xdr:row>
      <xdr:rowOff>0</xdr:rowOff>
    </xdr:to>
    <xdr:sp macro="[0]!opmAfsprMedIV_1" textlink="">
      <xdr:nvSpPr>
        <xdr:cNvPr id="70714" name="Rectangle 58"/>
        <xdr:cNvSpPr>
          <a:spLocks noChangeArrowheads="1"/>
        </xdr:cNvSpPr>
      </xdr:nvSpPr>
      <xdr:spPr bwMode="auto">
        <a:xfrm>
          <a:off x="161925"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VoedPO" textlink="">
      <xdr:nvSpPr>
        <xdr:cNvPr id="70715" name="Rectangle 59"/>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0716" name="Rectangle 60"/>
        <xdr:cNvSpPr>
          <a:spLocks noChangeArrowheads="1"/>
        </xdr:cNvSpPr>
      </xdr:nvSpPr>
      <xdr:spPr bwMode="auto">
        <a:xfrm>
          <a:off x="390525" y="100774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0717" name="Rectangle 61"/>
        <xdr:cNvSpPr>
          <a:spLocks noChangeArrowheads="1"/>
        </xdr:cNvSpPr>
      </xdr:nvSpPr>
      <xdr:spPr bwMode="auto">
        <a:xfrm>
          <a:off x="190500" y="869632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0718" name="Rectangle 62"/>
        <xdr:cNvSpPr>
          <a:spLocks noChangeArrowheads="1"/>
        </xdr:cNvSpPr>
      </xdr:nvSpPr>
      <xdr:spPr bwMode="auto">
        <a:xfrm>
          <a:off x="190500" y="893445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0719" name="Rectangle 63"/>
        <xdr:cNvSpPr>
          <a:spLocks noChangeArrowheads="1"/>
        </xdr:cNvSpPr>
      </xdr:nvSpPr>
      <xdr:spPr bwMode="auto">
        <a:xfrm>
          <a:off x="190500" y="902017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0720" name="Rectangle 64"/>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95250</xdr:rowOff>
    </xdr:from>
    <xdr:to>
      <xdr:col>9</xdr:col>
      <xdr:colOff>695325</xdr:colOff>
      <xdr:row>36</xdr:row>
      <xdr:rowOff>152400</xdr:rowOff>
    </xdr:to>
    <xdr:sp macro="[0]!opmVoedPO" textlink="">
      <xdr:nvSpPr>
        <xdr:cNvPr id="70721" name="Rectangle 65"/>
        <xdr:cNvSpPr>
          <a:spLocks noChangeArrowheads="1"/>
        </xdr:cNvSpPr>
      </xdr:nvSpPr>
      <xdr:spPr bwMode="auto">
        <a:xfrm>
          <a:off x="171450" y="5514975"/>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0722" name="Rectangle 66"/>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23" name="Rectangle 67"/>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0724" name="Rectangle 68"/>
        <xdr:cNvSpPr>
          <a:spLocks noChangeArrowheads="1"/>
        </xdr:cNvSpPr>
      </xdr:nvSpPr>
      <xdr:spPr bwMode="auto">
        <a:xfrm>
          <a:off x="314325" y="690562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0725" name="Rectangle 69"/>
        <xdr:cNvSpPr>
          <a:spLocks noChangeArrowheads="1"/>
        </xdr:cNvSpPr>
      </xdr:nvSpPr>
      <xdr:spPr bwMode="auto">
        <a:xfrm>
          <a:off x="200025" y="871537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0726" name="Rectangle 70"/>
        <xdr:cNvSpPr>
          <a:spLocks noChangeArrowheads="1"/>
        </xdr:cNvSpPr>
      </xdr:nvSpPr>
      <xdr:spPr bwMode="auto">
        <a:xfrm>
          <a:off x="171450" y="1007745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0727" name="Rectangle 71"/>
        <xdr:cNvSpPr>
          <a:spLocks noChangeArrowheads="1"/>
        </xdr:cNvSpPr>
      </xdr:nvSpPr>
      <xdr:spPr bwMode="auto">
        <a:xfrm>
          <a:off x="152400" y="1007745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0728" name="Rectangle 72"/>
        <xdr:cNvSpPr>
          <a:spLocks noChangeArrowheads="1"/>
        </xdr:cNvSpPr>
      </xdr:nvSpPr>
      <xdr:spPr bwMode="auto">
        <a:xfrm>
          <a:off x="200025" y="736282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0729" name="Rectangle 73"/>
        <xdr:cNvSpPr>
          <a:spLocks noChangeArrowheads="1"/>
        </xdr:cNvSpPr>
      </xdr:nvSpPr>
      <xdr:spPr bwMode="auto">
        <a:xfrm>
          <a:off x="171450" y="449580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0730" name="Rectangle 74"/>
        <xdr:cNvSpPr>
          <a:spLocks noChangeArrowheads="1"/>
        </xdr:cNvSpPr>
      </xdr:nvSpPr>
      <xdr:spPr bwMode="auto">
        <a:xfrm>
          <a:off x="161925" y="1007745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0731" name="Rectangle 75"/>
        <xdr:cNvSpPr>
          <a:spLocks noChangeArrowheads="1"/>
        </xdr:cNvSpPr>
      </xdr:nvSpPr>
      <xdr:spPr bwMode="auto">
        <a:xfrm>
          <a:off x="133350" y="590550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0732" name="Rectangle 76"/>
        <xdr:cNvSpPr>
          <a:spLocks noChangeArrowheads="1"/>
        </xdr:cNvSpPr>
      </xdr:nvSpPr>
      <xdr:spPr bwMode="auto">
        <a:xfrm>
          <a:off x="180975" y="1007745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0733" name="Rectangle 77"/>
        <xdr:cNvSpPr>
          <a:spLocks noChangeArrowheads="1"/>
        </xdr:cNvSpPr>
      </xdr:nvSpPr>
      <xdr:spPr bwMode="auto">
        <a:xfrm>
          <a:off x="200025" y="554355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34" name="Rectangle 78"/>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0735" name="Rectangle 79"/>
        <xdr:cNvSpPr>
          <a:spLocks noChangeArrowheads="1"/>
        </xdr:cNvSpPr>
      </xdr:nvSpPr>
      <xdr:spPr bwMode="auto">
        <a:xfrm>
          <a:off x="390525" y="1953577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0736" name="Rectangle 80"/>
        <xdr:cNvSpPr>
          <a:spLocks noChangeArrowheads="1"/>
        </xdr:cNvSpPr>
      </xdr:nvSpPr>
      <xdr:spPr bwMode="auto">
        <a:xfrm>
          <a:off x="190500" y="1946910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0737" name="Rectangle 81"/>
        <xdr:cNvSpPr>
          <a:spLocks noChangeArrowheads="1"/>
        </xdr:cNvSpPr>
      </xdr:nvSpPr>
      <xdr:spPr bwMode="auto">
        <a:xfrm>
          <a:off x="190500" y="1195387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38" name="Rectangle 82"/>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0739" name="Rectangle 83"/>
        <xdr:cNvSpPr>
          <a:spLocks noChangeArrowheads="1"/>
        </xdr:cNvSpPr>
      </xdr:nvSpPr>
      <xdr:spPr bwMode="auto">
        <a:xfrm>
          <a:off x="171450" y="1247775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0740" name="Rectangle 84"/>
        <xdr:cNvSpPr>
          <a:spLocks noChangeArrowheads="1"/>
        </xdr:cNvSpPr>
      </xdr:nvSpPr>
      <xdr:spPr bwMode="auto">
        <a:xfrm>
          <a:off x="152400" y="1067752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0741" name="Rectangle 85"/>
        <xdr:cNvSpPr>
          <a:spLocks noChangeArrowheads="1"/>
        </xdr:cNvSpPr>
      </xdr:nvSpPr>
      <xdr:spPr bwMode="auto">
        <a:xfrm>
          <a:off x="161925" y="1578292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0742" name="Rectangle 86"/>
        <xdr:cNvSpPr>
          <a:spLocks noChangeArrowheads="1"/>
        </xdr:cNvSpPr>
      </xdr:nvSpPr>
      <xdr:spPr bwMode="auto">
        <a:xfrm>
          <a:off x="180975" y="1542097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43" name="Rectangle 87"/>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Infusen" textlink="">
      <xdr:nvSpPr>
        <xdr:cNvPr id="71681" name="Rectangle 1"/>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1" textlink="">
      <xdr:nvSpPr>
        <xdr:cNvPr id="71682" name="Rectangle 2"/>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2" textlink="">
      <xdr:nvSpPr>
        <xdr:cNvPr id="71683" name="Rectangle 3"/>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3" textlink="">
      <xdr:nvSpPr>
        <xdr:cNvPr id="71684" name="Rectangle 4"/>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4" textlink="">
      <xdr:nvSpPr>
        <xdr:cNvPr id="71685" name="Rectangle 5"/>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5" textlink="">
      <xdr:nvSpPr>
        <xdr:cNvPr id="71686" name="Rectangle 6"/>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1687" name="Rectangle 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8" name="Rectangle 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9" name="Rectangle 9"/>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90" name="Rectangle 10"/>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1691" name="Rectangle 11"/>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VoedPO" textlink="">
      <xdr:nvSpPr>
        <xdr:cNvPr id="71698" name="Rectangle 18"/>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16</xdr:row>
      <xdr:rowOff>0</xdr:rowOff>
    </xdr:from>
    <xdr:to>
      <xdr:col>9</xdr:col>
      <xdr:colOff>609600</xdr:colOff>
      <xdr:row>16</xdr:row>
      <xdr:rowOff>0</xdr:rowOff>
    </xdr:to>
    <xdr:sp macro="[0]!opmOverig_1" textlink="">
      <xdr:nvSpPr>
        <xdr:cNvPr id="71705" name="Rectangle 25"/>
        <xdr:cNvSpPr>
          <a:spLocks noChangeArrowheads="1"/>
        </xdr:cNvSpPr>
      </xdr:nvSpPr>
      <xdr:spPr bwMode="auto">
        <a:xfrm>
          <a:off x="371475" y="2609850"/>
          <a:ext cx="58959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6" name="Rectangle 26"/>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7" name="Rectangle 2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8" name="Rectangle 2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1709" name="Rectangle 29"/>
        <xdr:cNvSpPr>
          <a:spLocks noChangeArrowheads="1"/>
        </xdr:cNvSpPr>
      </xdr:nvSpPr>
      <xdr:spPr bwMode="auto">
        <a:xfrm>
          <a:off x="390525" y="2609850"/>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1711" name="Rectangle 31"/>
        <xdr:cNvSpPr>
          <a:spLocks noChangeArrowheads="1"/>
        </xdr:cNvSpPr>
      </xdr:nvSpPr>
      <xdr:spPr bwMode="auto">
        <a:xfrm>
          <a:off x="180975" y="25622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4</xdr:row>
      <xdr:rowOff>0</xdr:rowOff>
    </xdr:from>
    <xdr:to>
      <xdr:col>2</xdr:col>
      <xdr:colOff>752475</xdr:colOff>
      <xdr:row>4</xdr:row>
      <xdr:rowOff>133350</xdr:rowOff>
    </xdr:to>
    <xdr:sp macro="[0]!gaNaarBeademing" textlink="">
      <xdr:nvSpPr>
        <xdr:cNvPr id="71712" name="Rectangle 32"/>
        <xdr:cNvSpPr>
          <a:spLocks noChangeArrowheads="1"/>
        </xdr:cNvSpPr>
      </xdr:nvSpPr>
      <xdr:spPr bwMode="auto">
        <a:xfrm>
          <a:off x="152400" y="647700"/>
          <a:ext cx="96202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1713" name="Rectangle 33"/>
        <xdr:cNvSpPr>
          <a:spLocks noChangeArrowheads="1"/>
        </xdr:cNvSpPr>
      </xdr:nvSpPr>
      <xdr:spPr bwMode="auto">
        <a:xfrm>
          <a:off x="390525" y="309562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4" name="Rectangle 34"/>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5" name="Rectangle 35"/>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6" name="Rectangle 36"/>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1717" name="Rectangle 37"/>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1718" name="Rectangle 38"/>
        <xdr:cNvSpPr>
          <a:spLocks noChangeArrowheads="1"/>
        </xdr:cNvSpPr>
      </xdr:nvSpPr>
      <xdr:spPr bwMode="auto">
        <a:xfrm>
          <a:off x="2286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1719" name="Rectangle 39"/>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1720" name="Rectangle 40"/>
        <xdr:cNvSpPr>
          <a:spLocks noChangeArrowheads="1"/>
        </xdr:cNvSpPr>
      </xdr:nvSpPr>
      <xdr:spPr bwMode="auto">
        <a:xfrm>
          <a:off x="180975" y="309562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1721" name="Rectangle 41"/>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1722" name="Rectangle 42"/>
        <xdr:cNvSpPr>
          <a:spLocks noChangeArrowheads="1"/>
        </xdr:cNvSpPr>
      </xdr:nvSpPr>
      <xdr:spPr bwMode="auto">
        <a:xfrm>
          <a:off x="200025" y="309562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1723" name="Rectangle 43"/>
        <xdr:cNvSpPr>
          <a:spLocks noChangeArrowheads="1"/>
        </xdr:cNvSpPr>
      </xdr:nvSpPr>
      <xdr:spPr bwMode="auto">
        <a:xfrm>
          <a:off x="171450" y="309562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1724" name="Rectangle 44"/>
        <xdr:cNvSpPr>
          <a:spLocks noChangeArrowheads="1"/>
        </xdr:cNvSpPr>
      </xdr:nvSpPr>
      <xdr:spPr bwMode="auto">
        <a:xfrm>
          <a:off x="152400"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1725" name="Rectangle 45"/>
        <xdr:cNvSpPr>
          <a:spLocks noChangeArrowheads="1"/>
        </xdr:cNvSpPr>
      </xdr:nvSpPr>
      <xdr:spPr bwMode="auto">
        <a:xfrm>
          <a:off x="200025"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1726" name="Rectangle 46"/>
        <xdr:cNvSpPr>
          <a:spLocks noChangeArrowheads="1"/>
        </xdr:cNvSpPr>
      </xdr:nvSpPr>
      <xdr:spPr bwMode="auto">
        <a:xfrm>
          <a:off x="171450"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1727" name="Rectangle 47"/>
        <xdr:cNvSpPr>
          <a:spLocks noChangeArrowheads="1"/>
        </xdr:cNvSpPr>
      </xdr:nvSpPr>
      <xdr:spPr bwMode="auto">
        <a:xfrm>
          <a:off x="161925"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1728" name="Rectangle 48"/>
        <xdr:cNvSpPr>
          <a:spLocks noChangeArrowheads="1"/>
        </xdr:cNvSpPr>
      </xdr:nvSpPr>
      <xdr:spPr bwMode="auto">
        <a:xfrm>
          <a:off x="133350" y="309562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19</xdr:row>
      <xdr:rowOff>0</xdr:rowOff>
    </xdr:from>
    <xdr:to>
      <xdr:col>9</xdr:col>
      <xdr:colOff>619125</xdr:colOff>
      <xdr:row>19</xdr:row>
      <xdr:rowOff>0</xdr:rowOff>
    </xdr:to>
    <xdr:sp macro="[0]!opmVoedPO" textlink="">
      <xdr:nvSpPr>
        <xdr:cNvPr id="71729" name="Rectangle 49"/>
        <xdr:cNvSpPr>
          <a:spLocks noChangeArrowheads="1"/>
        </xdr:cNvSpPr>
      </xdr:nvSpPr>
      <xdr:spPr bwMode="auto">
        <a:xfrm>
          <a:off x="21907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10</xdr:col>
      <xdr:colOff>0</xdr:colOff>
      <xdr:row>19</xdr:row>
      <xdr:rowOff>0</xdr:rowOff>
    </xdr:to>
    <xdr:sp macro="[0]!opmAfsprMedIV_1" textlink="">
      <xdr:nvSpPr>
        <xdr:cNvPr id="71730" name="Rectangle 50"/>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1731" name="Rectangle 51"/>
        <xdr:cNvSpPr>
          <a:spLocks noChangeArrowheads="1"/>
        </xdr:cNvSpPr>
      </xdr:nvSpPr>
      <xdr:spPr bwMode="auto">
        <a:xfrm>
          <a:off x="390525" y="1036320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1732" name="Rectangle 52"/>
        <xdr:cNvSpPr>
          <a:spLocks noChangeArrowheads="1"/>
        </xdr:cNvSpPr>
      </xdr:nvSpPr>
      <xdr:spPr bwMode="auto">
        <a:xfrm>
          <a:off x="190500" y="898207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1733" name="Rectangle 53"/>
        <xdr:cNvSpPr>
          <a:spLocks noChangeArrowheads="1"/>
        </xdr:cNvSpPr>
      </xdr:nvSpPr>
      <xdr:spPr bwMode="auto">
        <a:xfrm>
          <a:off x="190500" y="922020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1734" name="Rectangle 54"/>
        <xdr:cNvSpPr>
          <a:spLocks noChangeArrowheads="1"/>
        </xdr:cNvSpPr>
      </xdr:nvSpPr>
      <xdr:spPr bwMode="auto">
        <a:xfrm>
          <a:off x="190500" y="930592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1735" name="Rectangle 55"/>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104775</xdr:rowOff>
    </xdr:from>
    <xdr:to>
      <xdr:col>9</xdr:col>
      <xdr:colOff>695325</xdr:colOff>
      <xdr:row>37</xdr:row>
      <xdr:rowOff>0</xdr:rowOff>
    </xdr:to>
    <xdr:sp macro="[0]!opmVoedPO" textlink="">
      <xdr:nvSpPr>
        <xdr:cNvPr id="71736" name="Rectangle 56"/>
        <xdr:cNvSpPr>
          <a:spLocks noChangeArrowheads="1"/>
        </xdr:cNvSpPr>
      </xdr:nvSpPr>
      <xdr:spPr bwMode="auto">
        <a:xfrm>
          <a:off x="171450" y="5810250"/>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1737" name="Rectangle 57"/>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1738" name="Rectangle 58"/>
        <xdr:cNvSpPr>
          <a:spLocks noChangeArrowheads="1"/>
        </xdr:cNvSpPr>
      </xdr:nvSpPr>
      <xdr:spPr bwMode="auto">
        <a:xfrm>
          <a:off x="180975" y="1036320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1739" name="Rectangle 59"/>
        <xdr:cNvSpPr>
          <a:spLocks noChangeArrowheads="1"/>
        </xdr:cNvSpPr>
      </xdr:nvSpPr>
      <xdr:spPr bwMode="auto">
        <a:xfrm>
          <a:off x="314325" y="719137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1740" name="Rectangle 60"/>
        <xdr:cNvSpPr>
          <a:spLocks noChangeArrowheads="1"/>
        </xdr:cNvSpPr>
      </xdr:nvSpPr>
      <xdr:spPr bwMode="auto">
        <a:xfrm>
          <a:off x="200025" y="900112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1741" name="Rectangle 61"/>
        <xdr:cNvSpPr>
          <a:spLocks noChangeArrowheads="1"/>
        </xdr:cNvSpPr>
      </xdr:nvSpPr>
      <xdr:spPr bwMode="auto">
        <a:xfrm>
          <a:off x="171450" y="1036320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1742" name="Rectangle 62"/>
        <xdr:cNvSpPr>
          <a:spLocks noChangeArrowheads="1"/>
        </xdr:cNvSpPr>
      </xdr:nvSpPr>
      <xdr:spPr bwMode="auto">
        <a:xfrm>
          <a:off x="152400" y="1036320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1743" name="Rectangle 63"/>
        <xdr:cNvSpPr>
          <a:spLocks noChangeArrowheads="1"/>
        </xdr:cNvSpPr>
      </xdr:nvSpPr>
      <xdr:spPr bwMode="auto">
        <a:xfrm>
          <a:off x="200025" y="764857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1744" name="Rectangle 64"/>
        <xdr:cNvSpPr>
          <a:spLocks noChangeArrowheads="1"/>
        </xdr:cNvSpPr>
      </xdr:nvSpPr>
      <xdr:spPr bwMode="auto">
        <a:xfrm>
          <a:off x="171450" y="478155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1745" name="Rectangle 65"/>
        <xdr:cNvSpPr>
          <a:spLocks noChangeArrowheads="1"/>
        </xdr:cNvSpPr>
      </xdr:nvSpPr>
      <xdr:spPr bwMode="auto">
        <a:xfrm>
          <a:off x="161925" y="1036320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1746" name="Rectangle 66"/>
        <xdr:cNvSpPr>
          <a:spLocks noChangeArrowheads="1"/>
        </xdr:cNvSpPr>
      </xdr:nvSpPr>
      <xdr:spPr bwMode="auto">
        <a:xfrm>
          <a:off x="133350" y="619125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1747" name="Rectangle 67"/>
        <xdr:cNvSpPr>
          <a:spLocks noChangeArrowheads="1"/>
        </xdr:cNvSpPr>
      </xdr:nvSpPr>
      <xdr:spPr bwMode="auto">
        <a:xfrm>
          <a:off x="180975" y="1036320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1748" name="Rectangle 68"/>
        <xdr:cNvSpPr>
          <a:spLocks noChangeArrowheads="1"/>
        </xdr:cNvSpPr>
      </xdr:nvSpPr>
      <xdr:spPr bwMode="auto">
        <a:xfrm>
          <a:off x="200025" y="582930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1749" name="Rectangle 69"/>
        <xdr:cNvSpPr>
          <a:spLocks noChangeArrowheads="1"/>
        </xdr:cNvSpPr>
      </xdr:nvSpPr>
      <xdr:spPr bwMode="auto">
        <a:xfrm>
          <a:off x="390525" y="1982152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1750" name="Rectangle 70"/>
        <xdr:cNvSpPr>
          <a:spLocks noChangeArrowheads="1"/>
        </xdr:cNvSpPr>
      </xdr:nvSpPr>
      <xdr:spPr bwMode="auto">
        <a:xfrm>
          <a:off x="190500" y="1975485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1751" name="Rectangle 71"/>
        <xdr:cNvSpPr>
          <a:spLocks noChangeArrowheads="1"/>
        </xdr:cNvSpPr>
      </xdr:nvSpPr>
      <xdr:spPr bwMode="auto">
        <a:xfrm>
          <a:off x="190500" y="1223962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2" name="Rectangle 72"/>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1753" name="Rectangle 73"/>
        <xdr:cNvSpPr>
          <a:spLocks noChangeArrowheads="1"/>
        </xdr:cNvSpPr>
      </xdr:nvSpPr>
      <xdr:spPr bwMode="auto">
        <a:xfrm>
          <a:off x="171450" y="1276350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1754" name="Rectangle 74"/>
        <xdr:cNvSpPr>
          <a:spLocks noChangeArrowheads="1"/>
        </xdr:cNvSpPr>
      </xdr:nvSpPr>
      <xdr:spPr bwMode="auto">
        <a:xfrm>
          <a:off x="152400" y="1096327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1755" name="Rectangle 75"/>
        <xdr:cNvSpPr>
          <a:spLocks noChangeArrowheads="1"/>
        </xdr:cNvSpPr>
      </xdr:nvSpPr>
      <xdr:spPr bwMode="auto">
        <a:xfrm>
          <a:off x="161925" y="1606867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1756" name="Rectangle 76"/>
        <xdr:cNvSpPr>
          <a:spLocks noChangeArrowheads="1"/>
        </xdr:cNvSpPr>
      </xdr:nvSpPr>
      <xdr:spPr bwMode="auto">
        <a:xfrm>
          <a:off x="180975" y="157067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7" name="Rectangle 77"/>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114898</xdr:colOff>
          <xdr:row>7</xdr:row>
          <xdr:rowOff>38299</xdr:rowOff>
        </xdr:from>
        <xdr:to>
          <xdr:col>2</xdr:col>
          <xdr:colOff>1058023</xdr:colOff>
          <xdr:row>8</xdr:row>
          <xdr:rowOff>9575</xdr:rowOff>
        </xdr:to>
        <xdr:sp macro="" textlink="">
          <xdr:nvSpPr>
            <xdr:cNvPr id="2050" name="Drop Down 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8</xdr:row>
          <xdr:rowOff>38299</xdr:rowOff>
        </xdr:from>
        <xdr:to>
          <xdr:col>2</xdr:col>
          <xdr:colOff>1058023</xdr:colOff>
          <xdr:row>9</xdr:row>
          <xdr:rowOff>9575</xdr:rowOff>
        </xdr:to>
        <xdr:sp macro="" textlink="">
          <xdr:nvSpPr>
            <xdr:cNvPr id="2051" name="Drop Down 3"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9</xdr:row>
          <xdr:rowOff>38299</xdr:rowOff>
        </xdr:from>
        <xdr:to>
          <xdr:col>2</xdr:col>
          <xdr:colOff>1058023</xdr:colOff>
          <xdr:row>10</xdr:row>
          <xdr:rowOff>9575</xdr:rowOff>
        </xdr:to>
        <xdr:sp macro="" textlink="">
          <xdr:nvSpPr>
            <xdr:cNvPr id="2052" name="Drop Down 4"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10</xdr:row>
          <xdr:rowOff>38299</xdr:rowOff>
        </xdr:from>
        <xdr:to>
          <xdr:col>2</xdr:col>
          <xdr:colOff>1058023</xdr:colOff>
          <xdr:row>11</xdr:row>
          <xdr:rowOff>9575</xdr:rowOff>
        </xdr:to>
        <xdr:sp macro="" textlink="">
          <xdr:nvSpPr>
            <xdr:cNvPr id="2053" name="Drop Down 5"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11</xdr:row>
          <xdr:rowOff>38299</xdr:rowOff>
        </xdr:from>
        <xdr:to>
          <xdr:col>2</xdr:col>
          <xdr:colOff>1058023</xdr:colOff>
          <xdr:row>12</xdr:row>
          <xdr:rowOff>9575</xdr:rowOff>
        </xdr:to>
        <xdr:sp macro="" textlink="">
          <xdr:nvSpPr>
            <xdr:cNvPr id="2054" name="Drop Down 6"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12</xdr:row>
          <xdr:rowOff>38299</xdr:rowOff>
        </xdr:from>
        <xdr:to>
          <xdr:col>2</xdr:col>
          <xdr:colOff>1058023</xdr:colOff>
          <xdr:row>13</xdr:row>
          <xdr:rowOff>9575</xdr:rowOff>
        </xdr:to>
        <xdr:sp macro="" textlink="">
          <xdr:nvSpPr>
            <xdr:cNvPr id="2055" name="Drop Down 7"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13</xdr:row>
          <xdr:rowOff>38299</xdr:rowOff>
        </xdr:from>
        <xdr:to>
          <xdr:col>2</xdr:col>
          <xdr:colOff>1058023</xdr:colOff>
          <xdr:row>14</xdr:row>
          <xdr:rowOff>9575</xdr:rowOff>
        </xdr:to>
        <xdr:sp macro="" textlink="">
          <xdr:nvSpPr>
            <xdr:cNvPr id="2056" name="Drop Down 8"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14</xdr:row>
          <xdr:rowOff>38299</xdr:rowOff>
        </xdr:from>
        <xdr:to>
          <xdr:col>2</xdr:col>
          <xdr:colOff>1058023</xdr:colOff>
          <xdr:row>15</xdr:row>
          <xdr:rowOff>9575</xdr:rowOff>
        </xdr:to>
        <xdr:sp macro="" textlink="">
          <xdr:nvSpPr>
            <xdr:cNvPr id="2057" name="Drop Down 9"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15</xdr:row>
          <xdr:rowOff>38299</xdr:rowOff>
        </xdr:from>
        <xdr:to>
          <xdr:col>2</xdr:col>
          <xdr:colOff>1058023</xdr:colOff>
          <xdr:row>16</xdr:row>
          <xdr:rowOff>9575</xdr:rowOff>
        </xdr:to>
        <xdr:sp macro="" textlink="">
          <xdr:nvSpPr>
            <xdr:cNvPr id="2058" name="Drop Down 10"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7</xdr:row>
          <xdr:rowOff>19150</xdr:rowOff>
        </xdr:from>
        <xdr:to>
          <xdr:col>5</xdr:col>
          <xdr:colOff>722903</xdr:colOff>
          <xdr:row>7</xdr:row>
          <xdr:rowOff>239372</xdr:rowOff>
        </xdr:to>
        <xdr:sp macro="" textlink="">
          <xdr:nvSpPr>
            <xdr:cNvPr id="2064" name="Drop Down 16"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8</xdr:row>
          <xdr:rowOff>19150</xdr:rowOff>
        </xdr:from>
        <xdr:to>
          <xdr:col>5</xdr:col>
          <xdr:colOff>722903</xdr:colOff>
          <xdr:row>8</xdr:row>
          <xdr:rowOff>239372</xdr:rowOff>
        </xdr:to>
        <xdr:sp macro="" textlink="">
          <xdr:nvSpPr>
            <xdr:cNvPr id="2076" name="Drop Down 28"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9</xdr:row>
          <xdr:rowOff>19150</xdr:rowOff>
        </xdr:from>
        <xdr:to>
          <xdr:col>5</xdr:col>
          <xdr:colOff>722903</xdr:colOff>
          <xdr:row>9</xdr:row>
          <xdr:rowOff>239372</xdr:rowOff>
        </xdr:to>
        <xdr:sp macro="" textlink="">
          <xdr:nvSpPr>
            <xdr:cNvPr id="2077" name="Drop Down 29"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10</xdr:row>
          <xdr:rowOff>19150</xdr:rowOff>
        </xdr:from>
        <xdr:to>
          <xdr:col>5</xdr:col>
          <xdr:colOff>722903</xdr:colOff>
          <xdr:row>10</xdr:row>
          <xdr:rowOff>239372</xdr:rowOff>
        </xdr:to>
        <xdr:sp macro="" textlink="">
          <xdr:nvSpPr>
            <xdr:cNvPr id="2078" name="Drop Down 30"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11</xdr:row>
          <xdr:rowOff>19150</xdr:rowOff>
        </xdr:from>
        <xdr:to>
          <xdr:col>5</xdr:col>
          <xdr:colOff>722903</xdr:colOff>
          <xdr:row>11</xdr:row>
          <xdr:rowOff>239372</xdr:rowOff>
        </xdr:to>
        <xdr:sp macro="" textlink="">
          <xdr:nvSpPr>
            <xdr:cNvPr id="2079" name="Drop Down 31"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12</xdr:row>
          <xdr:rowOff>19150</xdr:rowOff>
        </xdr:from>
        <xdr:to>
          <xdr:col>5</xdr:col>
          <xdr:colOff>722903</xdr:colOff>
          <xdr:row>12</xdr:row>
          <xdr:rowOff>239372</xdr:rowOff>
        </xdr:to>
        <xdr:sp macro="" textlink="">
          <xdr:nvSpPr>
            <xdr:cNvPr id="2080" name="Drop Down 32" hidden="1">
              <a:extLst>
                <a:ext uri="{63B3BB69-23CF-44E3-9099-C40C66FF867C}">
                  <a14:compatExt spid="_x0000_s20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13</xdr:row>
          <xdr:rowOff>19150</xdr:rowOff>
        </xdr:from>
        <xdr:to>
          <xdr:col>5</xdr:col>
          <xdr:colOff>722903</xdr:colOff>
          <xdr:row>13</xdr:row>
          <xdr:rowOff>239372</xdr:rowOff>
        </xdr:to>
        <xdr:sp macro="" textlink="">
          <xdr:nvSpPr>
            <xdr:cNvPr id="2081" name="Drop Down 33" hidden="1">
              <a:extLst>
                <a:ext uri="{63B3BB69-23CF-44E3-9099-C40C66FF867C}">
                  <a14:compatExt spid="_x0000_s2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14</xdr:row>
          <xdr:rowOff>19150</xdr:rowOff>
        </xdr:from>
        <xdr:to>
          <xdr:col>5</xdr:col>
          <xdr:colOff>722903</xdr:colOff>
          <xdr:row>14</xdr:row>
          <xdr:rowOff>239372</xdr:rowOff>
        </xdr:to>
        <xdr:sp macro="" textlink="">
          <xdr:nvSpPr>
            <xdr:cNvPr id="2082" name="Drop Down 34" hidden="1">
              <a:extLst>
                <a:ext uri="{63B3BB69-23CF-44E3-9099-C40C66FF867C}">
                  <a14:compatExt spid="_x0000_s2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15</xdr:row>
          <xdr:rowOff>19150</xdr:rowOff>
        </xdr:from>
        <xdr:to>
          <xdr:col>5</xdr:col>
          <xdr:colOff>722903</xdr:colOff>
          <xdr:row>15</xdr:row>
          <xdr:rowOff>239372</xdr:rowOff>
        </xdr:to>
        <xdr:sp macro="" textlink="">
          <xdr:nvSpPr>
            <xdr:cNvPr id="2083" name="Drop Down 35" hidden="1">
              <a:extLst>
                <a:ext uri="{63B3BB69-23CF-44E3-9099-C40C66FF867C}">
                  <a14:compatExt spid="_x0000_s2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20</xdr:row>
          <xdr:rowOff>0</xdr:rowOff>
        </xdr:from>
        <xdr:to>
          <xdr:col>5</xdr:col>
          <xdr:colOff>665453</xdr:colOff>
          <xdr:row>20</xdr:row>
          <xdr:rowOff>220222</xdr:rowOff>
        </xdr:to>
        <xdr:sp macro="" textlink="">
          <xdr:nvSpPr>
            <xdr:cNvPr id="2084" name="Drop Down 36"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21</xdr:row>
          <xdr:rowOff>0</xdr:rowOff>
        </xdr:from>
        <xdr:to>
          <xdr:col>5</xdr:col>
          <xdr:colOff>665453</xdr:colOff>
          <xdr:row>21</xdr:row>
          <xdr:rowOff>220222</xdr:rowOff>
        </xdr:to>
        <xdr:sp macro="" textlink="">
          <xdr:nvSpPr>
            <xdr:cNvPr id="2085" name="Drop Down 37"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22</xdr:row>
          <xdr:rowOff>0</xdr:rowOff>
        </xdr:from>
        <xdr:to>
          <xdr:col>5</xdr:col>
          <xdr:colOff>665453</xdr:colOff>
          <xdr:row>22</xdr:row>
          <xdr:rowOff>220222</xdr:rowOff>
        </xdr:to>
        <xdr:sp macro="" textlink="">
          <xdr:nvSpPr>
            <xdr:cNvPr id="2086" name="Drop Down 38"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20</xdr:row>
          <xdr:rowOff>28725</xdr:rowOff>
        </xdr:from>
        <xdr:to>
          <xdr:col>4</xdr:col>
          <xdr:colOff>646304</xdr:colOff>
          <xdr:row>20</xdr:row>
          <xdr:rowOff>220222</xdr:rowOff>
        </xdr:to>
        <xdr:sp macro="" textlink="">
          <xdr:nvSpPr>
            <xdr:cNvPr id="2108" name="Spinner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21</xdr:row>
          <xdr:rowOff>0</xdr:rowOff>
        </xdr:from>
        <xdr:to>
          <xdr:col>5</xdr:col>
          <xdr:colOff>665453</xdr:colOff>
          <xdr:row>21</xdr:row>
          <xdr:rowOff>220222</xdr:rowOff>
        </xdr:to>
        <xdr:sp macro="" textlink="">
          <xdr:nvSpPr>
            <xdr:cNvPr id="2111" name="Drop Down 63" hidden="1">
              <a:extLst>
                <a:ext uri="{63B3BB69-23CF-44E3-9099-C40C66FF867C}">
                  <a14:compatExt spid="_x0000_s2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21</xdr:row>
          <xdr:rowOff>28725</xdr:rowOff>
        </xdr:from>
        <xdr:to>
          <xdr:col>4</xdr:col>
          <xdr:colOff>646304</xdr:colOff>
          <xdr:row>21</xdr:row>
          <xdr:rowOff>220222</xdr:rowOff>
        </xdr:to>
        <xdr:sp macro="" textlink="">
          <xdr:nvSpPr>
            <xdr:cNvPr id="2112" name="Spinner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22</xdr:row>
          <xdr:rowOff>0</xdr:rowOff>
        </xdr:from>
        <xdr:to>
          <xdr:col>5</xdr:col>
          <xdr:colOff>665453</xdr:colOff>
          <xdr:row>22</xdr:row>
          <xdr:rowOff>220222</xdr:rowOff>
        </xdr:to>
        <xdr:sp macro="" textlink="">
          <xdr:nvSpPr>
            <xdr:cNvPr id="2113" name="Drop Down 65" hidden="1">
              <a:extLst>
                <a:ext uri="{63B3BB69-23CF-44E3-9099-C40C66FF867C}">
                  <a14:compatExt spid="_x0000_s2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22</xdr:row>
          <xdr:rowOff>28725</xdr:rowOff>
        </xdr:from>
        <xdr:to>
          <xdr:col>4</xdr:col>
          <xdr:colOff>646304</xdr:colOff>
          <xdr:row>22</xdr:row>
          <xdr:rowOff>220222</xdr:rowOff>
        </xdr:to>
        <xdr:sp macro="" textlink="">
          <xdr:nvSpPr>
            <xdr:cNvPr id="2114" name="Spinner 66" hidden="1">
              <a:extLst>
                <a:ext uri="{63B3BB69-23CF-44E3-9099-C40C66FF867C}">
                  <a14:compatExt spid="_x0000_s21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20</xdr:row>
          <xdr:rowOff>19150</xdr:rowOff>
        </xdr:from>
        <xdr:to>
          <xdr:col>6</xdr:col>
          <xdr:colOff>962274</xdr:colOff>
          <xdr:row>20</xdr:row>
          <xdr:rowOff>210647</xdr:rowOff>
        </xdr:to>
        <xdr:sp macro="" textlink="">
          <xdr:nvSpPr>
            <xdr:cNvPr id="2115" name="Spinner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21</xdr:row>
          <xdr:rowOff>19150</xdr:rowOff>
        </xdr:from>
        <xdr:to>
          <xdr:col>6</xdr:col>
          <xdr:colOff>962274</xdr:colOff>
          <xdr:row>21</xdr:row>
          <xdr:rowOff>210647</xdr:rowOff>
        </xdr:to>
        <xdr:sp macro="" textlink="">
          <xdr:nvSpPr>
            <xdr:cNvPr id="2116" name="Spinner 68" hidden="1">
              <a:extLst>
                <a:ext uri="{63B3BB69-23CF-44E3-9099-C40C66FF867C}">
                  <a14:compatExt spid="_x0000_s21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22</xdr:row>
          <xdr:rowOff>19150</xdr:rowOff>
        </xdr:from>
        <xdr:to>
          <xdr:col>6</xdr:col>
          <xdr:colOff>962274</xdr:colOff>
          <xdr:row>22</xdr:row>
          <xdr:rowOff>210647</xdr:rowOff>
        </xdr:to>
        <xdr:sp macro="" textlink="">
          <xdr:nvSpPr>
            <xdr:cNvPr id="2117" name="Spinner 69" hidden="1">
              <a:extLst>
                <a:ext uri="{63B3BB69-23CF-44E3-9099-C40C66FF867C}">
                  <a14:compatExt spid="_x0000_s21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18</xdr:row>
          <xdr:rowOff>0</xdr:rowOff>
        </xdr:from>
        <xdr:to>
          <xdr:col>5</xdr:col>
          <xdr:colOff>665453</xdr:colOff>
          <xdr:row>18</xdr:row>
          <xdr:rowOff>220222</xdr:rowOff>
        </xdr:to>
        <xdr:sp macro="" textlink="">
          <xdr:nvSpPr>
            <xdr:cNvPr id="2118" name="Drop Down 70" hidden="1">
              <a:extLst>
                <a:ext uri="{63B3BB69-23CF-44E3-9099-C40C66FF867C}">
                  <a14:compatExt spid="_x0000_s2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18</xdr:row>
          <xdr:rowOff>28725</xdr:rowOff>
        </xdr:from>
        <xdr:to>
          <xdr:col>4</xdr:col>
          <xdr:colOff>646304</xdr:colOff>
          <xdr:row>18</xdr:row>
          <xdr:rowOff>220222</xdr:rowOff>
        </xdr:to>
        <xdr:sp macro="" textlink="">
          <xdr:nvSpPr>
            <xdr:cNvPr id="2119" name="Spinner 71" hidden="1">
              <a:extLst>
                <a:ext uri="{63B3BB69-23CF-44E3-9099-C40C66FF867C}">
                  <a14:compatExt spid="_x0000_s211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18</xdr:row>
          <xdr:rowOff>19150</xdr:rowOff>
        </xdr:from>
        <xdr:to>
          <xdr:col>6</xdr:col>
          <xdr:colOff>962274</xdr:colOff>
          <xdr:row>18</xdr:row>
          <xdr:rowOff>210647</xdr:rowOff>
        </xdr:to>
        <xdr:sp macro="" textlink="">
          <xdr:nvSpPr>
            <xdr:cNvPr id="2120" name="Spinner 72" hidden="1">
              <a:extLst>
                <a:ext uri="{63B3BB69-23CF-44E3-9099-C40C66FF867C}">
                  <a14:compatExt spid="_x0000_s21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19</xdr:row>
          <xdr:rowOff>0</xdr:rowOff>
        </xdr:from>
        <xdr:to>
          <xdr:col>5</xdr:col>
          <xdr:colOff>665453</xdr:colOff>
          <xdr:row>19</xdr:row>
          <xdr:rowOff>220222</xdr:rowOff>
        </xdr:to>
        <xdr:sp macro="" textlink="">
          <xdr:nvSpPr>
            <xdr:cNvPr id="2121" name="Drop Down 73" hidden="1">
              <a:extLst>
                <a:ext uri="{63B3BB69-23CF-44E3-9099-C40C66FF867C}">
                  <a14:compatExt spid="_x0000_s2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19</xdr:row>
          <xdr:rowOff>28725</xdr:rowOff>
        </xdr:from>
        <xdr:to>
          <xdr:col>4</xdr:col>
          <xdr:colOff>646304</xdr:colOff>
          <xdr:row>19</xdr:row>
          <xdr:rowOff>220222</xdr:rowOff>
        </xdr:to>
        <xdr:sp macro="" textlink="">
          <xdr:nvSpPr>
            <xdr:cNvPr id="2122" name="Spinner 74" hidden="1">
              <a:extLst>
                <a:ext uri="{63B3BB69-23CF-44E3-9099-C40C66FF867C}">
                  <a14:compatExt spid="_x0000_s21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19</xdr:row>
          <xdr:rowOff>19150</xdr:rowOff>
        </xdr:from>
        <xdr:to>
          <xdr:col>6</xdr:col>
          <xdr:colOff>962274</xdr:colOff>
          <xdr:row>19</xdr:row>
          <xdr:rowOff>210647</xdr:rowOff>
        </xdr:to>
        <xdr:sp macro="" textlink="">
          <xdr:nvSpPr>
            <xdr:cNvPr id="2123" name="Spinner 75" hidden="1">
              <a:extLst>
                <a:ext uri="{63B3BB69-23CF-44E3-9099-C40C66FF867C}">
                  <a14:compatExt spid="_x0000_s21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16</xdr:row>
          <xdr:rowOff>38299</xdr:rowOff>
        </xdr:from>
        <xdr:to>
          <xdr:col>2</xdr:col>
          <xdr:colOff>1058023</xdr:colOff>
          <xdr:row>17</xdr:row>
          <xdr:rowOff>9575</xdr:rowOff>
        </xdr:to>
        <xdr:sp macro="" textlink="">
          <xdr:nvSpPr>
            <xdr:cNvPr id="2124" name="Drop Down 76" hidden="1">
              <a:extLst>
                <a:ext uri="{63B3BB69-23CF-44E3-9099-C40C66FF867C}">
                  <a14:compatExt spid="_x0000_s21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16</xdr:row>
          <xdr:rowOff>19150</xdr:rowOff>
        </xdr:from>
        <xdr:to>
          <xdr:col>5</xdr:col>
          <xdr:colOff>722903</xdr:colOff>
          <xdr:row>16</xdr:row>
          <xdr:rowOff>239372</xdr:rowOff>
        </xdr:to>
        <xdr:sp macro="" textlink="">
          <xdr:nvSpPr>
            <xdr:cNvPr id="2125" name="Drop Down 77" hidden="1">
              <a:extLst>
                <a:ext uri="{63B3BB69-23CF-44E3-9099-C40C66FF867C}">
                  <a14:compatExt spid="_x0000_s21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7</xdr:row>
          <xdr:rowOff>9575</xdr:rowOff>
        </xdr:from>
        <xdr:to>
          <xdr:col>6</xdr:col>
          <xdr:colOff>952699</xdr:colOff>
          <xdr:row>7</xdr:row>
          <xdr:rowOff>220222</xdr:rowOff>
        </xdr:to>
        <xdr:sp macro="" textlink="">
          <xdr:nvSpPr>
            <xdr:cNvPr id="2126" name="Spinner 78" hidden="1">
              <a:extLst>
                <a:ext uri="{63B3BB69-23CF-44E3-9099-C40C66FF867C}">
                  <a14:compatExt spid="_x0000_s21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8</xdr:row>
          <xdr:rowOff>9575</xdr:rowOff>
        </xdr:from>
        <xdr:to>
          <xdr:col>6</xdr:col>
          <xdr:colOff>952699</xdr:colOff>
          <xdr:row>8</xdr:row>
          <xdr:rowOff>220222</xdr:rowOff>
        </xdr:to>
        <xdr:sp macro="" textlink="">
          <xdr:nvSpPr>
            <xdr:cNvPr id="2127" name="Spinner 79" hidden="1">
              <a:extLst>
                <a:ext uri="{63B3BB69-23CF-44E3-9099-C40C66FF867C}">
                  <a14:compatExt spid="_x0000_s212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9</xdr:row>
          <xdr:rowOff>9575</xdr:rowOff>
        </xdr:from>
        <xdr:to>
          <xdr:col>6</xdr:col>
          <xdr:colOff>952699</xdr:colOff>
          <xdr:row>9</xdr:row>
          <xdr:rowOff>220222</xdr:rowOff>
        </xdr:to>
        <xdr:sp macro="" textlink="">
          <xdr:nvSpPr>
            <xdr:cNvPr id="2128" name="Spinner 80" hidden="1">
              <a:extLst>
                <a:ext uri="{63B3BB69-23CF-44E3-9099-C40C66FF867C}">
                  <a14:compatExt spid="_x0000_s21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10</xdr:row>
          <xdr:rowOff>9575</xdr:rowOff>
        </xdr:from>
        <xdr:to>
          <xdr:col>6</xdr:col>
          <xdr:colOff>952699</xdr:colOff>
          <xdr:row>10</xdr:row>
          <xdr:rowOff>220222</xdr:rowOff>
        </xdr:to>
        <xdr:sp macro="" textlink="">
          <xdr:nvSpPr>
            <xdr:cNvPr id="2129" name="Spinner 81" hidden="1">
              <a:extLst>
                <a:ext uri="{63B3BB69-23CF-44E3-9099-C40C66FF867C}">
                  <a14:compatExt spid="_x0000_s21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11</xdr:row>
          <xdr:rowOff>9575</xdr:rowOff>
        </xdr:from>
        <xdr:to>
          <xdr:col>6</xdr:col>
          <xdr:colOff>952699</xdr:colOff>
          <xdr:row>11</xdr:row>
          <xdr:rowOff>220222</xdr:rowOff>
        </xdr:to>
        <xdr:sp macro="" textlink="">
          <xdr:nvSpPr>
            <xdr:cNvPr id="2130" name="Spinner 82" hidden="1">
              <a:extLst>
                <a:ext uri="{63B3BB69-23CF-44E3-9099-C40C66FF867C}">
                  <a14:compatExt spid="_x0000_s21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12</xdr:row>
          <xdr:rowOff>9575</xdr:rowOff>
        </xdr:from>
        <xdr:to>
          <xdr:col>6</xdr:col>
          <xdr:colOff>952699</xdr:colOff>
          <xdr:row>12</xdr:row>
          <xdr:rowOff>220222</xdr:rowOff>
        </xdr:to>
        <xdr:sp macro="" textlink="">
          <xdr:nvSpPr>
            <xdr:cNvPr id="2131" name="Spinner 83" hidden="1">
              <a:extLst>
                <a:ext uri="{63B3BB69-23CF-44E3-9099-C40C66FF867C}">
                  <a14:compatExt spid="_x0000_s21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13</xdr:row>
          <xdr:rowOff>9575</xdr:rowOff>
        </xdr:from>
        <xdr:to>
          <xdr:col>6</xdr:col>
          <xdr:colOff>952699</xdr:colOff>
          <xdr:row>13</xdr:row>
          <xdr:rowOff>220222</xdr:rowOff>
        </xdr:to>
        <xdr:sp macro="" textlink="">
          <xdr:nvSpPr>
            <xdr:cNvPr id="2132" name="Spinner 84" hidden="1">
              <a:extLst>
                <a:ext uri="{63B3BB69-23CF-44E3-9099-C40C66FF867C}">
                  <a14:compatExt spid="_x0000_s21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14</xdr:row>
          <xdr:rowOff>9575</xdr:rowOff>
        </xdr:from>
        <xdr:to>
          <xdr:col>6</xdr:col>
          <xdr:colOff>952699</xdr:colOff>
          <xdr:row>14</xdr:row>
          <xdr:rowOff>220222</xdr:rowOff>
        </xdr:to>
        <xdr:sp macro="" textlink="">
          <xdr:nvSpPr>
            <xdr:cNvPr id="2133" name="Spinner 85" hidden="1">
              <a:extLst>
                <a:ext uri="{63B3BB69-23CF-44E3-9099-C40C66FF867C}">
                  <a14:compatExt spid="_x0000_s21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15</xdr:row>
          <xdr:rowOff>9575</xdr:rowOff>
        </xdr:from>
        <xdr:to>
          <xdr:col>6</xdr:col>
          <xdr:colOff>952699</xdr:colOff>
          <xdr:row>15</xdr:row>
          <xdr:rowOff>220222</xdr:rowOff>
        </xdr:to>
        <xdr:sp macro="" textlink="">
          <xdr:nvSpPr>
            <xdr:cNvPr id="2134" name="Spinner 86" hidden="1">
              <a:extLst>
                <a:ext uri="{63B3BB69-23CF-44E3-9099-C40C66FF867C}">
                  <a14:compatExt spid="_x0000_s21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16</xdr:row>
          <xdr:rowOff>9575</xdr:rowOff>
        </xdr:from>
        <xdr:to>
          <xdr:col>6</xdr:col>
          <xdr:colOff>952699</xdr:colOff>
          <xdr:row>16</xdr:row>
          <xdr:rowOff>220222</xdr:rowOff>
        </xdr:to>
        <xdr:sp macro="" textlink="">
          <xdr:nvSpPr>
            <xdr:cNvPr id="2135" name="Spinner 87" hidden="1">
              <a:extLst>
                <a:ext uri="{63B3BB69-23CF-44E3-9099-C40C66FF867C}">
                  <a14:compatExt spid="_x0000_s213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xdr:col>
      <xdr:colOff>9525</xdr:colOff>
      <xdr:row>18</xdr:row>
      <xdr:rowOff>0</xdr:rowOff>
    </xdr:from>
    <xdr:to>
      <xdr:col>2</xdr:col>
      <xdr:colOff>1114425</xdr:colOff>
      <xdr:row>18</xdr:row>
      <xdr:rowOff>238125</xdr:rowOff>
    </xdr:to>
    <xdr:sp macro="[0]!MedIV_11" textlink="">
      <xdr:nvSpPr>
        <xdr:cNvPr id="2154" name="Rectangle 106"/>
        <xdr:cNvSpPr>
          <a:spLocks noChangeArrowheads="1"/>
        </xdr:cNvSpPr>
      </xdr:nvSpPr>
      <xdr:spPr bwMode="auto">
        <a:xfrm>
          <a:off x="600075" y="38862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19</xdr:row>
      <xdr:rowOff>0</xdr:rowOff>
    </xdr:from>
    <xdr:to>
      <xdr:col>2</xdr:col>
      <xdr:colOff>1114425</xdr:colOff>
      <xdr:row>19</xdr:row>
      <xdr:rowOff>238125</xdr:rowOff>
    </xdr:to>
    <xdr:sp macro="[0]!MedIV_12" textlink="">
      <xdr:nvSpPr>
        <xdr:cNvPr id="2155" name="Rectangle 107"/>
        <xdr:cNvSpPr>
          <a:spLocks noChangeArrowheads="1"/>
        </xdr:cNvSpPr>
      </xdr:nvSpPr>
      <xdr:spPr bwMode="auto">
        <a:xfrm>
          <a:off x="600075" y="41338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20</xdr:row>
      <xdr:rowOff>0</xdr:rowOff>
    </xdr:from>
    <xdr:to>
      <xdr:col>2</xdr:col>
      <xdr:colOff>1114425</xdr:colOff>
      <xdr:row>20</xdr:row>
      <xdr:rowOff>238125</xdr:rowOff>
    </xdr:to>
    <xdr:sp macro="[0]!MedIV_13" textlink="">
      <xdr:nvSpPr>
        <xdr:cNvPr id="2156" name="Rectangle 108"/>
        <xdr:cNvSpPr>
          <a:spLocks noChangeArrowheads="1"/>
        </xdr:cNvSpPr>
      </xdr:nvSpPr>
      <xdr:spPr bwMode="auto">
        <a:xfrm>
          <a:off x="600075" y="43815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21</xdr:row>
      <xdr:rowOff>0</xdr:rowOff>
    </xdr:from>
    <xdr:to>
      <xdr:col>2</xdr:col>
      <xdr:colOff>1114425</xdr:colOff>
      <xdr:row>21</xdr:row>
      <xdr:rowOff>238125</xdr:rowOff>
    </xdr:to>
    <xdr:sp macro="[0]!MedIV_14" textlink="">
      <xdr:nvSpPr>
        <xdr:cNvPr id="2157" name="Rectangle 109"/>
        <xdr:cNvSpPr>
          <a:spLocks noChangeArrowheads="1"/>
        </xdr:cNvSpPr>
      </xdr:nvSpPr>
      <xdr:spPr bwMode="auto">
        <a:xfrm>
          <a:off x="600075" y="46291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22</xdr:row>
      <xdr:rowOff>0</xdr:rowOff>
    </xdr:from>
    <xdr:to>
      <xdr:col>2</xdr:col>
      <xdr:colOff>1114425</xdr:colOff>
      <xdr:row>22</xdr:row>
      <xdr:rowOff>238125</xdr:rowOff>
    </xdr:to>
    <xdr:sp macro="[0]!MedIV_15" textlink="">
      <xdr:nvSpPr>
        <xdr:cNvPr id="2158" name="Rectangle 110"/>
        <xdr:cNvSpPr>
          <a:spLocks noChangeArrowheads="1"/>
        </xdr:cNvSpPr>
      </xdr:nvSpPr>
      <xdr:spPr bwMode="auto">
        <a:xfrm>
          <a:off x="600075" y="48768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9</xdr:col>
          <xdr:colOff>430869</xdr:colOff>
          <xdr:row>2</xdr:row>
          <xdr:rowOff>9575</xdr:rowOff>
        </xdr:from>
        <xdr:to>
          <xdr:col>9</xdr:col>
          <xdr:colOff>588854</xdr:colOff>
          <xdr:row>2</xdr:row>
          <xdr:rowOff>181923</xdr:rowOff>
        </xdr:to>
        <xdr:sp macro="" textlink="">
          <xdr:nvSpPr>
            <xdr:cNvPr id="2159" name="Spinner 111" hidden="1">
              <a:extLst>
                <a:ext uri="{63B3BB69-23CF-44E3-9099-C40C66FF867C}">
                  <a14:compatExt spid="_x0000_s21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354270</xdr:colOff>
          <xdr:row>2</xdr:row>
          <xdr:rowOff>0</xdr:rowOff>
        </xdr:from>
        <xdr:to>
          <xdr:col>11</xdr:col>
          <xdr:colOff>512255</xdr:colOff>
          <xdr:row>2</xdr:row>
          <xdr:rowOff>172348</xdr:rowOff>
        </xdr:to>
        <xdr:sp macro="" textlink="">
          <xdr:nvSpPr>
            <xdr:cNvPr id="2160" name="Spinner 112" hidden="1">
              <a:extLst>
                <a:ext uri="{63B3BB69-23CF-44E3-9099-C40C66FF867C}">
                  <a14:compatExt spid="_x0000_s216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8</xdr:col>
      <xdr:colOff>19050</xdr:colOff>
      <xdr:row>2</xdr:row>
      <xdr:rowOff>38100</xdr:rowOff>
    </xdr:from>
    <xdr:to>
      <xdr:col>8</xdr:col>
      <xdr:colOff>990600</xdr:colOff>
      <xdr:row>3</xdr:row>
      <xdr:rowOff>0</xdr:rowOff>
    </xdr:to>
    <xdr:sp macro="[0]!InGewicht" textlink="">
      <xdr:nvSpPr>
        <xdr:cNvPr id="2161" name="Rectangle 113"/>
        <xdr:cNvSpPr>
          <a:spLocks noChangeArrowheads="1"/>
        </xdr:cNvSpPr>
      </xdr:nvSpPr>
      <xdr:spPr bwMode="auto">
        <a:xfrm>
          <a:off x="6553200" y="352425"/>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10</xdr:col>
      <xdr:colOff>28575</xdr:colOff>
      <xdr:row>2</xdr:row>
      <xdr:rowOff>19050</xdr:rowOff>
    </xdr:from>
    <xdr:to>
      <xdr:col>10</xdr:col>
      <xdr:colOff>609600</xdr:colOff>
      <xdr:row>2</xdr:row>
      <xdr:rowOff>171450</xdr:rowOff>
    </xdr:to>
    <xdr:sp macro="[0]!InLengte" textlink="">
      <xdr:nvSpPr>
        <xdr:cNvPr id="2162" name="Rectangle 114"/>
        <xdr:cNvSpPr>
          <a:spLocks noChangeArrowheads="1"/>
        </xdr:cNvSpPr>
      </xdr:nvSpPr>
      <xdr:spPr bwMode="auto">
        <a:xfrm>
          <a:off x="7886700" y="333375"/>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2163" name="Rectangle 115"/>
        <xdr:cNvSpPr>
          <a:spLocks noChangeArrowheads="1"/>
        </xdr:cNvSpPr>
      </xdr:nvSpPr>
      <xdr:spPr bwMode="auto">
        <a:xfrm flipV="1">
          <a:off x="1714500" y="314325"/>
          <a:ext cx="16383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228600</xdr:colOff>
      <xdr:row>30</xdr:row>
      <xdr:rowOff>9525</xdr:rowOff>
    </xdr:from>
    <xdr:to>
      <xdr:col>9</xdr:col>
      <xdr:colOff>695325</xdr:colOff>
      <xdr:row>34</xdr:row>
      <xdr:rowOff>152400</xdr:rowOff>
    </xdr:to>
    <xdr:sp macro="[0]!opmAfsprMedIV_1" textlink="">
      <xdr:nvSpPr>
        <xdr:cNvPr id="2164" name="Rectangle 116"/>
        <xdr:cNvSpPr>
          <a:spLocks noChangeArrowheads="1"/>
        </xdr:cNvSpPr>
      </xdr:nvSpPr>
      <xdr:spPr bwMode="auto">
        <a:xfrm>
          <a:off x="581025" y="6267450"/>
          <a:ext cx="7258050" cy="7905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190500</xdr:colOff>
      <xdr:row>4</xdr:row>
      <xdr:rowOff>133350</xdr:rowOff>
    </xdr:from>
    <xdr:to>
      <xdr:col>2</xdr:col>
      <xdr:colOff>828675</xdr:colOff>
      <xdr:row>6</xdr:row>
      <xdr:rowOff>9525</xdr:rowOff>
    </xdr:to>
    <xdr:sp macro="[0]!gaNaarContinueMedicatie" textlink="">
      <xdr:nvSpPr>
        <xdr:cNvPr id="2165" name="Rectangle 117"/>
        <xdr:cNvSpPr>
          <a:spLocks noChangeArrowheads="1"/>
        </xdr:cNvSpPr>
      </xdr:nvSpPr>
      <xdr:spPr bwMode="auto">
        <a:xfrm>
          <a:off x="542925" y="8858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46" name="Spinner 26" hidden="1">
              <a:extLst>
                <a:ext uri="{63B3BB69-23CF-44E3-9099-C40C66FF867C}">
                  <a14:compatExt spid="_x0000_s514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47" name="Spinner 27" hidden="1">
              <a:extLst>
                <a:ext uri="{63B3BB69-23CF-44E3-9099-C40C66FF867C}">
                  <a14:compatExt spid="_x0000_s514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48" name="Spinner 28" hidden="1">
              <a:extLst>
                <a:ext uri="{63B3BB69-23CF-44E3-9099-C40C66FF867C}">
                  <a14:compatExt spid="_x0000_s514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49" name="Spinner 29" hidden="1">
              <a:extLst>
                <a:ext uri="{63B3BB69-23CF-44E3-9099-C40C66FF867C}">
                  <a14:compatExt spid="_x0000_s5149"/>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0" name="Spinner 30" hidden="1">
              <a:extLst>
                <a:ext uri="{63B3BB69-23CF-44E3-9099-C40C66FF867C}">
                  <a14:compatExt spid="_x0000_s515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1" name="Spinner 31" hidden="1">
              <a:extLst>
                <a:ext uri="{63B3BB69-23CF-44E3-9099-C40C66FF867C}">
                  <a14:compatExt spid="_x0000_s5151"/>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2" name="Spinner 32" hidden="1">
              <a:extLst>
                <a:ext uri="{63B3BB69-23CF-44E3-9099-C40C66FF867C}">
                  <a14:compatExt spid="_x0000_s5152"/>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3" name="Spinner 33" hidden="1">
              <a:extLst>
                <a:ext uri="{63B3BB69-23CF-44E3-9099-C40C66FF867C}">
                  <a14:compatExt spid="_x0000_s515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4" name="Spinner 34" hidden="1">
              <a:extLst>
                <a:ext uri="{63B3BB69-23CF-44E3-9099-C40C66FF867C}">
                  <a14:compatExt spid="_x0000_s5154"/>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5" name="Spinner 35" hidden="1">
              <a:extLst>
                <a:ext uri="{63B3BB69-23CF-44E3-9099-C40C66FF867C}">
                  <a14:compatExt spid="_x0000_s5155"/>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6" name="Spinner 36" hidden="1">
              <a:extLst>
                <a:ext uri="{63B3BB69-23CF-44E3-9099-C40C66FF867C}">
                  <a14:compatExt spid="_x0000_s515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7" name="Spinner 37" hidden="1">
              <a:extLst>
                <a:ext uri="{63B3BB69-23CF-44E3-9099-C40C66FF867C}">
                  <a14:compatExt spid="_x0000_s515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58" name="Spinner 38" hidden="1">
              <a:extLst>
                <a:ext uri="{63B3BB69-23CF-44E3-9099-C40C66FF867C}">
                  <a14:compatExt spid="_x0000_s515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20</xdr:row>
          <xdr:rowOff>0</xdr:rowOff>
        </xdr:from>
        <xdr:to>
          <xdr:col>6</xdr:col>
          <xdr:colOff>0</xdr:colOff>
          <xdr:row>20</xdr:row>
          <xdr:rowOff>0</xdr:rowOff>
        </xdr:to>
        <xdr:sp macro="" textlink="">
          <xdr:nvSpPr>
            <xdr:cNvPr id="5183" name="Spinner 63" hidden="1">
              <a:extLst>
                <a:ext uri="{63B3BB69-23CF-44E3-9099-C40C66FF867C}">
                  <a14:compatExt spid="_x0000_s518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627154</xdr:colOff>
          <xdr:row>4</xdr:row>
          <xdr:rowOff>38299</xdr:rowOff>
        </xdr:from>
        <xdr:to>
          <xdr:col>3</xdr:col>
          <xdr:colOff>742052</xdr:colOff>
          <xdr:row>4</xdr:row>
          <xdr:rowOff>210647</xdr:rowOff>
        </xdr:to>
        <xdr:sp macro="" textlink="">
          <xdr:nvSpPr>
            <xdr:cNvPr id="5244" name="Spinner 124" hidden="1">
              <a:extLst>
                <a:ext uri="{63B3BB69-23CF-44E3-9099-C40C66FF867C}">
                  <a14:compatExt spid="_x0000_s52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4</xdr:row>
          <xdr:rowOff>38299</xdr:rowOff>
        </xdr:from>
        <xdr:to>
          <xdr:col>4</xdr:col>
          <xdr:colOff>923975</xdr:colOff>
          <xdr:row>4</xdr:row>
          <xdr:rowOff>210647</xdr:rowOff>
        </xdr:to>
        <xdr:sp macro="" textlink="">
          <xdr:nvSpPr>
            <xdr:cNvPr id="5266" name="Spinner 146" hidden="1">
              <a:extLst>
                <a:ext uri="{63B3BB69-23CF-44E3-9099-C40C66FF867C}">
                  <a14:compatExt spid="_x0000_s52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4</xdr:row>
          <xdr:rowOff>38299</xdr:rowOff>
        </xdr:from>
        <xdr:to>
          <xdr:col>5</xdr:col>
          <xdr:colOff>1201646</xdr:colOff>
          <xdr:row>4</xdr:row>
          <xdr:rowOff>210647</xdr:rowOff>
        </xdr:to>
        <xdr:sp macro="" textlink="">
          <xdr:nvSpPr>
            <xdr:cNvPr id="5288" name="Spinner 168" hidden="1">
              <a:extLst>
                <a:ext uri="{63B3BB69-23CF-44E3-9099-C40C66FF867C}">
                  <a14:compatExt spid="_x0000_s52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5</xdr:row>
          <xdr:rowOff>38299</xdr:rowOff>
        </xdr:from>
        <xdr:to>
          <xdr:col>5</xdr:col>
          <xdr:colOff>1201646</xdr:colOff>
          <xdr:row>5</xdr:row>
          <xdr:rowOff>210647</xdr:rowOff>
        </xdr:to>
        <xdr:sp macro="" textlink="">
          <xdr:nvSpPr>
            <xdr:cNvPr id="5289" name="Spinner 169" hidden="1">
              <a:extLst>
                <a:ext uri="{63B3BB69-23CF-44E3-9099-C40C66FF867C}">
                  <a14:compatExt spid="_x0000_s528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6</xdr:row>
          <xdr:rowOff>38299</xdr:rowOff>
        </xdr:from>
        <xdr:to>
          <xdr:col>5</xdr:col>
          <xdr:colOff>1201646</xdr:colOff>
          <xdr:row>6</xdr:row>
          <xdr:rowOff>210647</xdr:rowOff>
        </xdr:to>
        <xdr:sp macro="" textlink="">
          <xdr:nvSpPr>
            <xdr:cNvPr id="5290" name="Spinner 170" hidden="1">
              <a:extLst>
                <a:ext uri="{63B3BB69-23CF-44E3-9099-C40C66FF867C}">
                  <a14:compatExt spid="_x0000_s52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7</xdr:row>
          <xdr:rowOff>38299</xdr:rowOff>
        </xdr:from>
        <xdr:to>
          <xdr:col>5</xdr:col>
          <xdr:colOff>1201646</xdr:colOff>
          <xdr:row>7</xdr:row>
          <xdr:rowOff>210647</xdr:rowOff>
        </xdr:to>
        <xdr:sp macro="" textlink="">
          <xdr:nvSpPr>
            <xdr:cNvPr id="5291" name="Spinner 171" hidden="1">
              <a:extLst>
                <a:ext uri="{63B3BB69-23CF-44E3-9099-C40C66FF867C}">
                  <a14:compatExt spid="_x0000_s52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9</xdr:row>
          <xdr:rowOff>38299</xdr:rowOff>
        </xdr:from>
        <xdr:to>
          <xdr:col>5</xdr:col>
          <xdr:colOff>1201646</xdr:colOff>
          <xdr:row>9</xdr:row>
          <xdr:rowOff>210647</xdr:rowOff>
        </xdr:to>
        <xdr:sp macro="" textlink="">
          <xdr:nvSpPr>
            <xdr:cNvPr id="5292" name="Spinner 172" hidden="1">
              <a:extLst>
                <a:ext uri="{63B3BB69-23CF-44E3-9099-C40C66FF867C}">
                  <a14:compatExt spid="_x0000_s52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10</xdr:row>
          <xdr:rowOff>38299</xdr:rowOff>
        </xdr:from>
        <xdr:to>
          <xdr:col>5</xdr:col>
          <xdr:colOff>1201646</xdr:colOff>
          <xdr:row>10</xdr:row>
          <xdr:rowOff>210647</xdr:rowOff>
        </xdr:to>
        <xdr:sp macro="" textlink="">
          <xdr:nvSpPr>
            <xdr:cNvPr id="5293" name="Spinner 173" hidden="1">
              <a:extLst>
                <a:ext uri="{63B3BB69-23CF-44E3-9099-C40C66FF867C}">
                  <a14:compatExt spid="_x0000_s529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11</xdr:row>
          <xdr:rowOff>38299</xdr:rowOff>
        </xdr:from>
        <xdr:to>
          <xdr:col>5</xdr:col>
          <xdr:colOff>1201646</xdr:colOff>
          <xdr:row>11</xdr:row>
          <xdr:rowOff>210647</xdr:rowOff>
        </xdr:to>
        <xdr:sp macro="" textlink="">
          <xdr:nvSpPr>
            <xdr:cNvPr id="5294" name="Spinner 174" hidden="1">
              <a:extLst>
                <a:ext uri="{63B3BB69-23CF-44E3-9099-C40C66FF867C}">
                  <a14:compatExt spid="_x0000_s52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12</xdr:row>
          <xdr:rowOff>38299</xdr:rowOff>
        </xdr:from>
        <xdr:to>
          <xdr:col>5</xdr:col>
          <xdr:colOff>1201646</xdr:colOff>
          <xdr:row>12</xdr:row>
          <xdr:rowOff>210647</xdr:rowOff>
        </xdr:to>
        <xdr:sp macro="" textlink="">
          <xdr:nvSpPr>
            <xdr:cNvPr id="5295" name="Spinner 175" hidden="1">
              <a:extLst>
                <a:ext uri="{63B3BB69-23CF-44E3-9099-C40C66FF867C}">
                  <a14:compatExt spid="_x0000_s52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13</xdr:row>
          <xdr:rowOff>38299</xdr:rowOff>
        </xdr:from>
        <xdr:to>
          <xdr:col>5</xdr:col>
          <xdr:colOff>1201646</xdr:colOff>
          <xdr:row>13</xdr:row>
          <xdr:rowOff>210647</xdr:rowOff>
        </xdr:to>
        <xdr:sp macro="" textlink="">
          <xdr:nvSpPr>
            <xdr:cNvPr id="5296" name="Spinner 176" hidden="1">
              <a:extLst>
                <a:ext uri="{63B3BB69-23CF-44E3-9099-C40C66FF867C}">
                  <a14:compatExt spid="_x0000_s52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14</xdr:row>
          <xdr:rowOff>38299</xdr:rowOff>
        </xdr:from>
        <xdr:to>
          <xdr:col>5</xdr:col>
          <xdr:colOff>1201646</xdr:colOff>
          <xdr:row>14</xdr:row>
          <xdr:rowOff>210647</xdr:rowOff>
        </xdr:to>
        <xdr:sp macro="" textlink="">
          <xdr:nvSpPr>
            <xdr:cNvPr id="5298" name="Spinner 178" hidden="1">
              <a:extLst>
                <a:ext uri="{63B3BB69-23CF-44E3-9099-C40C66FF867C}">
                  <a14:compatExt spid="_x0000_s52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15</xdr:row>
          <xdr:rowOff>38299</xdr:rowOff>
        </xdr:from>
        <xdr:to>
          <xdr:col>5</xdr:col>
          <xdr:colOff>1201646</xdr:colOff>
          <xdr:row>15</xdr:row>
          <xdr:rowOff>210647</xdr:rowOff>
        </xdr:to>
        <xdr:sp macro="" textlink="">
          <xdr:nvSpPr>
            <xdr:cNvPr id="5299" name="Spinner 179" hidden="1">
              <a:extLst>
                <a:ext uri="{63B3BB69-23CF-44E3-9099-C40C66FF867C}">
                  <a14:compatExt spid="_x0000_s52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16</xdr:row>
          <xdr:rowOff>38299</xdr:rowOff>
        </xdr:from>
        <xdr:to>
          <xdr:col>5</xdr:col>
          <xdr:colOff>1201646</xdr:colOff>
          <xdr:row>16</xdr:row>
          <xdr:rowOff>210647</xdr:rowOff>
        </xdr:to>
        <xdr:sp macro="" textlink="">
          <xdr:nvSpPr>
            <xdr:cNvPr id="5300" name="Spinner 180" hidden="1">
              <a:extLst>
                <a:ext uri="{63B3BB69-23CF-44E3-9099-C40C66FF867C}">
                  <a14:compatExt spid="_x0000_s53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17</xdr:row>
          <xdr:rowOff>38299</xdr:rowOff>
        </xdr:from>
        <xdr:to>
          <xdr:col>5</xdr:col>
          <xdr:colOff>1201646</xdr:colOff>
          <xdr:row>17</xdr:row>
          <xdr:rowOff>210647</xdr:rowOff>
        </xdr:to>
        <xdr:sp macro="" textlink="">
          <xdr:nvSpPr>
            <xdr:cNvPr id="5301" name="Spinner 181" hidden="1">
              <a:extLst>
                <a:ext uri="{63B3BB69-23CF-44E3-9099-C40C66FF867C}">
                  <a14:compatExt spid="_x0000_s530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18</xdr:row>
          <xdr:rowOff>38299</xdr:rowOff>
        </xdr:from>
        <xdr:to>
          <xdr:col>5</xdr:col>
          <xdr:colOff>1201646</xdr:colOff>
          <xdr:row>18</xdr:row>
          <xdr:rowOff>210647</xdr:rowOff>
        </xdr:to>
        <xdr:sp macro="" textlink="">
          <xdr:nvSpPr>
            <xdr:cNvPr id="5303" name="Spinner 183" hidden="1">
              <a:extLst>
                <a:ext uri="{63B3BB69-23CF-44E3-9099-C40C66FF867C}">
                  <a14:compatExt spid="_x0000_s53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19</xdr:row>
          <xdr:rowOff>38299</xdr:rowOff>
        </xdr:from>
        <xdr:to>
          <xdr:col>5</xdr:col>
          <xdr:colOff>1201646</xdr:colOff>
          <xdr:row>19</xdr:row>
          <xdr:rowOff>210647</xdr:rowOff>
        </xdr:to>
        <xdr:sp macro="" textlink="">
          <xdr:nvSpPr>
            <xdr:cNvPr id="5304" name="Spinner 184" hidden="1">
              <a:extLst>
                <a:ext uri="{63B3BB69-23CF-44E3-9099-C40C66FF867C}">
                  <a14:compatExt spid="_x0000_s53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20</xdr:row>
          <xdr:rowOff>38299</xdr:rowOff>
        </xdr:from>
        <xdr:to>
          <xdr:col>5</xdr:col>
          <xdr:colOff>1201646</xdr:colOff>
          <xdr:row>20</xdr:row>
          <xdr:rowOff>210647</xdr:rowOff>
        </xdr:to>
        <xdr:sp macro="" textlink="">
          <xdr:nvSpPr>
            <xdr:cNvPr id="5307" name="Spinner 187" hidden="1">
              <a:extLst>
                <a:ext uri="{63B3BB69-23CF-44E3-9099-C40C66FF867C}">
                  <a14:compatExt spid="_x0000_s53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21</xdr:row>
          <xdr:rowOff>38299</xdr:rowOff>
        </xdr:from>
        <xdr:to>
          <xdr:col>5</xdr:col>
          <xdr:colOff>1201646</xdr:colOff>
          <xdr:row>21</xdr:row>
          <xdr:rowOff>210647</xdr:rowOff>
        </xdr:to>
        <xdr:sp macro="" textlink="">
          <xdr:nvSpPr>
            <xdr:cNvPr id="5308" name="Spinner 188" hidden="1">
              <a:extLst>
                <a:ext uri="{63B3BB69-23CF-44E3-9099-C40C66FF867C}">
                  <a14:compatExt spid="_x0000_s53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4</xdr:row>
          <xdr:rowOff>38299</xdr:rowOff>
        </xdr:from>
        <xdr:to>
          <xdr:col>8</xdr:col>
          <xdr:colOff>19150</xdr:colOff>
          <xdr:row>4</xdr:row>
          <xdr:rowOff>210647</xdr:rowOff>
        </xdr:to>
        <xdr:sp macro="" textlink="">
          <xdr:nvSpPr>
            <xdr:cNvPr id="5310" name="Spinner 190" hidden="1">
              <a:extLst>
                <a:ext uri="{63B3BB69-23CF-44E3-9099-C40C66FF867C}">
                  <a14:compatExt spid="_x0000_s53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5</xdr:row>
          <xdr:rowOff>38299</xdr:rowOff>
        </xdr:from>
        <xdr:to>
          <xdr:col>8</xdr:col>
          <xdr:colOff>19150</xdr:colOff>
          <xdr:row>5</xdr:row>
          <xdr:rowOff>210647</xdr:rowOff>
        </xdr:to>
        <xdr:sp macro="" textlink="">
          <xdr:nvSpPr>
            <xdr:cNvPr id="5311" name="Spinner 191" hidden="1">
              <a:extLst>
                <a:ext uri="{63B3BB69-23CF-44E3-9099-C40C66FF867C}">
                  <a14:compatExt spid="_x0000_s53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6</xdr:row>
          <xdr:rowOff>38299</xdr:rowOff>
        </xdr:from>
        <xdr:to>
          <xdr:col>8</xdr:col>
          <xdr:colOff>19150</xdr:colOff>
          <xdr:row>6</xdr:row>
          <xdr:rowOff>210647</xdr:rowOff>
        </xdr:to>
        <xdr:sp macro="" textlink="">
          <xdr:nvSpPr>
            <xdr:cNvPr id="5312" name="Spinner 192" hidden="1">
              <a:extLst>
                <a:ext uri="{63B3BB69-23CF-44E3-9099-C40C66FF867C}">
                  <a14:compatExt spid="_x0000_s53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7</xdr:row>
          <xdr:rowOff>38299</xdr:rowOff>
        </xdr:from>
        <xdr:to>
          <xdr:col>8</xdr:col>
          <xdr:colOff>19150</xdr:colOff>
          <xdr:row>7</xdr:row>
          <xdr:rowOff>210647</xdr:rowOff>
        </xdr:to>
        <xdr:sp macro="" textlink="">
          <xdr:nvSpPr>
            <xdr:cNvPr id="5313" name="Spinner 193" hidden="1">
              <a:extLst>
                <a:ext uri="{63B3BB69-23CF-44E3-9099-C40C66FF867C}">
                  <a14:compatExt spid="_x0000_s53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9</xdr:row>
          <xdr:rowOff>38299</xdr:rowOff>
        </xdr:from>
        <xdr:to>
          <xdr:col>8</xdr:col>
          <xdr:colOff>19150</xdr:colOff>
          <xdr:row>9</xdr:row>
          <xdr:rowOff>210647</xdr:rowOff>
        </xdr:to>
        <xdr:sp macro="" textlink="">
          <xdr:nvSpPr>
            <xdr:cNvPr id="5314" name="Spinner 194" hidden="1">
              <a:extLst>
                <a:ext uri="{63B3BB69-23CF-44E3-9099-C40C66FF867C}">
                  <a14:compatExt spid="_x0000_s53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10</xdr:row>
          <xdr:rowOff>38299</xdr:rowOff>
        </xdr:from>
        <xdr:to>
          <xdr:col>8</xdr:col>
          <xdr:colOff>19150</xdr:colOff>
          <xdr:row>10</xdr:row>
          <xdr:rowOff>210647</xdr:rowOff>
        </xdr:to>
        <xdr:sp macro="" textlink="">
          <xdr:nvSpPr>
            <xdr:cNvPr id="5315" name="Spinner 195" hidden="1">
              <a:extLst>
                <a:ext uri="{63B3BB69-23CF-44E3-9099-C40C66FF867C}">
                  <a14:compatExt spid="_x0000_s53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11</xdr:row>
          <xdr:rowOff>38299</xdr:rowOff>
        </xdr:from>
        <xdr:to>
          <xdr:col>8</xdr:col>
          <xdr:colOff>19150</xdr:colOff>
          <xdr:row>11</xdr:row>
          <xdr:rowOff>210647</xdr:rowOff>
        </xdr:to>
        <xdr:sp macro="" textlink="">
          <xdr:nvSpPr>
            <xdr:cNvPr id="5316" name="Spinner 196" hidden="1">
              <a:extLst>
                <a:ext uri="{63B3BB69-23CF-44E3-9099-C40C66FF867C}">
                  <a14:compatExt spid="_x0000_s53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12</xdr:row>
          <xdr:rowOff>38299</xdr:rowOff>
        </xdr:from>
        <xdr:to>
          <xdr:col>8</xdr:col>
          <xdr:colOff>19150</xdr:colOff>
          <xdr:row>12</xdr:row>
          <xdr:rowOff>210647</xdr:rowOff>
        </xdr:to>
        <xdr:sp macro="" textlink="">
          <xdr:nvSpPr>
            <xdr:cNvPr id="5317" name="Spinner 197" hidden="1">
              <a:extLst>
                <a:ext uri="{63B3BB69-23CF-44E3-9099-C40C66FF867C}">
                  <a14:compatExt spid="_x0000_s53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13</xdr:row>
          <xdr:rowOff>38299</xdr:rowOff>
        </xdr:from>
        <xdr:to>
          <xdr:col>8</xdr:col>
          <xdr:colOff>19150</xdr:colOff>
          <xdr:row>13</xdr:row>
          <xdr:rowOff>210647</xdr:rowOff>
        </xdr:to>
        <xdr:sp macro="" textlink="">
          <xdr:nvSpPr>
            <xdr:cNvPr id="5318" name="Spinner 198" hidden="1">
              <a:extLst>
                <a:ext uri="{63B3BB69-23CF-44E3-9099-C40C66FF867C}">
                  <a14:compatExt spid="_x0000_s53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14</xdr:row>
          <xdr:rowOff>38299</xdr:rowOff>
        </xdr:from>
        <xdr:to>
          <xdr:col>8</xdr:col>
          <xdr:colOff>19150</xdr:colOff>
          <xdr:row>14</xdr:row>
          <xdr:rowOff>210647</xdr:rowOff>
        </xdr:to>
        <xdr:sp macro="" textlink="">
          <xdr:nvSpPr>
            <xdr:cNvPr id="5320" name="Spinner 200" hidden="1">
              <a:extLst>
                <a:ext uri="{63B3BB69-23CF-44E3-9099-C40C66FF867C}">
                  <a14:compatExt spid="_x0000_s53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15</xdr:row>
          <xdr:rowOff>38299</xdr:rowOff>
        </xdr:from>
        <xdr:to>
          <xdr:col>8</xdr:col>
          <xdr:colOff>19150</xdr:colOff>
          <xdr:row>15</xdr:row>
          <xdr:rowOff>210647</xdr:rowOff>
        </xdr:to>
        <xdr:sp macro="" textlink="">
          <xdr:nvSpPr>
            <xdr:cNvPr id="5321" name="Spinner 201" hidden="1">
              <a:extLst>
                <a:ext uri="{63B3BB69-23CF-44E3-9099-C40C66FF867C}">
                  <a14:compatExt spid="_x0000_s53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16</xdr:row>
          <xdr:rowOff>38299</xdr:rowOff>
        </xdr:from>
        <xdr:to>
          <xdr:col>8</xdr:col>
          <xdr:colOff>19150</xdr:colOff>
          <xdr:row>16</xdr:row>
          <xdr:rowOff>210647</xdr:rowOff>
        </xdr:to>
        <xdr:sp macro="" textlink="">
          <xdr:nvSpPr>
            <xdr:cNvPr id="5322" name="Spinner 202" hidden="1">
              <a:extLst>
                <a:ext uri="{63B3BB69-23CF-44E3-9099-C40C66FF867C}">
                  <a14:compatExt spid="_x0000_s53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17</xdr:row>
          <xdr:rowOff>38299</xdr:rowOff>
        </xdr:from>
        <xdr:to>
          <xdr:col>8</xdr:col>
          <xdr:colOff>19150</xdr:colOff>
          <xdr:row>17</xdr:row>
          <xdr:rowOff>210647</xdr:rowOff>
        </xdr:to>
        <xdr:sp macro="" textlink="">
          <xdr:nvSpPr>
            <xdr:cNvPr id="5323" name="Spinner 203" hidden="1">
              <a:extLst>
                <a:ext uri="{63B3BB69-23CF-44E3-9099-C40C66FF867C}">
                  <a14:compatExt spid="_x0000_s53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18</xdr:row>
          <xdr:rowOff>38299</xdr:rowOff>
        </xdr:from>
        <xdr:to>
          <xdr:col>8</xdr:col>
          <xdr:colOff>19150</xdr:colOff>
          <xdr:row>18</xdr:row>
          <xdr:rowOff>210647</xdr:rowOff>
        </xdr:to>
        <xdr:sp macro="" textlink="">
          <xdr:nvSpPr>
            <xdr:cNvPr id="5325" name="Spinner 205" hidden="1">
              <a:extLst>
                <a:ext uri="{63B3BB69-23CF-44E3-9099-C40C66FF867C}">
                  <a14:compatExt spid="_x0000_s532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19</xdr:row>
          <xdr:rowOff>38299</xdr:rowOff>
        </xdr:from>
        <xdr:to>
          <xdr:col>8</xdr:col>
          <xdr:colOff>19150</xdr:colOff>
          <xdr:row>19</xdr:row>
          <xdr:rowOff>210647</xdr:rowOff>
        </xdr:to>
        <xdr:sp macro="" textlink="">
          <xdr:nvSpPr>
            <xdr:cNvPr id="5326" name="Spinner 206" hidden="1">
              <a:extLst>
                <a:ext uri="{63B3BB69-23CF-44E3-9099-C40C66FF867C}">
                  <a14:compatExt spid="_x0000_s53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20</xdr:row>
          <xdr:rowOff>38299</xdr:rowOff>
        </xdr:from>
        <xdr:to>
          <xdr:col>8</xdr:col>
          <xdr:colOff>19150</xdr:colOff>
          <xdr:row>20</xdr:row>
          <xdr:rowOff>210647</xdr:rowOff>
        </xdr:to>
        <xdr:sp macro="" textlink="">
          <xdr:nvSpPr>
            <xdr:cNvPr id="5329" name="Spinner 209" hidden="1">
              <a:extLst>
                <a:ext uri="{63B3BB69-23CF-44E3-9099-C40C66FF867C}">
                  <a14:compatExt spid="_x0000_s53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21</xdr:row>
          <xdr:rowOff>38299</xdr:rowOff>
        </xdr:from>
        <xdr:to>
          <xdr:col>8</xdr:col>
          <xdr:colOff>19150</xdr:colOff>
          <xdr:row>21</xdr:row>
          <xdr:rowOff>210647</xdr:rowOff>
        </xdr:to>
        <xdr:sp macro="" textlink="">
          <xdr:nvSpPr>
            <xdr:cNvPr id="5330" name="Spinner 210" hidden="1">
              <a:extLst>
                <a:ext uri="{63B3BB69-23CF-44E3-9099-C40C66FF867C}">
                  <a14:compatExt spid="_x0000_s53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5</xdr:row>
          <xdr:rowOff>38299</xdr:rowOff>
        </xdr:from>
        <xdr:to>
          <xdr:col>3</xdr:col>
          <xdr:colOff>742052</xdr:colOff>
          <xdr:row>5</xdr:row>
          <xdr:rowOff>210647</xdr:rowOff>
        </xdr:to>
        <xdr:sp macro="" textlink="">
          <xdr:nvSpPr>
            <xdr:cNvPr id="5331" name="Spinner 211" hidden="1">
              <a:extLst>
                <a:ext uri="{63B3BB69-23CF-44E3-9099-C40C66FF867C}">
                  <a14:compatExt spid="_x0000_s53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5</xdr:row>
          <xdr:rowOff>38299</xdr:rowOff>
        </xdr:from>
        <xdr:to>
          <xdr:col>4</xdr:col>
          <xdr:colOff>923975</xdr:colOff>
          <xdr:row>5</xdr:row>
          <xdr:rowOff>210647</xdr:rowOff>
        </xdr:to>
        <xdr:sp macro="" textlink="">
          <xdr:nvSpPr>
            <xdr:cNvPr id="5332" name="Spinner 212" hidden="1">
              <a:extLst>
                <a:ext uri="{63B3BB69-23CF-44E3-9099-C40C66FF867C}">
                  <a14:compatExt spid="_x0000_s53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6</xdr:row>
          <xdr:rowOff>38299</xdr:rowOff>
        </xdr:from>
        <xdr:to>
          <xdr:col>3</xdr:col>
          <xdr:colOff>742052</xdr:colOff>
          <xdr:row>6</xdr:row>
          <xdr:rowOff>210647</xdr:rowOff>
        </xdr:to>
        <xdr:sp macro="" textlink="">
          <xdr:nvSpPr>
            <xdr:cNvPr id="5333" name="Spinner 213" hidden="1">
              <a:extLst>
                <a:ext uri="{63B3BB69-23CF-44E3-9099-C40C66FF867C}">
                  <a14:compatExt spid="_x0000_s53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6</xdr:row>
          <xdr:rowOff>38299</xdr:rowOff>
        </xdr:from>
        <xdr:to>
          <xdr:col>4</xdr:col>
          <xdr:colOff>923975</xdr:colOff>
          <xdr:row>6</xdr:row>
          <xdr:rowOff>210647</xdr:rowOff>
        </xdr:to>
        <xdr:sp macro="" textlink="">
          <xdr:nvSpPr>
            <xdr:cNvPr id="5334" name="Spinner 214" hidden="1">
              <a:extLst>
                <a:ext uri="{63B3BB69-23CF-44E3-9099-C40C66FF867C}">
                  <a14:compatExt spid="_x0000_s53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7</xdr:row>
          <xdr:rowOff>38299</xdr:rowOff>
        </xdr:from>
        <xdr:to>
          <xdr:col>3</xdr:col>
          <xdr:colOff>742052</xdr:colOff>
          <xdr:row>7</xdr:row>
          <xdr:rowOff>210647</xdr:rowOff>
        </xdr:to>
        <xdr:sp macro="" textlink="">
          <xdr:nvSpPr>
            <xdr:cNvPr id="5335" name="Spinner 215" hidden="1">
              <a:extLst>
                <a:ext uri="{63B3BB69-23CF-44E3-9099-C40C66FF867C}">
                  <a14:compatExt spid="_x0000_s53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7</xdr:row>
          <xdr:rowOff>38299</xdr:rowOff>
        </xdr:from>
        <xdr:to>
          <xdr:col>4</xdr:col>
          <xdr:colOff>923975</xdr:colOff>
          <xdr:row>7</xdr:row>
          <xdr:rowOff>210647</xdr:rowOff>
        </xdr:to>
        <xdr:sp macro="" textlink="">
          <xdr:nvSpPr>
            <xdr:cNvPr id="5336" name="Spinner 216" hidden="1">
              <a:extLst>
                <a:ext uri="{63B3BB69-23CF-44E3-9099-C40C66FF867C}">
                  <a14:compatExt spid="_x0000_s53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9</xdr:row>
          <xdr:rowOff>38299</xdr:rowOff>
        </xdr:from>
        <xdr:to>
          <xdr:col>4</xdr:col>
          <xdr:colOff>923975</xdr:colOff>
          <xdr:row>9</xdr:row>
          <xdr:rowOff>210647</xdr:rowOff>
        </xdr:to>
        <xdr:sp macro="" textlink="">
          <xdr:nvSpPr>
            <xdr:cNvPr id="5338" name="Spinner 218" hidden="1">
              <a:extLst>
                <a:ext uri="{63B3BB69-23CF-44E3-9099-C40C66FF867C}">
                  <a14:compatExt spid="_x0000_s53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10</xdr:row>
          <xdr:rowOff>38299</xdr:rowOff>
        </xdr:from>
        <xdr:to>
          <xdr:col>3</xdr:col>
          <xdr:colOff>742052</xdr:colOff>
          <xdr:row>10</xdr:row>
          <xdr:rowOff>210647</xdr:rowOff>
        </xdr:to>
        <xdr:sp macro="" textlink="">
          <xdr:nvSpPr>
            <xdr:cNvPr id="5339" name="Spinner 219" hidden="1">
              <a:extLst>
                <a:ext uri="{63B3BB69-23CF-44E3-9099-C40C66FF867C}">
                  <a14:compatExt spid="_x0000_s53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10</xdr:row>
          <xdr:rowOff>38299</xdr:rowOff>
        </xdr:from>
        <xdr:to>
          <xdr:col>4</xdr:col>
          <xdr:colOff>923975</xdr:colOff>
          <xdr:row>10</xdr:row>
          <xdr:rowOff>210647</xdr:rowOff>
        </xdr:to>
        <xdr:sp macro="" textlink="">
          <xdr:nvSpPr>
            <xdr:cNvPr id="5340" name="Spinner 220" hidden="1">
              <a:extLst>
                <a:ext uri="{63B3BB69-23CF-44E3-9099-C40C66FF867C}">
                  <a14:compatExt spid="_x0000_s534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11</xdr:row>
          <xdr:rowOff>38299</xdr:rowOff>
        </xdr:from>
        <xdr:to>
          <xdr:col>3</xdr:col>
          <xdr:colOff>742052</xdr:colOff>
          <xdr:row>11</xdr:row>
          <xdr:rowOff>210647</xdr:rowOff>
        </xdr:to>
        <xdr:sp macro="" textlink="">
          <xdr:nvSpPr>
            <xdr:cNvPr id="5341" name="Spinner 221" hidden="1">
              <a:extLst>
                <a:ext uri="{63B3BB69-23CF-44E3-9099-C40C66FF867C}">
                  <a14:compatExt spid="_x0000_s534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11</xdr:row>
          <xdr:rowOff>38299</xdr:rowOff>
        </xdr:from>
        <xdr:to>
          <xdr:col>4</xdr:col>
          <xdr:colOff>923975</xdr:colOff>
          <xdr:row>11</xdr:row>
          <xdr:rowOff>210647</xdr:rowOff>
        </xdr:to>
        <xdr:sp macro="" textlink="">
          <xdr:nvSpPr>
            <xdr:cNvPr id="5342" name="Spinner 222" hidden="1">
              <a:extLst>
                <a:ext uri="{63B3BB69-23CF-44E3-9099-C40C66FF867C}">
                  <a14:compatExt spid="_x0000_s53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12</xdr:row>
          <xdr:rowOff>38299</xdr:rowOff>
        </xdr:from>
        <xdr:to>
          <xdr:col>3</xdr:col>
          <xdr:colOff>742052</xdr:colOff>
          <xdr:row>12</xdr:row>
          <xdr:rowOff>210647</xdr:rowOff>
        </xdr:to>
        <xdr:sp macro="" textlink="">
          <xdr:nvSpPr>
            <xdr:cNvPr id="5343" name="Spinner 223" hidden="1">
              <a:extLst>
                <a:ext uri="{63B3BB69-23CF-44E3-9099-C40C66FF867C}">
                  <a14:compatExt spid="_x0000_s534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12</xdr:row>
          <xdr:rowOff>38299</xdr:rowOff>
        </xdr:from>
        <xdr:to>
          <xdr:col>4</xdr:col>
          <xdr:colOff>923975</xdr:colOff>
          <xdr:row>12</xdr:row>
          <xdr:rowOff>210647</xdr:rowOff>
        </xdr:to>
        <xdr:sp macro="" textlink="">
          <xdr:nvSpPr>
            <xdr:cNvPr id="5344" name="Spinner 224" hidden="1">
              <a:extLst>
                <a:ext uri="{63B3BB69-23CF-44E3-9099-C40C66FF867C}">
                  <a14:compatExt spid="_x0000_s53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13</xdr:row>
          <xdr:rowOff>38299</xdr:rowOff>
        </xdr:from>
        <xdr:to>
          <xdr:col>3</xdr:col>
          <xdr:colOff>742052</xdr:colOff>
          <xdr:row>13</xdr:row>
          <xdr:rowOff>210647</xdr:rowOff>
        </xdr:to>
        <xdr:sp macro="" textlink="">
          <xdr:nvSpPr>
            <xdr:cNvPr id="5345" name="Spinner 225" hidden="1">
              <a:extLst>
                <a:ext uri="{63B3BB69-23CF-44E3-9099-C40C66FF867C}">
                  <a14:compatExt spid="_x0000_s53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38299</xdr:rowOff>
        </xdr:from>
        <xdr:to>
          <xdr:col>4</xdr:col>
          <xdr:colOff>923975</xdr:colOff>
          <xdr:row>13</xdr:row>
          <xdr:rowOff>210647</xdr:rowOff>
        </xdr:to>
        <xdr:sp macro="" textlink="">
          <xdr:nvSpPr>
            <xdr:cNvPr id="5346" name="Spinner 226" hidden="1">
              <a:extLst>
                <a:ext uri="{63B3BB69-23CF-44E3-9099-C40C66FF867C}">
                  <a14:compatExt spid="_x0000_s53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14</xdr:row>
          <xdr:rowOff>38299</xdr:rowOff>
        </xdr:from>
        <xdr:to>
          <xdr:col>3</xdr:col>
          <xdr:colOff>742052</xdr:colOff>
          <xdr:row>14</xdr:row>
          <xdr:rowOff>210647</xdr:rowOff>
        </xdr:to>
        <xdr:sp macro="" textlink="">
          <xdr:nvSpPr>
            <xdr:cNvPr id="5347" name="Spinner 227" hidden="1">
              <a:extLst>
                <a:ext uri="{63B3BB69-23CF-44E3-9099-C40C66FF867C}">
                  <a14:compatExt spid="_x0000_s53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14</xdr:row>
          <xdr:rowOff>38299</xdr:rowOff>
        </xdr:from>
        <xdr:to>
          <xdr:col>4</xdr:col>
          <xdr:colOff>923975</xdr:colOff>
          <xdr:row>14</xdr:row>
          <xdr:rowOff>210647</xdr:rowOff>
        </xdr:to>
        <xdr:sp macro="" textlink="">
          <xdr:nvSpPr>
            <xdr:cNvPr id="5348" name="Spinner 228" hidden="1">
              <a:extLst>
                <a:ext uri="{63B3BB69-23CF-44E3-9099-C40C66FF867C}">
                  <a14:compatExt spid="_x0000_s53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15</xdr:row>
          <xdr:rowOff>38299</xdr:rowOff>
        </xdr:from>
        <xdr:to>
          <xdr:col>3</xdr:col>
          <xdr:colOff>742052</xdr:colOff>
          <xdr:row>15</xdr:row>
          <xdr:rowOff>210647</xdr:rowOff>
        </xdr:to>
        <xdr:sp macro="" textlink="">
          <xdr:nvSpPr>
            <xdr:cNvPr id="5349" name="Spinner 229" hidden="1">
              <a:extLst>
                <a:ext uri="{63B3BB69-23CF-44E3-9099-C40C66FF867C}">
                  <a14:compatExt spid="_x0000_s53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15</xdr:row>
          <xdr:rowOff>38299</xdr:rowOff>
        </xdr:from>
        <xdr:to>
          <xdr:col>4</xdr:col>
          <xdr:colOff>923975</xdr:colOff>
          <xdr:row>15</xdr:row>
          <xdr:rowOff>210647</xdr:rowOff>
        </xdr:to>
        <xdr:sp macro="" textlink="">
          <xdr:nvSpPr>
            <xdr:cNvPr id="5350" name="Spinner 230" hidden="1">
              <a:extLst>
                <a:ext uri="{63B3BB69-23CF-44E3-9099-C40C66FF867C}">
                  <a14:compatExt spid="_x0000_s53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16</xdr:row>
          <xdr:rowOff>38299</xdr:rowOff>
        </xdr:from>
        <xdr:to>
          <xdr:col>3</xdr:col>
          <xdr:colOff>742052</xdr:colOff>
          <xdr:row>16</xdr:row>
          <xdr:rowOff>210647</xdr:rowOff>
        </xdr:to>
        <xdr:sp macro="" textlink="">
          <xdr:nvSpPr>
            <xdr:cNvPr id="5351" name="Spinner 231" hidden="1">
              <a:extLst>
                <a:ext uri="{63B3BB69-23CF-44E3-9099-C40C66FF867C}">
                  <a14:compatExt spid="_x0000_s53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16</xdr:row>
          <xdr:rowOff>38299</xdr:rowOff>
        </xdr:from>
        <xdr:to>
          <xdr:col>4</xdr:col>
          <xdr:colOff>923975</xdr:colOff>
          <xdr:row>16</xdr:row>
          <xdr:rowOff>210647</xdr:rowOff>
        </xdr:to>
        <xdr:sp macro="" textlink="">
          <xdr:nvSpPr>
            <xdr:cNvPr id="5352" name="Spinner 232" hidden="1">
              <a:extLst>
                <a:ext uri="{63B3BB69-23CF-44E3-9099-C40C66FF867C}">
                  <a14:compatExt spid="_x0000_s53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17</xdr:row>
          <xdr:rowOff>38299</xdr:rowOff>
        </xdr:from>
        <xdr:to>
          <xdr:col>3</xdr:col>
          <xdr:colOff>742052</xdr:colOff>
          <xdr:row>17</xdr:row>
          <xdr:rowOff>210647</xdr:rowOff>
        </xdr:to>
        <xdr:sp macro="" textlink="">
          <xdr:nvSpPr>
            <xdr:cNvPr id="5353" name="Spinner 233" hidden="1">
              <a:extLst>
                <a:ext uri="{63B3BB69-23CF-44E3-9099-C40C66FF867C}">
                  <a14:compatExt spid="_x0000_s53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17</xdr:row>
          <xdr:rowOff>38299</xdr:rowOff>
        </xdr:from>
        <xdr:to>
          <xdr:col>4</xdr:col>
          <xdr:colOff>923975</xdr:colOff>
          <xdr:row>17</xdr:row>
          <xdr:rowOff>210647</xdr:rowOff>
        </xdr:to>
        <xdr:sp macro="" textlink="">
          <xdr:nvSpPr>
            <xdr:cNvPr id="5354" name="Spinner 234" hidden="1">
              <a:extLst>
                <a:ext uri="{63B3BB69-23CF-44E3-9099-C40C66FF867C}">
                  <a14:compatExt spid="_x0000_s535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18</xdr:row>
          <xdr:rowOff>38299</xdr:rowOff>
        </xdr:from>
        <xdr:to>
          <xdr:col>3</xdr:col>
          <xdr:colOff>742052</xdr:colOff>
          <xdr:row>18</xdr:row>
          <xdr:rowOff>210647</xdr:rowOff>
        </xdr:to>
        <xdr:sp macro="" textlink="">
          <xdr:nvSpPr>
            <xdr:cNvPr id="5355" name="Spinner 235" hidden="1">
              <a:extLst>
                <a:ext uri="{63B3BB69-23CF-44E3-9099-C40C66FF867C}">
                  <a14:compatExt spid="_x0000_s53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18</xdr:row>
          <xdr:rowOff>38299</xdr:rowOff>
        </xdr:from>
        <xdr:to>
          <xdr:col>4</xdr:col>
          <xdr:colOff>923975</xdr:colOff>
          <xdr:row>18</xdr:row>
          <xdr:rowOff>210647</xdr:rowOff>
        </xdr:to>
        <xdr:sp macro="" textlink="">
          <xdr:nvSpPr>
            <xdr:cNvPr id="5356" name="Spinner 236" hidden="1">
              <a:extLst>
                <a:ext uri="{63B3BB69-23CF-44E3-9099-C40C66FF867C}">
                  <a14:compatExt spid="_x0000_s53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19</xdr:row>
          <xdr:rowOff>38299</xdr:rowOff>
        </xdr:from>
        <xdr:to>
          <xdr:col>3</xdr:col>
          <xdr:colOff>742052</xdr:colOff>
          <xdr:row>19</xdr:row>
          <xdr:rowOff>210647</xdr:rowOff>
        </xdr:to>
        <xdr:sp macro="" textlink="">
          <xdr:nvSpPr>
            <xdr:cNvPr id="5357" name="Spinner 237" hidden="1">
              <a:extLst>
                <a:ext uri="{63B3BB69-23CF-44E3-9099-C40C66FF867C}">
                  <a14:compatExt spid="_x0000_s53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19</xdr:row>
          <xdr:rowOff>38299</xdr:rowOff>
        </xdr:from>
        <xdr:to>
          <xdr:col>4</xdr:col>
          <xdr:colOff>923975</xdr:colOff>
          <xdr:row>19</xdr:row>
          <xdr:rowOff>210647</xdr:rowOff>
        </xdr:to>
        <xdr:sp macro="" textlink="">
          <xdr:nvSpPr>
            <xdr:cNvPr id="5358" name="Spinner 238" hidden="1">
              <a:extLst>
                <a:ext uri="{63B3BB69-23CF-44E3-9099-C40C66FF867C}">
                  <a14:compatExt spid="_x0000_s53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20</xdr:row>
          <xdr:rowOff>38299</xdr:rowOff>
        </xdr:from>
        <xdr:to>
          <xdr:col>3</xdr:col>
          <xdr:colOff>742052</xdr:colOff>
          <xdr:row>20</xdr:row>
          <xdr:rowOff>210647</xdr:rowOff>
        </xdr:to>
        <xdr:sp macro="" textlink="">
          <xdr:nvSpPr>
            <xdr:cNvPr id="5359" name="Spinner 239" hidden="1">
              <a:extLst>
                <a:ext uri="{63B3BB69-23CF-44E3-9099-C40C66FF867C}">
                  <a14:compatExt spid="_x0000_s53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20</xdr:row>
          <xdr:rowOff>38299</xdr:rowOff>
        </xdr:from>
        <xdr:to>
          <xdr:col>4</xdr:col>
          <xdr:colOff>923975</xdr:colOff>
          <xdr:row>20</xdr:row>
          <xdr:rowOff>210647</xdr:rowOff>
        </xdr:to>
        <xdr:sp macro="" textlink="">
          <xdr:nvSpPr>
            <xdr:cNvPr id="5360" name="Spinner 240" hidden="1">
              <a:extLst>
                <a:ext uri="{63B3BB69-23CF-44E3-9099-C40C66FF867C}">
                  <a14:compatExt spid="_x0000_s53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21</xdr:row>
          <xdr:rowOff>38299</xdr:rowOff>
        </xdr:from>
        <xdr:to>
          <xdr:col>3</xdr:col>
          <xdr:colOff>742052</xdr:colOff>
          <xdr:row>21</xdr:row>
          <xdr:rowOff>210647</xdr:rowOff>
        </xdr:to>
        <xdr:sp macro="" textlink="">
          <xdr:nvSpPr>
            <xdr:cNvPr id="5361" name="Spinner 241" hidden="1">
              <a:extLst>
                <a:ext uri="{63B3BB69-23CF-44E3-9099-C40C66FF867C}">
                  <a14:compatExt spid="_x0000_s53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21</xdr:row>
          <xdr:rowOff>38299</xdr:rowOff>
        </xdr:from>
        <xdr:to>
          <xdr:col>4</xdr:col>
          <xdr:colOff>923975</xdr:colOff>
          <xdr:row>21</xdr:row>
          <xdr:rowOff>210647</xdr:rowOff>
        </xdr:to>
        <xdr:sp macro="" textlink="">
          <xdr:nvSpPr>
            <xdr:cNvPr id="5362" name="Spinner 242" hidden="1">
              <a:extLst>
                <a:ext uri="{63B3BB69-23CF-44E3-9099-C40C66FF867C}">
                  <a14:compatExt spid="_x0000_s53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3</xdr:row>
          <xdr:rowOff>38299</xdr:rowOff>
        </xdr:from>
        <xdr:to>
          <xdr:col>3</xdr:col>
          <xdr:colOff>742052</xdr:colOff>
          <xdr:row>3</xdr:row>
          <xdr:rowOff>210647</xdr:rowOff>
        </xdr:to>
        <xdr:sp macro="" textlink="">
          <xdr:nvSpPr>
            <xdr:cNvPr id="5363" name="Spinner 243" hidden="1">
              <a:extLst>
                <a:ext uri="{63B3BB69-23CF-44E3-9099-C40C66FF867C}">
                  <a14:compatExt spid="_x0000_s53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3</xdr:row>
          <xdr:rowOff>38299</xdr:rowOff>
        </xdr:from>
        <xdr:to>
          <xdr:col>4</xdr:col>
          <xdr:colOff>923975</xdr:colOff>
          <xdr:row>3</xdr:row>
          <xdr:rowOff>210647</xdr:rowOff>
        </xdr:to>
        <xdr:sp macro="" textlink="">
          <xdr:nvSpPr>
            <xdr:cNvPr id="5364" name="Spinner 244" hidden="1">
              <a:extLst>
                <a:ext uri="{63B3BB69-23CF-44E3-9099-C40C66FF867C}">
                  <a14:compatExt spid="_x0000_s53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3</xdr:row>
          <xdr:rowOff>38299</xdr:rowOff>
        </xdr:from>
        <xdr:to>
          <xdr:col>5</xdr:col>
          <xdr:colOff>1201646</xdr:colOff>
          <xdr:row>3</xdr:row>
          <xdr:rowOff>210647</xdr:rowOff>
        </xdr:to>
        <xdr:sp macro="" textlink="">
          <xdr:nvSpPr>
            <xdr:cNvPr id="5365" name="Spinner 245" hidden="1">
              <a:extLst>
                <a:ext uri="{63B3BB69-23CF-44E3-9099-C40C66FF867C}">
                  <a14:compatExt spid="_x0000_s536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3</xdr:row>
          <xdr:rowOff>38299</xdr:rowOff>
        </xdr:from>
        <xdr:to>
          <xdr:col>8</xdr:col>
          <xdr:colOff>19150</xdr:colOff>
          <xdr:row>3</xdr:row>
          <xdr:rowOff>210647</xdr:rowOff>
        </xdr:to>
        <xdr:sp macro="" textlink="">
          <xdr:nvSpPr>
            <xdr:cNvPr id="5366" name="Spinner 246" hidden="1">
              <a:extLst>
                <a:ext uri="{63B3BB69-23CF-44E3-9099-C40C66FF867C}">
                  <a14:compatExt spid="_x0000_s53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8</xdr:row>
          <xdr:rowOff>38299</xdr:rowOff>
        </xdr:from>
        <xdr:to>
          <xdr:col>5</xdr:col>
          <xdr:colOff>1201646</xdr:colOff>
          <xdr:row>8</xdr:row>
          <xdr:rowOff>210647</xdr:rowOff>
        </xdr:to>
        <xdr:sp macro="" textlink="">
          <xdr:nvSpPr>
            <xdr:cNvPr id="5367" name="Spinner 247" hidden="1">
              <a:extLst>
                <a:ext uri="{63B3BB69-23CF-44E3-9099-C40C66FF867C}">
                  <a14:compatExt spid="_x0000_s53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8</xdr:row>
          <xdr:rowOff>38299</xdr:rowOff>
        </xdr:from>
        <xdr:to>
          <xdr:col>8</xdr:col>
          <xdr:colOff>19150</xdr:colOff>
          <xdr:row>8</xdr:row>
          <xdr:rowOff>210647</xdr:rowOff>
        </xdr:to>
        <xdr:sp macro="" textlink="">
          <xdr:nvSpPr>
            <xdr:cNvPr id="5368" name="Spinner 248" hidden="1">
              <a:extLst>
                <a:ext uri="{63B3BB69-23CF-44E3-9099-C40C66FF867C}">
                  <a14:compatExt spid="_x0000_s53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8</xdr:row>
          <xdr:rowOff>38299</xdr:rowOff>
        </xdr:from>
        <xdr:to>
          <xdr:col>3</xdr:col>
          <xdr:colOff>742052</xdr:colOff>
          <xdr:row>8</xdr:row>
          <xdr:rowOff>210647</xdr:rowOff>
        </xdr:to>
        <xdr:sp macro="" textlink="">
          <xdr:nvSpPr>
            <xdr:cNvPr id="5369" name="Spinner 249" hidden="1">
              <a:extLst>
                <a:ext uri="{63B3BB69-23CF-44E3-9099-C40C66FF867C}">
                  <a14:compatExt spid="_x0000_s53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8</xdr:row>
          <xdr:rowOff>38299</xdr:rowOff>
        </xdr:from>
        <xdr:to>
          <xdr:col>4</xdr:col>
          <xdr:colOff>923975</xdr:colOff>
          <xdr:row>8</xdr:row>
          <xdr:rowOff>210647</xdr:rowOff>
        </xdr:to>
        <xdr:sp macro="" textlink="">
          <xdr:nvSpPr>
            <xdr:cNvPr id="5370" name="Spinner 250" hidden="1">
              <a:extLst>
                <a:ext uri="{63B3BB69-23CF-44E3-9099-C40C66FF867C}">
                  <a14:compatExt spid="_x0000_s53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22</xdr:row>
          <xdr:rowOff>38299</xdr:rowOff>
        </xdr:from>
        <xdr:to>
          <xdr:col>3</xdr:col>
          <xdr:colOff>742052</xdr:colOff>
          <xdr:row>22</xdr:row>
          <xdr:rowOff>210647</xdr:rowOff>
        </xdr:to>
        <xdr:sp macro="" textlink="">
          <xdr:nvSpPr>
            <xdr:cNvPr id="5373" name="Spinner 253" hidden="1">
              <a:extLst>
                <a:ext uri="{63B3BB69-23CF-44E3-9099-C40C66FF867C}">
                  <a14:compatExt spid="_x0000_s537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627154</xdr:colOff>
          <xdr:row>22</xdr:row>
          <xdr:rowOff>38299</xdr:rowOff>
        </xdr:from>
        <xdr:to>
          <xdr:col>2</xdr:col>
          <xdr:colOff>742052</xdr:colOff>
          <xdr:row>22</xdr:row>
          <xdr:rowOff>210647</xdr:rowOff>
        </xdr:to>
        <xdr:sp macro="" textlink="">
          <xdr:nvSpPr>
            <xdr:cNvPr id="5375" name="Spinner 255" hidden="1">
              <a:extLst>
                <a:ext uri="{63B3BB69-23CF-44E3-9099-C40C66FF867C}">
                  <a14:compatExt spid="_x0000_s537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450019</xdr:colOff>
          <xdr:row>5</xdr:row>
          <xdr:rowOff>28725</xdr:rowOff>
        </xdr:from>
        <xdr:to>
          <xdr:col>7</xdr:col>
          <xdr:colOff>579280</xdr:colOff>
          <xdr:row>5</xdr:row>
          <xdr:rowOff>220222</xdr:rowOff>
        </xdr:to>
        <xdr:sp macro="" textlink="">
          <xdr:nvSpPr>
            <xdr:cNvPr id="18502" name="Spinner 70" hidden="1">
              <a:extLst>
                <a:ext uri="{63B3BB69-23CF-44E3-9099-C40C66FF867C}">
                  <a14:compatExt spid="_x0000_s185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5</xdr:row>
          <xdr:rowOff>19150</xdr:rowOff>
        </xdr:from>
        <xdr:to>
          <xdr:col>3</xdr:col>
          <xdr:colOff>0</xdr:colOff>
          <xdr:row>5</xdr:row>
          <xdr:rowOff>229797</xdr:rowOff>
        </xdr:to>
        <xdr:sp macro="" textlink="">
          <xdr:nvSpPr>
            <xdr:cNvPr id="18505" name="Spinner 73" hidden="1">
              <a:extLst>
                <a:ext uri="{63B3BB69-23CF-44E3-9099-C40C66FF867C}">
                  <a14:compatExt spid="_x0000_s185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5</xdr:row>
          <xdr:rowOff>9575</xdr:rowOff>
        </xdr:from>
        <xdr:to>
          <xdr:col>9</xdr:col>
          <xdr:colOff>134048</xdr:colOff>
          <xdr:row>5</xdr:row>
          <xdr:rowOff>239372</xdr:rowOff>
        </xdr:to>
        <xdr:sp macro="" textlink="">
          <xdr:nvSpPr>
            <xdr:cNvPr id="18506" name="Spinner 74" hidden="1">
              <a:extLst>
                <a:ext uri="{63B3BB69-23CF-44E3-9099-C40C66FF867C}">
                  <a14:compatExt spid="_x0000_s185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5</xdr:row>
          <xdr:rowOff>28725</xdr:rowOff>
        </xdr:from>
        <xdr:to>
          <xdr:col>13</xdr:col>
          <xdr:colOff>531405</xdr:colOff>
          <xdr:row>5</xdr:row>
          <xdr:rowOff>229797</xdr:rowOff>
        </xdr:to>
        <xdr:sp macro="" textlink="">
          <xdr:nvSpPr>
            <xdr:cNvPr id="18510" name="Drop Down 78" hidden="1">
              <a:extLst>
                <a:ext uri="{63B3BB69-23CF-44E3-9099-C40C66FF867C}">
                  <a14:compatExt spid="_x0000_s185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5</xdr:row>
          <xdr:rowOff>38299</xdr:rowOff>
        </xdr:from>
        <xdr:to>
          <xdr:col>12</xdr:col>
          <xdr:colOff>464381</xdr:colOff>
          <xdr:row>5</xdr:row>
          <xdr:rowOff>229797</xdr:rowOff>
        </xdr:to>
        <xdr:sp macro="" textlink="">
          <xdr:nvSpPr>
            <xdr:cNvPr id="18511" name="Spinner 79" hidden="1">
              <a:extLst>
                <a:ext uri="{63B3BB69-23CF-44E3-9099-C40C66FF867C}">
                  <a14:compatExt spid="_x0000_s185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7</xdr:row>
          <xdr:rowOff>19150</xdr:rowOff>
        </xdr:from>
        <xdr:to>
          <xdr:col>3</xdr:col>
          <xdr:colOff>0</xdr:colOff>
          <xdr:row>7</xdr:row>
          <xdr:rowOff>229797</xdr:rowOff>
        </xdr:to>
        <xdr:sp macro="" textlink="">
          <xdr:nvSpPr>
            <xdr:cNvPr id="18556" name="Spinner 124" hidden="1">
              <a:extLst>
                <a:ext uri="{63B3BB69-23CF-44E3-9099-C40C66FF867C}">
                  <a14:compatExt spid="_x0000_s185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7</xdr:row>
          <xdr:rowOff>9575</xdr:rowOff>
        </xdr:from>
        <xdr:to>
          <xdr:col>9</xdr:col>
          <xdr:colOff>134048</xdr:colOff>
          <xdr:row>7</xdr:row>
          <xdr:rowOff>239372</xdr:rowOff>
        </xdr:to>
        <xdr:sp macro="" textlink="">
          <xdr:nvSpPr>
            <xdr:cNvPr id="18557" name="Spinner 125" hidden="1">
              <a:extLst>
                <a:ext uri="{63B3BB69-23CF-44E3-9099-C40C66FF867C}">
                  <a14:compatExt spid="_x0000_s185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7</xdr:row>
          <xdr:rowOff>28725</xdr:rowOff>
        </xdr:from>
        <xdr:to>
          <xdr:col>13</xdr:col>
          <xdr:colOff>531405</xdr:colOff>
          <xdr:row>7</xdr:row>
          <xdr:rowOff>229797</xdr:rowOff>
        </xdr:to>
        <xdr:sp macro="" textlink="">
          <xdr:nvSpPr>
            <xdr:cNvPr id="18559" name="Drop Down 127" hidden="1">
              <a:extLst>
                <a:ext uri="{63B3BB69-23CF-44E3-9099-C40C66FF867C}">
                  <a14:compatExt spid="_x0000_s185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7</xdr:row>
          <xdr:rowOff>38299</xdr:rowOff>
        </xdr:from>
        <xdr:to>
          <xdr:col>12</xdr:col>
          <xdr:colOff>464381</xdr:colOff>
          <xdr:row>7</xdr:row>
          <xdr:rowOff>229797</xdr:rowOff>
        </xdr:to>
        <xdr:sp macro="" textlink="">
          <xdr:nvSpPr>
            <xdr:cNvPr id="18560" name="Spinner 128" hidden="1">
              <a:extLst>
                <a:ext uri="{63B3BB69-23CF-44E3-9099-C40C66FF867C}">
                  <a14:compatExt spid="_x0000_s185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9</xdr:row>
          <xdr:rowOff>28725</xdr:rowOff>
        </xdr:from>
        <xdr:to>
          <xdr:col>7</xdr:col>
          <xdr:colOff>579280</xdr:colOff>
          <xdr:row>9</xdr:row>
          <xdr:rowOff>220222</xdr:rowOff>
        </xdr:to>
        <xdr:sp macro="" textlink="">
          <xdr:nvSpPr>
            <xdr:cNvPr id="18562" name="Spinner 130" hidden="1">
              <a:extLst>
                <a:ext uri="{63B3BB69-23CF-44E3-9099-C40C66FF867C}">
                  <a14:compatExt spid="_x0000_s185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9</xdr:row>
          <xdr:rowOff>19150</xdr:rowOff>
        </xdr:from>
        <xdr:to>
          <xdr:col>3</xdr:col>
          <xdr:colOff>0</xdr:colOff>
          <xdr:row>9</xdr:row>
          <xdr:rowOff>229797</xdr:rowOff>
        </xdr:to>
        <xdr:sp macro="" textlink="">
          <xdr:nvSpPr>
            <xdr:cNvPr id="18563" name="Spinner 131" hidden="1">
              <a:extLst>
                <a:ext uri="{63B3BB69-23CF-44E3-9099-C40C66FF867C}">
                  <a14:compatExt spid="_x0000_s185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9</xdr:row>
          <xdr:rowOff>9575</xdr:rowOff>
        </xdr:from>
        <xdr:to>
          <xdr:col>9</xdr:col>
          <xdr:colOff>134048</xdr:colOff>
          <xdr:row>9</xdr:row>
          <xdr:rowOff>239372</xdr:rowOff>
        </xdr:to>
        <xdr:sp macro="" textlink="">
          <xdr:nvSpPr>
            <xdr:cNvPr id="18564" name="Spinner 132" hidden="1">
              <a:extLst>
                <a:ext uri="{63B3BB69-23CF-44E3-9099-C40C66FF867C}">
                  <a14:compatExt spid="_x0000_s185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9</xdr:row>
          <xdr:rowOff>28725</xdr:rowOff>
        </xdr:from>
        <xdr:to>
          <xdr:col>13</xdr:col>
          <xdr:colOff>531405</xdr:colOff>
          <xdr:row>9</xdr:row>
          <xdr:rowOff>229797</xdr:rowOff>
        </xdr:to>
        <xdr:sp macro="" textlink="">
          <xdr:nvSpPr>
            <xdr:cNvPr id="18566" name="Drop Down 134" hidden="1">
              <a:extLst>
                <a:ext uri="{63B3BB69-23CF-44E3-9099-C40C66FF867C}">
                  <a14:compatExt spid="_x0000_s185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9</xdr:row>
          <xdr:rowOff>38299</xdr:rowOff>
        </xdr:from>
        <xdr:to>
          <xdr:col>12</xdr:col>
          <xdr:colOff>464381</xdr:colOff>
          <xdr:row>9</xdr:row>
          <xdr:rowOff>229797</xdr:rowOff>
        </xdr:to>
        <xdr:sp macro="" textlink="">
          <xdr:nvSpPr>
            <xdr:cNvPr id="18567" name="Spinner 135" hidden="1">
              <a:extLst>
                <a:ext uri="{63B3BB69-23CF-44E3-9099-C40C66FF867C}">
                  <a14:compatExt spid="_x0000_s185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11</xdr:row>
          <xdr:rowOff>28725</xdr:rowOff>
        </xdr:from>
        <xdr:to>
          <xdr:col>7</xdr:col>
          <xdr:colOff>579280</xdr:colOff>
          <xdr:row>11</xdr:row>
          <xdr:rowOff>220222</xdr:rowOff>
        </xdr:to>
        <xdr:sp macro="" textlink="">
          <xdr:nvSpPr>
            <xdr:cNvPr id="18569" name="Spinner 137" hidden="1">
              <a:extLst>
                <a:ext uri="{63B3BB69-23CF-44E3-9099-C40C66FF867C}">
                  <a14:compatExt spid="_x0000_s185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11</xdr:row>
          <xdr:rowOff>19150</xdr:rowOff>
        </xdr:from>
        <xdr:to>
          <xdr:col>3</xdr:col>
          <xdr:colOff>0</xdr:colOff>
          <xdr:row>11</xdr:row>
          <xdr:rowOff>229797</xdr:rowOff>
        </xdr:to>
        <xdr:sp macro="" textlink="">
          <xdr:nvSpPr>
            <xdr:cNvPr id="18570" name="Spinner 138" hidden="1">
              <a:extLst>
                <a:ext uri="{63B3BB69-23CF-44E3-9099-C40C66FF867C}">
                  <a14:compatExt spid="_x0000_s185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11</xdr:row>
          <xdr:rowOff>9575</xdr:rowOff>
        </xdr:from>
        <xdr:to>
          <xdr:col>9</xdr:col>
          <xdr:colOff>134048</xdr:colOff>
          <xdr:row>11</xdr:row>
          <xdr:rowOff>239372</xdr:rowOff>
        </xdr:to>
        <xdr:sp macro="" textlink="">
          <xdr:nvSpPr>
            <xdr:cNvPr id="18571" name="Spinner 139" hidden="1">
              <a:extLst>
                <a:ext uri="{63B3BB69-23CF-44E3-9099-C40C66FF867C}">
                  <a14:compatExt spid="_x0000_s1857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11</xdr:row>
          <xdr:rowOff>28725</xdr:rowOff>
        </xdr:from>
        <xdr:to>
          <xdr:col>13</xdr:col>
          <xdr:colOff>531405</xdr:colOff>
          <xdr:row>11</xdr:row>
          <xdr:rowOff>229797</xdr:rowOff>
        </xdr:to>
        <xdr:sp macro="" textlink="">
          <xdr:nvSpPr>
            <xdr:cNvPr id="18573" name="Drop Down 141" hidden="1">
              <a:extLst>
                <a:ext uri="{63B3BB69-23CF-44E3-9099-C40C66FF867C}">
                  <a14:compatExt spid="_x0000_s185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11</xdr:row>
          <xdr:rowOff>38299</xdr:rowOff>
        </xdr:from>
        <xdr:to>
          <xdr:col>12</xdr:col>
          <xdr:colOff>464381</xdr:colOff>
          <xdr:row>11</xdr:row>
          <xdr:rowOff>229797</xdr:rowOff>
        </xdr:to>
        <xdr:sp macro="" textlink="">
          <xdr:nvSpPr>
            <xdr:cNvPr id="18574" name="Spinner 142" hidden="1">
              <a:extLst>
                <a:ext uri="{63B3BB69-23CF-44E3-9099-C40C66FF867C}">
                  <a14:compatExt spid="_x0000_s1857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13</xdr:row>
          <xdr:rowOff>28725</xdr:rowOff>
        </xdr:from>
        <xdr:to>
          <xdr:col>7</xdr:col>
          <xdr:colOff>579280</xdr:colOff>
          <xdr:row>13</xdr:row>
          <xdr:rowOff>220222</xdr:rowOff>
        </xdr:to>
        <xdr:sp macro="" textlink="">
          <xdr:nvSpPr>
            <xdr:cNvPr id="18576" name="Spinner 144" hidden="1">
              <a:extLst>
                <a:ext uri="{63B3BB69-23CF-44E3-9099-C40C66FF867C}">
                  <a14:compatExt spid="_x0000_s1857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13</xdr:row>
          <xdr:rowOff>19150</xdr:rowOff>
        </xdr:from>
        <xdr:to>
          <xdr:col>3</xdr:col>
          <xdr:colOff>0</xdr:colOff>
          <xdr:row>13</xdr:row>
          <xdr:rowOff>229797</xdr:rowOff>
        </xdr:to>
        <xdr:sp macro="" textlink="">
          <xdr:nvSpPr>
            <xdr:cNvPr id="18577" name="Spinner 145" hidden="1">
              <a:extLst>
                <a:ext uri="{63B3BB69-23CF-44E3-9099-C40C66FF867C}">
                  <a14:compatExt spid="_x0000_s1857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13</xdr:row>
          <xdr:rowOff>9575</xdr:rowOff>
        </xdr:from>
        <xdr:to>
          <xdr:col>9</xdr:col>
          <xdr:colOff>134048</xdr:colOff>
          <xdr:row>13</xdr:row>
          <xdr:rowOff>239372</xdr:rowOff>
        </xdr:to>
        <xdr:sp macro="" textlink="">
          <xdr:nvSpPr>
            <xdr:cNvPr id="18578" name="Spinner 146" hidden="1">
              <a:extLst>
                <a:ext uri="{63B3BB69-23CF-44E3-9099-C40C66FF867C}">
                  <a14:compatExt spid="_x0000_s1857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13</xdr:row>
          <xdr:rowOff>28725</xdr:rowOff>
        </xdr:from>
        <xdr:to>
          <xdr:col>13</xdr:col>
          <xdr:colOff>531405</xdr:colOff>
          <xdr:row>13</xdr:row>
          <xdr:rowOff>229797</xdr:rowOff>
        </xdr:to>
        <xdr:sp macro="" textlink="">
          <xdr:nvSpPr>
            <xdr:cNvPr id="18580" name="Drop Down 148" hidden="1">
              <a:extLst>
                <a:ext uri="{63B3BB69-23CF-44E3-9099-C40C66FF867C}">
                  <a14:compatExt spid="_x0000_s185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13</xdr:row>
          <xdr:rowOff>38299</xdr:rowOff>
        </xdr:from>
        <xdr:to>
          <xdr:col>12</xdr:col>
          <xdr:colOff>464381</xdr:colOff>
          <xdr:row>13</xdr:row>
          <xdr:rowOff>229797</xdr:rowOff>
        </xdr:to>
        <xdr:sp macro="" textlink="">
          <xdr:nvSpPr>
            <xdr:cNvPr id="18581" name="Spinner 149" hidden="1">
              <a:extLst>
                <a:ext uri="{63B3BB69-23CF-44E3-9099-C40C66FF867C}">
                  <a14:compatExt spid="_x0000_s1858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15</xdr:row>
          <xdr:rowOff>28725</xdr:rowOff>
        </xdr:from>
        <xdr:to>
          <xdr:col>7</xdr:col>
          <xdr:colOff>579280</xdr:colOff>
          <xdr:row>15</xdr:row>
          <xdr:rowOff>220222</xdr:rowOff>
        </xdr:to>
        <xdr:sp macro="" textlink="">
          <xdr:nvSpPr>
            <xdr:cNvPr id="18583" name="Spinner 151" hidden="1">
              <a:extLst>
                <a:ext uri="{63B3BB69-23CF-44E3-9099-C40C66FF867C}">
                  <a14:compatExt spid="_x0000_s185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15</xdr:row>
          <xdr:rowOff>19150</xdr:rowOff>
        </xdr:from>
        <xdr:to>
          <xdr:col>3</xdr:col>
          <xdr:colOff>0</xdr:colOff>
          <xdr:row>15</xdr:row>
          <xdr:rowOff>229797</xdr:rowOff>
        </xdr:to>
        <xdr:sp macro="" textlink="">
          <xdr:nvSpPr>
            <xdr:cNvPr id="18584" name="Spinner 152" hidden="1">
              <a:extLst>
                <a:ext uri="{63B3BB69-23CF-44E3-9099-C40C66FF867C}">
                  <a14:compatExt spid="_x0000_s1858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15</xdr:row>
          <xdr:rowOff>9575</xdr:rowOff>
        </xdr:from>
        <xdr:to>
          <xdr:col>9</xdr:col>
          <xdr:colOff>134048</xdr:colOff>
          <xdr:row>15</xdr:row>
          <xdr:rowOff>239372</xdr:rowOff>
        </xdr:to>
        <xdr:sp macro="" textlink="">
          <xdr:nvSpPr>
            <xdr:cNvPr id="18585" name="Spinner 153" hidden="1">
              <a:extLst>
                <a:ext uri="{63B3BB69-23CF-44E3-9099-C40C66FF867C}">
                  <a14:compatExt spid="_x0000_s1858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15</xdr:row>
          <xdr:rowOff>28725</xdr:rowOff>
        </xdr:from>
        <xdr:to>
          <xdr:col>13</xdr:col>
          <xdr:colOff>531405</xdr:colOff>
          <xdr:row>15</xdr:row>
          <xdr:rowOff>229797</xdr:rowOff>
        </xdr:to>
        <xdr:sp macro="" textlink="">
          <xdr:nvSpPr>
            <xdr:cNvPr id="18587" name="Drop Down 155" hidden="1">
              <a:extLst>
                <a:ext uri="{63B3BB69-23CF-44E3-9099-C40C66FF867C}">
                  <a14:compatExt spid="_x0000_s185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15</xdr:row>
          <xdr:rowOff>38299</xdr:rowOff>
        </xdr:from>
        <xdr:to>
          <xdr:col>12</xdr:col>
          <xdr:colOff>464381</xdr:colOff>
          <xdr:row>15</xdr:row>
          <xdr:rowOff>229797</xdr:rowOff>
        </xdr:to>
        <xdr:sp macro="" textlink="">
          <xdr:nvSpPr>
            <xdr:cNvPr id="18588" name="Spinner 156" hidden="1">
              <a:extLst>
                <a:ext uri="{63B3BB69-23CF-44E3-9099-C40C66FF867C}">
                  <a14:compatExt spid="_x0000_s185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17</xdr:row>
          <xdr:rowOff>28725</xdr:rowOff>
        </xdr:from>
        <xdr:to>
          <xdr:col>7</xdr:col>
          <xdr:colOff>579280</xdr:colOff>
          <xdr:row>17</xdr:row>
          <xdr:rowOff>220222</xdr:rowOff>
        </xdr:to>
        <xdr:sp macro="" textlink="">
          <xdr:nvSpPr>
            <xdr:cNvPr id="18590" name="Spinner 158" hidden="1">
              <a:extLst>
                <a:ext uri="{63B3BB69-23CF-44E3-9099-C40C66FF867C}">
                  <a14:compatExt spid="_x0000_s185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17</xdr:row>
          <xdr:rowOff>19150</xdr:rowOff>
        </xdr:from>
        <xdr:to>
          <xdr:col>3</xdr:col>
          <xdr:colOff>0</xdr:colOff>
          <xdr:row>17</xdr:row>
          <xdr:rowOff>229797</xdr:rowOff>
        </xdr:to>
        <xdr:sp macro="" textlink="">
          <xdr:nvSpPr>
            <xdr:cNvPr id="18591" name="Spinner 159" hidden="1">
              <a:extLst>
                <a:ext uri="{63B3BB69-23CF-44E3-9099-C40C66FF867C}">
                  <a14:compatExt spid="_x0000_s185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17</xdr:row>
          <xdr:rowOff>9575</xdr:rowOff>
        </xdr:from>
        <xdr:to>
          <xdr:col>9</xdr:col>
          <xdr:colOff>134048</xdr:colOff>
          <xdr:row>17</xdr:row>
          <xdr:rowOff>239372</xdr:rowOff>
        </xdr:to>
        <xdr:sp macro="" textlink="">
          <xdr:nvSpPr>
            <xdr:cNvPr id="18592" name="Spinner 160" hidden="1">
              <a:extLst>
                <a:ext uri="{63B3BB69-23CF-44E3-9099-C40C66FF867C}">
                  <a14:compatExt spid="_x0000_s185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17</xdr:row>
          <xdr:rowOff>28725</xdr:rowOff>
        </xdr:from>
        <xdr:to>
          <xdr:col>13</xdr:col>
          <xdr:colOff>531405</xdr:colOff>
          <xdr:row>17</xdr:row>
          <xdr:rowOff>229797</xdr:rowOff>
        </xdr:to>
        <xdr:sp macro="" textlink="">
          <xdr:nvSpPr>
            <xdr:cNvPr id="18594" name="Drop Down 162" hidden="1">
              <a:extLst>
                <a:ext uri="{63B3BB69-23CF-44E3-9099-C40C66FF867C}">
                  <a14:compatExt spid="_x0000_s185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17</xdr:row>
          <xdr:rowOff>38299</xdr:rowOff>
        </xdr:from>
        <xdr:to>
          <xdr:col>12</xdr:col>
          <xdr:colOff>464381</xdr:colOff>
          <xdr:row>17</xdr:row>
          <xdr:rowOff>229797</xdr:rowOff>
        </xdr:to>
        <xdr:sp macro="" textlink="">
          <xdr:nvSpPr>
            <xdr:cNvPr id="18595" name="Spinner 163" hidden="1">
              <a:extLst>
                <a:ext uri="{63B3BB69-23CF-44E3-9099-C40C66FF867C}">
                  <a14:compatExt spid="_x0000_s185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19</xdr:row>
          <xdr:rowOff>28725</xdr:rowOff>
        </xdr:from>
        <xdr:to>
          <xdr:col>7</xdr:col>
          <xdr:colOff>579280</xdr:colOff>
          <xdr:row>19</xdr:row>
          <xdr:rowOff>220222</xdr:rowOff>
        </xdr:to>
        <xdr:sp macro="" textlink="">
          <xdr:nvSpPr>
            <xdr:cNvPr id="18597" name="Spinner 165" hidden="1">
              <a:extLst>
                <a:ext uri="{63B3BB69-23CF-44E3-9099-C40C66FF867C}">
                  <a14:compatExt spid="_x0000_s185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19</xdr:row>
          <xdr:rowOff>19150</xdr:rowOff>
        </xdr:from>
        <xdr:to>
          <xdr:col>3</xdr:col>
          <xdr:colOff>0</xdr:colOff>
          <xdr:row>19</xdr:row>
          <xdr:rowOff>229797</xdr:rowOff>
        </xdr:to>
        <xdr:sp macro="" textlink="">
          <xdr:nvSpPr>
            <xdr:cNvPr id="18598" name="Spinner 166" hidden="1">
              <a:extLst>
                <a:ext uri="{63B3BB69-23CF-44E3-9099-C40C66FF867C}">
                  <a14:compatExt spid="_x0000_s185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19</xdr:row>
          <xdr:rowOff>9575</xdr:rowOff>
        </xdr:from>
        <xdr:to>
          <xdr:col>9</xdr:col>
          <xdr:colOff>134048</xdr:colOff>
          <xdr:row>19</xdr:row>
          <xdr:rowOff>239372</xdr:rowOff>
        </xdr:to>
        <xdr:sp macro="" textlink="">
          <xdr:nvSpPr>
            <xdr:cNvPr id="18599" name="Spinner 167" hidden="1">
              <a:extLst>
                <a:ext uri="{63B3BB69-23CF-44E3-9099-C40C66FF867C}">
                  <a14:compatExt spid="_x0000_s185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19</xdr:row>
          <xdr:rowOff>28725</xdr:rowOff>
        </xdr:from>
        <xdr:to>
          <xdr:col>13</xdr:col>
          <xdr:colOff>531405</xdr:colOff>
          <xdr:row>19</xdr:row>
          <xdr:rowOff>229797</xdr:rowOff>
        </xdr:to>
        <xdr:sp macro="" textlink="">
          <xdr:nvSpPr>
            <xdr:cNvPr id="18601" name="Drop Down 169" hidden="1">
              <a:extLst>
                <a:ext uri="{63B3BB69-23CF-44E3-9099-C40C66FF867C}">
                  <a14:compatExt spid="_x0000_s18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19</xdr:row>
          <xdr:rowOff>38299</xdr:rowOff>
        </xdr:from>
        <xdr:to>
          <xdr:col>12</xdr:col>
          <xdr:colOff>464381</xdr:colOff>
          <xdr:row>19</xdr:row>
          <xdr:rowOff>229797</xdr:rowOff>
        </xdr:to>
        <xdr:sp macro="" textlink="">
          <xdr:nvSpPr>
            <xdr:cNvPr id="18602" name="Spinner 170" hidden="1">
              <a:extLst>
                <a:ext uri="{63B3BB69-23CF-44E3-9099-C40C66FF867C}">
                  <a14:compatExt spid="_x0000_s186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21</xdr:row>
          <xdr:rowOff>28725</xdr:rowOff>
        </xdr:from>
        <xdr:to>
          <xdr:col>7</xdr:col>
          <xdr:colOff>579280</xdr:colOff>
          <xdr:row>21</xdr:row>
          <xdr:rowOff>220222</xdr:rowOff>
        </xdr:to>
        <xdr:sp macro="" textlink="">
          <xdr:nvSpPr>
            <xdr:cNvPr id="18604" name="Spinner 172" hidden="1">
              <a:extLst>
                <a:ext uri="{63B3BB69-23CF-44E3-9099-C40C66FF867C}">
                  <a14:compatExt spid="_x0000_s186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21</xdr:row>
          <xdr:rowOff>19150</xdr:rowOff>
        </xdr:from>
        <xdr:to>
          <xdr:col>3</xdr:col>
          <xdr:colOff>0</xdr:colOff>
          <xdr:row>21</xdr:row>
          <xdr:rowOff>229797</xdr:rowOff>
        </xdr:to>
        <xdr:sp macro="" textlink="">
          <xdr:nvSpPr>
            <xdr:cNvPr id="18605" name="Spinner 173" hidden="1">
              <a:extLst>
                <a:ext uri="{63B3BB69-23CF-44E3-9099-C40C66FF867C}">
                  <a14:compatExt spid="_x0000_s186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21</xdr:row>
          <xdr:rowOff>9575</xdr:rowOff>
        </xdr:from>
        <xdr:to>
          <xdr:col>9</xdr:col>
          <xdr:colOff>134048</xdr:colOff>
          <xdr:row>21</xdr:row>
          <xdr:rowOff>239372</xdr:rowOff>
        </xdr:to>
        <xdr:sp macro="" textlink="">
          <xdr:nvSpPr>
            <xdr:cNvPr id="18606" name="Spinner 174" hidden="1">
              <a:extLst>
                <a:ext uri="{63B3BB69-23CF-44E3-9099-C40C66FF867C}">
                  <a14:compatExt spid="_x0000_s186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21</xdr:row>
          <xdr:rowOff>28725</xdr:rowOff>
        </xdr:from>
        <xdr:to>
          <xdr:col>13</xdr:col>
          <xdr:colOff>531405</xdr:colOff>
          <xdr:row>21</xdr:row>
          <xdr:rowOff>229797</xdr:rowOff>
        </xdr:to>
        <xdr:sp macro="" textlink="">
          <xdr:nvSpPr>
            <xdr:cNvPr id="18608" name="Drop Down 176" hidden="1">
              <a:extLst>
                <a:ext uri="{63B3BB69-23CF-44E3-9099-C40C66FF867C}">
                  <a14:compatExt spid="_x0000_s18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21</xdr:row>
          <xdr:rowOff>38299</xdr:rowOff>
        </xdr:from>
        <xdr:to>
          <xdr:col>12</xdr:col>
          <xdr:colOff>464381</xdr:colOff>
          <xdr:row>21</xdr:row>
          <xdr:rowOff>229797</xdr:rowOff>
        </xdr:to>
        <xdr:sp macro="" textlink="">
          <xdr:nvSpPr>
            <xdr:cNvPr id="18609" name="Spinner 177" hidden="1">
              <a:extLst>
                <a:ext uri="{63B3BB69-23CF-44E3-9099-C40C66FF867C}">
                  <a14:compatExt spid="_x0000_s186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23</xdr:row>
          <xdr:rowOff>28725</xdr:rowOff>
        </xdr:from>
        <xdr:to>
          <xdr:col>7</xdr:col>
          <xdr:colOff>579280</xdr:colOff>
          <xdr:row>23</xdr:row>
          <xdr:rowOff>220222</xdr:rowOff>
        </xdr:to>
        <xdr:sp macro="" textlink="">
          <xdr:nvSpPr>
            <xdr:cNvPr id="18611" name="Spinner 179" hidden="1">
              <a:extLst>
                <a:ext uri="{63B3BB69-23CF-44E3-9099-C40C66FF867C}">
                  <a14:compatExt spid="_x0000_s186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23</xdr:row>
          <xdr:rowOff>19150</xdr:rowOff>
        </xdr:from>
        <xdr:to>
          <xdr:col>3</xdr:col>
          <xdr:colOff>0</xdr:colOff>
          <xdr:row>23</xdr:row>
          <xdr:rowOff>229797</xdr:rowOff>
        </xdr:to>
        <xdr:sp macro="" textlink="">
          <xdr:nvSpPr>
            <xdr:cNvPr id="18612" name="Spinner 180" hidden="1">
              <a:extLst>
                <a:ext uri="{63B3BB69-23CF-44E3-9099-C40C66FF867C}">
                  <a14:compatExt spid="_x0000_s186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23</xdr:row>
          <xdr:rowOff>9575</xdr:rowOff>
        </xdr:from>
        <xdr:to>
          <xdr:col>9</xdr:col>
          <xdr:colOff>134048</xdr:colOff>
          <xdr:row>23</xdr:row>
          <xdr:rowOff>239372</xdr:rowOff>
        </xdr:to>
        <xdr:sp macro="" textlink="">
          <xdr:nvSpPr>
            <xdr:cNvPr id="18613" name="Spinner 181" hidden="1">
              <a:extLst>
                <a:ext uri="{63B3BB69-23CF-44E3-9099-C40C66FF867C}">
                  <a14:compatExt spid="_x0000_s186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23</xdr:row>
          <xdr:rowOff>28725</xdr:rowOff>
        </xdr:from>
        <xdr:to>
          <xdr:col>13</xdr:col>
          <xdr:colOff>531405</xdr:colOff>
          <xdr:row>23</xdr:row>
          <xdr:rowOff>229797</xdr:rowOff>
        </xdr:to>
        <xdr:sp macro="" textlink="">
          <xdr:nvSpPr>
            <xdr:cNvPr id="18615" name="Drop Down 183" hidden="1">
              <a:extLst>
                <a:ext uri="{63B3BB69-23CF-44E3-9099-C40C66FF867C}">
                  <a14:compatExt spid="_x0000_s186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23</xdr:row>
          <xdr:rowOff>38299</xdr:rowOff>
        </xdr:from>
        <xdr:to>
          <xdr:col>12</xdr:col>
          <xdr:colOff>464381</xdr:colOff>
          <xdr:row>23</xdr:row>
          <xdr:rowOff>229797</xdr:rowOff>
        </xdr:to>
        <xdr:sp macro="" textlink="">
          <xdr:nvSpPr>
            <xdr:cNvPr id="18616" name="Spinner 184" hidden="1">
              <a:extLst>
                <a:ext uri="{63B3BB69-23CF-44E3-9099-C40C66FF867C}">
                  <a14:compatExt spid="_x0000_s186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25</xdr:row>
          <xdr:rowOff>28725</xdr:rowOff>
        </xdr:from>
        <xdr:to>
          <xdr:col>7</xdr:col>
          <xdr:colOff>579280</xdr:colOff>
          <xdr:row>25</xdr:row>
          <xdr:rowOff>220222</xdr:rowOff>
        </xdr:to>
        <xdr:sp macro="" textlink="">
          <xdr:nvSpPr>
            <xdr:cNvPr id="18695" name="Spinner 263" hidden="1">
              <a:extLst>
                <a:ext uri="{63B3BB69-23CF-44E3-9099-C40C66FF867C}">
                  <a14:compatExt spid="_x0000_s186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25</xdr:row>
          <xdr:rowOff>19150</xdr:rowOff>
        </xdr:from>
        <xdr:to>
          <xdr:col>3</xdr:col>
          <xdr:colOff>0</xdr:colOff>
          <xdr:row>25</xdr:row>
          <xdr:rowOff>229797</xdr:rowOff>
        </xdr:to>
        <xdr:sp macro="" textlink="">
          <xdr:nvSpPr>
            <xdr:cNvPr id="18696" name="Spinner 264" hidden="1">
              <a:extLst>
                <a:ext uri="{63B3BB69-23CF-44E3-9099-C40C66FF867C}">
                  <a14:compatExt spid="_x0000_s186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25</xdr:row>
          <xdr:rowOff>9575</xdr:rowOff>
        </xdr:from>
        <xdr:to>
          <xdr:col>9</xdr:col>
          <xdr:colOff>134048</xdr:colOff>
          <xdr:row>25</xdr:row>
          <xdr:rowOff>239372</xdr:rowOff>
        </xdr:to>
        <xdr:sp macro="" textlink="">
          <xdr:nvSpPr>
            <xdr:cNvPr id="18697" name="Spinner 265" hidden="1">
              <a:extLst>
                <a:ext uri="{63B3BB69-23CF-44E3-9099-C40C66FF867C}">
                  <a14:compatExt spid="_x0000_s186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25</xdr:row>
          <xdr:rowOff>28725</xdr:rowOff>
        </xdr:from>
        <xdr:to>
          <xdr:col>13</xdr:col>
          <xdr:colOff>531405</xdr:colOff>
          <xdr:row>25</xdr:row>
          <xdr:rowOff>229797</xdr:rowOff>
        </xdr:to>
        <xdr:sp macro="" textlink="">
          <xdr:nvSpPr>
            <xdr:cNvPr id="18699" name="Drop Down 267" hidden="1">
              <a:extLst>
                <a:ext uri="{63B3BB69-23CF-44E3-9099-C40C66FF867C}">
                  <a14:compatExt spid="_x0000_s18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25</xdr:row>
          <xdr:rowOff>38299</xdr:rowOff>
        </xdr:from>
        <xdr:to>
          <xdr:col>12</xdr:col>
          <xdr:colOff>464381</xdr:colOff>
          <xdr:row>25</xdr:row>
          <xdr:rowOff>229797</xdr:rowOff>
        </xdr:to>
        <xdr:sp macro="" textlink="">
          <xdr:nvSpPr>
            <xdr:cNvPr id="18700" name="Spinner 268" hidden="1">
              <a:extLst>
                <a:ext uri="{63B3BB69-23CF-44E3-9099-C40C66FF867C}">
                  <a14:compatExt spid="_x0000_s187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27</xdr:row>
          <xdr:rowOff>28725</xdr:rowOff>
        </xdr:from>
        <xdr:to>
          <xdr:col>7</xdr:col>
          <xdr:colOff>579280</xdr:colOff>
          <xdr:row>27</xdr:row>
          <xdr:rowOff>220222</xdr:rowOff>
        </xdr:to>
        <xdr:sp macro="" textlink="">
          <xdr:nvSpPr>
            <xdr:cNvPr id="18702" name="Spinner 270" hidden="1">
              <a:extLst>
                <a:ext uri="{63B3BB69-23CF-44E3-9099-C40C66FF867C}">
                  <a14:compatExt spid="_x0000_s187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27</xdr:row>
          <xdr:rowOff>19150</xdr:rowOff>
        </xdr:from>
        <xdr:to>
          <xdr:col>3</xdr:col>
          <xdr:colOff>0</xdr:colOff>
          <xdr:row>27</xdr:row>
          <xdr:rowOff>229797</xdr:rowOff>
        </xdr:to>
        <xdr:sp macro="" textlink="">
          <xdr:nvSpPr>
            <xdr:cNvPr id="18703" name="Spinner 271" hidden="1">
              <a:extLst>
                <a:ext uri="{63B3BB69-23CF-44E3-9099-C40C66FF867C}">
                  <a14:compatExt spid="_x0000_s187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27</xdr:row>
          <xdr:rowOff>9575</xdr:rowOff>
        </xdr:from>
        <xdr:to>
          <xdr:col>9</xdr:col>
          <xdr:colOff>134048</xdr:colOff>
          <xdr:row>27</xdr:row>
          <xdr:rowOff>239372</xdr:rowOff>
        </xdr:to>
        <xdr:sp macro="" textlink="">
          <xdr:nvSpPr>
            <xdr:cNvPr id="18704" name="Spinner 272" hidden="1">
              <a:extLst>
                <a:ext uri="{63B3BB69-23CF-44E3-9099-C40C66FF867C}">
                  <a14:compatExt spid="_x0000_s187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27</xdr:row>
          <xdr:rowOff>28725</xdr:rowOff>
        </xdr:from>
        <xdr:to>
          <xdr:col>13</xdr:col>
          <xdr:colOff>531405</xdr:colOff>
          <xdr:row>27</xdr:row>
          <xdr:rowOff>229797</xdr:rowOff>
        </xdr:to>
        <xdr:sp macro="" textlink="">
          <xdr:nvSpPr>
            <xdr:cNvPr id="18706" name="Drop Down 274" hidden="1">
              <a:extLst>
                <a:ext uri="{63B3BB69-23CF-44E3-9099-C40C66FF867C}">
                  <a14:compatExt spid="_x0000_s18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27</xdr:row>
          <xdr:rowOff>38299</xdr:rowOff>
        </xdr:from>
        <xdr:to>
          <xdr:col>12</xdr:col>
          <xdr:colOff>464381</xdr:colOff>
          <xdr:row>27</xdr:row>
          <xdr:rowOff>229797</xdr:rowOff>
        </xdr:to>
        <xdr:sp macro="" textlink="">
          <xdr:nvSpPr>
            <xdr:cNvPr id="18707" name="Spinner 275" hidden="1">
              <a:extLst>
                <a:ext uri="{63B3BB69-23CF-44E3-9099-C40C66FF867C}">
                  <a14:compatExt spid="_x0000_s187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29</xdr:row>
          <xdr:rowOff>28725</xdr:rowOff>
        </xdr:from>
        <xdr:to>
          <xdr:col>7</xdr:col>
          <xdr:colOff>579280</xdr:colOff>
          <xdr:row>29</xdr:row>
          <xdr:rowOff>220222</xdr:rowOff>
        </xdr:to>
        <xdr:sp macro="" textlink="">
          <xdr:nvSpPr>
            <xdr:cNvPr id="18709" name="Spinner 277" hidden="1">
              <a:extLst>
                <a:ext uri="{63B3BB69-23CF-44E3-9099-C40C66FF867C}">
                  <a14:compatExt spid="_x0000_s187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29</xdr:row>
          <xdr:rowOff>19150</xdr:rowOff>
        </xdr:from>
        <xdr:to>
          <xdr:col>3</xdr:col>
          <xdr:colOff>0</xdr:colOff>
          <xdr:row>29</xdr:row>
          <xdr:rowOff>229797</xdr:rowOff>
        </xdr:to>
        <xdr:sp macro="" textlink="">
          <xdr:nvSpPr>
            <xdr:cNvPr id="18710" name="Spinner 278" hidden="1">
              <a:extLst>
                <a:ext uri="{63B3BB69-23CF-44E3-9099-C40C66FF867C}">
                  <a14:compatExt spid="_x0000_s187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29</xdr:row>
          <xdr:rowOff>9575</xdr:rowOff>
        </xdr:from>
        <xdr:to>
          <xdr:col>9</xdr:col>
          <xdr:colOff>134048</xdr:colOff>
          <xdr:row>29</xdr:row>
          <xdr:rowOff>239372</xdr:rowOff>
        </xdr:to>
        <xdr:sp macro="" textlink="">
          <xdr:nvSpPr>
            <xdr:cNvPr id="18711" name="Spinner 279" hidden="1">
              <a:extLst>
                <a:ext uri="{63B3BB69-23CF-44E3-9099-C40C66FF867C}">
                  <a14:compatExt spid="_x0000_s187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29</xdr:row>
          <xdr:rowOff>28725</xdr:rowOff>
        </xdr:from>
        <xdr:to>
          <xdr:col>13</xdr:col>
          <xdr:colOff>531405</xdr:colOff>
          <xdr:row>29</xdr:row>
          <xdr:rowOff>229797</xdr:rowOff>
        </xdr:to>
        <xdr:sp macro="" textlink="">
          <xdr:nvSpPr>
            <xdr:cNvPr id="18713" name="Drop Down 281" hidden="1">
              <a:extLst>
                <a:ext uri="{63B3BB69-23CF-44E3-9099-C40C66FF867C}">
                  <a14:compatExt spid="_x0000_s187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29</xdr:row>
          <xdr:rowOff>38299</xdr:rowOff>
        </xdr:from>
        <xdr:to>
          <xdr:col>12</xdr:col>
          <xdr:colOff>464381</xdr:colOff>
          <xdr:row>29</xdr:row>
          <xdr:rowOff>229797</xdr:rowOff>
        </xdr:to>
        <xdr:sp macro="" textlink="">
          <xdr:nvSpPr>
            <xdr:cNvPr id="18714" name="Spinner 282" hidden="1">
              <a:extLst>
                <a:ext uri="{63B3BB69-23CF-44E3-9099-C40C66FF867C}">
                  <a14:compatExt spid="_x0000_s187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31</xdr:row>
          <xdr:rowOff>28725</xdr:rowOff>
        </xdr:from>
        <xdr:to>
          <xdr:col>7</xdr:col>
          <xdr:colOff>579280</xdr:colOff>
          <xdr:row>31</xdr:row>
          <xdr:rowOff>220222</xdr:rowOff>
        </xdr:to>
        <xdr:sp macro="" textlink="">
          <xdr:nvSpPr>
            <xdr:cNvPr id="18716" name="Spinner 284" hidden="1">
              <a:extLst>
                <a:ext uri="{63B3BB69-23CF-44E3-9099-C40C66FF867C}">
                  <a14:compatExt spid="_x0000_s187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31</xdr:row>
          <xdr:rowOff>19150</xdr:rowOff>
        </xdr:from>
        <xdr:to>
          <xdr:col>3</xdr:col>
          <xdr:colOff>0</xdr:colOff>
          <xdr:row>31</xdr:row>
          <xdr:rowOff>229797</xdr:rowOff>
        </xdr:to>
        <xdr:sp macro="" textlink="">
          <xdr:nvSpPr>
            <xdr:cNvPr id="18717" name="Spinner 285" hidden="1">
              <a:extLst>
                <a:ext uri="{63B3BB69-23CF-44E3-9099-C40C66FF867C}">
                  <a14:compatExt spid="_x0000_s187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31</xdr:row>
          <xdr:rowOff>9575</xdr:rowOff>
        </xdr:from>
        <xdr:to>
          <xdr:col>9</xdr:col>
          <xdr:colOff>134048</xdr:colOff>
          <xdr:row>31</xdr:row>
          <xdr:rowOff>239372</xdr:rowOff>
        </xdr:to>
        <xdr:sp macro="" textlink="">
          <xdr:nvSpPr>
            <xdr:cNvPr id="18718" name="Spinner 286" hidden="1">
              <a:extLst>
                <a:ext uri="{63B3BB69-23CF-44E3-9099-C40C66FF867C}">
                  <a14:compatExt spid="_x0000_s187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31</xdr:row>
          <xdr:rowOff>28725</xdr:rowOff>
        </xdr:from>
        <xdr:to>
          <xdr:col>13</xdr:col>
          <xdr:colOff>531405</xdr:colOff>
          <xdr:row>31</xdr:row>
          <xdr:rowOff>229797</xdr:rowOff>
        </xdr:to>
        <xdr:sp macro="" textlink="">
          <xdr:nvSpPr>
            <xdr:cNvPr id="18720" name="Drop Down 288" hidden="1">
              <a:extLst>
                <a:ext uri="{63B3BB69-23CF-44E3-9099-C40C66FF867C}">
                  <a14:compatExt spid="_x0000_s187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31</xdr:row>
          <xdr:rowOff>38299</xdr:rowOff>
        </xdr:from>
        <xdr:to>
          <xdr:col>12</xdr:col>
          <xdr:colOff>464381</xdr:colOff>
          <xdr:row>31</xdr:row>
          <xdr:rowOff>229797</xdr:rowOff>
        </xdr:to>
        <xdr:sp macro="" textlink="">
          <xdr:nvSpPr>
            <xdr:cNvPr id="18721" name="Spinner 289" hidden="1">
              <a:extLst>
                <a:ext uri="{63B3BB69-23CF-44E3-9099-C40C66FF867C}">
                  <a14:compatExt spid="_x0000_s187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33</xdr:row>
          <xdr:rowOff>28725</xdr:rowOff>
        </xdr:from>
        <xdr:to>
          <xdr:col>7</xdr:col>
          <xdr:colOff>579280</xdr:colOff>
          <xdr:row>33</xdr:row>
          <xdr:rowOff>220222</xdr:rowOff>
        </xdr:to>
        <xdr:sp macro="" textlink="">
          <xdr:nvSpPr>
            <xdr:cNvPr id="18723" name="Spinner 291" hidden="1">
              <a:extLst>
                <a:ext uri="{63B3BB69-23CF-44E3-9099-C40C66FF867C}">
                  <a14:compatExt spid="_x0000_s187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33</xdr:row>
          <xdr:rowOff>19150</xdr:rowOff>
        </xdr:from>
        <xdr:to>
          <xdr:col>3</xdr:col>
          <xdr:colOff>0</xdr:colOff>
          <xdr:row>33</xdr:row>
          <xdr:rowOff>229797</xdr:rowOff>
        </xdr:to>
        <xdr:sp macro="" textlink="">
          <xdr:nvSpPr>
            <xdr:cNvPr id="18724" name="Spinner 292" hidden="1">
              <a:extLst>
                <a:ext uri="{63B3BB69-23CF-44E3-9099-C40C66FF867C}">
                  <a14:compatExt spid="_x0000_s1872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33</xdr:row>
          <xdr:rowOff>9575</xdr:rowOff>
        </xdr:from>
        <xdr:to>
          <xdr:col>9</xdr:col>
          <xdr:colOff>134048</xdr:colOff>
          <xdr:row>33</xdr:row>
          <xdr:rowOff>239372</xdr:rowOff>
        </xdr:to>
        <xdr:sp macro="" textlink="">
          <xdr:nvSpPr>
            <xdr:cNvPr id="18725" name="Spinner 293" hidden="1">
              <a:extLst>
                <a:ext uri="{63B3BB69-23CF-44E3-9099-C40C66FF867C}">
                  <a14:compatExt spid="_x0000_s1872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33</xdr:row>
          <xdr:rowOff>28725</xdr:rowOff>
        </xdr:from>
        <xdr:to>
          <xdr:col>13</xdr:col>
          <xdr:colOff>531405</xdr:colOff>
          <xdr:row>33</xdr:row>
          <xdr:rowOff>229797</xdr:rowOff>
        </xdr:to>
        <xdr:sp macro="" textlink="">
          <xdr:nvSpPr>
            <xdr:cNvPr id="18727" name="Drop Down 295" hidden="1">
              <a:extLst>
                <a:ext uri="{63B3BB69-23CF-44E3-9099-C40C66FF867C}">
                  <a14:compatExt spid="_x0000_s187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33</xdr:row>
          <xdr:rowOff>38299</xdr:rowOff>
        </xdr:from>
        <xdr:to>
          <xdr:col>12</xdr:col>
          <xdr:colOff>464381</xdr:colOff>
          <xdr:row>33</xdr:row>
          <xdr:rowOff>229797</xdr:rowOff>
        </xdr:to>
        <xdr:sp macro="" textlink="">
          <xdr:nvSpPr>
            <xdr:cNvPr id="18728" name="Spinner 296" hidden="1">
              <a:extLst>
                <a:ext uri="{63B3BB69-23CF-44E3-9099-C40C66FF867C}">
                  <a14:compatExt spid="_x0000_s187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35</xdr:row>
          <xdr:rowOff>28725</xdr:rowOff>
        </xdr:from>
        <xdr:to>
          <xdr:col>7</xdr:col>
          <xdr:colOff>579280</xdr:colOff>
          <xdr:row>35</xdr:row>
          <xdr:rowOff>220222</xdr:rowOff>
        </xdr:to>
        <xdr:sp macro="" textlink="">
          <xdr:nvSpPr>
            <xdr:cNvPr id="18730" name="Spinner 298" hidden="1">
              <a:extLst>
                <a:ext uri="{63B3BB69-23CF-44E3-9099-C40C66FF867C}">
                  <a14:compatExt spid="_x0000_s187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35</xdr:row>
          <xdr:rowOff>19150</xdr:rowOff>
        </xdr:from>
        <xdr:to>
          <xdr:col>3</xdr:col>
          <xdr:colOff>0</xdr:colOff>
          <xdr:row>35</xdr:row>
          <xdr:rowOff>229797</xdr:rowOff>
        </xdr:to>
        <xdr:sp macro="" textlink="">
          <xdr:nvSpPr>
            <xdr:cNvPr id="18731" name="Spinner 299" hidden="1">
              <a:extLst>
                <a:ext uri="{63B3BB69-23CF-44E3-9099-C40C66FF867C}">
                  <a14:compatExt spid="_x0000_s187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35</xdr:row>
          <xdr:rowOff>9575</xdr:rowOff>
        </xdr:from>
        <xdr:to>
          <xdr:col>9</xdr:col>
          <xdr:colOff>134048</xdr:colOff>
          <xdr:row>35</xdr:row>
          <xdr:rowOff>239372</xdr:rowOff>
        </xdr:to>
        <xdr:sp macro="" textlink="">
          <xdr:nvSpPr>
            <xdr:cNvPr id="18732" name="Spinner 300" hidden="1">
              <a:extLst>
                <a:ext uri="{63B3BB69-23CF-44E3-9099-C40C66FF867C}">
                  <a14:compatExt spid="_x0000_s187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35</xdr:row>
          <xdr:rowOff>28725</xdr:rowOff>
        </xdr:from>
        <xdr:to>
          <xdr:col>13</xdr:col>
          <xdr:colOff>531405</xdr:colOff>
          <xdr:row>35</xdr:row>
          <xdr:rowOff>229797</xdr:rowOff>
        </xdr:to>
        <xdr:sp macro="" textlink="">
          <xdr:nvSpPr>
            <xdr:cNvPr id="18734" name="Drop Down 302" hidden="1">
              <a:extLst>
                <a:ext uri="{63B3BB69-23CF-44E3-9099-C40C66FF867C}">
                  <a14:compatExt spid="_x0000_s18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35</xdr:row>
          <xdr:rowOff>38299</xdr:rowOff>
        </xdr:from>
        <xdr:to>
          <xdr:col>12</xdr:col>
          <xdr:colOff>464381</xdr:colOff>
          <xdr:row>35</xdr:row>
          <xdr:rowOff>229797</xdr:rowOff>
        </xdr:to>
        <xdr:sp macro="" textlink="">
          <xdr:nvSpPr>
            <xdr:cNvPr id="18735" name="Spinner 303" hidden="1">
              <a:extLst>
                <a:ext uri="{63B3BB69-23CF-44E3-9099-C40C66FF867C}">
                  <a14:compatExt spid="_x0000_s187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37</xdr:row>
          <xdr:rowOff>28725</xdr:rowOff>
        </xdr:from>
        <xdr:to>
          <xdr:col>7</xdr:col>
          <xdr:colOff>579280</xdr:colOff>
          <xdr:row>37</xdr:row>
          <xdr:rowOff>220222</xdr:rowOff>
        </xdr:to>
        <xdr:sp macro="" textlink="">
          <xdr:nvSpPr>
            <xdr:cNvPr id="18737" name="Spinner 305" hidden="1">
              <a:extLst>
                <a:ext uri="{63B3BB69-23CF-44E3-9099-C40C66FF867C}">
                  <a14:compatExt spid="_x0000_s1873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37</xdr:row>
          <xdr:rowOff>19150</xdr:rowOff>
        </xdr:from>
        <xdr:to>
          <xdr:col>3</xdr:col>
          <xdr:colOff>0</xdr:colOff>
          <xdr:row>37</xdr:row>
          <xdr:rowOff>229797</xdr:rowOff>
        </xdr:to>
        <xdr:sp macro="" textlink="">
          <xdr:nvSpPr>
            <xdr:cNvPr id="18738" name="Spinner 306" hidden="1">
              <a:extLst>
                <a:ext uri="{63B3BB69-23CF-44E3-9099-C40C66FF867C}">
                  <a14:compatExt spid="_x0000_s187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37</xdr:row>
          <xdr:rowOff>9575</xdr:rowOff>
        </xdr:from>
        <xdr:to>
          <xdr:col>9</xdr:col>
          <xdr:colOff>134048</xdr:colOff>
          <xdr:row>37</xdr:row>
          <xdr:rowOff>239372</xdr:rowOff>
        </xdr:to>
        <xdr:sp macro="" textlink="">
          <xdr:nvSpPr>
            <xdr:cNvPr id="18739" name="Spinner 307" hidden="1">
              <a:extLst>
                <a:ext uri="{63B3BB69-23CF-44E3-9099-C40C66FF867C}">
                  <a14:compatExt spid="_x0000_s187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37</xdr:row>
          <xdr:rowOff>28725</xdr:rowOff>
        </xdr:from>
        <xdr:to>
          <xdr:col>13</xdr:col>
          <xdr:colOff>531405</xdr:colOff>
          <xdr:row>37</xdr:row>
          <xdr:rowOff>229797</xdr:rowOff>
        </xdr:to>
        <xdr:sp macro="" textlink="">
          <xdr:nvSpPr>
            <xdr:cNvPr id="18741" name="Drop Down 309" hidden="1">
              <a:extLst>
                <a:ext uri="{63B3BB69-23CF-44E3-9099-C40C66FF867C}">
                  <a14:compatExt spid="_x0000_s18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37</xdr:row>
          <xdr:rowOff>38299</xdr:rowOff>
        </xdr:from>
        <xdr:to>
          <xdr:col>12</xdr:col>
          <xdr:colOff>464381</xdr:colOff>
          <xdr:row>37</xdr:row>
          <xdr:rowOff>229797</xdr:rowOff>
        </xdr:to>
        <xdr:sp macro="" textlink="">
          <xdr:nvSpPr>
            <xdr:cNvPr id="18742" name="Spinner 310" hidden="1">
              <a:extLst>
                <a:ext uri="{63B3BB69-23CF-44E3-9099-C40C66FF867C}">
                  <a14:compatExt spid="_x0000_s187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39</xdr:row>
          <xdr:rowOff>28725</xdr:rowOff>
        </xdr:from>
        <xdr:to>
          <xdr:col>7</xdr:col>
          <xdr:colOff>579280</xdr:colOff>
          <xdr:row>39</xdr:row>
          <xdr:rowOff>220222</xdr:rowOff>
        </xdr:to>
        <xdr:sp macro="" textlink="">
          <xdr:nvSpPr>
            <xdr:cNvPr id="18744" name="Spinner 312" hidden="1">
              <a:extLst>
                <a:ext uri="{63B3BB69-23CF-44E3-9099-C40C66FF867C}">
                  <a14:compatExt spid="_x0000_s187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39</xdr:row>
          <xdr:rowOff>19150</xdr:rowOff>
        </xdr:from>
        <xdr:to>
          <xdr:col>3</xdr:col>
          <xdr:colOff>0</xdr:colOff>
          <xdr:row>39</xdr:row>
          <xdr:rowOff>229797</xdr:rowOff>
        </xdr:to>
        <xdr:sp macro="" textlink="">
          <xdr:nvSpPr>
            <xdr:cNvPr id="18745" name="Spinner 313" hidden="1">
              <a:extLst>
                <a:ext uri="{63B3BB69-23CF-44E3-9099-C40C66FF867C}">
                  <a14:compatExt spid="_x0000_s187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39</xdr:row>
          <xdr:rowOff>9575</xdr:rowOff>
        </xdr:from>
        <xdr:to>
          <xdr:col>9</xdr:col>
          <xdr:colOff>134048</xdr:colOff>
          <xdr:row>39</xdr:row>
          <xdr:rowOff>239372</xdr:rowOff>
        </xdr:to>
        <xdr:sp macro="" textlink="">
          <xdr:nvSpPr>
            <xdr:cNvPr id="18746" name="Spinner 314" hidden="1">
              <a:extLst>
                <a:ext uri="{63B3BB69-23CF-44E3-9099-C40C66FF867C}">
                  <a14:compatExt spid="_x0000_s187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39</xdr:row>
          <xdr:rowOff>28725</xdr:rowOff>
        </xdr:from>
        <xdr:to>
          <xdr:col>13</xdr:col>
          <xdr:colOff>531405</xdr:colOff>
          <xdr:row>39</xdr:row>
          <xdr:rowOff>229797</xdr:rowOff>
        </xdr:to>
        <xdr:sp macro="" textlink="">
          <xdr:nvSpPr>
            <xdr:cNvPr id="18748" name="Drop Down 316" hidden="1">
              <a:extLst>
                <a:ext uri="{63B3BB69-23CF-44E3-9099-C40C66FF867C}">
                  <a14:compatExt spid="_x0000_s187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39</xdr:row>
          <xdr:rowOff>38299</xdr:rowOff>
        </xdr:from>
        <xdr:to>
          <xdr:col>12</xdr:col>
          <xdr:colOff>464381</xdr:colOff>
          <xdr:row>39</xdr:row>
          <xdr:rowOff>229797</xdr:rowOff>
        </xdr:to>
        <xdr:sp macro="" textlink="">
          <xdr:nvSpPr>
            <xdr:cNvPr id="18749" name="Spinner 317" hidden="1">
              <a:extLst>
                <a:ext uri="{63B3BB69-23CF-44E3-9099-C40C66FF867C}">
                  <a14:compatExt spid="_x0000_s187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41</xdr:row>
          <xdr:rowOff>28725</xdr:rowOff>
        </xdr:from>
        <xdr:to>
          <xdr:col>7</xdr:col>
          <xdr:colOff>579280</xdr:colOff>
          <xdr:row>41</xdr:row>
          <xdr:rowOff>220222</xdr:rowOff>
        </xdr:to>
        <xdr:sp macro="" textlink="">
          <xdr:nvSpPr>
            <xdr:cNvPr id="18751" name="Spinner 319" hidden="1">
              <a:extLst>
                <a:ext uri="{63B3BB69-23CF-44E3-9099-C40C66FF867C}">
                  <a14:compatExt spid="_x0000_s187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41</xdr:row>
          <xdr:rowOff>19150</xdr:rowOff>
        </xdr:from>
        <xdr:to>
          <xdr:col>3</xdr:col>
          <xdr:colOff>0</xdr:colOff>
          <xdr:row>41</xdr:row>
          <xdr:rowOff>229797</xdr:rowOff>
        </xdr:to>
        <xdr:sp macro="" textlink="">
          <xdr:nvSpPr>
            <xdr:cNvPr id="18752" name="Spinner 320" hidden="1">
              <a:extLst>
                <a:ext uri="{63B3BB69-23CF-44E3-9099-C40C66FF867C}">
                  <a14:compatExt spid="_x0000_s187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41</xdr:row>
          <xdr:rowOff>9575</xdr:rowOff>
        </xdr:from>
        <xdr:to>
          <xdr:col>9</xdr:col>
          <xdr:colOff>134048</xdr:colOff>
          <xdr:row>41</xdr:row>
          <xdr:rowOff>239372</xdr:rowOff>
        </xdr:to>
        <xdr:sp macro="" textlink="">
          <xdr:nvSpPr>
            <xdr:cNvPr id="18753" name="Spinner 321" hidden="1">
              <a:extLst>
                <a:ext uri="{63B3BB69-23CF-44E3-9099-C40C66FF867C}">
                  <a14:compatExt spid="_x0000_s187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41</xdr:row>
          <xdr:rowOff>28725</xdr:rowOff>
        </xdr:from>
        <xdr:to>
          <xdr:col>13</xdr:col>
          <xdr:colOff>531405</xdr:colOff>
          <xdr:row>41</xdr:row>
          <xdr:rowOff>229797</xdr:rowOff>
        </xdr:to>
        <xdr:sp macro="" textlink="">
          <xdr:nvSpPr>
            <xdr:cNvPr id="18755" name="Drop Down 323" hidden="1">
              <a:extLst>
                <a:ext uri="{63B3BB69-23CF-44E3-9099-C40C66FF867C}">
                  <a14:compatExt spid="_x0000_s187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41</xdr:row>
          <xdr:rowOff>38299</xdr:rowOff>
        </xdr:from>
        <xdr:to>
          <xdr:col>12</xdr:col>
          <xdr:colOff>464381</xdr:colOff>
          <xdr:row>41</xdr:row>
          <xdr:rowOff>229797</xdr:rowOff>
        </xdr:to>
        <xdr:sp macro="" textlink="">
          <xdr:nvSpPr>
            <xdr:cNvPr id="18756" name="Spinner 324" hidden="1">
              <a:extLst>
                <a:ext uri="{63B3BB69-23CF-44E3-9099-C40C66FF867C}">
                  <a14:compatExt spid="_x0000_s187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43</xdr:row>
          <xdr:rowOff>28725</xdr:rowOff>
        </xdr:from>
        <xdr:to>
          <xdr:col>7</xdr:col>
          <xdr:colOff>579280</xdr:colOff>
          <xdr:row>43</xdr:row>
          <xdr:rowOff>220222</xdr:rowOff>
        </xdr:to>
        <xdr:sp macro="" textlink="">
          <xdr:nvSpPr>
            <xdr:cNvPr id="18758" name="Spinner 326" hidden="1">
              <a:extLst>
                <a:ext uri="{63B3BB69-23CF-44E3-9099-C40C66FF867C}">
                  <a14:compatExt spid="_x0000_s187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43</xdr:row>
          <xdr:rowOff>19150</xdr:rowOff>
        </xdr:from>
        <xdr:to>
          <xdr:col>3</xdr:col>
          <xdr:colOff>0</xdr:colOff>
          <xdr:row>43</xdr:row>
          <xdr:rowOff>229797</xdr:rowOff>
        </xdr:to>
        <xdr:sp macro="" textlink="">
          <xdr:nvSpPr>
            <xdr:cNvPr id="18759" name="Spinner 327" hidden="1">
              <a:extLst>
                <a:ext uri="{63B3BB69-23CF-44E3-9099-C40C66FF867C}">
                  <a14:compatExt spid="_x0000_s187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43</xdr:row>
          <xdr:rowOff>9575</xdr:rowOff>
        </xdr:from>
        <xdr:to>
          <xdr:col>9</xdr:col>
          <xdr:colOff>134048</xdr:colOff>
          <xdr:row>43</xdr:row>
          <xdr:rowOff>239372</xdr:rowOff>
        </xdr:to>
        <xdr:sp macro="" textlink="">
          <xdr:nvSpPr>
            <xdr:cNvPr id="18760" name="Spinner 328" hidden="1">
              <a:extLst>
                <a:ext uri="{63B3BB69-23CF-44E3-9099-C40C66FF867C}">
                  <a14:compatExt spid="_x0000_s187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43</xdr:row>
          <xdr:rowOff>28725</xdr:rowOff>
        </xdr:from>
        <xdr:to>
          <xdr:col>13</xdr:col>
          <xdr:colOff>531405</xdr:colOff>
          <xdr:row>43</xdr:row>
          <xdr:rowOff>229797</xdr:rowOff>
        </xdr:to>
        <xdr:sp macro="" textlink="">
          <xdr:nvSpPr>
            <xdr:cNvPr id="18762" name="Drop Down 330" hidden="1">
              <a:extLst>
                <a:ext uri="{63B3BB69-23CF-44E3-9099-C40C66FF867C}">
                  <a14:compatExt spid="_x0000_s187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43</xdr:row>
          <xdr:rowOff>38299</xdr:rowOff>
        </xdr:from>
        <xdr:to>
          <xdr:col>12</xdr:col>
          <xdr:colOff>464381</xdr:colOff>
          <xdr:row>43</xdr:row>
          <xdr:rowOff>229797</xdr:rowOff>
        </xdr:to>
        <xdr:sp macro="" textlink="">
          <xdr:nvSpPr>
            <xdr:cNvPr id="18763" name="Spinner 331" hidden="1">
              <a:extLst>
                <a:ext uri="{63B3BB69-23CF-44E3-9099-C40C66FF867C}">
                  <a14:compatExt spid="_x0000_s187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7</xdr:row>
          <xdr:rowOff>28725</xdr:rowOff>
        </xdr:from>
        <xdr:to>
          <xdr:col>7</xdr:col>
          <xdr:colOff>579280</xdr:colOff>
          <xdr:row>7</xdr:row>
          <xdr:rowOff>220222</xdr:rowOff>
        </xdr:to>
        <xdr:sp macro="" textlink="">
          <xdr:nvSpPr>
            <xdr:cNvPr id="18796" name="Spinner 364" hidden="1">
              <a:extLst>
                <a:ext uri="{63B3BB69-23CF-44E3-9099-C40C66FF867C}">
                  <a14:compatExt spid="_x0000_s187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5</xdr:row>
          <xdr:rowOff>38299</xdr:rowOff>
        </xdr:from>
        <xdr:to>
          <xdr:col>15</xdr:col>
          <xdr:colOff>181923</xdr:colOff>
          <xdr:row>5</xdr:row>
          <xdr:rowOff>229797</xdr:rowOff>
        </xdr:to>
        <xdr:sp macro="" textlink="">
          <xdr:nvSpPr>
            <xdr:cNvPr id="18797" name="Spinner 365" hidden="1">
              <a:extLst>
                <a:ext uri="{63B3BB69-23CF-44E3-9099-C40C66FF867C}">
                  <a14:compatExt spid="_x0000_s187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7</xdr:row>
          <xdr:rowOff>38299</xdr:rowOff>
        </xdr:from>
        <xdr:to>
          <xdr:col>15</xdr:col>
          <xdr:colOff>181923</xdr:colOff>
          <xdr:row>7</xdr:row>
          <xdr:rowOff>229797</xdr:rowOff>
        </xdr:to>
        <xdr:sp macro="" textlink="">
          <xdr:nvSpPr>
            <xdr:cNvPr id="18806" name="Spinner 374" hidden="1">
              <a:extLst>
                <a:ext uri="{63B3BB69-23CF-44E3-9099-C40C66FF867C}">
                  <a14:compatExt spid="_x0000_s188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9</xdr:row>
          <xdr:rowOff>38299</xdr:rowOff>
        </xdr:from>
        <xdr:to>
          <xdr:col>15</xdr:col>
          <xdr:colOff>181923</xdr:colOff>
          <xdr:row>9</xdr:row>
          <xdr:rowOff>229797</xdr:rowOff>
        </xdr:to>
        <xdr:sp macro="" textlink="">
          <xdr:nvSpPr>
            <xdr:cNvPr id="18807" name="Spinner 375" hidden="1">
              <a:extLst>
                <a:ext uri="{63B3BB69-23CF-44E3-9099-C40C66FF867C}">
                  <a14:compatExt spid="_x0000_s188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11</xdr:row>
          <xdr:rowOff>38299</xdr:rowOff>
        </xdr:from>
        <xdr:to>
          <xdr:col>15</xdr:col>
          <xdr:colOff>181923</xdr:colOff>
          <xdr:row>11</xdr:row>
          <xdr:rowOff>229797</xdr:rowOff>
        </xdr:to>
        <xdr:sp macro="" textlink="">
          <xdr:nvSpPr>
            <xdr:cNvPr id="18808" name="Spinner 376" hidden="1">
              <a:extLst>
                <a:ext uri="{63B3BB69-23CF-44E3-9099-C40C66FF867C}">
                  <a14:compatExt spid="_x0000_s188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13</xdr:row>
          <xdr:rowOff>38299</xdr:rowOff>
        </xdr:from>
        <xdr:to>
          <xdr:col>15</xdr:col>
          <xdr:colOff>181923</xdr:colOff>
          <xdr:row>13</xdr:row>
          <xdr:rowOff>229797</xdr:rowOff>
        </xdr:to>
        <xdr:sp macro="" textlink="">
          <xdr:nvSpPr>
            <xdr:cNvPr id="18809" name="Spinner 377" hidden="1">
              <a:extLst>
                <a:ext uri="{63B3BB69-23CF-44E3-9099-C40C66FF867C}">
                  <a14:compatExt spid="_x0000_s188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15</xdr:row>
          <xdr:rowOff>38299</xdr:rowOff>
        </xdr:from>
        <xdr:to>
          <xdr:col>15</xdr:col>
          <xdr:colOff>181923</xdr:colOff>
          <xdr:row>15</xdr:row>
          <xdr:rowOff>229797</xdr:rowOff>
        </xdr:to>
        <xdr:sp macro="" textlink="">
          <xdr:nvSpPr>
            <xdr:cNvPr id="18810" name="Spinner 378" hidden="1">
              <a:extLst>
                <a:ext uri="{63B3BB69-23CF-44E3-9099-C40C66FF867C}">
                  <a14:compatExt spid="_x0000_s188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17</xdr:row>
          <xdr:rowOff>38299</xdr:rowOff>
        </xdr:from>
        <xdr:to>
          <xdr:col>15</xdr:col>
          <xdr:colOff>181923</xdr:colOff>
          <xdr:row>17</xdr:row>
          <xdr:rowOff>229797</xdr:rowOff>
        </xdr:to>
        <xdr:sp macro="" textlink="">
          <xdr:nvSpPr>
            <xdr:cNvPr id="18811" name="Spinner 379" hidden="1">
              <a:extLst>
                <a:ext uri="{63B3BB69-23CF-44E3-9099-C40C66FF867C}">
                  <a14:compatExt spid="_x0000_s188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19</xdr:row>
          <xdr:rowOff>38299</xdr:rowOff>
        </xdr:from>
        <xdr:to>
          <xdr:col>15</xdr:col>
          <xdr:colOff>181923</xdr:colOff>
          <xdr:row>19</xdr:row>
          <xdr:rowOff>229797</xdr:rowOff>
        </xdr:to>
        <xdr:sp macro="" textlink="">
          <xdr:nvSpPr>
            <xdr:cNvPr id="18812" name="Spinner 380" hidden="1">
              <a:extLst>
                <a:ext uri="{63B3BB69-23CF-44E3-9099-C40C66FF867C}">
                  <a14:compatExt spid="_x0000_s188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21</xdr:row>
          <xdr:rowOff>38299</xdr:rowOff>
        </xdr:from>
        <xdr:to>
          <xdr:col>15</xdr:col>
          <xdr:colOff>181923</xdr:colOff>
          <xdr:row>21</xdr:row>
          <xdr:rowOff>229797</xdr:rowOff>
        </xdr:to>
        <xdr:sp macro="" textlink="">
          <xdr:nvSpPr>
            <xdr:cNvPr id="18813" name="Spinner 381" hidden="1">
              <a:extLst>
                <a:ext uri="{63B3BB69-23CF-44E3-9099-C40C66FF867C}">
                  <a14:compatExt spid="_x0000_s188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23</xdr:row>
          <xdr:rowOff>38299</xdr:rowOff>
        </xdr:from>
        <xdr:to>
          <xdr:col>15</xdr:col>
          <xdr:colOff>181923</xdr:colOff>
          <xdr:row>23</xdr:row>
          <xdr:rowOff>229797</xdr:rowOff>
        </xdr:to>
        <xdr:sp macro="" textlink="">
          <xdr:nvSpPr>
            <xdr:cNvPr id="18814" name="Spinner 382" hidden="1">
              <a:extLst>
                <a:ext uri="{63B3BB69-23CF-44E3-9099-C40C66FF867C}">
                  <a14:compatExt spid="_x0000_s188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25</xdr:row>
          <xdr:rowOff>38299</xdr:rowOff>
        </xdr:from>
        <xdr:to>
          <xdr:col>15</xdr:col>
          <xdr:colOff>181923</xdr:colOff>
          <xdr:row>25</xdr:row>
          <xdr:rowOff>229797</xdr:rowOff>
        </xdr:to>
        <xdr:sp macro="" textlink="">
          <xdr:nvSpPr>
            <xdr:cNvPr id="18815" name="Spinner 383" hidden="1">
              <a:extLst>
                <a:ext uri="{63B3BB69-23CF-44E3-9099-C40C66FF867C}">
                  <a14:compatExt spid="_x0000_s188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27</xdr:row>
          <xdr:rowOff>38299</xdr:rowOff>
        </xdr:from>
        <xdr:to>
          <xdr:col>15</xdr:col>
          <xdr:colOff>181923</xdr:colOff>
          <xdr:row>27</xdr:row>
          <xdr:rowOff>229797</xdr:rowOff>
        </xdr:to>
        <xdr:sp macro="" textlink="">
          <xdr:nvSpPr>
            <xdr:cNvPr id="18816" name="Spinner 384" hidden="1">
              <a:extLst>
                <a:ext uri="{63B3BB69-23CF-44E3-9099-C40C66FF867C}">
                  <a14:compatExt spid="_x0000_s188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29</xdr:row>
          <xdr:rowOff>38299</xdr:rowOff>
        </xdr:from>
        <xdr:to>
          <xdr:col>15</xdr:col>
          <xdr:colOff>181923</xdr:colOff>
          <xdr:row>29</xdr:row>
          <xdr:rowOff>229797</xdr:rowOff>
        </xdr:to>
        <xdr:sp macro="" textlink="">
          <xdr:nvSpPr>
            <xdr:cNvPr id="18817" name="Spinner 385" hidden="1">
              <a:extLst>
                <a:ext uri="{63B3BB69-23CF-44E3-9099-C40C66FF867C}">
                  <a14:compatExt spid="_x0000_s188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31</xdr:row>
          <xdr:rowOff>38299</xdr:rowOff>
        </xdr:from>
        <xdr:to>
          <xdr:col>15</xdr:col>
          <xdr:colOff>181923</xdr:colOff>
          <xdr:row>31</xdr:row>
          <xdr:rowOff>229797</xdr:rowOff>
        </xdr:to>
        <xdr:sp macro="" textlink="">
          <xdr:nvSpPr>
            <xdr:cNvPr id="18818" name="Spinner 386" hidden="1">
              <a:extLst>
                <a:ext uri="{63B3BB69-23CF-44E3-9099-C40C66FF867C}">
                  <a14:compatExt spid="_x0000_s188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33</xdr:row>
          <xdr:rowOff>38299</xdr:rowOff>
        </xdr:from>
        <xdr:to>
          <xdr:col>15</xdr:col>
          <xdr:colOff>181923</xdr:colOff>
          <xdr:row>33</xdr:row>
          <xdr:rowOff>229797</xdr:rowOff>
        </xdr:to>
        <xdr:sp macro="" textlink="">
          <xdr:nvSpPr>
            <xdr:cNvPr id="18819" name="Spinner 387" hidden="1">
              <a:extLst>
                <a:ext uri="{63B3BB69-23CF-44E3-9099-C40C66FF867C}">
                  <a14:compatExt spid="_x0000_s1881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35</xdr:row>
          <xdr:rowOff>38299</xdr:rowOff>
        </xdr:from>
        <xdr:to>
          <xdr:col>15</xdr:col>
          <xdr:colOff>181923</xdr:colOff>
          <xdr:row>35</xdr:row>
          <xdr:rowOff>229797</xdr:rowOff>
        </xdr:to>
        <xdr:sp macro="" textlink="">
          <xdr:nvSpPr>
            <xdr:cNvPr id="18820" name="Spinner 388" hidden="1">
              <a:extLst>
                <a:ext uri="{63B3BB69-23CF-44E3-9099-C40C66FF867C}">
                  <a14:compatExt spid="_x0000_s188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37</xdr:row>
          <xdr:rowOff>38299</xdr:rowOff>
        </xdr:from>
        <xdr:to>
          <xdr:col>15</xdr:col>
          <xdr:colOff>181923</xdr:colOff>
          <xdr:row>37</xdr:row>
          <xdr:rowOff>229797</xdr:rowOff>
        </xdr:to>
        <xdr:sp macro="" textlink="">
          <xdr:nvSpPr>
            <xdr:cNvPr id="18821" name="Spinner 389" hidden="1">
              <a:extLst>
                <a:ext uri="{63B3BB69-23CF-44E3-9099-C40C66FF867C}">
                  <a14:compatExt spid="_x0000_s188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39</xdr:row>
          <xdr:rowOff>38299</xdr:rowOff>
        </xdr:from>
        <xdr:to>
          <xdr:col>15</xdr:col>
          <xdr:colOff>181923</xdr:colOff>
          <xdr:row>39</xdr:row>
          <xdr:rowOff>229797</xdr:rowOff>
        </xdr:to>
        <xdr:sp macro="" textlink="">
          <xdr:nvSpPr>
            <xdr:cNvPr id="18822" name="Spinner 390" hidden="1">
              <a:extLst>
                <a:ext uri="{63B3BB69-23CF-44E3-9099-C40C66FF867C}">
                  <a14:compatExt spid="_x0000_s188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41</xdr:row>
          <xdr:rowOff>38299</xdr:rowOff>
        </xdr:from>
        <xdr:to>
          <xdr:col>15</xdr:col>
          <xdr:colOff>181923</xdr:colOff>
          <xdr:row>41</xdr:row>
          <xdr:rowOff>229797</xdr:rowOff>
        </xdr:to>
        <xdr:sp macro="" textlink="">
          <xdr:nvSpPr>
            <xdr:cNvPr id="18823" name="Spinner 391" hidden="1">
              <a:extLst>
                <a:ext uri="{63B3BB69-23CF-44E3-9099-C40C66FF867C}">
                  <a14:compatExt spid="_x0000_s188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43</xdr:row>
          <xdr:rowOff>38299</xdr:rowOff>
        </xdr:from>
        <xdr:to>
          <xdr:col>15</xdr:col>
          <xdr:colOff>181923</xdr:colOff>
          <xdr:row>43</xdr:row>
          <xdr:rowOff>229797</xdr:rowOff>
        </xdr:to>
        <xdr:sp macro="" textlink="">
          <xdr:nvSpPr>
            <xdr:cNvPr id="18824" name="Spinner 392" hidden="1">
              <a:extLst>
                <a:ext uri="{63B3BB69-23CF-44E3-9099-C40C66FF867C}">
                  <a14:compatExt spid="_x0000_s1882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xdr:col>
      <xdr:colOff>19050</xdr:colOff>
      <xdr:row>35</xdr:row>
      <xdr:rowOff>9525</xdr:rowOff>
    </xdr:from>
    <xdr:to>
      <xdr:col>7</xdr:col>
      <xdr:colOff>0</xdr:colOff>
      <xdr:row>35</xdr:row>
      <xdr:rowOff>238125</xdr:rowOff>
    </xdr:to>
    <xdr:sp macro="[0]!Medicament_16" textlink="">
      <xdr:nvSpPr>
        <xdr:cNvPr id="18830" name="Rectangle 398"/>
        <xdr:cNvSpPr>
          <a:spLocks noChangeArrowheads="1"/>
        </xdr:cNvSpPr>
      </xdr:nvSpPr>
      <xdr:spPr bwMode="auto">
        <a:xfrm>
          <a:off x="1057275" y="8343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37</xdr:row>
      <xdr:rowOff>9525</xdr:rowOff>
    </xdr:from>
    <xdr:to>
      <xdr:col>7</xdr:col>
      <xdr:colOff>0</xdr:colOff>
      <xdr:row>37</xdr:row>
      <xdr:rowOff>238125</xdr:rowOff>
    </xdr:to>
    <xdr:sp macro="[0]!Medicament_17" textlink="">
      <xdr:nvSpPr>
        <xdr:cNvPr id="18831" name="Rectangle 399"/>
        <xdr:cNvSpPr>
          <a:spLocks noChangeArrowheads="1"/>
        </xdr:cNvSpPr>
      </xdr:nvSpPr>
      <xdr:spPr bwMode="auto">
        <a:xfrm>
          <a:off x="1057275" y="8839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39</xdr:row>
      <xdr:rowOff>9525</xdr:rowOff>
    </xdr:from>
    <xdr:to>
      <xdr:col>7</xdr:col>
      <xdr:colOff>0</xdr:colOff>
      <xdr:row>39</xdr:row>
      <xdr:rowOff>238125</xdr:rowOff>
    </xdr:to>
    <xdr:sp macro="[0]!Medicament_18" textlink="">
      <xdr:nvSpPr>
        <xdr:cNvPr id="18832" name="Rectangle 400"/>
        <xdr:cNvSpPr>
          <a:spLocks noChangeArrowheads="1"/>
        </xdr:cNvSpPr>
      </xdr:nvSpPr>
      <xdr:spPr bwMode="auto">
        <a:xfrm>
          <a:off x="1057275" y="9334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41</xdr:row>
      <xdr:rowOff>9525</xdr:rowOff>
    </xdr:from>
    <xdr:to>
      <xdr:col>7</xdr:col>
      <xdr:colOff>0</xdr:colOff>
      <xdr:row>41</xdr:row>
      <xdr:rowOff>238125</xdr:rowOff>
    </xdr:to>
    <xdr:sp macro="[0]!Medicament_19" textlink="">
      <xdr:nvSpPr>
        <xdr:cNvPr id="18833" name="Rectangle 401"/>
        <xdr:cNvSpPr>
          <a:spLocks noChangeArrowheads="1"/>
        </xdr:cNvSpPr>
      </xdr:nvSpPr>
      <xdr:spPr bwMode="auto">
        <a:xfrm>
          <a:off x="1057275" y="9829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43</xdr:row>
      <xdr:rowOff>9525</xdr:rowOff>
    </xdr:from>
    <xdr:to>
      <xdr:col>7</xdr:col>
      <xdr:colOff>0</xdr:colOff>
      <xdr:row>43</xdr:row>
      <xdr:rowOff>238125</xdr:rowOff>
    </xdr:to>
    <xdr:sp macro="[0]!Medicament_20" textlink="">
      <xdr:nvSpPr>
        <xdr:cNvPr id="18834" name="Rectangle 402"/>
        <xdr:cNvSpPr>
          <a:spLocks noChangeArrowheads="1"/>
        </xdr:cNvSpPr>
      </xdr:nvSpPr>
      <xdr:spPr bwMode="auto">
        <a:xfrm>
          <a:off x="1057275" y="10325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5</xdr:row>
      <xdr:rowOff>0</xdr:rowOff>
    </xdr:from>
    <xdr:to>
      <xdr:col>16</xdr:col>
      <xdr:colOff>0</xdr:colOff>
      <xdr:row>5</xdr:row>
      <xdr:rowOff>0</xdr:rowOff>
    </xdr:to>
    <xdr:sp macro="[0]!medDiscBijz" textlink="">
      <xdr:nvSpPr>
        <xdr:cNvPr id="18835" name="Rectangle 403"/>
        <xdr:cNvSpPr>
          <a:spLocks noChangeArrowheads="1"/>
        </xdr:cNvSpPr>
      </xdr:nvSpPr>
      <xdr:spPr bwMode="auto">
        <a:xfrm>
          <a:off x="1647825" y="904875"/>
          <a:ext cx="75628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590550</xdr:colOff>
      <xdr:row>5</xdr:row>
      <xdr:rowOff>0</xdr:rowOff>
    </xdr:from>
    <xdr:to>
      <xdr:col>16</xdr:col>
      <xdr:colOff>0</xdr:colOff>
      <xdr:row>5</xdr:row>
      <xdr:rowOff>0</xdr:rowOff>
    </xdr:to>
    <xdr:sp macro="[0]!medDiscDos" textlink="">
      <xdr:nvSpPr>
        <xdr:cNvPr id="18836" name="Rectangle 404"/>
        <xdr:cNvSpPr>
          <a:spLocks noChangeArrowheads="1"/>
        </xdr:cNvSpPr>
      </xdr:nvSpPr>
      <xdr:spPr bwMode="auto">
        <a:xfrm>
          <a:off x="1628775" y="904875"/>
          <a:ext cx="7581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6</xdr:row>
      <xdr:rowOff>104775</xdr:rowOff>
    </xdr:from>
    <xdr:to>
      <xdr:col>7</xdr:col>
      <xdr:colOff>19050</xdr:colOff>
      <xdr:row>6</xdr:row>
      <xdr:rowOff>190500</xdr:rowOff>
    </xdr:to>
    <xdr:sp macro="[0]!opmMedDisc_1" textlink="">
      <xdr:nvSpPr>
        <xdr:cNvPr id="18837" name="Rectangle 405"/>
        <xdr:cNvSpPr>
          <a:spLocks noChangeArrowheads="1"/>
        </xdr:cNvSpPr>
      </xdr:nvSpPr>
      <xdr:spPr bwMode="auto">
        <a:xfrm>
          <a:off x="209550" y="1257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8</xdr:row>
      <xdr:rowOff>104775</xdr:rowOff>
    </xdr:from>
    <xdr:to>
      <xdr:col>6</xdr:col>
      <xdr:colOff>571500</xdr:colOff>
      <xdr:row>8</xdr:row>
      <xdr:rowOff>190500</xdr:rowOff>
    </xdr:to>
    <xdr:sp macro="[0]!opmMedDisc_2" textlink="">
      <xdr:nvSpPr>
        <xdr:cNvPr id="18838" name="Rectangle 406"/>
        <xdr:cNvSpPr>
          <a:spLocks noChangeArrowheads="1"/>
        </xdr:cNvSpPr>
      </xdr:nvSpPr>
      <xdr:spPr bwMode="auto">
        <a:xfrm>
          <a:off x="152400" y="1752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10</xdr:row>
      <xdr:rowOff>104775</xdr:rowOff>
    </xdr:from>
    <xdr:to>
      <xdr:col>7</xdr:col>
      <xdr:colOff>19050</xdr:colOff>
      <xdr:row>10</xdr:row>
      <xdr:rowOff>190500</xdr:rowOff>
    </xdr:to>
    <xdr:sp macro="[0]!opmMedDisc_3" textlink="">
      <xdr:nvSpPr>
        <xdr:cNvPr id="18840" name="Rectangle 408"/>
        <xdr:cNvSpPr>
          <a:spLocks noChangeArrowheads="1"/>
        </xdr:cNvSpPr>
      </xdr:nvSpPr>
      <xdr:spPr bwMode="auto">
        <a:xfrm>
          <a:off x="209550" y="2247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552450</xdr:colOff>
      <xdr:row>5</xdr:row>
      <xdr:rowOff>0</xdr:rowOff>
    </xdr:from>
    <xdr:to>
      <xdr:col>6</xdr:col>
      <xdr:colOff>266700</xdr:colOff>
      <xdr:row>5</xdr:row>
      <xdr:rowOff>0</xdr:rowOff>
    </xdr:to>
    <xdr:sp macro="[0]!medDiscToeding" textlink="">
      <xdr:nvSpPr>
        <xdr:cNvPr id="18841" name="Rectangle 409"/>
        <xdr:cNvSpPr>
          <a:spLocks noChangeArrowheads="1"/>
        </xdr:cNvSpPr>
      </xdr:nvSpPr>
      <xdr:spPr bwMode="auto">
        <a:xfrm>
          <a:off x="2200275" y="904875"/>
          <a:ext cx="9620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561975</xdr:colOff>
      <xdr:row>5</xdr:row>
      <xdr:rowOff>0</xdr:rowOff>
    </xdr:from>
    <xdr:to>
      <xdr:col>10</xdr:col>
      <xdr:colOff>533400</xdr:colOff>
      <xdr:row>5</xdr:row>
      <xdr:rowOff>0</xdr:rowOff>
    </xdr:to>
    <xdr:sp macro="[0]!medDiscStandDos" textlink="">
      <xdr:nvSpPr>
        <xdr:cNvPr id="18842" name="Rectangle 410"/>
        <xdr:cNvSpPr>
          <a:spLocks noChangeArrowheads="1"/>
        </xdr:cNvSpPr>
      </xdr:nvSpPr>
      <xdr:spPr bwMode="auto">
        <a:xfrm>
          <a:off x="4067175" y="904875"/>
          <a:ext cx="20097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12</xdr:row>
      <xdr:rowOff>104775</xdr:rowOff>
    </xdr:from>
    <xdr:to>
      <xdr:col>7</xdr:col>
      <xdr:colOff>19050</xdr:colOff>
      <xdr:row>12</xdr:row>
      <xdr:rowOff>190500</xdr:rowOff>
    </xdr:to>
    <xdr:sp macro="[0]!opmMedDisc_4" textlink="">
      <xdr:nvSpPr>
        <xdr:cNvPr id="18844" name="Rectangle 412"/>
        <xdr:cNvSpPr>
          <a:spLocks noChangeArrowheads="1"/>
        </xdr:cNvSpPr>
      </xdr:nvSpPr>
      <xdr:spPr bwMode="auto">
        <a:xfrm>
          <a:off x="209550" y="2743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14</xdr:row>
      <xdr:rowOff>104775</xdr:rowOff>
    </xdr:from>
    <xdr:to>
      <xdr:col>7</xdr:col>
      <xdr:colOff>19050</xdr:colOff>
      <xdr:row>14</xdr:row>
      <xdr:rowOff>190500</xdr:rowOff>
    </xdr:to>
    <xdr:sp macro="[0]!opmMedDisc_5" textlink="">
      <xdr:nvSpPr>
        <xdr:cNvPr id="18845" name="Rectangle 413"/>
        <xdr:cNvSpPr>
          <a:spLocks noChangeArrowheads="1"/>
        </xdr:cNvSpPr>
      </xdr:nvSpPr>
      <xdr:spPr bwMode="auto">
        <a:xfrm>
          <a:off x="209550" y="3238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16</xdr:row>
      <xdr:rowOff>104775</xdr:rowOff>
    </xdr:from>
    <xdr:to>
      <xdr:col>7</xdr:col>
      <xdr:colOff>19050</xdr:colOff>
      <xdr:row>16</xdr:row>
      <xdr:rowOff>190500</xdr:rowOff>
    </xdr:to>
    <xdr:sp macro="[0]!opmMedDisc_6" textlink="">
      <xdr:nvSpPr>
        <xdr:cNvPr id="18846" name="Rectangle 414"/>
        <xdr:cNvSpPr>
          <a:spLocks noChangeArrowheads="1"/>
        </xdr:cNvSpPr>
      </xdr:nvSpPr>
      <xdr:spPr bwMode="auto">
        <a:xfrm>
          <a:off x="209550" y="3733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18</xdr:row>
      <xdr:rowOff>104775</xdr:rowOff>
    </xdr:from>
    <xdr:to>
      <xdr:col>7</xdr:col>
      <xdr:colOff>19050</xdr:colOff>
      <xdr:row>18</xdr:row>
      <xdr:rowOff>190500</xdr:rowOff>
    </xdr:to>
    <xdr:sp macro="[0]!opmMedDisc_7" textlink="">
      <xdr:nvSpPr>
        <xdr:cNvPr id="18847" name="Rectangle 415"/>
        <xdr:cNvSpPr>
          <a:spLocks noChangeArrowheads="1"/>
        </xdr:cNvSpPr>
      </xdr:nvSpPr>
      <xdr:spPr bwMode="auto">
        <a:xfrm>
          <a:off x="209550" y="4229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20</xdr:row>
      <xdr:rowOff>104775</xdr:rowOff>
    </xdr:from>
    <xdr:to>
      <xdr:col>7</xdr:col>
      <xdr:colOff>19050</xdr:colOff>
      <xdr:row>20</xdr:row>
      <xdr:rowOff>190500</xdr:rowOff>
    </xdr:to>
    <xdr:sp macro="[0]!opmMedDisc_8" textlink="">
      <xdr:nvSpPr>
        <xdr:cNvPr id="18848" name="Rectangle 416"/>
        <xdr:cNvSpPr>
          <a:spLocks noChangeArrowheads="1"/>
        </xdr:cNvSpPr>
      </xdr:nvSpPr>
      <xdr:spPr bwMode="auto">
        <a:xfrm>
          <a:off x="209550" y="4724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22</xdr:row>
      <xdr:rowOff>104775</xdr:rowOff>
    </xdr:from>
    <xdr:to>
      <xdr:col>7</xdr:col>
      <xdr:colOff>19050</xdr:colOff>
      <xdr:row>22</xdr:row>
      <xdr:rowOff>190500</xdr:rowOff>
    </xdr:to>
    <xdr:sp macro="[0]!opmMedDisc_9" textlink="">
      <xdr:nvSpPr>
        <xdr:cNvPr id="18849" name="Rectangle 417"/>
        <xdr:cNvSpPr>
          <a:spLocks noChangeArrowheads="1"/>
        </xdr:cNvSpPr>
      </xdr:nvSpPr>
      <xdr:spPr bwMode="auto">
        <a:xfrm>
          <a:off x="209550" y="5219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24</xdr:row>
      <xdr:rowOff>104775</xdr:rowOff>
    </xdr:from>
    <xdr:to>
      <xdr:col>7</xdr:col>
      <xdr:colOff>19050</xdr:colOff>
      <xdr:row>24</xdr:row>
      <xdr:rowOff>190500</xdr:rowOff>
    </xdr:to>
    <xdr:sp macro="[0]!opmMedDisc_10" textlink="">
      <xdr:nvSpPr>
        <xdr:cNvPr id="18850" name="Rectangle 418"/>
        <xdr:cNvSpPr>
          <a:spLocks noChangeArrowheads="1"/>
        </xdr:cNvSpPr>
      </xdr:nvSpPr>
      <xdr:spPr bwMode="auto">
        <a:xfrm>
          <a:off x="209550" y="5715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26</xdr:row>
      <xdr:rowOff>104775</xdr:rowOff>
    </xdr:from>
    <xdr:to>
      <xdr:col>7</xdr:col>
      <xdr:colOff>19050</xdr:colOff>
      <xdr:row>26</xdr:row>
      <xdr:rowOff>190500</xdr:rowOff>
    </xdr:to>
    <xdr:sp macro="[0]!opmMedDisc_11" textlink="">
      <xdr:nvSpPr>
        <xdr:cNvPr id="18851" name="Rectangle 419"/>
        <xdr:cNvSpPr>
          <a:spLocks noChangeArrowheads="1"/>
        </xdr:cNvSpPr>
      </xdr:nvSpPr>
      <xdr:spPr bwMode="auto">
        <a:xfrm>
          <a:off x="209550" y="6210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28</xdr:row>
      <xdr:rowOff>104775</xdr:rowOff>
    </xdr:from>
    <xdr:to>
      <xdr:col>7</xdr:col>
      <xdr:colOff>19050</xdr:colOff>
      <xdr:row>28</xdr:row>
      <xdr:rowOff>190500</xdr:rowOff>
    </xdr:to>
    <xdr:sp macro="[0]!opmMedDisc_12" textlink="">
      <xdr:nvSpPr>
        <xdr:cNvPr id="18852" name="Rectangle 420"/>
        <xdr:cNvSpPr>
          <a:spLocks noChangeArrowheads="1"/>
        </xdr:cNvSpPr>
      </xdr:nvSpPr>
      <xdr:spPr bwMode="auto">
        <a:xfrm>
          <a:off x="209550" y="6705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30</xdr:row>
      <xdr:rowOff>104775</xdr:rowOff>
    </xdr:from>
    <xdr:to>
      <xdr:col>7</xdr:col>
      <xdr:colOff>19050</xdr:colOff>
      <xdr:row>30</xdr:row>
      <xdr:rowOff>190500</xdr:rowOff>
    </xdr:to>
    <xdr:sp macro="[0]!opmMedDisc_13" textlink="">
      <xdr:nvSpPr>
        <xdr:cNvPr id="18853" name="Rectangle 421"/>
        <xdr:cNvSpPr>
          <a:spLocks noChangeArrowheads="1"/>
        </xdr:cNvSpPr>
      </xdr:nvSpPr>
      <xdr:spPr bwMode="auto">
        <a:xfrm>
          <a:off x="209550" y="7200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32</xdr:row>
      <xdr:rowOff>104775</xdr:rowOff>
    </xdr:from>
    <xdr:to>
      <xdr:col>7</xdr:col>
      <xdr:colOff>19050</xdr:colOff>
      <xdr:row>32</xdr:row>
      <xdr:rowOff>190500</xdr:rowOff>
    </xdr:to>
    <xdr:sp macro="[0]!opmMedDisc_14" textlink="">
      <xdr:nvSpPr>
        <xdr:cNvPr id="18854" name="Rectangle 422"/>
        <xdr:cNvSpPr>
          <a:spLocks noChangeArrowheads="1"/>
        </xdr:cNvSpPr>
      </xdr:nvSpPr>
      <xdr:spPr bwMode="auto">
        <a:xfrm>
          <a:off x="209550" y="7696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34</xdr:row>
      <xdr:rowOff>104775</xdr:rowOff>
    </xdr:from>
    <xdr:to>
      <xdr:col>7</xdr:col>
      <xdr:colOff>19050</xdr:colOff>
      <xdr:row>34</xdr:row>
      <xdr:rowOff>190500</xdr:rowOff>
    </xdr:to>
    <xdr:sp macro="[0]!opmMedDisc_15" textlink="">
      <xdr:nvSpPr>
        <xdr:cNvPr id="18855" name="Rectangle 423"/>
        <xdr:cNvSpPr>
          <a:spLocks noChangeArrowheads="1"/>
        </xdr:cNvSpPr>
      </xdr:nvSpPr>
      <xdr:spPr bwMode="auto">
        <a:xfrm>
          <a:off x="209550" y="8191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36</xdr:row>
      <xdr:rowOff>104775</xdr:rowOff>
    </xdr:from>
    <xdr:to>
      <xdr:col>7</xdr:col>
      <xdr:colOff>19050</xdr:colOff>
      <xdr:row>36</xdr:row>
      <xdr:rowOff>190500</xdr:rowOff>
    </xdr:to>
    <xdr:sp macro="[0]!opmMedDisc_16" textlink="">
      <xdr:nvSpPr>
        <xdr:cNvPr id="18856" name="Rectangle 424"/>
        <xdr:cNvSpPr>
          <a:spLocks noChangeArrowheads="1"/>
        </xdr:cNvSpPr>
      </xdr:nvSpPr>
      <xdr:spPr bwMode="auto">
        <a:xfrm>
          <a:off x="209550" y="8686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38</xdr:row>
      <xdr:rowOff>104775</xdr:rowOff>
    </xdr:from>
    <xdr:to>
      <xdr:col>7</xdr:col>
      <xdr:colOff>19050</xdr:colOff>
      <xdr:row>38</xdr:row>
      <xdr:rowOff>190500</xdr:rowOff>
    </xdr:to>
    <xdr:sp macro="[0]!opmMedDisc_17" textlink="">
      <xdr:nvSpPr>
        <xdr:cNvPr id="18857" name="Rectangle 425"/>
        <xdr:cNvSpPr>
          <a:spLocks noChangeArrowheads="1"/>
        </xdr:cNvSpPr>
      </xdr:nvSpPr>
      <xdr:spPr bwMode="auto">
        <a:xfrm>
          <a:off x="209550" y="9182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40</xdr:row>
      <xdr:rowOff>104775</xdr:rowOff>
    </xdr:from>
    <xdr:to>
      <xdr:col>7</xdr:col>
      <xdr:colOff>19050</xdr:colOff>
      <xdr:row>40</xdr:row>
      <xdr:rowOff>190500</xdr:rowOff>
    </xdr:to>
    <xdr:sp macro="[0]!opmMedDisc_18" textlink="">
      <xdr:nvSpPr>
        <xdr:cNvPr id="18858" name="Rectangle 426"/>
        <xdr:cNvSpPr>
          <a:spLocks noChangeArrowheads="1"/>
        </xdr:cNvSpPr>
      </xdr:nvSpPr>
      <xdr:spPr bwMode="auto">
        <a:xfrm>
          <a:off x="209550" y="9677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42</xdr:row>
      <xdr:rowOff>104775</xdr:rowOff>
    </xdr:from>
    <xdr:to>
      <xdr:col>7</xdr:col>
      <xdr:colOff>19050</xdr:colOff>
      <xdr:row>42</xdr:row>
      <xdr:rowOff>190500</xdr:rowOff>
    </xdr:to>
    <xdr:sp macro="[0]!opmMedDisc_19" textlink="">
      <xdr:nvSpPr>
        <xdr:cNvPr id="18859" name="Rectangle 427"/>
        <xdr:cNvSpPr>
          <a:spLocks noChangeArrowheads="1"/>
        </xdr:cNvSpPr>
      </xdr:nvSpPr>
      <xdr:spPr bwMode="auto">
        <a:xfrm>
          <a:off x="209550" y="10172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44</xdr:row>
      <xdr:rowOff>104775</xdr:rowOff>
    </xdr:from>
    <xdr:to>
      <xdr:col>7</xdr:col>
      <xdr:colOff>19050</xdr:colOff>
      <xdr:row>44</xdr:row>
      <xdr:rowOff>190500</xdr:rowOff>
    </xdr:to>
    <xdr:sp macro="[0]!opmMedDisc_20" textlink="">
      <xdr:nvSpPr>
        <xdr:cNvPr id="18860" name="Rectangle 428"/>
        <xdr:cNvSpPr>
          <a:spLocks noChangeArrowheads="1"/>
        </xdr:cNvSpPr>
      </xdr:nvSpPr>
      <xdr:spPr bwMode="auto">
        <a:xfrm>
          <a:off x="209550" y="10668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12</xdr:col>
          <xdr:colOff>502681</xdr:colOff>
          <xdr:row>9</xdr:row>
          <xdr:rowOff>28725</xdr:rowOff>
        </xdr:from>
        <xdr:to>
          <xdr:col>13</xdr:col>
          <xdr:colOff>531405</xdr:colOff>
          <xdr:row>9</xdr:row>
          <xdr:rowOff>229797</xdr:rowOff>
        </xdr:to>
        <xdr:sp macro="" textlink="">
          <xdr:nvSpPr>
            <xdr:cNvPr id="18863" name="Drop Down 431" hidden="1">
              <a:extLst>
                <a:ext uri="{63B3BB69-23CF-44E3-9099-C40C66FF867C}">
                  <a14:compatExt spid="_x0000_s188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19050</xdr:colOff>
      <xdr:row>33</xdr:row>
      <xdr:rowOff>9525</xdr:rowOff>
    </xdr:from>
    <xdr:to>
      <xdr:col>7</xdr:col>
      <xdr:colOff>0</xdr:colOff>
      <xdr:row>33</xdr:row>
      <xdr:rowOff>238125</xdr:rowOff>
    </xdr:to>
    <xdr:sp macro="[0]!Medicament_15" textlink="">
      <xdr:nvSpPr>
        <xdr:cNvPr id="18867" name="Rectangle 435"/>
        <xdr:cNvSpPr>
          <a:spLocks noChangeArrowheads="1"/>
        </xdr:cNvSpPr>
      </xdr:nvSpPr>
      <xdr:spPr bwMode="auto">
        <a:xfrm>
          <a:off x="1057275" y="7848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31</xdr:row>
      <xdr:rowOff>9525</xdr:rowOff>
    </xdr:from>
    <xdr:to>
      <xdr:col>7</xdr:col>
      <xdr:colOff>0</xdr:colOff>
      <xdr:row>31</xdr:row>
      <xdr:rowOff>238125</xdr:rowOff>
    </xdr:to>
    <xdr:sp macro="[0]!Medicament_14" textlink="">
      <xdr:nvSpPr>
        <xdr:cNvPr id="18868" name="Rectangle 436"/>
        <xdr:cNvSpPr>
          <a:spLocks noChangeArrowheads="1"/>
        </xdr:cNvSpPr>
      </xdr:nvSpPr>
      <xdr:spPr bwMode="auto">
        <a:xfrm>
          <a:off x="1057275" y="7353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29</xdr:row>
      <xdr:rowOff>9525</xdr:rowOff>
    </xdr:from>
    <xdr:to>
      <xdr:col>7</xdr:col>
      <xdr:colOff>0</xdr:colOff>
      <xdr:row>29</xdr:row>
      <xdr:rowOff>238125</xdr:rowOff>
    </xdr:to>
    <xdr:sp macro="[0]!Medicament_13" textlink="">
      <xdr:nvSpPr>
        <xdr:cNvPr id="18869" name="Rectangle 437"/>
        <xdr:cNvSpPr>
          <a:spLocks noChangeArrowheads="1"/>
        </xdr:cNvSpPr>
      </xdr:nvSpPr>
      <xdr:spPr bwMode="auto">
        <a:xfrm>
          <a:off x="1057275" y="6858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27</xdr:row>
      <xdr:rowOff>9525</xdr:rowOff>
    </xdr:from>
    <xdr:to>
      <xdr:col>7</xdr:col>
      <xdr:colOff>0</xdr:colOff>
      <xdr:row>27</xdr:row>
      <xdr:rowOff>238125</xdr:rowOff>
    </xdr:to>
    <xdr:sp macro="[0]!Medicament_12" textlink="">
      <xdr:nvSpPr>
        <xdr:cNvPr id="18870" name="Rectangle 438"/>
        <xdr:cNvSpPr>
          <a:spLocks noChangeArrowheads="1"/>
        </xdr:cNvSpPr>
      </xdr:nvSpPr>
      <xdr:spPr bwMode="auto">
        <a:xfrm>
          <a:off x="1057275" y="63627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25</xdr:row>
      <xdr:rowOff>9525</xdr:rowOff>
    </xdr:from>
    <xdr:to>
      <xdr:col>7</xdr:col>
      <xdr:colOff>0</xdr:colOff>
      <xdr:row>25</xdr:row>
      <xdr:rowOff>238125</xdr:rowOff>
    </xdr:to>
    <xdr:sp macro="[0]!Medicament_11" textlink="">
      <xdr:nvSpPr>
        <xdr:cNvPr id="18871" name="Rectangle 439"/>
        <xdr:cNvSpPr>
          <a:spLocks noChangeArrowheads="1"/>
        </xdr:cNvSpPr>
      </xdr:nvSpPr>
      <xdr:spPr bwMode="auto">
        <a:xfrm>
          <a:off x="1057275" y="5867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23</xdr:row>
      <xdr:rowOff>9525</xdr:rowOff>
    </xdr:from>
    <xdr:to>
      <xdr:col>7</xdr:col>
      <xdr:colOff>0</xdr:colOff>
      <xdr:row>23</xdr:row>
      <xdr:rowOff>238125</xdr:rowOff>
    </xdr:to>
    <xdr:sp macro="[0]!Medicament_10" textlink="">
      <xdr:nvSpPr>
        <xdr:cNvPr id="18872" name="Rectangle 440"/>
        <xdr:cNvSpPr>
          <a:spLocks noChangeArrowheads="1"/>
        </xdr:cNvSpPr>
      </xdr:nvSpPr>
      <xdr:spPr bwMode="auto">
        <a:xfrm>
          <a:off x="1057275" y="5372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21</xdr:row>
      <xdr:rowOff>9525</xdr:rowOff>
    </xdr:from>
    <xdr:to>
      <xdr:col>7</xdr:col>
      <xdr:colOff>0</xdr:colOff>
      <xdr:row>21</xdr:row>
      <xdr:rowOff>238125</xdr:rowOff>
    </xdr:to>
    <xdr:sp macro="[0]!Medicament_9" textlink="">
      <xdr:nvSpPr>
        <xdr:cNvPr id="18873" name="Rectangle 441"/>
        <xdr:cNvSpPr>
          <a:spLocks noChangeArrowheads="1"/>
        </xdr:cNvSpPr>
      </xdr:nvSpPr>
      <xdr:spPr bwMode="auto">
        <a:xfrm>
          <a:off x="1057275" y="4876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19</xdr:row>
      <xdr:rowOff>9525</xdr:rowOff>
    </xdr:from>
    <xdr:to>
      <xdr:col>7</xdr:col>
      <xdr:colOff>0</xdr:colOff>
      <xdr:row>19</xdr:row>
      <xdr:rowOff>238125</xdr:rowOff>
    </xdr:to>
    <xdr:sp macro="[0]!Medicament_8" textlink="">
      <xdr:nvSpPr>
        <xdr:cNvPr id="18874" name="Rectangle 442"/>
        <xdr:cNvSpPr>
          <a:spLocks noChangeArrowheads="1"/>
        </xdr:cNvSpPr>
      </xdr:nvSpPr>
      <xdr:spPr bwMode="auto">
        <a:xfrm>
          <a:off x="1057275" y="4381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17</xdr:row>
      <xdr:rowOff>9525</xdr:rowOff>
    </xdr:from>
    <xdr:to>
      <xdr:col>7</xdr:col>
      <xdr:colOff>0</xdr:colOff>
      <xdr:row>17</xdr:row>
      <xdr:rowOff>238125</xdr:rowOff>
    </xdr:to>
    <xdr:sp macro="[0]!Medicament_7" textlink="">
      <xdr:nvSpPr>
        <xdr:cNvPr id="18875" name="Rectangle 443"/>
        <xdr:cNvSpPr>
          <a:spLocks noChangeArrowheads="1"/>
        </xdr:cNvSpPr>
      </xdr:nvSpPr>
      <xdr:spPr bwMode="auto">
        <a:xfrm>
          <a:off x="1057275" y="3886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15</xdr:row>
      <xdr:rowOff>9525</xdr:rowOff>
    </xdr:from>
    <xdr:to>
      <xdr:col>7</xdr:col>
      <xdr:colOff>0</xdr:colOff>
      <xdr:row>15</xdr:row>
      <xdr:rowOff>238125</xdr:rowOff>
    </xdr:to>
    <xdr:sp macro="[0]!Medicament_6" textlink="">
      <xdr:nvSpPr>
        <xdr:cNvPr id="18876" name="Rectangle 444"/>
        <xdr:cNvSpPr>
          <a:spLocks noChangeArrowheads="1"/>
        </xdr:cNvSpPr>
      </xdr:nvSpPr>
      <xdr:spPr bwMode="auto">
        <a:xfrm>
          <a:off x="1057275" y="3390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13</xdr:row>
      <xdr:rowOff>9525</xdr:rowOff>
    </xdr:from>
    <xdr:to>
      <xdr:col>7</xdr:col>
      <xdr:colOff>0</xdr:colOff>
      <xdr:row>13</xdr:row>
      <xdr:rowOff>238125</xdr:rowOff>
    </xdr:to>
    <xdr:sp macro="[0]!Medicament_5" textlink="">
      <xdr:nvSpPr>
        <xdr:cNvPr id="18877" name="Rectangle 445"/>
        <xdr:cNvSpPr>
          <a:spLocks noChangeArrowheads="1"/>
        </xdr:cNvSpPr>
      </xdr:nvSpPr>
      <xdr:spPr bwMode="auto">
        <a:xfrm>
          <a:off x="1057275" y="2895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11</xdr:row>
      <xdr:rowOff>9525</xdr:rowOff>
    </xdr:from>
    <xdr:to>
      <xdr:col>7</xdr:col>
      <xdr:colOff>0</xdr:colOff>
      <xdr:row>11</xdr:row>
      <xdr:rowOff>238125</xdr:rowOff>
    </xdr:to>
    <xdr:sp macro="[0]!Medicament_4" textlink="">
      <xdr:nvSpPr>
        <xdr:cNvPr id="18878" name="Rectangle 446"/>
        <xdr:cNvSpPr>
          <a:spLocks noChangeArrowheads="1"/>
        </xdr:cNvSpPr>
      </xdr:nvSpPr>
      <xdr:spPr bwMode="auto">
        <a:xfrm>
          <a:off x="1057275" y="2400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9</xdr:row>
      <xdr:rowOff>9525</xdr:rowOff>
    </xdr:from>
    <xdr:to>
      <xdr:col>7</xdr:col>
      <xdr:colOff>0</xdr:colOff>
      <xdr:row>9</xdr:row>
      <xdr:rowOff>238125</xdr:rowOff>
    </xdr:to>
    <xdr:sp macro="[0]!Medicament_3" textlink="">
      <xdr:nvSpPr>
        <xdr:cNvPr id="18879" name="Rectangle 447"/>
        <xdr:cNvSpPr>
          <a:spLocks noChangeArrowheads="1"/>
        </xdr:cNvSpPr>
      </xdr:nvSpPr>
      <xdr:spPr bwMode="auto">
        <a:xfrm>
          <a:off x="1057275" y="1905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6</xdr:row>
      <xdr:rowOff>238125</xdr:rowOff>
    </xdr:from>
    <xdr:to>
      <xdr:col>7</xdr:col>
      <xdr:colOff>0</xdr:colOff>
      <xdr:row>7</xdr:row>
      <xdr:rowOff>219075</xdr:rowOff>
    </xdr:to>
    <xdr:sp macro="[0]!Medicament_2" textlink="">
      <xdr:nvSpPr>
        <xdr:cNvPr id="18880" name="Rectangle 448"/>
        <xdr:cNvSpPr>
          <a:spLocks noChangeArrowheads="1"/>
        </xdr:cNvSpPr>
      </xdr:nvSpPr>
      <xdr:spPr bwMode="auto">
        <a:xfrm>
          <a:off x="1057275" y="139065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5</xdr:row>
      <xdr:rowOff>9525</xdr:rowOff>
    </xdr:from>
    <xdr:to>
      <xdr:col>7</xdr:col>
      <xdr:colOff>0</xdr:colOff>
      <xdr:row>5</xdr:row>
      <xdr:rowOff>238125</xdr:rowOff>
    </xdr:to>
    <xdr:sp macro="[0]!Medicament_1" textlink="">
      <xdr:nvSpPr>
        <xdr:cNvPr id="18881" name="Rectangle 449"/>
        <xdr:cNvSpPr>
          <a:spLocks noChangeArrowheads="1"/>
        </xdr:cNvSpPr>
      </xdr:nvSpPr>
      <xdr:spPr bwMode="auto">
        <a:xfrm>
          <a:off x="1057275" y="914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12</xdr:col>
          <xdr:colOff>47874</xdr:colOff>
          <xdr:row>2</xdr:row>
          <xdr:rowOff>28725</xdr:rowOff>
        </xdr:from>
        <xdr:to>
          <xdr:col>12</xdr:col>
          <xdr:colOff>210647</xdr:colOff>
          <xdr:row>2</xdr:row>
          <xdr:rowOff>201072</xdr:rowOff>
        </xdr:to>
        <xdr:sp macro="" textlink="">
          <xdr:nvSpPr>
            <xdr:cNvPr id="18883" name="Spinner 451" hidden="1">
              <a:extLst>
                <a:ext uri="{63B3BB69-23CF-44E3-9099-C40C66FF867C}">
                  <a14:compatExt spid="_x0000_s188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354270</xdr:colOff>
          <xdr:row>2</xdr:row>
          <xdr:rowOff>28725</xdr:rowOff>
        </xdr:from>
        <xdr:to>
          <xdr:col>14</xdr:col>
          <xdr:colOff>512255</xdr:colOff>
          <xdr:row>2</xdr:row>
          <xdr:rowOff>201072</xdr:rowOff>
        </xdr:to>
        <xdr:sp macro="" textlink="">
          <xdr:nvSpPr>
            <xdr:cNvPr id="18884" name="Spinner 452" hidden="1">
              <a:extLst>
                <a:ext uri="{63B3BB69-23CF-44E3-9099-C40C66FF867C}">
                  <a14:compatExt spid="_x0000_s1888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10</xdr:col>
      <xdr:colOff>19050</xdr:colOff>
      <xdr:row>2</xdr:row>
      <xdr:rowOff>38100</xdr:rowOff>
    </xdr:from>
    <xdr:to>
      <xdr:col>10</xdr:col>
      <xdr:colOff>990600</xdr:colOff>
      <xdr:row>3</xdr:row>
      <xdr:rowOff>0</xdr:rowOff>
    </xdr:to>
    <xdr:sp macro="[0]!InGewicht" textlink="">
      <xdr:nvSpPr>
        <xdr:cNvPr id="18885" name="Rectangle 453"/>
        <xdr:cNvSpPr>
          <a:spLocks noChangeArrowheads="1"/>
        </xdr:cNvSpPr>
      </xdr:nvSpPr>
      <xdr:spPr bwMode="auto">
        <a:xfrm>
          <a:off x="5562600" y="342900"/>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13</xdr:col>
      <xdr:colOff>28575</xdr:colOff>
      <xdr:row>2</xdr:row>
      <xdr:rowOff>19050</xdr:rowOff>
    </xdr:from>
    <xdr:to>
      <xdr:col>13</xdr:col>
      <xdr:colOff>609600</xdr:colOff>
      <xdr:row>2</xdr:row>
      <xdr:rowOff>171450</xdr:rowOff>
    </xdr:to>
    <xdr:sp macro="[0]!InLengte" textlink="">
      <xdr:nvSpPr>
        <xdr:cNvPr id="18886" name="Rectangle 454"/>
        <xdr:cNvSpPr>
          <a:spLocks noChangeArrowheads="1"/>
        </xdr:cNvSpPr>
      </xdr:nvSpPr>
      <xdr:spPr bwMode="auto">
        <a:xfrm>
          <a:off x="7410450" y="323850"/>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2</xdr:row>
      <xdr:rowOff>0</xdr:rowOff>
    </xdr:from>
    <xdr:to>
      <xdr:col>5</xdr:col>
      <xdr:colOff>1028700</xdr:colOff>
      <xdr:row>3</xdr:row>
      <xdr:rowOff>0</xdr:rowOff>
    </xdr:to>
    <xdr:sp macro="[0]!NieuwePatient" textlink="">
      <xdr:nvSpPr>
        <xdr:cNvPr id="18887" name="Rectangle 455"/>
        <xdr:cNvSpPr>
          <a:spLocks noChangeArrowheads="1"/>
        </xdr:cNvSpPr>
      </xdr:nvSpPr>
      <xdr:spPr bwMode="auto">
        <a:xfrm flipV="1">
          <a:off x="1647825" y="304800"/>
          <a:ext cx="124777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9575</xdr:colOff>
          <xdr:row>7</xdr:row>
          <xdr:rowOff>19150</xdr:rowOff>
        </xdr:from>
        <xdr:to>
          <xdr:col>4</xdr:col>
          <xdr:colOff>904825</xdr:colOff>
          <xdr:row>8</xdr:row>
          <xdr:rowOff>0</xdr:rowOff>
        </xdr:to>
        <xdr:sp macro="" textlink="">
          <xdr:nvSpPr>
            <xdr:cNvPr id="11267" name="Drop Down 3"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8</xdr:row>
          <xdr:rowOff>19150</xdr:rowOff>
        </xdr:from>
        <xdr:to>
          <xdr:col>4</xdr:col>
          <xdr:colOff>904825</xdr:colOff>
          <xdr:row>9</xdr:row>
          <xdr:rowOff>0</xdr:rowOff>
        </xdr:to>
        <xdr:sp macro="" textlink="">
          <xdr:nvSpPr>
            <xdr:cNvPr id="11268" name="Drop Down 4" hidden="1">
              <a:extLst>
                <a:ext uri="{63B3BB69-23CF-44E3-9099-C40C66FF867C}">
                  <a14:compatExt spid="_x0000_s112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9</xdr:row>
          <xdr:rowOff>19150</xdr:rowOff>
        </xdr:from>
        <xdr:to>
          <xdr:col>4</xdr:col>
          <xdr:colOff>904825</xdr:colOff>
          <xdr:row>10</xdr:row>
          <xdr:rowOff>0</xdr:rowOff>
        </xdr:to>
        <xdr:sp macro="" textlink="">
          <xdr:nvSpPr>
            <xdr:cNvPr id="11269" name="Drop Down 5" hidden="1">
              <a:extLst>
                <a:ext uri="{63B3BB69-23CF-44E3-9099-C40C66FF867C}">
                  <a14:compatExt spid="_x0000_s112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10</xdr:row>
          <xdr:rowOff>19150</xdr:rowOff>
        </xdr:from>
        <xdr:to>
          <xdr:col>4</xdr:col>
          <xdr:colOff>904825</xdr:colOff>
          <xdr:row>11</xdr:row>
          <xdr:rowOff>0</xdr:rowOff>
        </xdr:to>
        <xdr:sp macro="" textlink="">
          <xdr:nvSpPr>
            <xdr:cNvPr id="11270" name="Drop Down 6" hidden="1">
              <a:extLst>
                <a:ext uri="{63B3BB69-23CF-44E3-9099-C40C66FF867C}">
                  <a14:compatExt spid="_x0000_s112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11</xdr:row>
          <xdr:rowOff>19150</xdr:rowOff>
        </xdr:from>
        <xdr:to>
          <xdr:col>4</xdr:col>
          <xdr:colOff>904825</xdr:colOff>
          <xdr:row>12</xdr:row>
          <xdr:rowOff>0</xdr:rowOff>
        </xdr:to>
        <xdr:sp macro="" textlink="">
          <xdr:nvSpPr>
            <xdr:cNvPr id="11271" name="Drop Down 7" hidden="1">
              <a:extLst>
                <a:ext uri="{63B3BB69-23CF-44E3-9099-C40C66FF867C}">
                  <a14:compatExt spid="_x0000_s112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12</xdr:row>
          <xdr:rowOff>19150</xdr:rowOff>
        </xdr:from>
        <xdr:to>
          <xdr:col>4</xdr:col>
          <xdr:colOff>904825</xdr:colOff>
          <xdr:row>13</xdr:row>
          <xdr:rowOff>0</xdr:rowOff>
        </xdr:to>
        <xdr:sp macro="" textlink="">
          <xdr:nvSpPr>
            <xdr:cNvPr id="11272" name="Drop Down 8" hidden="1">
              <a:extLst>
                <a:ext uri="{63B3BB69-23CF-44E3-9099-C40C66FF867C}">
                  <a14:compatExt spid="_x0000_s112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18</xdr:row>
          <xdr:rowOff>19150</xdr:rowOff>
        </xdr:from>
        <xdr:to>
          <xdr:col>5</xdr:col>
          <xdr:colOff>1201646</xdr:colOff>
          <xdr:row>19</xdr:row>
          <xdr:rowOff>0</xdr:rowOff>
        </xdr:to>
        <xdr:sp macro="" textlink="">
          <xdr:nvSpPr>
            <xdr:cNvPr id="11303" name="Drop Down 39" hidden="1">
              <a:extLst>
                <a:ext uri="{63B3BB69-23CF-44E3-9099-C40C66FF867C}">
                  <a14:compatExt spid="_x0000_s113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19</xdr:row>
          <xdr:rowOff>19150</xdr:rowOff>
        </xdr:from>
        <xdr:to>
          <xdr:col>5</xdr:col>
          <xdr:colOff>1201646</xdr:colOff>
          <xdr:row>20</xdr:row>
          <xdr:rowOff>0</xdr:rowOff>
        </xdr:to>
        <xdr:sp macro="" textlink="">
          <xdr:nvSpPr>
            <xdr:cNvPr id="11304" name="Drop Down 40" hidden="1">
              <a:extLst>
                <a:ext uri="{63B3BB69-23CF-44E3-9099-C40C66FF867C}">
                  <a14:compatExt spid="_x0000_s11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20</xdr:row>
          <xdr:rowOff>19150</xdr:rowOff>
        </xdr:from>
        <xdr:to>
          <xdr:col>5</xdr:col>
          <xdr:colOff>1201646</xdr:colOff>
          <xdr:row>21</xdr:row>
          <xdr:rowOff>0</xdr:rowOff>
        </xdr:to>
        <xdr:sp macro="" textlink="">
          <xdr:nvSpPr>
            <xdr:cNvPr id="11305" name="Drop Down 41" hidden="1">
              <a:extLst>
                <a:ext uri="{63B3BB69-23CF-44E3-9099-C40C66FF867C}">
                  <a14:compatExt spid="_x0000_s113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21</xdr:row>
          <xdr:rowOff>19150</xdr:rowOff>
        </xdr:from>
        <xdr:to>
          <xdr:col>5</xdr:col>
          <xdr:colOff>1201646</xdr:colOff>
          <xdr:row>22</xdr:row>
          <xdr:rowOff>0</xdr:rowOff>
        </xdr:to>
        <xdr:sp macro="" textlink="">
          <xdr:nvSpPr>
            <xdr:cNvPr id="11306" name="Drop Down 42" hidden="1">
              <a:extLst>
                <a:ext uri="{63B3BB69-23CF-44E3-9099-C40C66FF867C}">
                  <a14:compatExt spid="_x0000_s113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124473</xdr:colOff>
          <xdr:row>2</xdr:row>
          <xdr:rowOff>9575</xdr:rowOff>
        </xdr:from>
        <xdr:to>
          <xdr:col>7</xdr:col>
          <xdr:colOff>287246</xdr:colOff>
          <xdr:row>2</xdr:row>
          <xdr:rowOff>181923</xdr:rowOff>
        </xdr:to>
        <xdr:sp macro="" textlink="">
          <xdr:nvSpPr>
            <xdr:cNvPr id="11309" name="Spinner 45" hidden="1">
              <a:extLst>
                <a:ext uri="{63B3BB69-23CF-44E3-9099-C40C66FF867C}">
                  <a14:compatExt spid="_x0000_s113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411719</xdr:colOff>
          <xdr:row>2</xdr:row>
          <xdr:rowOff>0</xdr:rowOff>
        </xdr:from>
        <xdr:to>
          <xdr:col>9</xdr:col>
          <xdr:colOff>569705</xdr:colOff>
          <xdr:row>2</xdr:row>
          <xdr:rowOff>172348</xdr:rowOff>
        </xdr:to>
        <xdr:sp macro="" textlink="">
          <xdr:nvSpPr>
            <xdr:cNvPr id="11310" name="Spinner 46" hidden="1">
              <a:extLst>
                <a:ext uri="{63B3BB69-23CF-44E3-9099-C40C66FF867C}">
                  <a14:compatExt spid="_x0000_s1131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19050</xdr:colOff>
      <xdr:row>2</xdr:row>
      <xdr:rowOff>38100</xdr:rowOff>
    </xdr:from>
    <xdr:to>
      <xdr:col>6</xdr:col>
      <xdr:colOff>990600</xdr:colOff>
      <xdr:row>3</xdr:row>
      <xdr:rowOff>0</xdr:rowOff>
    </xdr:to>
    <xdr:sp macro="[0]!InGewicht" textlink="">
      <xdr:nvSpPr>
        <xdr:cNvPr id="11311" name="Rectangle 47"/>
        <xdr:cNvSpPr>
          <a:spLocks noChangeArrowheads="1"/>
        </xdr:cNvSpPr>
      </xdr:nvSpPr>
      <xdr:spPr bwMode="auto">
        <a:xfrm>
          <a:off x="6276975" y="419100"/>
          <a:ext cx="962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8</xdr:col>
      <xdr:colOff>28575</xdr:colOff>
      <xdr:row>2</xdr:row>
      <xdr:rowOff>19050</xdr:rowOff>
    </xdr:from>
    <xdr:to>
      <xdr:col>8</xdr:col>
      <xdr:colOff>628650</xdr:colOff>
      <xdr:row>2</xdr:row>
      <xdr:rowOff>171450</xdr:rowOff>
    </xdr:to>
    <xdr:sp macro="[0]!InLengte" textlink="">
      <xdr:nvSpPr>
        <xdr:cNvPr id="11312" name="Rectangle 48"/>
        <xdr:cNvSpPr>
          <a:spLocks noChangeArrowheads="1"/>
        </xdr:cNvSpPr>
      </xdr:nvSpPr>
      <xdr:spPr bwMode="auto">
        <a:xfrm>
          <a:off x="7877175" y="400050"/>
          <a:ext cx="6000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0</xdr:colOff>
      <xdr:row>2</xdr:row>
      <xdr:rowOff>0</xdr:rowOff>
    </xdr:from>
    <xdr:to>
      <xdr:col>3</xdr:col>
      <xdr:colOff>1028700</xdr:colOff>
      <xdr:row>3</xdr:row>
      <xdr:rowOff>0</xdr:rowOff>
    </xdr:to>
    <xdr:sp macro="[0]!NieuwePatient" textlink="">
      <xdr:nvSpPr>
        <xdr:cNvPr id="11313" name="Rectangle 49"/>
        <xdr:cNvSpPr>
          <a:spLocks noChangeArrowheads="1"/>
        </xdr:cNvSpPr>
      </xdr:nvSpPr>
      <xdr:spPr bwMode="auto">
        <a:xfrm flipV="1">
          <a:off x="1476375" y="381000"/>
          <a:ext cx="21812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28575</xdr:colOff>
      <xdr:row>14</xdr:row>
      <xdr:rowOff>9525</xdr:rowOff>
    </xdr:from>
    <xdr:to>
      <xdr:col>6</xdr:col>
      <xdr:colOff>9525</xdr:colOff>
      <xdr:row>15</xdr:row>
      <xdr:rowOff>9525</xdr:rowOff>
    </xdr:to>
    <xdr:sp macro="[0]!opmAfsprInfusen" textlink="">
      <xdr:nvSpPr>
        <xdr:cNvPr id="11314" name="Rectangle 50"/>
        <xdr:cNvSpPr>
          <a:spLocks noChangeArrowheads="1"/>
        </xdr:cNvSpPr>
      </xdr:nvSpPr>
      <xdr:spPr bwMode="auto">
        <a:xfrm>
          <a:off x="400050" y="2857500"/>
          <a:ext cx="58674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9525</xdr:colOff>
      <xdr:row>24</xdr:row>
      <xdr:rowOff>0</xdr:rowOff>
    </xdr:from>
    <xdr:to>
      <xdr:col>1</xdr:col>
      <xdr:colOff>142875</xdr:colOff>
      <xdr:row>24</xdr:row>
      <xdr:rowOff>123825</xdr:rowOff>
    </xdr:to>
    <xdr:sp macro="" textlink="">
      <xdr:nvSpPr>
        <xdr:cNvPr id="11315" name="Rectangle 51"/>
        <xdr:cNvSpPr>
          <a:spLocks noChangeArrowheads="1"/>
        </xdr:cNvSpPr>
      </xdr:nvSpPr>
      <xdr:spPr bwMode="auto">
        <a:xfrm>
          <a:off x="9525" y="4924425"/>
          <a:ext cx="5048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24</xdr:row>
      <xdr:rowOff>0</xdr:rowOff>
    </xdr:from>
    <xdr:to>
      <xdr:col>6</xdr:col>
      <xdr:colOff>9525</xdr:colOff>
      <xdr:row>27</xdr:row>
      <xdr:rowOff>0</xdr:rowOff>
    </xdr:to>
    <xdr:sp macro="[0]!opmOverig_2" textlink="">
      <xdr:nvSpPr>
        <xdr:cNvPr id="11316" name="Rectangle 52"/>
        <xdr:cNvSpPr>
          <a:spLocks noChangeArrowheads="1"/>
        </xdr:cNvSpPr>
      </xdr:nvSpPr>
      <xdr:spPr bwMode="auto">
        <a:xfrm>
          <a:off x="381000" y="4924425"/>
          <a:ext cx="5886450"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361950</xdr:colOff>
      <xdr:row>5</xdr:row>
      <xdr:rowOff>47625</xdr:rowOff>
    </xdr:from>
    <xdr:to>
      <xdr:col>1</xdr:col>
      <xdr:colOff>866775</xdr:colOff>
      <xdr:row>6</xdr:row>
      <xdr:rowOff>28575</xdr:rowOff>
    </xdr:to>
    <xdr:sp macro="[0]!mMenuItems.gaNaarInfuusBeleid" textlink="">
      <xdr:nvSpPr>
        <xdr:cNvPr id="11317" name="Rectangle 53"/>
        <xdr:cNvSpPr>
          <a:spLocks noChangeArrowheads="1"/>
        </xdr:cNvSpPr>
      </xdr:nvSpPr>
      <xdr:spPr bwMode="auto">
        <a:xfrm>
          <a:off x="361950" y="1028700"/>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47625</xdr:rowOff>
    </xdr:from>
    <xdr:to>
      <xdr:col>2</xdr:col>
      <xdr:colOff>314325</xdr:colOff>
      <xdr:row>17</xdr:row>
      <xdr:rowOff>19050</xdr:rowOff>
    </xdr:to>
    <xdr:sp macro="[0]!gaNaarAanvullende" textlink="">
      <xdr:nvSpPr>
        <xdr:cNvPr id="11318" name="Rectangle 54"/>
        <xdr:cNvSpPr>
          <a:spLocks noChangeArrowheads="1"/>
        </xdr:cNvSpPr>
      </xdr:nvSpPr>
      <xdr:spPr bwMode="auto">
        <a:xfrm>
          <a:off x="381000" y="3333750"/>
          <a:ext cx="14097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2</xdr:col>
          <xdr:colOff>9575</xdr:colOff>
          <xdr:row>30</xdr:row>
          <xdr:rowOff>19150</xdr:rowOff>
        </xdr:from>
        <xdr:to>
          <xdr:col>3</xdr:col>
          <xdr:colOff>473956</xdr:colOff>
          <xdr:row>30</xdr:row>
          <xdr:rowOff>220222</xdr:rowOff>
        </xdr:to>
        <xdr:sp macro="" textlink="">
          <xdr:nvSpPr>
            <xdr:cNvPr id="11320" name="Drop Down 56" hidden="1">
              <a:extLst>
                <a:ext uri="{63B3BB69-23CF-44E3-9099-C40C66FF867C}">
                  <a14:compatExt spid="_x0000_s113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9575</xdr:colOff>
          <xdr:row>30</xdr:row>
          <xdr:rowOff>19150</xdr:rowOff>
        </xdr:from>
        <xdr:to>
          <xdr:col>6</xdr:col>
          <xdr:colOff>411719</xdr:colOff>
          <xdr:row>30</xdr:row>
          <xdr:rowOff>220222</xdr:rowOff>
        </xdr:to>
        <xdr:sp macro="" textlink="">
          <xdr:nvSpPr>
            <xdr:cNvPr id="11321" name="Drop Down 57" hidden="1">
              <a:extLst>
                <a:ext uri="{63B3BB69-23CF-44E3-9099-C40C66FF867C}">
                  <a14:compatExt spid="_x0000_s113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32</xdr:row>
          <xdr:rowOff>28725</xdr:rowOff>
        </xdr:from>
        <xdr:to>
          <xdr:col>3</xdr:col>
          <xdr:colOff>0</xdr:colOff>
          <xdr:row>33</xdr:row>
          <xdr:rowOff>38299</xdr:rowOff>
        </xdr:to>
        <xdr:sp macro="" textlink="">
          <xdr:nvSpPr>
            <xdr:cNvPr id="11328" name="Spinner 64" hidden="1">
              <a:extLst>
                <a:ext uri="{63B3BB69-23CF-44E3-9099-C40C66FF867C}">
                  <a14:compatExt spid="_x0000_s113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34</xdr:row>
          <xdr:rowOff>28725</xdr:rowOff>
        </xdr:from>
        <xdr:to>
          <xdr:col>3</xdr:col>
          <xdr:colOff>0</xdr:colOff>
          <xdr:row>34</xdr:row>
          <xdr:rowOff>201072</xdr:rowOff>
        </xdr:to>
        <xdr:sp macro="" textlink="">
          <xdr:nvSpPr>
            <xdr:cNvPr id="11329" name="Spinner 65" hidden="1">
              <a:extLst>
                <a:ext uri="{63B3BB69-23CF-44E3-9099-C40C66FF867C}">
                  <a14:compatExt spid="_x0000_s113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35</xdr:row>
          <xdr:rowOff>28725</xdr:rowOff>
        </xdr:from>
        <xdr:to>
          <xdr:col>3</xdr:col>
          <xdr:colOff>0</xdr:colOff>
          <xdr:row>35</xdr:row>
          <xdr:rowOff>201072</xdr:rowOff>
        </xdr:to>
        <xdr:sp macro="" textlink="">
          <xdr:nvSpPr>
            <xdr:cNvPr id="11330" name="Spinner 66" hidden="1">
              <a:extLst>
                <a:ext uri="{63B3BB69-23CF-44E3-9099-C40C66FF867C}">
                  <a14:compatExt spid="_x0000_s113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37</xdr:row>
          <xdr:rowOff>28725</xdr:rowOff>
        </xdr:from>
        <xdr:to>
          <xdr:col>3</xdr:col>
          <xdr:colOff>0</xdr:colOff>
          <xdr:row>37</xdr:row>
          <xdr:rowOff>201072</xdr:rowOff>
        </xdr:to>
        <xdr:sp macro="" textlink="">
          <xdr:nvSpPr>
            <xdr:cNvPr id="11331" name="Spinner 67" hidden="1">
              <a:extLst>
                <a:ext uri="{63B3BB69-23CF-44E3-9099-C40C66FF867C}">
                  <a14:compatExt spid="_x0000_s113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39</xdr:row>
          <xdr:rowOff>28725</xdr:rowOff>
        </xdr:from>
        <xdr:to>
          <xdr:col>3</xdr:col>
          <xdr:colOff>0</xdr:colOff>
          <xdr:row>39</xdr:row>
          <xdr:rowOff>201072</xdr:rowOff>
        </xdr:to>
        <xdr:sp macro="" textlink="">
          <xdr:nvSpPr>
            <xdr:cNvPr id="11332" name="Spinner 68" hidden="1">
              <a:extLst>
                <a:ext uri="{63B3BB69-23CF-44E3-9099-C40C66FF867C}">
                  <a14:compatExt spid="_x0000_s113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40</xdr:row>
          <xdr:rowOff>28725</xdr:rowOff>
        </xdr:from>
        <xdr:to>
          <xdr:col>3</xdr:col>
          <xdr:colOff>0</xdr:colOff>
          <xdr:row>40</xdr:row>
          <xdr:rowOff>201072</xdr:rowOff>
        </xdr:to>
        <xdr:sp macro="" textlink="">
          <xdr:nvSpPr>
            <xdr:cNvPr id="11333" name="Spinner 69" hidden="1">
              <a:extLst>
                <a:ext uri="{63B3BB69-23CF-44E3-9099-C40C66FF867C}">
                  <a14:compatExt spid="_x0000_s113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67024</xdr:colOff>
          <xdr:row>28</xdr:row>
          <xdr:rowOff>105324</xdr:rowOff>
        </xdr:from>
        <xdr:to>
          <xdr:col>2</xdr:col>
          <xdr:colOff>742052</xdr:colOff>
          <xdr:row>29</xdr:row>
          <xdr:rowOff>47874</xdr:rowOff>
        </xdr:to>
        <xdr:sp macro="" textlink="">
          <xdr:nvSpPr>
            <xdr:cNvPr id="11334" name="Button 70" hidden="1">
              <a:extLst>
                <a:ext uri="{63B3BB69-23CF-44E3-9099-C40C66FF867C}">
                  <a14:compatExt spid="_x0000_s11334"/>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nl-NL" sz="1000" b="0" i="0" u="none" strike="noStrike" baseline="0">
                  <a:solidFill>
                    <a:srgbClr val="000000"/>
                  </a:solidFill>
                  <a:latin typeface="Arial"/>
                  <a:cs typeface="Arial"/>
                </a:rPr>
                <a:t>Standaard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990999</xdr:colOff>
          <xdr:row>22</xdr:row>
          <xdr:rowOff>28725</xdr:rowOff>
        </xdr:from>
        <xdr:to>
          <xdr:col>3</xdr:col>
          <xdr:colOff>0</xdr:colOff>
          <xdr:row>22</xdr:row>
          <xdr:rowOff>201072</xdr:rowOff>
        </xdr:to>
        <xdr:sp macro="" textlink="">
          <xdr:nvSpPr>
            <xdr:cNvPr id="11335" name="Spinner 71" hidden="1">
              <a:extLst>
                <a:ext uri="{63B3BB69-23CF-44E3-9099-C40C66FF867C}">
                  <a14:compatExt spid="_x0000_s113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23</xdr:row>
          <xdr:rowOff>28725</xdr:rowOff>
        </xdr:from>
        <xdr:to>
          <xdr:col>3</xdr:col>
          <xdr:colOff>0</xdr:colOff>
          <xdr:row>23</xdr:row>
          <xdr:rowOff>201072</xdr:rowOff>
        </xdr:to>
        <xdr:sp macro="" textlink="">
          <xdr:nvSpPr>
            <xdr:cNvPr id="11336" name="Spinner 72" hidden="1">
              <a:extLst>
                <a:ext uri="{63B3BB69-23CF-44E3-9099-C40C66FF867C}">
                  <a14:compatExt spid="_x0000_s113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990999</xdr:colOff>
          <xdr:row>22</xdr:row>
          <xdr:rowOff>28725</xdr:rowOff>
        </xdr:from>
        <xdr:to>
          <xdr:col>5</xdr:col>
          <xdr:colOff>1153772</xdr:colOff>
          <xdr:row>22</xdr:row>
          <xdr:rowOff>201072</xdr:rowOff>
        </xdr:to>
        <xdr:sp macro="" textlink="">
          <xdr:nvSpPr>
            <xdr:cNvPr id="11338" name="Spinner 74" hidden="1">
              <a:extLst>
                <a:ext uri="{63B3BB69-23CF-44E3-9099-C40C66FF867C}">
                  <a14:compatExt spid="_x0000_s113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990999</xdr:colOff>
          <xdr:row>23</xdr:row>
          <xdr:rowOff>28725</xdr:rowOff>
        </xdr:from>
        <xdr:to>
          <xdr:col>5</xdr:col>
          <xdr:colOff>1153772</xdr:colOff>
          <xdr:row>23</xdr:row>
          <xdr:rowOff>201072</xdr:rowOff>
        </xdr:to>
        <xdr:sp macro="" textlink="">
          <xdr:nvSpPr>
            <xdr:cNvPr id="11339" name="Spinner 75" hidden="1">
              <a:extLst>
                <a:ext uri="{63B3BB69-23CF-44E3-9099-C40C66FF867C}">
                  <a14:compatExt spid="_x0000_s113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382995</xdr:colOff>
          <xdr:row>20</xdr:row>
          <xdr:rowOff>28725</xdr:rowOff>
        </xdr:from>
        <xdr:to>
          <xdr:col>8</xdr:col>
          <xdr:colOff>76599</xdr:colOff>
          <xdr:row>21</xdr:row>
          <xdr:rowOff>28725</xdr:rowOff>
        </xdr:to>
        <xdr:sp macro="" textlink="">
          <xdr:nvSpPr>
            <xdr:cNvPr id="11340" name="Check Box 76" hidden="1">
              <a:extLst>
                <a:ext uri="{63B3BB69-23CF-44E3-9099-C40C66FF867C}">
                  <a14:compatExt spid="_x0000_s113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732477</xdr:colOff>
          <xdr:row>7</xdr:row>
          <xdr:rowOff>76599</xdr:rowOff>
        </xdr:from>
        <xdr:to>
          <xdr:col>2</xdr:col>
          <xdr:colOff>856951</xdr:colOff>
          <xdr:row>8</xdr:row>
          <xdr:rowOff>0</xdr:rowOff>
        </xdr:to>
        <xdr:sp macro="" textlink="">
          <xdr:nvSpPr>
            <xdr:cNvPr id="8194" name="Spinner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502681</xdr:colOff>
          <xdr:row>7</xdr:row>
          <xdr:rowOff>67024</xdr:rowOff>
        </xdr:from>
        <xdr:to>
          <xdr:col>3</xdr:col>
          <xdr:colOff>627154</xdr:colOff>
          <xdr:row>7</xdr:row>
          <xdr:rowOff>239372</xdr:rowOff>
        </xdr:to>
        <xdr:sp macro="" textlink="">
          <xdr:nvSpPr>
            <xdr:cNvPr id="8195" name="Spinner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38299</xdr:rowOff>
        </xdr:from>
        <xdr:to>
          <xdr:col>5</xdr:col>
          <xdr:colOff>837801</xdr:colOff>
          <xdr:row>7</xdr:row>
          <xdr:rowOff>239372</xdr:rowOff>
        </xdr:to>
        <xdr:sp macro="" textlink="">
          <xdr:nvSpPr>
            <xdr:cNvPr id="8196" name="Drop Down 4"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770777</xdr:colOff>
          <xdr:row>14</xdr:row>
          <xdr:rowOff>67024</xdr:rowOff>
        </xdr:from>
        <xdr:to>
          <xdr:col>3</xdr:col>
          <xdr:colOff>933550</xdr:colOff>
          <xdr:row>14</xdr:row>
          <xdr:rowOff>258521</xdr:rowOff>
        </xdr:to>
        <xdr:sp macro="" textlink="">
          <xdr:nvSpPr>
            <xdr:cNvPr id="8198" name="Spinner 6" hidden="1">
              <a:extLst>
                <a:ext uri="{63B3BB69-23CF-44E3-9099-C40C66FF867C}">
                  <a14:compatExt spid="_x0000_s81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17</xdr:row>
          <xdr:rowOff>28725</xdr:rowOff>
        </xdr:from>
        <xdr:to>
          <xdr:col>5</xdr:col>
          <xdr:colOff>229797</xdr:colOff>
          <xdr:row>17</xdr:row>
          <xdr:rowOff>220222</xdr:rowOff>
        </xdr:to>
        <xdr:sp macro="" textlink="">
          <xdr:nvSpPr>
            <xdr:cNvPr id="8207" name="Spinner 15" hidden="1">
              <a:extLst>
                <a:ext uri="{63B3BB69-23CF-44E3-9099-C40C66FF867C}">
                  <a14:compatExt spid="_x0000_s82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18</xdr:row>
          <xdr:rowOff>28725</xdr:rowOff>
        </xdr:from>
        <xdr:to>
          <xdr:col>5</xdr:col>
          <xdr:colOff>229797</xdr:colOff>
          <xdr:row>18</xdr:row>
          <xdr:rowOff>220222</xdr:rowOff>
        </xdr:to>
        <xdr:sp macro="" textlink="">
          <xdr:nvSpPr>
            <xdr:cNvPr id="8208" name="Spinner 16" hidden="1">
              <a:extLst>
                <a:ext uri="{63B3BB69-23CF-44E3-9099-C40C66FF867C}">
                  <a14:compatExt spid="_x0000_s82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20</xdr:row>
          <xdr:rowOff>28725</xdr:rowOff>
        </xdr:from>
        <xdr:to>
          <xdr:col>5</xdr:col>
          <xdr:colOff>229797</xdr:colOff>
          <xdr:row>20</xdr:row>
          <xdr:rowOff>220222</xdr:rowOff>
        </xdr:to>
        <xdr:sp macro="" textlink="">
          <xdr:nvSpPr>
            <xdr:cNvPr id="8209" name="Spinner 17" hidden="1">
              <a:extLst>
                <a:ext uri="{63B3BB69-23CF-44E3-9099-C40C66FF867C}">
                  <a14:compatExt spid="_x0000_s82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17</xdr:row>
          <xdr:rowOff>47874</xdr:rowOff>
        </xdr:from>
        <xdr:to>
          <xdr:col>2</xdr:col>
          <xdr:colOff>124473</xdr:colOff>
          <xdr:row>18</xdr:row>
          <xdr:rowOff>19150</xdr:rowOff>
        </xdr:to>
        <xdr:sp macro="" textlink="">
          <xdr:nvSpPr>
            <xdr:cNvPr id="8210" name="Check Box 18" hidden="1">
              <a:extLst>
                <a:ext uri="{63B3BB69-23CF-44E3-9099-C40C66FF867C}">
                  <a14:compatExt spid="_x0000_s82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18</xdr:row>
          <xdr:rowOff>47874</xdr:rowOff>
        </xdr:from>
        <xdr:to>
          <xdr:col>2</xdr:col>
          <xdr:colOff>124473</xdr:colOff>
          <xdr:row>19</xdr:row>
          <xdr:rowOff>19150</xdr:rowOff>
        </xdr:to>
        <xdr:sp macro="" textlink="">
          <xdr:nvSpPr>
            <xdr:cNvPr id="8211" name="Check Box 19" hidden="1">
              <a:extLst>
                <a:ext uri="{63B3BB69-23CF-44E3-9099-C40C66FF867C}">
                  <a14:compatExt spid="_x0000_s82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20</xdr:row>
          <xdr:rowOff>47874</xdr:rowOff>
        </xdr:from>
        <xdr:to>
          <xdr:col>2</xdr:col>
          <xdr:colOff>124473</xdr:colOff>
          <xdr:row>21</xdr:row>
          <xdr:rowOff>19150</xdr:rowOff>
        </xdr:to>
        <xdr:sp macro="" textlink="">
          <xdr:nvSpPr>
            <xdr:cNvPr id="8212" name="Check Box 20" hidden="1">
              <a:extLst>
                <a:ext uri="{63B3BB69-23CF-44E3-9099-C40C66FF867C}">
                  <a14:compatExt spid="_x0000_s82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933550</xdr:colOff>
          <xdr:row>23</xdr:row>
          <xdr:rowOff>76599</xdr:rowOff>
        </xdr:from>
        <xdr:to>
          <xdr:col>4</xdr:col>
          <xdr:colOff>134048</xdr:colOff>
          <xdr:row>23</xdr:row>
          <xdr:rowOff>268096</xdr:rowOff>
        </xdr:to>
        <xdr:sp macro="" textlink="">
          <xdr:nvSpPr>
            <xdr:cNvPr id="8213" name="Spinner 21" hidden="1">
              <a:extLst>
                <a:ext uri="{63B3BB69-23CF-44E3-9099-C40C66FF867C}">
                  <a14:compatExt spid="_x0000_s82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25</xdr:row>
          <xdr:rowOff>47874</xdr:rowOff>
        </xdr:from>
        <xdr:to>
          <xdr:col>2</xdr:col>
          <xdr:colOff>124473</xdr:colOff>
          <xdr:row>26</xdr:row>
          <xdr:rowOff>28725</xdr:rowOff>
        </xdr:to>
        <xdr:sp macro="" textlink="">
          <xdr:nvSpPr>
            <xdr:cNvPr id="8215" name="Check Box 23" hidden="1">
              <a:extLst>
                <a:ext uri="{63B3BB69-23CF-44E3-9099-C40C66FF867C}">
                  <a14:compatExt spid="_x0000_s82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26</xdr:row>
          <xdr:rowOff>47874</xdr:rowOff>
        </xdr:from>
        <xdr:to>
          <xdr:col>2</xdr:col>
          <xdr:colOff>124473</xdr:colOff>
          <xdr:row>27</xdr:row>
          <xdr:rowOff>19150</xdr:rowOff>
        </xdr:to>
        <xdr:sp macro="" textlink="">
          <xdr:nvSpPr>
            <xdr:cNvPr id="8216" name="Check Box 24" hidden="1">
              <a:extLst>
                <a:ext uri="{63B3BB69-23CF-44E3-9099-C40C66FF867C}">
                  <a14:compatExt spid="_x0000_s82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25</xdr:row>
          <xdr:rowOff>28725</xdr:rowOff>
        </xdr:from>
        <xdr:to>
          <xdr:col>5</xdr:col>
          <xdr:colOff>229797</xdr:colOff>
          <xdr:row>25</xdr:row>
          <xdr:rowOff>220222</xdr:rowOff>
        </xdr:to>
        <xdr:sp macro="" textlink="">
          <xdr:nvSpPr>
            <xdr:cNvPr id="8217" name="Spinner 25" hidden="1">
              <a:extLst>
                <a:ext uri="{63B3BB69-23CF-44E3-9099-C40C66FF867C}">
                  <a14:compatExt spid="_x0000_s82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26</xdr:row>
          <xdr:rowOff>28725</xdr:rowOff>
        </xdr:from>
        <xdr:to>
          <xdr:col>5</xdr:col>
          <xdr:colOff>229797</xdr:colOff>
          <xdr:row>26</xdr:row>
          <xdr:rowOff>220222</xdr:rowOff>
        </xdr:to>
        <xdr:sp macro="" textlink="">
          <xdr:nvSpPr>
            <xdr:cNvPr id="8218" name="Spinner 26" hidden="1">
              <a:extLst>
                <a:ext uri="{63B3BB69-23CF-44E3-9099-C40C66FF867C}">
                  <a14:compatExt spid="_x0000_s82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38299</xdr:rowOff>
        </xdr:from>
        <xdr:to>
          <xdr:col>4</xdr:col>
          <xdr:colOff>296821</xdr:colOff>
          <xdr:row>6</xdr:row>
          <xdr:rowOff>19150</xdr:rowOff>
        </xdr:to>
        <xdr:sp macro="" textlink="">
          <xdr:nvSpPr>
            <xdr:cNvPr id="8219" name="Drop Down 27" hidden="1">
              <a:extLst>
                <a:ext uri="{63B3BB69-23CF-44E3-9099-C40C66FF867C}">
                  <a14:compatExt spid="_x0000_s8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21</xdr:row>
          <xdr:rowOff>47874</xdr:rowOff>
        </xdr:from>
        <xdr:to>
          <xdr:col>2</xdr:col>
          <xdr:colOff>124473</xdr:colOff>
          <xdr:row>22</xdr:row>
          <xdr:rowOff>19150</xdr:rowOff>
        </xdr:to>
        <xdr:sp macro="" textlink="">
          <xdr:nvSpPr>
            <xdr:cNvPr id="8230" name="Check Box 38" hidden="1">
              <a:extLst>
                <a:ext uri="{63B3BB69-23CF-44E3-9099-C40C66FF867C}">
                  <a14:compatExt spid="_x0000_s82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19150</xdr:colOff>
          <xdr:row>22</xdr:row>
          <xdr:rowOff>95749</xdr:rowOff>
        </xdr:from>
        <xdr:to>
          <xdr:col>2</xdr:col>
          <xdr:colOff>114898</xdr:colOff>
          <xdr:row>23</xdr:row>
          <xdr:rowOff>9575</xdr:rowOff>
        </xdr:to>
        <xdr:sp macro="" textlink="">
          <xdr:nvSpPr>
            <xdr:cNvPr id="8231" name="Check Box 39" hidden="1">
              <a:extLst>
                <a:ext uri="{63B3BB69-23CF-44E3-9099-C40C66FF867C}">
                  <a14:compatExt spid="_x0000_s82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21</xdr:row>
          <xdr:rowOff>28725</xdr:rowOff>
        </xdr:from>
        <xdr:to>
          <xdr:col>5</xdr:col>
          <xdr:colOff>229797</xdr:colOff>
          <xdr:row>21</xdr:row>
          <xdr:rowOff>220222</xdr:rowOff>
        </xdr:to>
        <xdr:sp macro="" textlink="">
          <xdr:nvSpPr>
            <xdr:cNvPr id="8232" name="Spinner 40" hidden="1">
              <a:extLst>
                <a:ext uri="{63B3BB69-23CF-44E3-9099-C40C66FF867C}">
                  <a14:compatExt spid="_x0000_s82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22</xdr:row>
          <xdr:rowOff>124473</xdr:rowOff>
        </xdr:from>
        <xdr:to>
          <xdr:col>5</xdr:col>
          <xdr:colOff>229797</xdr:colOff>
          <xdr:row>23</xdr:row>
          <xdr:rowOff>9575</xdr:rowOff>
        </xdr:to>
        <xdr:sp macro="" textlink="">
          <xdr:nvSpPr>
            <xdr:cNvPr id="8233" name="Spinner 41" hidden="1">
              <a:extLst>
                <a:ext uri="{63B3BB69-23CF-44E3-9099-C40C66FF867C}">
                  <a14:compatExt spid="_x0000_s82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86174</xdr:colOff>
          <xdr:row>15</xdr:row>
          <xdr:rowOff>67024</xdr:rowOff>
        </xdr:from>
        <xdr:to>
          <xdr:col>3</xdr:col>
          <xdr:colOff>440444</xdr:colOff>
          <xdr:row>15</xdr:row>
          <xdr:rowOff>268096</xdr:rowOff>
        </xdr:to>
        <xdr:sp macro="" textlink="">
          <xdr:nvSpPr>
            <xdr:cNvPr id="8243" name="Drop Down 51" hidden="1">
              <a:extLst>
                <a:ext uri="{63B3BB69-23CF-44E3-9099-C40C66FF867C}">
                  <a14:compatExt spid="_x0000_s82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76599</xdr:colOff>
          <xdr:row>16</xdr:row>
          <xdr:rowOff>67024</xdr:rowOff>
        </xdr:from>
        <xdr:to>
          <xdr:col>3</xdr:col>
          <xdr:colOff>430869</xdr:colOff>
          <xdr:row>16</xdr:row>
          <xdr:rowOff>268096</xdr:rowOff>
        </xdr:to>
        <xdr:sp macro="" textlink="">
          <xdr:nvSpPr>
            <xdr:cNvPr id="8244" name="Drop Down 52" hidden="1">
              <a:extLst>
                <a:ext uri="{63B3BB69-23CF-44E3-9099-C40C66FF867C}">
                  <a14:compatExt spid="_x0000_s8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57449</xdr:colOff>
          <xdr:row>15</xdr:row>
          <xdr:rowOff>76599</xdr:rowOff>
        </xdr:from>
        <xdr:to>
          <xdr:col>5</xdr:col>
          <xdr:colOff>220222</xdr:colOff>
          <xdr:row>15</xdr:row>
          <xdr:rowOff>268096</xdr:rowOff>
        </xdr:to>
        <xdr:sp macro="" textlink="">
          <xdr:nvSpPr>
            <xdr:cNvPr id="8245" name="Spinner 53" hidden="1">
              <a:extLst>
                <a:ext uri="{63B3BB69-23CF-44E3-9099-C40C66FF867C}">
                  <a14:compatExt spid="_x0000_s82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732477</xdr:colOff>
          <xdr:row>8</xdr:row>
          <xdr:rowOff>76599</xdr:rowOff>
        </xdr:from>
        <xdr:to>
          <xdr:col>2</xdr:col>
          <xdr:colOff>856951</xdr:colOff>
          <xdr:row>9</xdr:row>
          <xdr:rowOff>0</xdr:rowOff>
        </xdr:to>
        <xdr:sp macro="" textlink="">
          <xdr:nvSpPr>
            <xdr:cNvPr id="8247" name="Spinner 55" hidden="1">
              <a:extLst>
                <a:ext uri="{63B3BB69-23CF-44E3-9099-C40C66FF867C}">
                  <a14:compatExt spid="_x0000_s82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8</xdr:row>
          <xdr:rowOff>67024</xdr:rowOff>
        </xdr:from>
        <xdr:to>
          <xdr:col>3</xdr:col>
          <xdr:colOff>799502</xdr:colOff>
          <xdr:row>8</xdr:row>
          <xdr:rowOff>239372</xdr:rowOff>
        </xdr:to>
        <xdr:sp macro="" textlink="">
          <xdr:nvSpPr>
            <xdr:cNvPr id="8248" name="Spinner 56" hidden="1">
              <a:extLst>
                <a:ext uri="{63B3BB69-23CF-44E3-9099-C40C66FF867C}">
                  <a14:compatExt spid="_x0000_s82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38299</xdr:rowOff>
        </xdr:from>
        <xdr:to>
          <xdr:col>5</xdr:col>
          <xdr:colOff>837801</xdr:colOff>
          <xdr:row>8</xdr:row>
          <xdr:rowOff>239372</xdr:rowOff>
        </xdr:to>
        <xdr:sp macro="" textlink="">
          <xdr:nvSpPr>
            <xdr:cNvPr id="8249" name="Drop Down 57" hidden="1">
              <a:extLst>
                <a:ext uri="{63B3BB69-23CF-44E3-9099-C40C66FF867C}">
                  <a14:compatExt spid="_x0000_s8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493106</xdr:colOff>
          <xdr:row>15</xdr:row>
          <xdr:rowOff>76599</xdr:rowOff>
        </xdr:from>
        <xdr:to>
          <xdr:col>6</xdr:col>
          <xdr:colOff>655879</xdr:colOff>
          <xdr:row>15</xdr:row>
          <xdr:rowOff>268096</xdr:rowOff>
        </xdr:to>
        <xdr:sp macro="" textlink="">
          <xdr:nvSpPr>
            <xdr:cNvPr id="8250" name="Spinner 58" hidden="1">
              <a:extLst>
                <a:ext uri="{63B3BB69-23CF-44E3-9099-C40C66FF867C}">
                  <a14:compatExt spid="_x0000_s825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xdr:col>
      <xdr:colOff>933450</xdr:colOff>
      <xdr:row>15</xdr:row>
      <xdr:rowOff>114300</xdr:rowOff>
    </xdr:from>
    <xdr:to>
      <xdr:col>4</xdr:col>
      <xdr:colOff>533400</xdr:colOff>
      <xdr:row>16</xdr:row>
      <xdr:rowOff>0</xdr:rowOff>
    </xdr:to>
    <xdr:sp macro="[0]!Nutriflex" textlink="">
      <xdr:nvSpPr>
        <xdr:cNvPr id="8251" name="Rectangle 59"/>
        <xdr:cNvSpPr>
          <a:spLocks noChangeArrowheads="1"/>
        </xdr:cNvSpPr>
      </xdr:nvSpPr>
      <xdr:spPr bwMode="auto">
        <a:xfrm>
          <a:off x="2247900" y="3448050"/>
          <a:ext cx="56197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2</xdr:col>
          <xdr:colOff>732477</xdr:colOff>
          <xdr:row>9</xdr:row>
          <xdr:rowOff>76599</xdr:rowOff>
        </xdr:from>
        <xdr:to>
          <xdr:col>2</xdr:col>
          <xdr:colOff>856951</xdr:colOff>
          <xdr:row>10</xdr:row>
          <xdr:rowOff>0</xdr:rowOff>
        </xdr:to>
        <xdr:sp macro="" textlink="">
          <xdr:nvSpPr>
            <xdr:cNvPr id="8252" name="Spinner 60" hidden="1">
              <a:extLst>
                <a:ext uri="{63B3BB69-23CF-44E3-9099-C40C66FF867C}">
                  <a14:compatExt spid="_x0000_s82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9</xdr:row>
          <xdr:rowOff>67024</xdr:rowOff>
        </xdr:from>
        <xdr:to>
          <xdr:col>3</xdr:col>
          <xdr:colOff>799502</xdr:colOff>
          <xdr:row>9</xdr:row>
          <xdr:rowOff>239372</xdr:rowOff>
        </xdr:to>
        <xdr:sp macro="" textlink="">
          <xdr:nvSpPr>
            <xdr:cNvPr id="8253" name="Spinner 61" hidden="1">
              <a:extLst>
                <a:ext uri="{63B3BB69-23CF-44E3-9099-C40C66FF867C}">
                  <a14:compatExt spid="_x0000_s82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38299</xdr:rowOff>
        </xdr:from>
        <xdr:to>
          <xdr:col>5</xdr:col>
          <xdr:colOff>837801</xdr:colOff>
          <xdr:row>9</xdr:row>
          <xdr:rowOff>239372</xdr:rowOff>
        </xdr:to>
        <xdr:sp macro="" textlink="">
          <xdr:nvSpPr>
            <xdr:cNvPr id="8254" name="Drop Down 62" hidden="1">
              <a:extLst>
                <a:ext uri="{63B3BB69-23CF-44E3-9099-C40C66FF867C}">
                  <a14:compatExt spid="_x0000_s82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732477</xdr:colOff>
          <xdr:row>10</xdr:row>
          <xdr:rowOff>76599</xdr:rowOff>
        </xdr:from>
        <xdr:to>
          <xdr:col>2</xdr:col>
          <xdr:colOff>856951</xdr:colOff>
          <xdr:row>11</xdr:row>
          <xdr:rowOff>0</xdr:rowOff>
        </xdr:to>
        <xdr:sp macro="" textlink="">
          <xdr:nvSpPr>
            <xdr:cNvPr id="8255" name="Spinner 63" hidden="1">
              <a:extLst>
                <a:ext uri="{63B3BB69-23CF-44E3-9099-C40C66FF867C}">
                  <a14:compatExt spid="_x0000_s82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10</xdr:row>
          <xdr:rowOff>67024</xdr:rowOff>
        </xdr:from>
        <xdr:to>
          <xdr:col>3</xdr:col>
          <xdr:colOff>799502</xdr:colOff>
          <xdr:row>10</xdr:row>
          <xdr:rowOff>239372</xdr:rowOff>
        </xdr:to>
        <xdr:sp macro="" textlink="">
          <xdr:nvSpPr>
            <xdr:cNvPr id="8256" name="Spinner 64" hidden="1">
              <a:extLst>
                <a:ext uri="{63B3BB69-23CF-44E3-9099-C40C66FF867C}">
                  <a14:compatExt spid="_x0000_s82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38299</xdr:rowOff>
        </xdr:from>
        <xdr:to>
          <xdr:col>5</xdr:col>
          <xdr:colOff>837801</xdr:colOff>
          <xdr:row>10</xdr:row>
          <xdr:rowOff>239372</xdr:rowOff>
        </xdr:to>
        <xdr:sp macro="" textlink="">
          <xdr:nvSpPr>
            <xdr:cNvPr id="8257" name="Drop Down 65" hidden="1">
              <a:extLst>
                <a:ext uri="{63B3BB69-23CF-44E3-9099-C40C66FF867C}">
                  <a14:compatExt spid="_x0000_s82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770777</xdr:colOff>
          <xdr:row>14</xdr:row>
          <xdr:rowOff>67024</xdr:rowOff>
        </xdr:from>
        <xdr:to>
          <xdr:col>8</xdr:col>
          <xdr:colOff>933550</xdr:colOff>
          <xdr:row>14</xdr:row>
          <xdr:rowOff>258521</xdr:rowOff>
        </xdr:to>
        <xdr:sp macro="" textlink="">
          <xdr:nvSpPr>
            <xdr:cNvPr id="8258" name="Spinner 66" hidden="1">
              <a:extLst>
                <a:ext uri="{63B3BB69-23CF-44E3-9099-C40C66FF867C}">
                  <a14:compatExt spid="_x0000_s82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287246</xdr:colOff>
          <xdr:row>17</xdr:row>
          <xdr:rowOff>38299</xdr:rowOff>
        </xdr:from>
        <xdr:to>
          <xdr:col>10</xdr:col>
          <xdr:colOff>450019</xdr:colOff>
          <xdr:row>17</xdr:row>
          <xdr:rowOff>229797</xdr:rowOff>
        </xdr:to>
        <xdr:sp macro="" textlink="">
          <xdr:nvSpPr>
            <xdr:cNvPr id="8259" name="Spinner 67" hidden="1">
              <a:extLst>
                <a:ext uri="{63B3BB69-23CF-44E3-9099-C40C66FF867C}">
                  <a14:compatExt spid="_x0000_s82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296821</xdr:colOff>
          <xdr:row>18</xdr:row>
          <xdr:rowOff>28725</xdr:rowOff>
        </xdr:from>
        <xdr:to>
          <xdr:col>10</xdr:col>
          <xdr:colOff>459594</xdr:colOff>
          <xdr:row>18</xdr:row>
          <xdr:rowOff>220222</xdr:rowOff>
        </xdr:to>
        <xdr:sp macro="" textlink="">
          <xdr:nvSpPr>
            <xdr:cNvPr id="8260" name="Spinner 68" hidden="1">
              <a:extLst>
                <a:ext uri="{63B3BB69-23CF-44E3-9099-C40C66FF867C}">
                  <a14:compatExt spid="_x0000_s82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28725</xdr:colOff>
          <xdr:row>17</xdr:row>
          <xdr:rowOff>47874</xdr:rowOff>
        </xdr:from>
        <xdr:to>
          <xdr:col>7</xdr:col>
          <xdr:colOff>335120</xdr:colOff>
          <xdr:row>18</xdr:row>
          <xdr:rowOff>19150</xdr:rowOff>
        </xdr:to>
        <xdr:sp macro="" textlink="">
          <xdr:nvSpPr>
            <xdr:cNvPr id="8261" name="Check Box 69" hidden="1">
              <a:extLst>
                <a:ext uri="{63B3BB69-23CF-44E3-9099-C40C66FF867C}">
                  <a14:compatExt spid="_x0000_s8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28725</xdr:colOff>
          <xdr:row>18</xdr:row>
          <xdr:rowOff>47874</xdr:rowOff>
        </xdr:from>
        <xdr:to>
          <xdr:col>7</xdr:col>
          <xdr:colOff>335120</xdr:colOff>
          <xdr:row>19</xdr:row>
          <xdr:rowOff>19150</xdr:rowOff>
        </xdr:to>
        <xdr:sp macro="" textlink="">
          <xdr:nvSpPr>
            <xdr:cNvPr id="8262" name="Check Box 70" hidden="1">
              <a:extLst>
                <a:ext uri="{63B3BB69-23CF-44E3-9099-C40C66FF867C}">
                  <a14:compatExt spid="_x0000_s8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76599</xdr:colOff>
          <xdr:row>16</xdr:row>
          <xdr:rowOff>67024</xdr:rowOff>
        </xdr:from>
        <xdr:to>
          <xdr:col>8</xdr:col>
          <xdr:colOff>569705</xdr:colOff>
          <xdr:row>16</xdr:row>
          <xdr:rowOff>268096</xdr:rowOff>
        </xdr:to>
        <xdr:sp macro="" textlink="">
          <xdr:nvSpPr>
            <xdr:cNvPr id="8263" name="Drop Down 71" hidden="1">
              <a:extLst>
                <a:ext uri="{63B3BB69-23CF-44E3-9099-C40C66FF867C}">
                  <a14:compatExt spid="_x0000_s82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11</xdr:col>
      <xdr:colOff>552450</xdr:colOff>
      <xdr:row>6</xdr:row>
      <xdr:rowOff>28575</xdr:rowOff>
    </xdr:from>
    <xdr:to>
      <xdr:col>14</xdr:col>
      <xdr:colOff>457200</xdr:colOff>
      <xdr:row>20</xdr:row>
      <xdr:rowOff>219075</xdr:rowOff>
    </xdr:to>
    <xdr:sp macro="[0]!SpecialeVoeding" textlink="">
      <xdr:nvSpPr>
        <xdr:cNvPr id="8264" name="Rectangle 72"/>
        <xdr:cNvSpPr>
          <a:spLocks noChangeArrowheads="1"/>
        </xdr:cNvSpPr>
      </xdr:nvSpPr>
      <xdr:spPr bwMode="auto">
        <a:xfrm>
          <a:off x="8810625" y="1057275"/>
          <a:ext cx="1733550" cy="38290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923925</xdr:colOff>
      <xdr:row>17</xdr:row>
      <xdr:rowOff>76200</xdr:rowOff>
    </xdr:from>
    <xdr:to>
      <xdr:col>5</xdr:col>
      <xdr:colOff>0</xdr:colOff>
      <xdr:row>18</xdr:row>
      <xdr:rowOff>0</xdr:rowOff>
    </xdr:to>
    <xdr:sp macro="[0]!mInvoer.NaCL" textlink="">
      <xdr:nvSpPr>
        <xdr:cNvPr id="8265" name="Rectangle 73"/>
        <xdr:cNvSpPr>
          <a:spLocks noChangeArrowheads="1"/>
        </xdr:cNvSpPr>
      </xdr:nvSpPr>
      <xdr:spPr bwMode="auto">
        <a:xfrm>
          <a:off x="2238375" y="40005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18</xdr:row>
      <xdr:rowOff>85725</xdr:rowOff>
    </xdr:from>
    <xdr:to>
      <xdr:col>5</xdr:col>
      <xdr:colOff>28575</xdr:colOff>
      <xdr:row>20</xdr:row>
      <xdr:rowOff>9525</xdr:rowOff>
    </xdr:to>
    <xdr:sp macro="[0]!mInvoer.KCl" textlink="">
      <xdr:nvSpPr>
        <xdr:cNvPr id="8266" name="Rectangle 74"/>
        <xdr:cNvSpPr>
          <a:spLocks noChangeArrowheads="1"/>
        </xdr:cNvSpPr>
      </xdr:nvSpPr>
      <xdr:spPr bwMode="auto">
        <a:xfrm>
          <a:off x="2266950" y="4257675"/>
          <a:ext cx="847725" cy="4191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8</xdr:col>
          <xdr:colOff>124473</xdr:colOff>
          <xdr:row>2</xdr:row>
          <xdr:rowOff>9575</xdr:rowOff>
        </xdr:from>
        <xdr:to>
          <xdr:col>8</xdr:col>
          <xdr:colOff>287246</xdr:colOff>
          <xdr:row>2</xdr:row>
          <xdr:rowOff>181923</xdr:rowOff>
        </xdr:to>
        <xdr:sp macro="" textlink="">
          <xdr:nvSpPr>
            <xdr:cNvPr id="8267" name="Spinner 75" hidden="1">
              <a:extLst>
                <a:ext uri="{63B3BB69-23CF-44E3-9099-C40C66FF867C}">
                  <a14:compatExt spid="_x0000_s82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450019</xdr:colOff>
          <xdr:row>1</xdr:row>
          <xdr:rowOff>143623</xdr:rowOff>
        </xdr:from>
        <xdr:to>
          <xdr:col>11</xdr:col>
          <xdr:colOff>0</xdr:colOff>
          <xdr:row>2</xdr:row>
          <xdr:rowOff>143623</xdr:rowOff>
        </xdr:to>
        <xdr:sp macro="" textlink="">
          <xdr:nvSpPr>
            <xdr:cNvPr id="8268" name="Spinner 76" hidden="1">
              <a:extLst>
                <a:ext uri="{63B3BB69-23CF-44E3-9099-C40C66FF867C}">
                  <a14:compatExt spid="_x0000_s8268"/>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7</xdr:col>
      <xdr:colOff>19050</xdr:colOff>
      <xdr:row>2</xdr:row>
      <xdr:rowOff>38100</xdr:rowOff>
    </xdr:from>
    <xdr:to>
      <xdr:col>7</xdr:col>
      <xdr:colOff>990600</xdr:colOff>
      <xdr:row>3</xdr:row>
      <xdr:rowOff>0</xdr:rowOff>
    </xdr:to>
    <xdr:sp macro="[0]!InGewicht" textlink="">
      <xdr:nvSpPr>
        <xdr:cNvPr id="8269" name="Rectangle 77"/>
        <xdr:cNvSpPr>
          <a:spLocks noChangeArrowheads="1"/>
        </xdr:cNvSpPr>
      </xdr:nvSpPr>
      <xdr:spPr bwMode="auto">
        <a:xfrm>
          <a:off x="5029200" y="361950"/>
          <a:ext cx="97155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9</xdr:col>
      <xdr:colOff>28575</xdr:colOff>
      <xdr:row>2</xdr:row>
      <xdr:rowOff>19050</xdr:rowOff>
    </xdr:from>
    <xdr:to>
      <xdr:col>10</xdr:col>
      <xdr:colOff>0</xdr:colOff>
      <xdr:row>3</xdr:row>
      <xdr:rowOff>0</xdr:rowOff>
    </xdr:to>
    <xdr:sp macro="[0]!InLengte" textlink="">
      <xdr:nvSpPr>
        <xdr:cNvPr id="8270" name="Rectangle 78"/>
        <xdr:cNvSpPr>
          <a:spLocks noChangeArrowheads="1"/>
        </xdr:cNvSpPr>
      </xdr:nvSpPr>
      <xdr:spPr bwMode="auto">
        <a:xfrm>
          <a:off x="7067550" y="342900"/>
          <a:ext cx="58102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8271" name="Rectangle 79"/>
        <xdr:cNvSpPr>
          <a:spLocks noChangeArrowheads="1"/>
        </xdr:cNvSpPr>
      </xdr:nvSpPr>
      <xdr:spPr bwMode="auto">
        <a:xfrm flipV="1">
          <a:off x="1314450" y="323850"/>
          <a:ext cx="17716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12</xdr:row>
      <xdr:rowOff>38100</xdr:rowOff>
    </xdr:from>
    <xdr:to>
      <xdr:col>9</xdr:col>
      <xdr:colOff>0</xdr:colOff>
      <xdr:row>12</xdr:row>
      <xdr:rowOff>228600</xdr:rowOff>
    </xdr:to>
    <xdr:sp macro="[0]!opmVoedPO" textlink="">
      <xdr:nvSpPr>
        <xdr:cNvPr id="8273" name="Rectangle 81"/>
        <xdr:cNvSpPr>
          <a:spLocks noChangeArrowheads="1"/>
        </xdr:cNvSpPr>
      </xdr:nvSpPr>
      <xdr:spPr bwMode="auto">
        <a:xfrm>
          <a:off x="419100" y="255270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28</xdr:row>
      <xdr:rowOff>57150</xdr:rowOff>
    </xdr:from>
    <xdr:to>
      <xdr:col>9</xdr:col>
      <xdr:colOff>0</xdr:colOff>
      <xdr:row>29</xdr:row>
      <xdr:rowOff>0</xdr:rowOff>
    </xdr:to>
    <xdr:sp macro="[0]!opmIntakeMedIV" textlink="">
      <xdr:nvSpPr>
        <xdr:cNvPr id="8274" name="Rectangle 82"/>
        <xdr:cNvSpPr>
          <a:spLocks noChangeArrowheads="1"/>
        </xdr:cNvSpPr>
      </xdr:nvSpPr>
      <xdr:spPr bwMode="auto">
        <a:xfrm>
          <a:off x="419100" y="680085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942975</xdr:colOff>
      <xdr:row>20</xdr:row>
      <xdr:rowOff>57150</xdr:rowOff>
    </xdr:from>
    <xdr:to>
      <xdr:col>5</xdr:col>
      <xdr:colOff>19050</xdr:colOff>
      <xdr:row>20</xdr:row>
      <xdr:rowOff>228600</xdr:rowOff>
    </xdr:to>
    <xdr:sp macro="[0]!mInvoer.CaGlucVol" textlink="">
      <xdr:nvSpPr>
        <xdr:cNvPr id="8275" name="Rectangle 83"/>
        <xdr:cNvSpPr>
          <a:spLocks noChangeArrowheads="1"/>
        </xdr:cNvSpPr>
      </xdr:nvSpPr>
      <xdr:spPr bwMode="auto">
        <a:xfrm>
          <a:off x="2257425" y="47244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21</xdr:row>
      <xdr:rowOff>57150</xdr:rowOff>
    </xdr:from>
    <xdr:to>
      <xdr:col>5</xdr:col>
      <xdr:colOff>28575</xdr:colOff>
      <xdr:row>21</xdr:row>
      <xdr:rowOff>228600</xdr:rowOff>
    </xdr:to>
    <xdr:sp macro="[0]!mInvoer.MgCl" textlink="">
      <xdr:nvSpPr>
        <xdr:cNvPr id="8276" name="Rectangle 84"/>
        <xdr:cNvSpPr>
          <a:spLocks noChangeArrowheads="1"/>
        </xdr:cNvSpPr>
      </xdr:nvSpPr>
      <xdr:spPr bwMode="auto">
        <a:xfrm>
          <a:off x="2266950" y="497205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5</xdr:row>
      <xdr:rowOff>38100</xdr:rowOff>
    </xdr:from>
    <xdr:to>
      <xdr:col>2</xdr:col>
      <xdr:colOff>571500</xdr:colOff>
      <xdr:row>7</xdr:row>
      <xdr:rowOff>38100</xdr:rowOff>
    </xdr:to>
    <xdr:sp macro="[0]!gaNaarVoeding" textlink="">
      <xdr:nvSpPr>
        <xdr:cNvPr id="8277" name="Rectangle 85"/>
        <xdr:cNvSpPr>
          <a:spLocks noChangeArrowheads="1"/>
        </xdr:cNvSpPr>
      </xdr:nvSpPr>
      <xdr:spPr bwMode="auto">
        <a:xfrm>
          <a:off x="381000" y="847725"/>
          <a:ext cx="552450" cy="466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13</xdr:row>
      <xdr:rowOff>123825</xdr:rowOff>
    </xdr:from>
    <xdr:to>
      <xdr:col>2</xdr:col>
      <xdr:colOff>476250</xdr:colOff>
      <xdr:row>14</xdr:row>
      <xdr:rowOff>28575</xdr:rowOff>
    </xdr:to>
    <xdr:sp macro="[0]!gaNaarTPN" textlink="">
      <xdr:nvSpPr>
        <xdr:cNvPr id="8278" name="Rectangle 86"/>
        <xdr:cNvSpPr>
          <a:spLocks noChangeArrowheads="1"/>
        </xdr:cNvSpPr>
      </xdr:nvSpPr>
      <xdr:spPr bwMode="auto">
        <a:xfrm>
          <a:off x="381000" y="2886075"/>
          <a:ext cx="4572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47874</xdr:colOff>
          <xdr:row>3</xdr:row>
          <xdr:rowOff>0</xdr:rowOff>
        </xdr:from>
        <xdr:to>
          <xdr:col>2</xdr:col>
          <xdr:colOff>627154</xdr:colOff>
          <xdr:row>3</xdr:row>
          <xdr:rowOff>220222</xdr:rowOff>
        </xdr:to>
        <xdr:sp macro="" textlink="">
          <xdr:nvSpPr>
            <xdr:cNvPr id="12289" name="Check Box 1" hidden="1">
              <a:extLst>
                <a:ext uri="{63B3BB69-23CF-44E3-9099-C40C66FF867C}">
                  <a14:compatExt spid="_x0000_s1228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4</xdr:row>
          <xdr:rowOff>0</xdr:rowOff>
        </xdr:from>
        <xdr:to>
          <xdr:col>2</xdr:col>
          <xdr:colOff>627154</xdr:colOff>
          <xdr:row>4</xdr:row>
          <xdr:rowOff>220222</xdr:rowOff>
        </xdr:to>
        <xdr:sp macro="" textlink="">
          <xdr:nvSpPr>
            <xdr:cNvPr id="12290" name="Check Box 2" hidden="1">
              <a:extLst>
                <a:ext uri="{63B3BB69-23CF-44E3-9099-C40C66FF867C}">
                  <a14:compatExt spid="_x0000_s1229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6</xdr:row>
          <xdr:rowOff>0</xdr:rowOff>
        </xdr:from>
        <xdr:to>
          <xdr:col>2</xdr:col>
          <xdr:colOff>627154</xdr:colOff>
          <xdr:row>6</xdr:row>
          <xdr:rowOff>220222</xdr:rowOff>
        </xdr:to>
        <xdr:sp macro="" textlink="">
          <xdr:nvSpPr>
            <xdr:cNvPr id="12291" name="Check Box 3" hidden="1">
              <a:extLst>
                <a:ext uri="{63B3BB69-23CF-44E3-9099-C40C66FF867C}">
                  <a14:compatExt spid="_x0000_s1229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7</xdr:row>
          <xdr:rowOff>0</xdr:rowOff>
        </xdr:from>
        <xdr:to>
          <xdr:col>2</xdr:col>
          <xdr:colOff>627154</xdr:colOff>
          <xdr:row>7</xdr:row>
          <xdr:rowOff>220222</xdr:rowOff>
        </xdr:to>
        <xdr:sp macro="" textlink="">
          <xdr:nvSpPr>
            <xdr:cNvPr id="12292" name="Check Box 4" hidden="1">
              <a:extLst>
                <a:ext uri="{63B3BB69-23CF-44E3-9099-C40C66FF867C}">
                  <a14:compatExt spid="_x0000_s1229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12</xdr:row>
          <xdr:rowOff>0</xdr:rowOff>
        </xdr:from>
        <xdr:to>
          <xdr:col>2</xdr:col>
          <xdr:colOff>617579</xdr:colOff>
          <xdr:row>12</xdr:row>
          <xdr:rowOff>220222</xdr:rowOff>
        </xdr:to>
        <xdr:sp macro="" textlink="">
          <xdr:nvSpPr>
            <xdr:cNvPr id="12293" name="Check Box 5" hidden="1">
              <a:extLst>
                <a:ext uri="{63B3BB69-23CF-44E3-9099-C40C66FF867C}">
                  <a14:compatExt spid="_x0000_s1229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11</xdr:row>
          <xdr:rowOff>0</xdr:rowOff>
        </xdr:from>
        <xdr:to>
          <xdr:col>2</xdr:col>
          <xdr:colOff>627154</xdr:colOff>
          <xdr:row>11</xdr:row>
          <xdr:rowOff>220222</xdr:rowOff>
        </xdr:to>
        <xdr:sp macro="" textlink="">
          <xdr:nvSpPr>
            <xdr:cNvPr id="12294" name="Check Box 6" hidden="1">
              <a:extLst>
                <a:ext uri="{63B3BB69-23CF-44E3-9099-C40C66FF867C}">
                  <a14:compatExt spid="_x0000_s1229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25</xdr:row>
          <xdr:rowOff>0</xdr:rowOff>
        </xdr:from>
        <xdr:to>
          <xdr:col>2</xdr:col>
          <xdr:colOff>627154</xdr:colOff>
          <xdr:row>25</xdr:row>
          <xdr:rowOff>220222</xdr:rowOff>
        </xdr:to>
        <xdr:sp macro="" textlink="">
          <xdr:nvSpPr>
            <xdr:cNvPr id="12295" name="Check Box 7" hidden="1">
              <a:extLst>
                <a:ext uri="{63B3BB69-23CF-44E3-9099-C40C66FF867C}">
                  <a14:compatExt spid="_x0000_s1229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14</xdr:row>
          <xdr:rowOff>0</xdr:rowOff>
        </xdr:from>
        <xdr:to>
          <xdr:col>2</xdr:col>
          <xdr:colOff>627154</xdr:colOff>
          <xdr:row>14</xdr:row>
          <xdr:rowOff>220222</xdr:rowOff>
        </xdr:to>
        <xdr:sp macro="" textlink="">
          <xdr:nvSpPr>
            <xdr:cNvPr id="12296" name="Check Box 8" hidden="1">
              <a:extLst>
                <a:ext uri="{63B3BB69-23CF-44E3-9099-C40C66FF867C}">
                  <a14:compatExt spid="_x0000_s1229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16</xdr:row>
          <xdr:rowOff>0</xdr:rowOff>
        </xdr:from>
        <xdr:to>
          <xdr:col>2</xdr:col>
          <xdr:colOff>627154</xdr:colOff>
          <xdr:row>16</xdr:row>
          <xdr:rowOff>220222</xdr:rowOff>
        </xdr:to>
        <xdr:sp macro="" textlink="">
          <xdr:nvSpPr>
            <xdr:cNvPr id="12297" name="Check Box 9" hidden="1">
              <a:extLst>
                <a:ext uri="{63B3BB69-23CF-44E3-9099-C40C66FF867C}">
                  <a14:compatExt spid="_x0000_s1229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17</xdr:row>
          <xdr:rowOff>0</xdr:rowOff>
        </xdr:from>
        <xdr:to>
          <xdr:col>2</xdr:col>
          <xdr:colOff>627154</xdr:colOff>
          <xdr:row>17</xdr:row>
          <xdr:rowOff>220222</xdr:rowOff>
        </xdr:to>
        <xdr:sp macro="" textlink="">
          <xdr:nvSpPr>
            <xdr:cNvPr id="12298" name="Check Box 10" hidden="1">
              <a:extLst>
                <a:ext uri="{63B3BB69-23CF-44E3-9099-C40C66FF867C}">
                  <a14:compatExt spid="_x0000_s1229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18</xdr:row>
          <xdr:rowOff>0</xdr:rowOff>
        </xdr:from>
        <xdr:to>
          <xdr:col>2</xdr:col>
          <xdr:colOff>627154</xdr:colOff>
          <xdr:row>18</xdr:row>
          <xdr:rowOff>220222</xdr:rowOff>
        </xdr:to>
        <xdr:sp macro="" textlink="">
          <xdr:nvSpPr>
            <xdr:cNvPr id="12299" name="Check Box 11" hidden="1">
              <a:extLst>
                <a:ext uri="{63B3BB69-23CF-44E3-9099-C40C66FF867C}">
                  <a14:compatExt spid="_x0000_s122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10</xdr:row>
          <xdr:rowOff>0</xdr:rowOff>
        </xdr:from>
        <xdr:to>
          <xdr:col>2</xdr:col>
          <xdr:colOff>617579</xdr:colOff>
          <xdr:row>10</xdr:row>
          <xdr:rowOff>220222</xdr:rowOff>
        </xdr:to>
        <xdr:sp macro="" textlink="">
          <xdr:nvSpPr>
            <xdr:cNvPr id="12300" name="Check Box 12" hidden="1">
              <a:extLst>
                <a:ext uri="{63B3BB69-23CF-44E3-9099-C40C66FF867C}">
                  <a14:compatExt spid="_x0000_s1230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26</xdr:row>
          <xdr:rowOff>19150</xdr:rowOff>
        </xdr:from>
        <xdr:to>
          <xdr:col>2</xdr:col>
          <xdr:colOff>627154</xdr:colOff>
          <xdr:row>26</xdr:row>
          <xdr:rowOff>239372</xdr:rowOff>
        </xdr:to>
        <xdr:sp macro="" textlink="">
          <xdr:nvSpPr>
            <xdr:cNvPr id="12301" name="Check Box 13" hidden="1">
              <a:extLst>
                <a:ext uri="{63B3BB69-23CF-44E3-9099-C40C66FF867C}">
                  <a14:compatExt spid="_x0000_s1230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3</xdr:row>
          <xdr:rowOff>0</xdr:rowOff>
        </xdr:from>
        <xdr:to>
          <xdr:col>6</xdr:col>
          <xdr:colOff>627154</xdr:colOff>
          <xdr:row>3</xdr:row>
          <xdr:rowOff>220222</xdr:rowOff>
        </xdr:to>
        <xdr:sp macro="" textlink="">
          <xdr:nvSpPr>
            <xdr:cNvPr id="12302" name="Check Box 14" hidden="1">
              <a:extLst>
                <a:ext uri="{63B3BB69-23CF-44E3-9099-C40C66FF867C}">
                  <a14:compatExt spid="_x0000_s1230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4</xdr:row>
          <xdr:rowOff>0</xdr:rowOff>
        </xdr:from>
        <xdr:to>
          <xdr:col>6</xdr:col>
          <xdr:colOff>627154</xdr:colOff>
          <xdr:row>4</xdr:row>
          <xdr:rowOff>220222</xdr:rowOff>
        </xdr:to>
        <xdr:sp macro="" textlink="">
          <xdr:nvSpPr>
            <xdr:cNvPr id="12303" name="Check Box 15" hidden="1">
              <a:extLst>
                <a:ext uri="{63B3BB69-23CF-44E3-9099-C40C66FF867C}">
                  <a14:compatExt spid="_x0000_s1230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6</xdr:row>
          <xdr:rowOff>0</xdr:rowOff>
        </xdr:from>
        <xdr:to>
          <xdr:col>6</xdr:col>
          <xdr:colOff>627154</xdr:colOff>
          <xdr:row>6</xdr:row>
          <xdr:rowOff>220222</xdr:rowOff>
        </xdr:to>
        <xdr:sp macro="" textlink="">
          <xdr:nvSpPr>
            <xdr:cNvPr id="12304" name="Check Box 16" hidden="1">
              <a:extLst>
                <a:ext uri="{63B3BB69-23CF-44E3-9099-C40C66FF867C}">
                  <a14:compatExt spid="_x0000_s1230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7</xdr:row>
          <xdr:rowOff>0</xdr:rowOff>
        </xdr:from>
        <xdr:to>
          <xdr:col>6</xdr:col>
          <xdr:colOff>627154</xdr:colOff>
          <xdr:row>7</xdr:row>
          <xdr:rowOff>220222</xdr:rowOff>
        </xdr:to>
        <xdr:sp macro="" textlink="">
          <xdr:nvSpPr>
            <xdr:cNvPr id="12305" name="Check Box 17" hidden="1">
              <a:extLst>
                <a:ext uri="{63B3BB69-23CF-44E3-9099-C40C66FF867C}">
                  <a14:compatExt spid="_x0000_s1230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12</xdr:row>
          <xdr:rowOff>0</xdr:rowOff>
        </xdr:from>
        <xdr:to>
          <xdr:col>6</xdr:col>
          <xdr:colOff>617579</xdr:colOff>
          <xdr:row>12</xdr:row>
          <xdr:rowOff>220222</xdr:rowOff>
        </xdr:to>
        <xdr:sp macro="" textlink="">
          <xdr:nvSpPr>
            <xdr:cNvPr id="12306" name="Check Box 18" hidden="1">
              <a:extLst>
                <a:ext uri="{63B3BB69-23CF-44E3-9099-C40C66FF867C}">
                  <a14:compatExt spid="_x0000_s1230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11</xdr:row>
          <xdr:rowOff>0</xdr:rowOff>
        </xdr:from>
        <xdr:to>
          <xdr:col>6</xdr:col>
          <xdr:colOff>627154</xdr:colOff>
          <xdr:row>11</xdr:row>
          <xdr:rowOff>220222</xdr:rowOff>
        </xdr:to>
        <xdr:sp macro="" textlink="">
          <xdr:nvSpPr>
            <xdr:cNvPr id="12307" name="Check Box 19" hidden="1">
              <a:extLst>
                <a:ext uri="{63B3BB69-23CF-44E3-9099-C40C66FF867C}">
                  <a14:compatExt spid="_x0000_s123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25</xdr:row>
          <xdr:rowOff>0</xdr:rowOff>
        </xdr:from>
        <xdr:to>
          <xdr:col>6</xdr:col>
          <xdr:colOff>627154</xdr:colOff>
          <xdr:row>25</xdr:row>
          <xdr:rowOff>220222</xdr:rowOff>
        </xdr:to>
        <xdr:sp macro="" textlink="">
          <xdr:nvSpPr>
            <xdr:cNvPr id="12308" name="Check Box 20" hidden="1">
              <a:extLst>
                <a:ext uri="{63B3BB69-23CF-44E3-9099-C40C66FF867C}">
                  <a14:compatExt spid="_x0000_s1230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14</xdr:row>
          <xdr:rowOff>0</xdr:rowOff>
        </xdr:from>
        <xdr:to>
          <xdr:col>6</xdr:col>
          <xdr:colOff>627154</xdr:colOff>
          <xdr:row>14</xdr:row>
          <xdr:rowOff>220222</xdr:rowOff>
        </xdr:to>
        <xdr:sp macro="" textlink="">
          <xdr:nvSpPr>
            <xdr:cNvPr id="12309" name="Check Box 21" hidden="1">
              <a:extLst>
                <a:ext uri="{63B3BB69-23CF-44E3-9099-C40C66FF867C}">
                  <a14:compatExt spid="_x0000_s1230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16</xdr:row>
          <xdr:rowOff>0</xdr:rowOff>
        </xdr:from>
        <xdr:to>
          <xdr:col>6</xdr:col>
          <xdr:colOff>627154</xdr:colOff>
          <xdr:row>16</xdr:row>
          <xdr:rowOff>220222</xdr:rowOff>
        </xdr:to>
        <xdr:sp macro="" textlink="">
          <xdr:nvSpPr>
            <xdr:cNvPr id="12310" name="Check Box 22" hidden="1">
              <a:extLst>
                <a:ext uri="{63B3BB69-23CF-44E3-9099-C40C66FF867C}">
                  <a14:compatExt spid="_x0000_s123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17</xdr:row>
          <xdr:rowOff>0</xdr:rowOff>
        </xdr:from>
        <xdr:to>
          <xdr:col>6</xdr:col>
          <xdr:colOff>627154</xdr:colOff>
          <xdr:row>17</xdr:row>
          <xdr:rowOff>220222</xdr:rowOff>
        </xdr:to>
        <xdr:sp macro="" textlink="">
          <xdr:nvSpPr>
            <xdr:cNvPr id="12311" name="Check Box 23" hidden="1">
              <a:extLst>
                <a:ext uri="{63B3BB69-23CF-44E3-9099-C40C66FF867C}">
                  <a14:compatExt spid="_x0000_s1231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18</xdr:row>
          <xdr:rowOff>0</xdr:rowOff>
        </xdr:from>
        <xdr:to>
          <xdr:col>6</xdr:col>
          <xdr:colOff>627154</xdr:colOff>
          <xdr:row>18</xdr:row>
          <xdr:rowOff>220222</xdr:rowOff>
        </xdr:to>
        <xdr:sp macro="" textlink="">
          <xdr:nvSpPr>
            <xdr:cNvPr id="12312" name="Check Box 24" hidden="1">
              <a:extLst>
                <a:ext uri="{63B3BB69-23CF-44E3-9099-C40C66FF867C}">
                  <a14:compatExt spid="_x0000_s1231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10</xdr:row>
          <xdr:rowOff>0</xdr:rowOff>
        </xdr:from>
        <xdr:to>
          <xdr:col>6</xdr:col>
          <xdr:colOff>617579</xdr:colOff>
          <xdr:row>10</xdr:row>
          <xdr:rowOff>220222</xdr:rowOff>
        </xdr:to>
        <xdr:sp macro="" textlink="">
          <xdr:nvSpPr>
            <xdr:cNvPr id="12313" name="Check Box 25" hidden="1">
              <a:extLst>
                <a:ext uri="{63B3BB69-23CF-44E3-9099-C40C66FF867C}">
                  <a14:compatExt spid="_x0000_s1231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26</xdr:row>
          <xdr:rowOff>19150</xdr:rowOff>
        </xdr:from>
        <xdr:to>
          <xdr:col>6</xdr:col>
          <xdr:colOff>627154</xdr:colOff>
          <xdr:row>26</xdr:row>
          <xdr:rowOff>239372</xdr:rowOff>
        </xdr:to>
        <xdr:sp macro="" textlink="">
          <xdr:nvSpPr>
            <xdr:cNvPr id="12314" name="Check Box 26" hidden="1">
              <a:extLst>
                <a:ext uri="{63B3BB69-23CF-44E3-9099-C40C66FF867C}">
                  <a14:compatExt spid="_x0000_s1231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3</xdr:row>
          <xdr:rowOff>0</xdr:rowOff>
        </xdr:from>
        <xdr:to>
          <xdr:col>8</xdr:col>
          <xdr:colOff>627154</xdr:colOff>
          <xdr:row>3</xdr:row>
          <xdr:rowOff>220222</xdr:rowOff>
        </xdr:to>
        <xdr:sp macro="" textlink="">
          <xdr:nvSpPr>
            <xdr:cNvPr id="12315" name="Check Box 27" hidden="1">
              <a:extLst>
                <a:ext uri="{63B3BB69-23CF-44E3-9099-C40C66FF867C}">
                  <a14:compatExt spid="_x0000_s1231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4</xdr:row>
          <xdr:rowOff>0</xdr:rowOff>
        </xdr:from>
        <xdr:to>
          <xdr:col>8</xdr:col>
          <xdr:colOff>627154</xdr:colOff>
          <xdr:row>4</xdr:row>
          <xdr:rowOff>220222</xdr:rowOff>
        </xdr:to>
        <xdr:sp macro="" textlink="">
          <xdr:nvSpPr>
            <xdr:cNvPr id="12316" name="Check Box 28" hidden="1">
              <a:extLst>
                <a:ext uri="{63B3BB69-23CF-44E3-9099-C40C66FF867C}">
                  <a14:compatExt spid="_x0000_s123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6</xdr:row>
          <xdr:rowOff>0</xdr:rowOff>
        </xdr:from>
        <xdr:to>
          <xdr:col>8</xdr:col>
          <xdr:colOff>627154</xdr:colOff>
          <xdr:row>6</xdr:row>
          <xdr:rowOff>220222</xdr:rowOff>
        </xdr:to>
        <xdr:sp macro="" textlink="">
          <xdr:nvSpPr>
            <xdr:cNvPr id="12317" name="Check Box 29" hidden="1">
              <a:extLst>
                <a:ext uri="{63B3BB69-23CF-44E3-9099-C40C66FF867C}">
                  <a14:compatExt spid="_x0000_s123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7</xdr:row>
          <xdr:rowOff>0</xdr:rowOff>
        </xdr:from>
        <xdr:to>
          <xdr:col>8</xdr:col>
          <xdr:colOff>627154</xdr:colOff>
          <xdr:row>7</xdr:row>
          <xdr:rowOff>220222</xdr:rowOff>
        </xdr:to>
        <xdr:sp macro="" textlink="">
          <xdr:nvSpPr>
            <xdr:cNvPr id="12318" name="Check Box 30" hidden="1">
              <a:extLst>
                <a:ext uri="{63B3BB69-23CF-44E3-9099-C40C66FF867C}">
                  <a14:compatExt spid="_x0000_s1231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12</xdr:row>
          <xdr:rowOff>0</xdr:rowOff>
        </xdr:from>
        <xdr:to>
          <xdr:col>8</xdr:col>
          <xdr:colOff>617579</xdr:colOff>
          <xdr:row>12</xdr:row>
          <xdr:rowOff>220222</xdr:rowOff>
        </xdr:to>
        <xdr:sp macro="" textlink="">
          <xdr:nvSpPr>
            <xdr:cNvPr id="12319" name="Check Box 31" hidden="1">
              <a:extLst>
                <a:ext uri="{63B3BB69-23CF-44E3-9099-C40C66FF867C}">
                  <a14:compatExt spid="_x0000_s1231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11</xdr:row>
          <xdr:rowOff>0</xdr:rowOff>
        </xdr:from>
        <xdr:to>
          <xdr:col>8</xdr:col>
          <xdr:colOff>627154</xdr:colOff>
          <xdr:row>11</xdr:row>
          <xdr:rowOff>220222</xdr:rowOff>
        </xdr:to>
        <xdr:sp macro="" textlink="">
          <xdr:nvSpPr>
            <xdr:cNvPr id="12320" name="Check Box 32" hidden="1">
              <a:extLst>
                <a:ext uri="{63B3BB69-23CF-44E3-9099-C40C66FF867C}">
                  <a14:compatExt spid="_x0000_s1232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25</xdr:row>
          <xdr:rowOff>0</xdr:rowOff>
        </xdr:from>
        <xdr:to>
          <xdr:col>8</xdr:col>
          <xdr:colOff>627154</xdr:colOff>
          <xdr:row>25</xdr:row>
          <xdr:rowOff>220222</xdr:rowOff>
        </xdr:to>
        <xdr:sp macro="" textlink="">
          <xdr:nvSpPr>
            <xdr:cNvPr id="12321" name="Check Box 33" hidden="1">
              <a:extLst>
                <a:ext uri="{63B3BB69-23CF-44E3-9099-C40C66FF867C}">
                  <a14:compatExt spid="_x0000_s1232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14</xdr:row>
          <xdr:rowOff>0</xdr:rowOff>
        </xdr:from>
        <xdr:to>
          <xdr:col>8</xdr:col>
          <xdr:colOff>627154</xdr:colOff>
          <xdr:row>14</xdr:row>
          <xdr:rowOff>220222</xdr:rowOff>
        </xdr:to>
        <xdr:sp macro="" textlink="">
          <xdr:nvSpPr>
            <xdr:cNvPr id="12322" name="Check Box 34" hidden="1">
              <a:extLst>
                <a:ext uri="{63B3BB69-23CF-44E3-9099-C40C66FF867C}">
                  <a14:compatExt spid="_x0000_s123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16</xdr:row>
          <xdr:rowOff>0</xdr:rowOff>
        </xdr:from>
        <xdr:to>
          <xdr:col>8</xdr:col>
          <xdr:colOff>627154</xdr:colOff>
          <xdr:row>16</xdr:row>
          <xdr:rowOff>220222</xdr:rowOff>
        </xdr:to>
        <xdr:sp macro="" textlink="">
          <xdr:nvSpPr>
            <xdr:cNvPr id="12323" name="Check Box 35" hidden="1">
              <a:extLst>
                <a:ext uri="{63B3BB69-23CF-44E3-9099-C40C66FF867C}">
                  <a14:compatExt spid="_x0000_s1232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17</xdr:row>
          <xdr:rowOff>0</xdr:rowOff>
        </xdr:from>
        <xdr:to>
          <xdr:col>8</xdr:col>
          <xdr:colOff>627154</xdr:colOff>
          <xdr:row>17</xdr:row>
          <xdr:rowOff>220222</xdr:rowOff>
        </xdr:to>
        <xdr:sp macro="" textlink="">
          <xdr:nvSpPr>
            <xdr:cNvPr id="12324" name="Check Box 36" hidden="1">
              <a:extLst>
                <a:ext uri="{63B3BB69-23CF-44E3-9099-C40C66FF867C}">
                  <a14:compatExt spid="_x0000_s1232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18</xdr:row>
          <xdr:rowOff>0</xdr:rowOff>
        </xdr:from>
        <xdr:to>
          <xdr:col>8</xdr:col>
          <xdr:colOff>627154</xdr:colOff>
          <xdr:row>18</xdr:row>
          <xdr:rowOff>220222</xdr:rowOff>
        </xdr:to>
        <xdr:sp macro="" textlink="">
          <xdr:nvSpPr>
            <xdr:cNvPr id="12325" name="Check Box 37" hidden="1">
              <a:extLst>
                <a:ext uri="{63B3BB69-23CF-44E3-9099-C40C66FF867C}">
                  <a14:compatExt spid="_x0000_s1232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10</xdr:row>
          <xdr:rowOff>0</xdr:rowOff>
        </xdr:from>
        <xdr:to>
          <xdr:col>8</xdr:col>
          <xdr:colOff>617579</xdr:colOff>
          <xdr:row>10</xdr:row>
          <xdr:rowOff>220222</xdr:rowOff>
        </xdr:to>
        <xdr:sp macro="" textlink="">
          <xdr:nvSpPr>
            <xdr:cNvPr id="12326" name="Check Box 38" hidden="1">
              <a:extLst>
                <a:ext uri="{63B3BB69-23CF-44E3-9099-C40C66FF867C}">
                  <a14:compatExt spid="_x0000_s1232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26</xdr:row>
          <xdr:rowOff>19150</xdr:rowOff>
        </xdr:from>
        <xdr:to>
          <xdr:col>8</xdr:col>
          <xdr:colOff>627154</xdr:colOff>
          <xdr:row>26</xdr:row>
          <xdr:rowOff>239372</xdr:rowOff>
        </xdr:to>
        <xdr:sp macro="" textlink="">
          <xdr:nvSpPr>
            <xdr:cNvPr id="12327" name="Check Box 39" hidden="1">
              <a:extLst>
                <a:ext uri="{63B3BB69-23CF-44E3-9099-C40C66FF867C}">
                  <a14:compatExt spid="_x0000_s1232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3</xdr:row>
          <xdr:rowOff>0</xdr:rowOff>
        </xdr:from>
        <xdr:to>
          <xdr:col>12</xdr:col>
          <xdr:colOff>627154</xdr:colOff>
          <xdr:row>3</xdr:row>
          <xdr:rowOff>220222</xdr:rowOff>
        </xdr:to>
        <xdr:sp macro="" textlink="">
          <xdr:nvSpPr>
            <xdr:cNvPr id="12351" name="Check Box 63" hidden="1">
              <a:extLst>
                <a:ext uri="{63B3BB69-23CF-44E3-9099-C40C66FF867C}">
                  <a14:compatExt spid="_x0000_s1235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4</xdr:row>
          <xdr:rowOff>0</xdr:rowOff>
        </xdr:from>
        <xdr:to>
          <xdr:col>12</xdr:col>
          <xdr:colOff>627154</xdr:colOff>
          <xdr:row>4</xdr:row>
          <xdr:rowOff>220222</xdr:rowOff>
        </xdr:to>
        <xdr:sp macro="" textlink="">
          <xdr:nvSpPr>
            <xdr:cNvPr id="12352" name="Check Box 64" hidden="1">
              <a:extLst>
                <a:ext uri="{63B3BB69-23CF-44E3-9099-C40C66FF867C}">
                  <a14:compatExt spid="_x0000_s1235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6</xdr:row>
          <xdr:rowOff>0</xdr:rowOff>
        </xdr:from>
        <xdr:to>
          <xdr:col>12</xdr:col>
          <xdr:colOff>627154</xdr:colOff>
          <xdr:row>6</xdr:row>
          <xdr:rowOff>220222</xdr:rowOff>
        </xdr:to>
        <xdr:sp macro="" textlink="">
          <xdr:nvSpPr>
            <xdr:cNvPr id="12353" name="Check Box 65" hidden="1">
              <a:extLst>
                <a:ext uri="{63B3BB69-23CF-44E3-9099-C40C66FF867C}">
                  <a14:compatExt spid="_x0000_s1235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7</xdr:row>
          <xdr:rowOff>0</xdr:rowOff>
        </xdr:from>
        <xdr:to>
          <xdr:col>12</xdr:col>
          <xdr:colOff>627154</xdr:colOff>
          <xdr:row>7</xdr:row>
          <xdr:rowOff>220222</xdr:rowOff>
        </xdr:to>
        <xdr:sp macro="" textlink="">
          <xdr:nvSpPr>
            <xdr:cNvPr id="12354" name="Check Box 66" hidden="1">
              <a:extLst>
                <a:ext uri="{63B3BB69-23CF-44E3-9099-C40C66FF867C}">
                  <a14:compatExt spid="_x0000_s1235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12</xdr:row>
          <xdr:rowOff>0</xdr:rowOff>
        </xdr:from>
        <xdr:to>
          <xdr:col>12</xdr:col>
          <xdr:colOff>617579</xdr:colOff>
          <xdr:row>12</xdr:row>
          <xdr:rowOff>220222</xdr:rowOff>
        </xdr:to>
        <xdr:sp macro="" textlink="">
          <xdr:nvSpPr>
            <xdr:cNvPr id="12355" name="Check Box 67" hidden="1">
              <a:extLst>
                <a:ext uri="{63B3BB69-23CF-44E3-9099-C40C66FF867C}">
                  <a14:compatExt spid="_x0000_s1235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11</xdr:row>
          <xdr:rowOff>0</xdr:rowOff>
        </xdr:from>
        <xdr:to>
          <xdr:col>12</xdr:col>
          <xdr:colOff>627154</xdr:colOff>
          <xdr:row>11</xdr:row>
          <xdr:rowOff>220222</xdr:rowOff>
        </xdr:to>
        <xdr:sp macro="" textlink="">
          <xdr:nvSpPr>
            <xdr:cNvPr id="12356" name="Check Box 68" hidden="1">
              <a:extLst>
                <a:ext uri="{63B3BB69-23CF-44E3-9099-C40C66FF867C}">
                  <a14:compatExt spid="_x0000_s1235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25</xdr:row>
          <xdr:rowOff>0</xdr:rowOff>
        </xdr:from>
        <xdr:to>
          <xdr:col>12</xdr:col>
          <xdr:colOff>627154</xdr:colOff>
          <xdr:row>25</xdr:row>
          <xdr:rowOff>220222</xdr:rowOff>
        </xdr:to>
        <xdr:sp macro="" textlink="">
          <xdr:nvSpPr>
            <xdr:cNvPr id="12357" name="Check Box 69" hidden="1">
              <a:extLst>
                <a:ext uri="{63B3BB69-23CF-44E3-9099-C40C66FF867C}">
                  <a14:compatExt spid="_x0000_s1235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14</xdr:row>
          <xdr:rowOff>0</xdr:rowOff>
        </xdr:from>
        <xdr:to>
          <xdr:col>12</xdr:col>
          <xdr:colOff>627154</xdr:colOff>
          <xdr:row>14</xdr:row>
          <xdr:rowOff>220222</xdr:rowOff>
        </xdr:to>
        <xdr:sp macro="" textlink="">
          <xdr:nvSpPr>
            <xdr:cNvPr id="12358" name="Check Box 70" hidden="1">
              <a:extLst>
                <a:ext uri="{63B3BB69-23CF-44E3-9099-C40C66FF867C}">
                  <a14:compatExt spid="_x0000_s1235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16</xdr:row>
          <xdr:rowOff>0</xdr:rowOff>
        </xdr:from>
        <xdr:to>
          <xdr:col>12</xdr:col>
          <xdr:colOff>627154</xdr:colOff>
          <xdr:row>16</xdr:row>
          <xdr:rowOff>220222</xdr:rowOff>
        </xdr:to>
        <xdr:sp macro="" textlink="">
          <xdr:nvSpPr>
            <xdr:cNvPr id="12359" name="Check Box 71" hidden="1">
              <a:extLst>
                <a:ext uri="{63B3BB69-23CF-44E3-9099-C40C66FF867C}">
                  <a14:compatExt spid="_x0000_s1235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17</xdr:row>
          <xdr:rowOff>0</xdr:rowOff>
        </xdr:from>
        <xdr:to>
          <xdr:col>12</xdr:col>
          <xdr:colOff>627154</xdr:colOff>
          <xdr:row>17</xdr:row>
          <xdr:rowOff>220222</xdr:rowOff>
        </xdr:to>
        <xdr:sp macro="" textlink="">
          <xdr:nvSpPr>
            <xdr:cNvPr id="12360" name="Check Box 72" hidden="1">
              <a:extLst>
                <a:ext uri="{63B3BB69-23CF-44E3-9099-C40C66FF867C}">
                  <a14:compatExt spid="_x0000_s1236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18</xdr:row>
          <xdr:rowOff>0</xdr:rowOff>
        </xdr:from>
        <xdr:to>
          <xdr:col>12</xdr:col>
          <xdr:colOff>627154</xdr:colOff>
          <xdr:row>18</xdr:row>
          <xdr:rowOff>220222</xdr:rowOff>
        </xdr:to>
        <xdr:sp macro="" textlink="">
          <xdr:nvSpPr>
            <xdr:cNvPr id="12361" name="Check Box 73" hidden="1">
              <a:extLst>
                <a:ext uri="{63B3BB69-23CF-44E3-9099-C40C66FF867C}">
                  <a14:compatExt spid="_x0000_s1236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10</xdr:row>
          <xdr:rowOff>0</xdr:rowOff>
        </xdr:from>
        <xdr:to>
          <xdr:col>12</xdr:col>
          <xdr:colOff>617579</xdr:colOff>
          <xdr:row>10</xdr:row>
          <xdr:rowOff>220222</xdr:rowOff>
        </xdr:to>
        <xdr:sp macro="" textlink="">
          <xdr:nvSpPr>
            <xdr:cNvPr id="12362" name="Check Box 74" hidden="1">
              <a:extLst>
                <a:ext uri="{63B3BB69-23CF-44E3-9099-C40C66FF867C}">
                  <a14:compatExt spid="_x0000_s1236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26</xdr:row>
          <xdr:rowOff>19150</xdr:rowOff>
        </xdr:from>
        <xdr:to>
          <xdr:col>12</xdr:col>
          <xdr:colOff>627154</xdr:colOff>
          <xdr:row>26</xdr:row>
          <xdr:rowOff>239372</xdr:rowOff>
        </xdr:to>
        <xdr:sp macro="" textlink="">
          <xdr:nvSpPr>
            <xdr:cNvPr id="12363" name="Check Box 75" hidden="1">
              <a:extLst>
                <a:ext uri="{63B3BB69-23CF-44E3-9099-C40C66FF867C}">
                  <a14:compatExt spid="_x0000_s1236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27</xdr:row>
          <xdr:rowOff>19150</xdr:rowOff>
        </xdr:from>
        <xdr:to>
          <xdr:col>2</xdr:col>
          <xdr:colOff>627154</xdr:colOff>
          <xdr:row>27</xdr:row>
          <xdr:rowOff>239372</xdr:rowOff>
        </xdr:to>
        <xdr:sp macro="" textlink="">
          <xdr:nvSpPr>
            <xdr:cNvPr id="12364" name="Check Box 76" hidden="1">
              <a:extLst>
                <a:ext uri="{63B3BB69-23CF-44E3-9099-C40C66FF867C}">
                  <a14:compatExt spid="_x0000_s1236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27</xdr:row>
          <xdr:rowOff>19150</xdr:rowOff>
        </xdr:from>
        <xdr:to>
          <xdr:col>6</xdr:col>
          <xdr:colOff>627154</xdr:colOff>
          <xdr:row>27</xdr:row>
          <xdr:rowOff>239372</xdr:rowOff>
        </xdr:to>
        <xdr:sp macro="" textlink="">
          <xdr:nvSpPr>
            <xdr:cNvPr id="12365" name="Check Box 77" hidden="1">
              <a:extLst>
                <a:ext uri="{63B3BB69-23CF-44E3-9099-C40C66FF867C}">
                  <a14:compatExt spid="_x0000_s1236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27</xdr:row>
          <xdr:rowOff>19150</xdr:rowOff>
        </xdr:from>
        <xdr:to>
          <xdr:col>8</xdr:col>
          <xdr:colOff>627154</xdr:colOff>
          <xdr:row>27</xdr:row>
          <xdr:rowOff>239372</xdr:rowOff>
        </xdr:to>
        <xdr:sp macro="" textlink="">
          <xdr:nvSpPr>
            <xdr:cNvPr id="12366" name="Check Box 78" hidden="1">
              <a:extLst>
                <a:ext uri="{63B3BB69-23CF-44E3-9099-C40C66FF867C}">
                  <a14:compatExt spid="_x0000_s1236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27</xdr:row>
          <xdr:rowOff>19150</xdr:rowOff>
        </xdr:from>
        <xdr:to>
          <xdr:col>12</xdr:col>
          <xdr:colOff>627154</xdr:colOff>
          <xdr:row>27</xdr:row>
          <xdr:rowOff>239372</xdr:rowOff>
        </xdr:to>
        <xdr:sp macro="" textlink="">
          <xdr:nvSpPr>
            <xdr:cNvPr id="12368" name="Check Box 80" hidden="1">
              <a:extLst>
                <a:ext uri="{63B3BB69-23CF-44E3-9099-C40C66FF867C}">
                  <a14:compatExt spid="_x0000_s1236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5</xdr:row>
          <xdr:rowOff>0</xdr:rowOff>
        </xdr:from>
        <xdr:to>
          <xdr:col>2</xdr:col>
          <xdr:colOff>627154</xdr:colOff>
          <xdr:row>5</xdr:row>
          <xdr:rowOff>220222</xdr:rowOff>
        </xdr:to>
        <xdr:sp macro="" textlink="">
          <xdr:nvSpPr>
            <xdr:cNvPr id="12369" name="Check Box 81" hidden="1">
              <a:extLst>
                <a:ext uri="{63B3BB69-23CF-44E3-9099-C40C66FF867C}">
                  <a14:compatExt spid="_x0000_s12369"/>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5</xdr:row>
          <xdr:rowOff>0</xdr:rowOff>
        </xdr:from>
        <xdr:to>
          <xdr:col>6</xdr:col>
          <xdr:colOff>627154</xdr:colOff>
          <xdr:row>5</xdr:row>
          <xdr:rowOff>220222</xdr:rowOff>
        </xdr:to>
        <xdr:sp macro="" textlink="">
          <xdr:nvSpPr>
            <xdr:cNvPr id="12370" name="Check Box 82" hidden="1">
              <a:extLst>
                <a:ext uri="{63B3BB69-23CF-44E3-9099-C40C66FF867C}">
                  <a14:compatExt spid="_x0000_s12370"/>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5</xdr:row>
          <xdr:rowOff>0</xdr:rowOff>
        </xdr:from>
        <xdr:to>
          <xdr:col>8</xdr:col>
          <xdr:colOff>627154</xdr:colOff>
          <xdr:row>5</xdr:row>
          <xdr:rowOff>220222</xdr:rowOff>
        </xdr:to>
        <xdr:sp macro="" textlink="">
          <xdr:nvSpPr>
            <xdr:cNvPr id="12371" name="Check Box 83" hidden="1">
              <a:extLst>
                <a:ext uri="{63B3BB69-23CF-44E3-9099-C40C66FF867C}">
                  <a14:compatExt spid="_x0000_s12371"/>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5</xdr:row>
          <xdr:rowOff>0</xdr:rowOff>
        </xdr:from>
        <xdr:to>
          <xdr:col>12</xdr:col>
          <xdr:colOff>627154</xdr:colOff>
          <xdr:row>5</xdr:row>
          <xdr:rowOff>220222</xdr:rowOff>
        </xdr:to>
        <xdr:sp macro="" textlink="">
          <xdr:nvSpPr>
            <xdr:cNvPr id="12373" name="Check Box 85" hidden="1">
              <a:extLst>
                <a:ext uri="{63B3BB69-23CF-44E3-9099-C40C66FF867C}">
                  <a14:compatExt spid="_x0000_s1237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15</xdr:row>
          <xdr:rowOff>0</xdr:rowOff>
        </xdr:from>
        <xdr:to>
          <xdr:col>2</xdr:col>
          <xdr:colOff>627154</xdr:colOff>
          <xdr:row>15</xdr:row>
          <xdr:rowOff>220222</xdr:rowOff>
        </xdr:to>
        <xdr:sp macro="" textlink="">
          <xdr:nvSpPr>
            <xdr:cNvPr id="12374" name="Check Box 86" hidden="1">
              <a:extLst>
                <a:ext uri="{63B3BB69-23CF-44E3-9099-C40C66FF867C}">
                  <a14:compatExt spid="_x0000_s1237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15</xdr:row>
          <xdr:rowOff>0</xdr:rowOff>
        </xdr:from>
        <xdr:to>
          <xdr:col>6</xdr:col>
          <xdr:colOff>627154</xdr:colOff>
          <xdr:row>15</xdr:row>
          <xdr:rowOff>220222</xdr:rowOff>
        </xdr:to>
        <xdr:sp macro="" textlink="">
          <xdr:nvSpPr>
            <xdr:cNvPr id="12375" name="Check Box 87" hidden="1">
              <a:extLst>
                <a:ext uri="{63B3BB69-23CF-44E3-9099-C40C66FF867C}">
                  <a14:compatExt spid="_x0000_s1237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15</xdr:row>
          <xdr:rowOff>0</xdr:rowOff>
        </xdr:from>
        <xdr:to>
          <xdr:col>8</xdr:col>
          <xdr:colOff>627154</xdr:colOff>
          <xdr:row>15</xdr:row>
          <xdr:rowOff>220222</xdr:rowOff>
        </xdr:to>
        <xdr:sp macro="" textlink="">
          <xdr:nvSpPr>
            <xdr:cNvPr id="12376" name="Check Box 88" hidden="1">
              <a:extLst>
                <a:ext uri="{63B3BB69-23CF-44E3-9099-C40C66FF867C}">
                  <a14:compatExt spid="_x0000_s1237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15</xdr:row>
          <xdr:rowOff>0</xdr:rowOff>
        </xdr:from>
        <xdr:to>
          <xdr:col>12</xdr:col>
          <xdr:colOff>627154</xdr:colOff>
          <xdr:row>15</xdr:row>
          <xdr:rowOff>220222</xdr:rowOff>
        </xdr:to>
        <xdr:sp macro="" textlink="">
          <xdr:nvSpPr>
            <xdr:cNvPr id="12378" name="Check Box 90" hidden="1">
              <a:extLst>
                <a:ext uri="{63B3BB69-23CF-44E3-9099-C40C66FF867C}">
                  <a14:compatExt spid="_x0000_s1237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3</xdr:row>
          <xdr:rowOff>0</xdr:rowOff>
        </xdr:from>
        <xdr:to>
          <xdr:col>4</xdr:col>
          <xdr:colOff>627154</xdr:colOff>
          <xdr:row>3</xdr:row>
          <xdr:rowOff>220222</xdr:rowOff>
        </xdr:to>
        <xdr:sp macro="" textlink="">
          <xdr:nvSpPr>
            <xdr:cNvPr id="12395" name="Check Box 107" hidden="1">
              <a:extLst>
                <a:ext uri="{63B3BB69-23CF-44E3-9099-C40C66FF867C}">
                  <a14:compatExt spid="_x0000_s1239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4</xdr:row>
          <xdr:rowOff>0</xdr:rowOff>
        </xdr:from>
        <xdr:to>
          <xdr:col>4</xdr:col>
          <xdr:colOff>627154</xdr:colOff>
          <xdr:row>4</xdr:row>
          <xdr:rowOff>220222</xdr:rowOff>
        </xdr:to>
        <xdr:sp macro="" textlink="">
          <xdr:nvSpPr>
            <xdr:cNvPr id="12396" name="Check Box 108" hidden="1">
              <a:extLst>
                <a:ext uri="{63B3BB69-23CF-44E3-9099-C40C66FF867C}">
                  <a14:compatExt spid="_x0000_s1239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6</xdr:row>
          <xdr:rowOff>0</xdr:rowOff>
        </xdr:from>
        <xdr:to>
          <xdr:col>4</xdr:col>
          <xdr:colOff>627154</xdr:colOff>
          <xdr:row>6</xdr:row>
          <xdr:rowOff>220222</xdr:rowOff>
        </xdr:to>
        <xdr:sp macro="" textlink="">
          <xdr:nvSpPr>
            <xdr:cNvPr id="12397" name="Check Box 109" hidden="1">
              <a:extLst>
                <a:ext uri="{63B3BB69-23CF-44E3-9099-C40C66FF867C}">
                  <a14:compatExt spid="_x0000_s1239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7</xdr:row>
          <xdr:rowOff>0</xdr:rowOff>
        </xdr:from>
        <xdr:to>
          <xdr:col>4</xdr:col>
          <xdr:colOff>627154</xdr:colOff>
          <xdr:row>7</xdr:row>
          <xdr:rowOff>220222</xdr:rowOff>
        </xdr:to>
        <xdr:sp macro="" textlink="">
          <xdr:nvSpPr>
            <xdr:cNvPr id="12398" name="Check Box 110" hidden="1">
              <a:extLst>
                <a:ext uri="{63B3BB69-23CF-44E3-9099-C40C66FF867C}">
                  <a14:compatExt spid="_x0000_s1239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12</xdr:row>
          <xdr:rowOff>0</xdr:rowOff>
        </xdr:from>
        <xdr:to>
          <xdr:col>4</xdr:col>
          <xdr:colOff>617579</xdr:colOff>
          <xdr:row>12</xdr:row>
          <xdr:rowOff>220222</xdr:rowOff>
        </xdr:to>
        <xdr:sp macro="" textlink="">
          <xdr:nvSpPr>
            <xdr:cNvPr id="12399" name="Check Box 111" hidden="1">
              <a:extLst>
                <a:ext uri="{63B3BB69-23CF-44E3-9099-C40C66FF867C}">
                  <a14:compatExt spid="_x0000_s123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11</xdr:row>
          <xdr:rowOff>0</xdr:rowOff>
        </xdr:from>
        <xdr:to>
          <xdr:col>4</xdr:col>
          <xdr:colOff>627154</xdr:colOff>
          <xdr:row>11</xdr:row>
          <xdr:rowOff>220222</xdr:rowOff>
        </xdr:to>
        <xdr:sp macro="" textlink="">
          <xdr:nvSpPr>
            <xdr:cNvPr id="12400" name="Check Box 112" hidden="1">
              <a:extLst>
                <a:ext uri="{63B3BB69-23CF-44E3-9099-C40C66FF867C}">
                  <a14:compatExt spid="_x0000_s1240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25</xdr:row>
          <xdr:rowOff>0</xdr:rowOff>
        </xdr:from>
        <xdr:to>
          <xdr:col>4</xdr:col>
          <xdr:colOff>627154</xdr:colOff>
          <xdr:row>25</xdr:row>
          <xdr:rowOff>220222</xdr:rowOff>
        </xdr:to>
        <xdr:sp macro="" textlink="">
          <xdr:nvSpPr>
            <xdr:cNvPr id="12401" name="Check Box 113" hidden="1">
              <a:extLst>
                <a:ext uri="{63B3BB69-23CF-44E3-9099-C40C66FF867C}">
                  <a14:compatExt spid="_x0000_s1240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14</xdr:row>
          <xdr:rowOff>0</xdr:rowOff>
        </xdr:from>
        <xdr:to>
          <xdr:col>4</xdr:col>
          <xdr:colOff>627154</xdr:colOff>
          <xdr:row>14</xdr:row>
          <xdr:rowOff>220222</xdr:rowOff>
        </xdr:to>
        <xdr:sp macro="" textlink="">
          <xdr:nvSpPr>
            <xdr:cNvPr id="12402" name="Check Box 114" hidden="1">
              <a:extLst>
                <a:ext uri="{63B3BB69-23CF-44E3-9099-C40C66FF867C}">
                  <a14:compatExt spid="_x0000_s1240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16</xdr:row>
          <xdr:rowOff>0</xdr:rowOff>
        </xdr:from>
        <xdr:to>
          <xdr:col>4</xdr:col>
          <xdr:colOff>627154</xdr:colOff>
          <xdr:row>16</xdr:row>
          <xdr:rowOff>220222</xdr:rowOff>
        </xdr:to>
        <xdr:sp macro="" textlink="">
          <xdr:nvSpPr>
            <xdr:cNvPr id="12403" name="Check Box 115" hidden="1">
              <a:extLst>
                <a:ext uri="{63B3BB69-23CF-44E3-9099-C40C66FF867C}">
                  <a14:compatExt spid="_x0000_s1240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17</xdr:row>
          <xdr:rowOff>0</xdr:rowOff>
        </xdr:from>
        <xdr:to>
          <xdr:col>4</xdr:col>
          <xdr:colOff>627154</xdr:colOff>
          <xdr:row>17</xdr:row>
          <xdr:rowOff>220222</xdr:rowOff>
        </xdr:to>
        <xdr:sp macro="" textlink="">
          <xdr:nvSpPr>
            <xdr:cNvPr id="12404" name="Check Box 116" hidden="1">
              <a:extLst>
                <a:ext uri="{63B3BB69-23CF-44E3-9099-C40C66FF867C}">
                  <a14:compatExt spid="_x0000_s1240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18</xdr:row>
          <xdr:rowOff>0</xdr:rowOff>
        </xdr:from>
        <xdr:to>
          <xdr:col>4</xdr:col>
          <xdr:colOff>627154</xdr:colOff>
          <xdr:row>18</xdr:row>
          <xdr:rowOff>220222</xdr:rowOff>
        </xdr:to>
        <xdr:sp macro="" textlink="">
          <xdr:nvSpPr>
            <xdr:cNvPr id="12405" name="Check Box 117" hidden="1">
              <a:extLst>
                <a:ext uri="{63B3BB69-23CF-44E3-9099-C40C66FF867C}">
                  <a14:compatExt spid="_x0000_s1240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10</xdr:row>
          <xdr:rowOff>0</xdr:rowOff>
        </xdr:from>
        <xdr:to>
          <xdr:col>4</xdr:col>
          <xdr:colOff>617579</xdr:colOff>
          <xdr:row>10</xdr:row>
          <xdr:rowOff>220222</xdr:rowOff>
        </xdr:to>
        <xdr:sp macro="" textlink="">
          <xdr:nvSpPr>
            <xdr:cNvPr id="12406" name="Check Box 118" hidden="1">
              <a:extLst>
                <a:ext uri="{63B3BB69-23CF-44E3-9099-C40C66FF867C}">
                  <a14:compatExt spid="_x0000_s1240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26</xdr:row>
          <xdr:rowOff>19150</xdr:rowOff>
        </xdr:from>
        <xdr:to>
          <xdr:col>4</xdr:col>
          <xdr:colOff>627154</xdr:colOff>
          <xdr:row>26</xdr:row>
          <xdr:rowOff>239372</xdr:rowOff>
        </xdr:to>
        <xdr:sp macro="" textlink="">
          <xdr:nvSpPr>
            <xdr:cNvPr id="12407" name="Check Box 119" hidden="1">
              <a:extLst>
                <a:ext uri="{63B3BB69-23CF-44E3-9099-C40C66FF867C}">
                  <a14:compatExt spid="_x0000_s124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27</xdr:row>
          <xdr:rowOff>19150</xdr:rowOff>
        </xdr:from>
        <xdr:to>
          <xdr:col>4</xdr:col>
          <xdr:colOff>627154</xdr:colOff>
          <xdr:row>27</xdr:row>
          <xdr:rowOff>239372</xdr:rowOff>
        </xdr:to>
        <xdr:sp macro="" textlink="">
          <xdr:nvSpPr>
            <xdr:cNvPr id="12408" name="Check Box 120" hidden="1">
              <a:extLst>
                <a:ext uri="{63B3BB69-23CF-44E3-9099-C40C66FF867C}">
                  <a14:compatExt spid="_x0000_s1240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5</xdr:row>
          <xdr:rowOff>0</xdr:rowOff>
        </xdr:from>
        <xdr:to>
          <xdr:col>4</xdr:col>
          <xdr:colOff>627154</xdr:colOff>
          <xdr:row>5</xdr:row>
          <xdr:rowOff>220222</xdr:rowOff>
        </xdr:to>
        <xdr:sp macro="" textlink="">
          <xdr:nvSpPr>
            <xdr:cNvPr id="12409" name="Check Box 121" hidden="1">
              <a:extLst>
                <a:ext uri="{63B3BB69-23CF-44E3-9099-C40C66FF867C}">
                  <a14:compatExt spid="_x0000_s12409"/>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15</xdr:row>
          <xdr:rowOff>0</xdr:rowOff>
        </xdr:from>
        <xdr:to>
          <xdr:col>4</xdr:col>
          <xdr:colOff>627154</xdr:colOff>
          <xdr:row>15</xdr:row>
          <xdr:rowOff>220222</xdr:rowOff>
        </xdr:to>
        <xdr:sp macro="" textlink="">
          <xdr:nvSpPr>
            <xdr:cNvPr id="12410" name="Check Box 122" hidden="1">
              <a:extLst>
                <a:ext uri="{63B3BB69-23CF-44E3-9099-C40C66FF867C}">
                  <a14:compatExt spid="_x0000_s124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xdr:twoCellAnchor>
    <xdr:from>
      <xdr:col>1</xdr:col>
      <xdr:colOff>9525</xdr:colOff>
      <xdr:row>32</xdr:row>
      <xdr:rowOff>9525</xdr:rowOff>
    </xdr:from>
    <xdr:to>
      <xdr:col>12</xdr:col>
      <xdr:colOff>704850</xdr:colOff>
      <xdr:row>33</xdr:row>
      <xdr:rowOff>0</xdr:rowOff>
    </xdr:to>
    <xdr:sp macro="[0]!mInvoer.opmOverig_1" textlink="">
      <xdr:nvSpPr>
        <xdr:cNvPr id="12411" name="Rectangle 123"/>
        <xdr:cNvSpPr>
          <a:spLocks noChangeArrowheads="1"/>
        </xdr:cNvSpPr>
      </xdr:nvSpPr>
      <xdr:spPr bwMode="auto">
        <a:xfrm>
          <a:off x="257175" y="9877425"/>
          <a:ext cx="741045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0</xdr:row>
      <xdr:rowOff>0</xdr:rowOff>
    </xdr:from>
    <xdr:to>
      <xdr:col>2</xdr:col>
      <xdr:colOff>152400</xdr:colOff>
      <xdr:row>0</xdr:row>
      <xdr:rowOff>133350</xdr:rowOff>
    </xdr:to>
    <xdr:sp macro="[0]!gaNaarLaboratorium" textlink="">
      <xdr:nvSpPr>
        <xdr:cNvPr id="12412" name="Rectangle 124"/>
        <xdr:cNvSpPr>
          <a:spLocks noChangeArrowheads="1"/>
        </xdr:cNvSpPr>
      </xdr:nvSpPr>
      <xdr:spPr bwMode="auto">
        <a:xfrm>
          <a:off x="247650" y="0"/>
          <a:ext cx="86677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13</xdr:col>
          <xdr:colOff>47874</xdr:colOff>
          <xdr:row>3</xdr:row>
          <xdr:rowOff>0</xdr:rowOff>
        </xdr:from>
        <xdr:to>
          <xdr:col>14</xdr:col>
          <xdr:colOff>627154</xdr:colOff>
          <xdr:row>3</xdr:row>
          <xdr:rowOff>220222</xdr:rowOff>
        </xdr:to>
        <xdr:sp macro="" textlink="">
          <xdr:nvSpPr>
            <xdr:cNvPr id="12414" name="Check Box 126" hidden="1">
              <a:extLst>
                <a:ext uri="{63B3BB69-23CF-44E3-9099-C40C66FF867C}">
                  <a14:compatExt spid="_x0000_s1241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4</xdr:row>
          <xdr:rowOff>0</xdr:rowOff>
        </xdr:from>
        <xdr:to>
          <xdr:col>14</xdr:col>
          <xdr:colOff>627154</xdr:colOff>
          <xdr:row>4</xdr:row>
          <xdr:rowOff>220222</xdr:rowOff>
        </xdr:to>
        <xdr:sp macro="" textlink="">
          <xdr:nvSpPr>
            <xdr:cNvPr id="12415" name="Check Box 127" hidden="1">
              <a:extLst>
                <a:ext uri="{63B3BB69-23CF-44E3-9099-C40C66FF867C}">
                  <a14:compatExt spid="_x0000_s1241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6</xdr:row>
          <xdr:rowOff>0</xdr:rowOff>
        </xdr:from>
        <xdr:to>
          <xdr:col>14</xdr:col>
          <xdr:colOff>627154</xdr:colOff>
          <xdr:row>6</xdr:row>
          <xdr:rowOff>220222</xdr:rowOff>
        </xdr:to>
        <xdr:sp macro="" textlink="">
          <xdr:nvSpPr>
            <xdr:cNvPr id="12416" name="Check Box 128" hidden="1">
              <a:extLst>
                <a:ext uri="{63B3BB69-23CF-44E3-9099-C40C66FF867C}">
                  <a14:compatExt spid="_x0000_s124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7</xdr:row>
          <xdr:rowOff>0</xdr:rowOff>
        </xdr:from>
        <xdr:to>
          <xdr:col>14</xdr:col>
          <xdr:colOff>627154</xdr:colOff>
          <xdr:row>7</xdr:row>
          <xdr:rowOff>220222</xdr:rowOff>
        </xdr:to>
        <xdr:sp macro="" textlink="">
          <xdr:nvSpPr>
            <xdr:cNvPr id="12417" name="Check Box 129" hidden="1">
              <a:extLst>
                <a:ext uri="{63B3BB69-23CF-44E3-9099-C40C66FF867C}">
                  <a14:compatExt spid="_x0000_s124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12</xdr:row>
          <xdr:rowOff>0</xdr:rowOff>
        </xdr:from>
        <xdr:to>
          <xdr:col>14</xdr:col>
          <xdr:colOff>617579</xdr:colOff>
          <xdr:row>12</xdr:row>
          <xdr:rowOff>220222</xdr:rowOff>
        </xdr:to>
        <xdr:sp macro="" textlink="">
          <xdr:nvSpPr>
            <xdr:cNvPr id="12418" name="Check Box 130" hidden="1">
              <a:extLst>
                <a:ext uri="{63B3BB69-23CF-44E3-9099-C40C66FF867C}">
                  <a14:compatExt spid="_x0000_s1241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11</xdr:row>
          <xdr:rowOff>0</xdr:rowOff>
        </xdr:from>
        <xdr:to>
          <xdr:col>14</xdr:col>
          <xdr:colOff>627154</xdr:colOff>
          <xdr:row>11</xdr:row>
          <xdr:rowOff>220222</xdr:rowOff>
        </xdr:to>
        <xdr:sp macro="" textlink="">
          <xdr:nvSpPr>
            <xdr:cNvPr id="12419" name="Check Box 131" hidden="1">
              <a:extLst>
                <a:ext uri="{63B3BB69-23CF-44E3-9099-C40C66FF867C}">
                  <a14:compatExt spid="_x0000_s1241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25</xdr:row>
          <xdr:rowOff>0</xdr:rowOff>
        </xdr:from>
        <xdr:to>
          <xdr:col>14</xdr:col>
          <xdr:colOff>627154</xdr:colOff>
          <xdr:row>25</xdr:row>
          <xdr:rowOff>220222</xdr:rowOff>
        </xdr:to>
        <xdr:sp macro="" textlink="">
          <xdr:nvSpPr>
            <xdr:cNvPr id="12420" name="Check Box 132" hidden="1">
              <a:extLst>
                <a:ext uri="{63B3BB69-23CF-44E3-9099-C40C66FF867C}">
                  <a14:compatExt spid="_x0000_s1242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14</xdr:row>
          <xdr:rowOff>0</xdr:rowOff>
        </xdr:from>
        <xdr:to>
          <xdr:col>14</xdr:col>
          <xdr:colOff>627154</xdr:colOff>
          <xdr:row>14</xdr:row>
          <xdr:rowOff>220222</xdr:rowOff>
        </xdr:to>
        <xdr:sp macro="" textlink="">
          <xdr:nvSpPr>
            <xdr:cNvPr id="12421" name="Check Box 133" hidden="1">
              <a:extLst>
                <a:ext uri="{63B3BB69-23CF-44E3-9099-C40C66FF867C}">
                  <a14:compatExt spid="_x0000_s1242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16</xdr:row>
          <xdr:rowOff>0</xdr:rowOff>
        </xdr:from>
        <xdr:to>
          <xdr:col>14</xdr:col>
          <xdr:colOff>627154</xdr:colOff>
          <xdr:row>16</xdr:row>
          <xdr:rowOff>220222</xdr:rowOff>
        </xdr:to>
        <xdr:sp macro="" textlink="">
          <xdr:nvSpPr>
            <xdr:cNvPr id="12422" name="Check Box 134" hidden="1">
              <a:extLst>
                <a:ext uri="{63B3BB69-23CF-44E3-9099-C40C66FF867C}">
                  <a14:compatExt spid="_x0000_s124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17</xdr:row>
          <xdr:rowOff>0</xdr:rowOff>
        </xdr:from>
        <xdr:to>
          <xdr:col>14</xdr:col>
          <xdr:colOff>627154</xdr:colOff>
          <xdr:row>17</xdr:row>
          <xdr:rowOff>220222</xdr:rowOff>
        </xdr:to>
        <xdr:sp macro="" textlink="">
          <xdr:nvSpPr>
            <xdr:cNvPr id="12423" name="Check Box 135" hidden="1">
              <a:extLst>
                <a:ext uri="{63B3BB69-23CF-44E3-9099-C40C66FF867C}">
                  <a14:compatExt spid="_x0000_s1242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18</xdr:row>
          <xdr:rowOff>0</xdr:rowOff>
        </xdr:from>
        <xdr:to>
          <xdr:col>14</xdr:col>
          <xdr:colOff>627154</xdr:colOff>
          <xdr:row>18</xdr:row>
          <xdr:rowOff>220222</xdr:rowOff>
        </xdr:to>
        <xdr:sp macro="" textlink="">
          <xdr:nvSpPr>
            <xdr:cNvPr id="12424" name="Check Box 136" hidden="1">
              <a:extLst>
                <a:ext uri="{63B3BB69-23CF-44E3-9099-C40C66FF867C}">
                  <a14:compatExt spid="_x0000_s1242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10</xdr:row>
          <xdr:rowOff>0</xdr:rowOff>
        </xdr:from>
        <xdr:to>
          <xdr:col>14</xdr:col>
          <xdr:colOff>617579</xdr:colOff>
          <xdr:row>10</xdr:row>
          <xdr:rowOff>220222</xdr:rowOff>
        </xdr:to>
        <xdr:sp macro="" textlink="">
          <xdr:nvSpPr>
            <xdr:cNvPr id="12425" name="Check Box 137" hidden="1">
              <a:extLst>
                <a:ext uri="{63B3BB69-23CF-44E3-9099-C40C66FF867C}">
                  <a14:compatExt spid="_x0000_s1242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26</xdr:row>
          <xdr:rowOff>19150</xdr:rowOff>
        </xdr:from>
        <xdr:to>
          <xdr:col>14</xdr:col>
          <xdr:colOff>627154</xdr:colOff>
          <xdr:row>26</xdr:row>
          <xdr:rowOff>239372</xdr:rowOff>
        </xdr:to>
        <xdr:sp macro="" textlink="">
          <xdr:nvSpPr>
            <xdr:cNvPr id="12426" name="Check Box 138" hidden="1">
              <a:extLst>
                <a:ext uri="{63B3BB69-23CF-44E3-9099-C40C66FF867C}">
                  <a14:compatExt spid="_x0000_s1242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27</xdr:row>
          <xdr:rowOff>19150</xdr:rowOff>
        </xdr:from>
        <xdr:to>
          <xdr:col>14</xdr:col>
          <xdr:colOff>627154</xdr:colOff>
          <xdr:row>27</xdr:row>
          <xdr:rowOff>239372</xdr:rowOff>
        </xdr:to>
        <xdr:sp macro="" textlink="">
          <xdr:nvSpPr>
            <xdr:cNvPr id="12427" name="Check Box 139" hidden="1">
              <a:extLst>
                <a:ext uri="{63B3BB69-23CF-44E3-9099-C40C66FF867C}">
                  <a14:compatExt spid="_x0000_s1242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5</xdr:row>
          <xdr:rowOff>0</xdr:rowOff>
        </xdr:from>
        <xdr:to>
          <xdr:col>14</xdr:col>
          <xdr:colOff>627154</xdr:colOff>
          <xdr:row>5</xdr:row>
          <xdr:rowOff>220222</xdr:rowOff>
        </xdr:to>
        <xdr:sp macro="" textlink="">
          <xdr:nvSpPr>
            <xdr:cNvPr id="12428" name="Check Box 140" hidden="1">
              <a:extLst>
                <a:ext uri="{63B3BB69-23CF-44E3-9099-C40C66FF867C}">
                  <a14:compatExt spid="_x0000_s1242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15</xdr:row>
          <xdr:rowOff>0</xdr:rowOff>
        </xdr:from>
        <xdr:to>
          <xdr:col>14</xdr:col>
          <xdr:colOff>627154</xdr:colOff>
          <xdr:row>15</xdr:row>
          <xdr:rowOff>220222</xdr:rowOff>
        </xdr:to>
        <xdr:sp macro="" textlink="">
          <xdr:nvSpPr>
            <xdr:cNvPr id="12429" name="Check Box 141" hidden="1">
              <a:extLst>
                <a:ext uri="{63B3BB69-23CF-44E3-9099-C40C66FF867C}">
                  <a14:compatExt spid="_x0000_s1242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3</xdr:row>
          <xdr:rowOff>0</xdr:rowOff>
        </xdr:from>
        <xdr:to>
          <xdr:col>16</xdr:col>
          <xdr:colOff>627154</xdr:colOff>
          <xdr:row>3</xdr:row>
          <xdr:rowOff>220222</xdr:rowOff>
        </xdr:to>
        <xdr:sp macro="" textlink="">
          <xdr:nvSpPr>
            <xdr:cNvPr id="12430" name="Check Box 142" hidden="1">
              <a:extLst>
                <a:ext uri="{63B3BB69-23CF-44E3-9099-C40C66FF867C}">
                  <a14:compatExt spid="_x0000_s1243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4</xdr:row>
          <xdr:rowOff>0</xdr:rowOff>
        </xdr:from>
        <xdr:to>
          <xdr:col>16</xdr:col>
          <xdr:colOff>627154</xdr:colOff>
          <xdr:row>4</xdr:row>
          <xdr:rowOff>220222</xdr:rowOff>
        </xdr:to>
        <xdr:sp macro="" textlink="">
          <xdr:nvSpPr>
            <xdr:cNvPr id="12431" name="Check Box 143" hidden="1">
              <a:extLst>
                <a:ext uri="{63B3BB69-23CF-44E3-9099-C40C66FF867C}">
                  <a14:compatExt spid="_x0000_s1243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6</xdr:row>
          <xdr:rowOff>0</xdr:rowOff>
        </xdr:from>
        <xdr:to>
          <xdr:col>16</xdr:col>
          <xdr:colOff>627154</xdr:colOff>
          <xdr:row>6</xdr:row>
          <xdr:rowOff>220222</xdr:rowOff>
        </xdr:to>
        <xdr:sp macro="" textlink="">
          <xdr:nvSpPr>
            <xdr:cNvPr id="12432" name="Check Box 144" hidden="1">
              <a:extLst>
                <a:ext uri="{63B3BB69-23CF-44E3-9099-C40C66FF867C}">
                  <a14:compatExt spid="_x0000_s1243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7</xdr:row>
          <xdr:rowOff>0</xdr:rowOff>
        </xdr:from>
        <xdr:to>
          <xdr:col>16</xdr:col>
          <xdr:colOff>627154</xdr:colOff>
          <xdr:row>7</xdr:row>
          <xdr:rowOff>220222</xdr:rowOff>
        </xdr:to>
        <xdr:sp macro="" textlink="">
          <xdr:nvSpPr>
            <xdr:cNvPr id="12433" name="Check Box 145" hidden="1">
              <a:extLst>
                <a:ext uri="{63B3BB69-23CF-44E3-9099-C40C66FF867C}">
                  <a14:compatExt spid="_x0000_s1243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12</xdr:row>
          <xdr:rowOff>0</xdr:rowOff>
        </xdr:from>
        <xdr:to>
          <xdr:col>16</xdr:col>
          <xdr:colOff>617579</xdr:colOff>
          <xdr:row>12</xdr:row>
          <xdr:rowOff>220222</xdr:rowOff>
        </xdr:to>
        <xdr:sp macro="" textlink="">
          <xdr:nvSpPr>
            <xdr:cNvPr id="12434" name="Check Box 146" hidden="1">
              <a:extLst>
                <a:ext uri="{63B3BB69-23CF-44E3-9099-C40C66FF867C}">
                  <a14:compatExt spid="_x0000_s1243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11</xdr:row>
          <xdr:rowOff>0</xdr:rowOff>
        </xdr:from>
        <xdr:to>
          <xdr:col>16</xdr:col>
          <xdr:colOff>627154</xdr:colOff>
          <xdr:row>11</xdr:row>
          <xdr:rowOff>220222</xdr:rowOff>
        </xdr:to>
        <xdr:sp macro="" textlink="">
          <xdr:nvSpPr>
            <xdr:cNvPr id="12435" name="Check Box 147" hidden="1">
              <a:extLst>
                <a:ext uri="{63B3BB69-23CF-44E3-9099-C40C66FF867C}">
                  <a14:compatExt spid="_x0000_s1243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25</xdr:row>
          <xdr:rowOff>0</xdr:rowOff>
        </xdr:from>
        <xdr:to>
          <xdr:col>16</xdr:col>
          <xdr:colOff>627154</xdr:colOff>
          <xdr:row>25</xdr:row>
          <xdr:rowOff>220222</xdr:rowOff>
        </xdr:to>
        <xdr:sp macro="" textlink="">
          <xdr:nvSpPr>
            <xdr:cNvPr id="12436" name="Check Box 148" hidden="1">
              <a:extLst>
                <a:ext uri="{63B3BB69-23CF-44E3-9099-C40C66FF867C}">
                  <a14:compatExt spid="_x0000_s1243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14</xdr:row>
          <xdr:rowOff>0</xdr:rowOff>
        </xdr:from>
        <xdr:to>
          <xdr:col>16</xdr:col>
          <xdr:colOff>627154</xdr:colOff>
          <xdr:row>14</xdr:row>
          <xdr:rowOff>220222</xdr:rowOff>
        </xdr:to>
        <xdr:sp macro="" textlink="">
          <xdr:nvSpPr>
            <xdr:cNvPr id="12437" name="Check Box 149" hidden="1">
              <a:extLst>
                <a:ext uri="{63B3BB69-23CF-44E3-9099-C40C66FF867C}">
                  <a14:compatExt spid="_x0000_s1243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16</xdr:row>
          <xdr:rowOff>0</xdr:rowOff>
        </xdr:from>
        <xdr:to>
          <xdr:col>16</xdr:col>
          <xdr:colOff>627154</xdr:colOff>
          <xdr:row>16</xdr:row>
          <xdr:rowOff>220222</xdr:rowOff>
        </xdr:to>
        <xdr:sp macro="" textlink="">
          <xdr:nvSpPr>
            <xdr:cNvPr id="12438" name="Check Box 150" hidden="1">
              <a:extLst>
                <a:ext uri="{63B3BB69-23CF-44E3-9099-C40C66FF867C}">
                  <a14:compatExt spid="_x0000_s1243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17</xdr:row>
          <xdr:rowOff>0</xdr:rowOff>
        </xdr:from>
        <xdr:to>
          <xdr:col>16</xdr:col>
          <xdr:colOff>627154</xdr:colOff>
          <xdr:row>17</xdr:row>
          <xdr:rowOff>220222</xdr:rowOff>
        </xdr:to>
        <xdr:sp macro="" textlink="">
          <xdr:nvSpPr>
            <xdr:cNvPr id="12439" name="Check Box 151" hidden="1">
              <a:extLst>
                <a:ext uri="{63B3BB69-23CF-44E3-9099-C40C66FF867C}">
                  <a14:compatExt spid="_x0000_s1243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18</xdr:row>
          <xdr:rowOff>0</xdr:rowOff>
        </xdr:from>
        <xdr:to>
          <xdr:col>16</xdr:col>
          <xdr:colOff>627154</xdr:colOff>
          <xdr:row>18</xdr:row>
          <xdr:rowOff>220222</xdr:rowOff>
        </xdr:to>
        <xdr:sp macro="" textlink="">
          <xdr:nvSpPr>
            <xdr:cNvPr id="12440" name="Check Box 152" hidden="1">
              <a:extLst>
                <a:ext uri="{63B3BB69-23CF-44E3-9099-C40C66FF867C}">
                  <a14:compatExt spid="_x0000_s1244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10</xdr:row>
          <xdr:rowOff>0</xdr:rowOff>
        </xdr:from>
        <xdr:to>
          <xdr:col>16</xdr:col>
          <xdr:colOff>617579</xdr:colOff>
          <xdr:row>10</xdr:row>
          <xdr:rowOff>220222</xdr:rowOff>
        </xdr:to>
        <xdr:sp macro="" textlink="">
          <xdr:nvSpPr>
            <xdr:cNvPr id="12441" name="Check Box 153" hidden="1">
              <a:extLst>
                <a:ext uri="{63B3BB69-23CF-44E3-9099-C40C66FF867C}">
                  <a14:compatExt spid="_x0000_s1244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26</xdr:row>
          <xdr:rowOff>19150</xdr:rowOff>
        </xdr:from>
        <xdr:to>
          <xdr:col>16</xdr:col>
          <xdr:colOff>627154</xdr:colOff>
          <xdr:row>26</xdr:row>
          <xdr:rowOff>239372</xdr:rowOff>
        </xdr:to>
        <xdr:sp macro="" textlink="">
          <xdr:nvSpPr>
            <xdr:cNvPr id="12442" name="Check Box 154" hidden="1">
              <a:extLst>
                <a:ext uri="{63B3BB69-23CF-44E3-9099-C40C66FF867C}">
                  <a14:compatExt spid="_x0000_s1244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27</xdr:row>
          <xdr:rowOff>19150</xdr:rowOff>
        </xdr:from>
        <xdr:to>
          <xdr:col>16</xdr:col>
          <xdr:colOff>627154</xdr:colOff>
          <xdr:row>27</xdr:row>
          <xdr:rowOff>239372</xdr:rowOff>
        </xdr:to>
        <xdr:sp macro="" textlink="">
          <xdr:nvSpPr>
            <xdr:cNvPr id="12443" name="Check Box 155" hidden="1">
              <a:extLst>
                <a:ext uri="{63B3BB69-23CF-44E3-9099-C40C66FF867C}">
                  <a14:compatExt spid="_x0000_s1244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5</xdr:row>
          <xdr:rowOff>0</xdr:rowOff>
        </xdr:from>
        <xdr:to>
          <xdr:col>16</xdr:col>
          <xdr:colOff>627154</xdr:colOff>
          <xdr:row>5</xdr:row>
          <xdr:rowOff>220222</xdr:rowOff>
        </xdr:to>
        <xdr:sp macro="" textlink="">
          <xdr:nvSpPr>
            <xdr:cNvPr id="12444" name="Check Box 156" hidden="1">
              <a:extLst>
                <a:ext uri="{63B3BB69-23CF-44E3-9099-C40C66FF867C}">
                  <a14:compatExt spid="_x0000_s1244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15</xdr:row>
          <xdr:rowOff>0</xdr:rowOff>
        </xdr:from>
        <xdr:to>
          <xdr:col>16</xdr:col>
          <xdr:colOff>627154</xdr:colOff>
          <xdr:row>15</xdr:row>
          <xdr:rowOff>220222</xdr:rowOff>
        </xdr:to>
        <xdr:sp macro="" textlink="">
          <xdr:nvSpPr>
            <xdr:cNvPr id="12445" name="Check Box 157" hidden="1">
              <a:extLst>
                <a:ext uri="{63B3BB69-23CF-44E3-9099-C40C66FF867C}">
                  <a14:compatExt spid="_x0000_s1244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28</xdr:row>
          <xdr:rowOff>19150</xdr:rowOff>
        </xdr:from>
        <xdr:to>
          <xdr:col>2</xdr:col>
          <xdr:colOff>627154</xdr:colOff>
          <xdr:row>28</xdr:row>
          <xdr:rowOff>239372</xdr:rowOff>
        </xdr:to>
        <xdr:sp macro="" textlink="">
          <xdr:nvSpPr>
            <xdr:cNvPr id="12486" name="Check Box 198" hidden="1">
              <a:extLst>
                <a:ext uri="{63B3BB69-23CF-44E3-9099-C40C66FF867C}">
                  <a14:compatExt spid="_x0000_s1248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28</xdr:row>
          <xdr:rowOff>19150</xdr:rowOff>
        </xdr:from>
        <xdr:to>
          <xdr:col>6</xdr:col>
          <xdr:colOff>627154</xdr:colOff>
          <xdr:row>28</xdr:row>
          <xdr:rowOff>239372</xdr:rowOff>
        </xdr:to>
        <xdr:sp macro="" textlink="">
          <xdr:nvSpPr>
            <xdr:cNvPr id="12487" name="Check Box 199" hidden="1">
              <a:extLst>
                <a:ext uri="{63B3BB69-23CF-44E3-9099-C40C66FF867C}">
                  <a14:compatExt spid="_x0000_s1248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28</xdr:row>
          <xdr:rowOff>19150</xdr:rowOff>
        </xdr:from>
        <xdr:to>
          <xdr:col>8</xdr:col>
          <xdr:colOff>627154</xdr:colOff>
          <xdr:row>28</xdr:row>
          <xdr:rowOff>239372</xdr:rowOff>
        </xdr:to>
        <xdr:sp macro="" textlink="">
          <xdr:nvSpPr>
            <xdr:cNvPr id="12488" name="Check Box 200" hidden="1">
              <a:extLst>
                <a:ext uri="{63B3BB69-23CF-44E3-9099-C40C66FF867C}">
                  <a14:compatExt spid="_x0000_s1248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28</xdr:row>
          <xdr:rowOff>19150</xdr:rowOff>
        </xdr:from>
        <xdr:to>
          <xdr:col>12</xdr:col>
          <xdr:colOff>627154</xdr:colOff>
          <xdr:row>28</xdr:row>
          <xdr:rowOff>239372</xdr:rowOff>
        </xdr:to>
        <xdr:sp macro="" textlink="">
          <xdr:nvSpPr>
            <xdr:cNvPr id="12490" name="Check Box 202" hidden="1">
              <a:extLst>
                <a:ext uri="{63B3BB69-23CF-44E3-9099-C40C66FF867C}">
                  <a14:compatExt spid="_x0000_s1249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28</xdr:row>
          <xdr:rowOff>19150</xdr:rowOff>
        </xdr:from>
        <xdr:to>
          <xdr:col>4</xdr:col>
          <xdr:colOff>627154</xdr:colOff>
          <xdr:row>28</xdr:row>
          <xdr:rowOff>239372</xdr:rowOff>
        </xdr:to>
        <xdr:sp macro="" textlink="">
          <xdr:nvSpPr>
            <xdr:cNvPr id="12491" name="Check Box 203" hidden="1">
              <a:extLst>
                <a:ext uri="{63B3BB69-23CF-44E3-9099-C40C66FF867C}">
                  <a14:compatExt spid="_x0000_s1249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28</xdr:row>
          <xdr:rowOff>19150</xdr:rowOff>
        </xdr:from>
        <xdr:to>
          <xdr:col>14</xdr:col>
          <xdr:colOff>627154</xdr:colOff>
          <xdr:row>28</xdr:row>
          <xdr:rowOff>239372</xdr:rowOff>
        </xdr:to>
        <xdr:sp macro="" textlink="">
          <xdr:nvSpPr>
            <xdr:cNvPr id="12492" name="Check Box 204" hidden="1">
              <a:extLst>
                <a:ext uri="{63B3BB69-23CF-44E3-9099-C40C66FF867C}">
                  <a14:compatExt spid="_x0000_s1249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28</xdr:row>
          <xdr:rowOff>19150</xdr:rowOff>
        </xdr:from>
        <xdr:to>
          <xdr:col>16</xdr:col>
          <xdr:colOff>627154</xdr:colOff>
          <xdr:row>28</xdr:row>
          <xdr:rowOff>239372</xdr:rowOff>
        </xdr:to>
        <xdr:sp macro="" textlink="">
          <xdr:nvSpPr>
            <xdr:cNvPr id="12493" name="Check Box 205" hidden="1">
              <a:extLst>
                <a:ext uri="{63B3BB69-23CF-44E3-9099-C40C66FF867C}">
                  <a14:compatExt spid="_x0000_s1249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29</xdr:row>
          <xdr:rowOff>19150</xdr:rowOff>
        </xdr:from>
        <xdr:to>
          <xdr:col>2</xdr:col>
          <xdr:colOff>627154</xdr:colOff>
          <xdr:row>29</xdr:row>
          <xdr:rowOff>239372</xdr:rowOff>
        </xdr:to>
        <xdr:sp macro="" textlink="">
          <xdr:nvSpPr>
            <xdr:cNvPr id="12494" name="Check Box 206" hidden="1">
              <a:extLst>
                <a:ext uri="{63B3BB69-23CF-44E3-9099-C40C66FF867C}">
                  <a14:compatExt spid="_x0000_s1249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29</xdr:row>
          <xdr:rowOff>19150</xdr:rowOff>
        </xdr:from>
        <xdr:to>
          <xdr:col>6</xdr:col>
          <xdr:colOff>627154</xdr:colOff>
          <xdr:row>29</xdr:row>
          <xdr:rowOff>239372</xdr:rowOff>
        </xdr:to>
        <xdr:sp macro="" textlink="">
          <xdr:nvSpPr>
            <xdr:cNvPr id="12495" name="Check Box 207" hidden="1">
              <a:extLst>
                <a:ext uri="{63B3BB69-23CF-44E3-9099-C40C66FF867C}">
                  <a14:compatExt spid="_x0000_s1249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29</xdr:row>
          <xdr:rowOff>19150</xdr:rowOff>
        </xdr:from>
        <xdr:to>
          <xdr:col>8</xdr:col>
          <xdr:colOff>627154</xdr:colOff>
          <xdr:row>29</xdr:row>
          <xdr:rowOff>239372</xdr:rowOff>
        </xdr:to>
        <xdr:sp macro="" textlink="">
          <xdr:nvSpPr>
            <xdr:cNvPr id="12496" name="Check Box 208" hidden="1">
              <a:extLst>
                <a:ext uri="{63B3BB69-23CF-44E3-9099-C40C66FF867C}">
                  <a14:compatExt spid="_x0000_s1249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29</xdr:row>
          <xdr:rowOff>19150</xdr:rowOff>
        </xdr:from>
        <xdr:to>
          <xdr:col>12</xdr:col>
          <xdr:colOff>627154</xdr:colOff>
          <xdr:row>29</xdr:row>
          <xdr:rowOff>239372</xdr:rowOff>
        </xdr:to>
        <xdr:sp macro="" textlink="">
          <xdr:nvSpPr>
            <xdr:cNvPr id="12498" name="Check Box 210" hidden="1">
              <a:extLst>
                <a:ext uri="{63B3BB69-23CF-44E3-9099-C40C66FF867C}">
                  <a14:compatExt spid="_x0000_s1249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29</xdr:row>
          <xdr:rowOff>19150</xdr:rowOff>
        </xdr:from>
        <xdr:to>
          <xdr:col>4</xdr:col>
          <xdr:colOff>627154</xdr:colOff>
          <xdr:row>29</xdr:row>
          <xdr:rowOff>239372</xdr:rowOff>
        </xdr:to>
        <xdr:sp macro="" textlink="">
          <xdr:nvSpPr>
            <xdr:cNvPr id="12499" name="Check Box 211" hidden="1">
              <a:extLst>
                <a:ext uri="{63B3BB69-23CF-44E3-9099-C40C66FF867C}">
                  <a14:compatExt spid="_x0000_s124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29</xdr:row>
          <xdr:rowOff>19150</xdr:rowOff>
        </xdr:from>
        <xdr:to>
          <xdr:col>14</xdr:col>
          <xdr:colOff>627154</xdr:colOff>
          <xdr:row>29</xdr:row>
          <xdr:rowOff>239372</xdr:rowOff>
        </xdr:to>
        <xdr:sp macro="" textlink="">
          <xdr:nvSpPr>
            <xdr:cNvPr id="12500" name="Check Box 212" hidden="1">
              <a:extLst>
                <a:ext uri="{63B3BB69-23CF-44E3-9099-C40C66FF867C}">
                  <a14:compatExt spid="_x0000_s125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29</xdr:row>
          <xdr:rowOff>19150</xdr:rowOff>
        </xdr:from>
        <xdr:to>
          <xdr:col>16</xdr:col>
          <xdr:colOff>627154</xdr:colOff>
          <xdr:row>29</xdr:row>
          <xdr:rowOff>239372</xdr:rowOff>
        </xdr:to>
        <xdr:sp macro="" textlink="">
          <xdr:nvSpPr>
            <xdr:cNvPr id="12501" name="Check Box 213" hidden="1">
              <a:extLst>
                <a:ext uri="{63B3BB69-23CF-44E3-9099-C40C66FF867C}">
                  <a14:compatExt spid="_x0000_s1250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8</xdr:row>
          <xdr:rowOff>0</xdr:rowOff>
        </xdr:from>
        <xdr:to>
          <xdr:col>2</xdr:col>
          <xdr:colOff>627154</xdr:colOff>
          <xdr:row>8</xdr:row>
          <xdr:rowOff>220222</xdr:rowOff>
        </xdr:to>
        <xdr:sp macro="" textlink="">
          <xdr:nvSpPr>
            <xdr:cNvPr id="12502" name="Check Box 214" hidden="1">
              <a:extLst>
                <a:ext uri="{63B3BB69-23CF-44E3-9099-C40C66FF867C}">
                  <a14:compatExt spid="_x0000_s1250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8</xdr:row>
          <xdr:rowOff>0</xdr:rowOff>
        </xdr:from>
        <xdr:to>
          <xdr:col>6</xdr:col>
          <xdr:colOff>627154</xdr:colOff>
          <xdr:row>8</xdr:row>
          <xdr:rowOff>220222</xdr:rowOff>
        </xdr:to>
        <xdr:sp macro="" textlink="">
          <xdr:nvSpPr>
            <xdr:cNvPr id="12503" name="Check Box 215" hidden="1">
              <a:extLst>
                <a:ext uri="{63B3BB69-23CF-44E3-9099-C40C66FF867C}">
                  <a14:compatExt spid="_x0000_s1250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8</xdr:row>
          <xdr:rowOff>0</xdr:rowOff>
        </xdr:from>
        <xdr:to>
          <xdr:col>8</xdr:col>
          <xdr:colOff>627154</xdr:colOff>
          <xdr:row>8</xdr:row>
          <xdr:rowOff>220222</xdr:rowOff>
        </xdr:to>
        <xdr:sp macro="" textlink="">
          <xdr:nvSpPr>
            <xdr:cNvPr id="12504" name="Check Box 216" hidden="1">
              <a:extLst>
                <a:ext uri="{63B3BB69-23CF-44E3-9099-C40C66FF867C}">
                  <a14:compatExt spid="_x0000_s1250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8</xdr:row>
          <xdr:rowOff>0</xdr:rowOff>
        </xdr:from>
        <xdr:to>
          <xdr:col>12</xdr:col>
          <xdr:colOff>627154</xdr:colOff>
          <xdr:row>8</xdr:row>
          <xdr:rowOff>220222</xdr:rowOff>
        </xdr:to>
        <xdr:sp macro="" textlink="">
          <xdr:nvSpPr>
            <xdr:cNvPr id="12506" name="Check Box 218" hidden="1">
              <a:extLst>
                <a:ext uri="{63B3BB69-23CF-44E3-9099-C40C66FF867C}">
                  <a14:compatExt spid="_x0000_s1250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8</xdr:row>
          <xdr:rowOff>0</xdr:rowOff>
        </xdr:from>
        <xdr:to>
          <xdr:col>4</xdr:col>
          <xdr:colOff>627154</xdr:colOff>
          <xdr:row>8</xdr:row>
          <xdr:rowOff>220222</xdr:rowOff>
        </xdr:to>
        <xdr:sp macro="" textlink="">
          <xdr:nvSpPr>
            <xdr:cNvPr id="12507" name="Check Box 219" hidden="1">
              <a:extLst>
                <a:ext uri="{63B3BB69-23CF-44E3-9099-C40C66FF867C}">
                  <a14:compatExt spid="_x0000_s125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8</xdr:row>
          <xdr:rowOff>0</xdr:rowOff>
        </xdr:from>
        <xdr:to>
          <xdr:col>14</xdr:col>
          <xdr:colOff>627154</xdr:colOff>
          <xdr:row>8</xdr:row>
          <xdr:rowOff>220222</xdr:rowOff>
        </xdr:to>
        <xdr:sp macro="" textlink="">
          <xdr:nvSpPr>
            <xdr:cNvPr id="12508" name="Check Box 220" hidden="1">
              <a:extLst>
                <a:ext uri="{63B3BB69-23CF-44E3-9099-C40C66FF867C}">
                  <a14:compatExt spid="_x0000_s1250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8</xdr:row>
          <xdr:rowOff>0</xdr:rowOff>
        </xdr:from>
        <xdr:to>
          <xdr:col>16</xdr:col>
          <xdr:colOff>627154</xdr:colOff>
          <xdr:row>8</xdr:row>
          <xdr:rowOff>220222</xdr:rowOff>
        </xdr:to>
        <xdr:sp macro="" textlink="">
          <xdr:nvSpPr>
            <xdr:cNvPr id="12509" name="Check Box 221" hidden="1">
              <a:extLst>
                <a:ext uri="{63B3BB69-23CF-44E3-9099-C40C66FF867C}">
                  <a14:compatExt spid="_x0000_s1250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9</xdr:row>
          <xdr:rowOff>0</xdr:rowOff>
        </xdr:from>
        <xdr:to>
          <xdr:col>2</xdr:col>
          <xdr:colOff>627154</xdr:colOff>
          <xdr:row>9</xdr:row>
          <xdr:rowOff>220222</xdr:rowOff>
        </xdr:to>
        <xdr:sp macro="" textlink="">
          <xdr:nvSpPr>
            <xdr:cNvPr id="12510" name="Check Box 222" hidden="1">
              <a:extLst>
                <a:ext uri="{63B3BB69-23CF-44E3-9099-C40C66FF867C}">
                  <a14:compatExt spid="_x0000_s125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9</xdr:row>
          <xdr:rowOff>0</xdr:rowOff>
        </xdr:from>
        <xdr:to>
          <xdr:col>6</xdr:col>
          <xdr:colOff>627154</xdr:colOff>
          <xdr:row>9</xdr:row>
          <xdr:rowOff>220222</xdr:rowOff>
        </xdr:to>
        <xdr:sp macro="" textlink="">
          <xdr:nvSpPr>
            <xdr:cNvPr id="12511" name="Check Box 223" hidden="1">
              <a:extLst>
                <a:ext uri="{63B3BB69-23CF-44E3-9099-C40C66FF867C}">
                  <a14:compatExt spid="_x0000_s1251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9</xdr:row>
          <xdr:rowOff>0</xdr:rowOff>
        </xdr:from>
        <xdr:to>
          <xdr:col>8</xdr:col>
          <xdr:colOff>627154</xdr:colOff>
          <xdr:row>9</xdr:row>
          <xdr:rowOff>220222</xdr:rowOff>
        </xdr:to>
        <xdr:sp macro="" textlink="">
          <xdr:nvSpPr>
            <xdr:cNvPr id="12512" name="Check Box 224" hidden="1">
              <a:extLst>
                <a:ext uri="{63B3BB69-23CF-44E3-9099-C40C66FF867C}">
                  <a14:compatExt spid="_x0000_s1251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9</xdr:row>
          <xdr:rowOff>0</xdr:rowOff>
        </xdr:from>
        <xdr:to>
          <xdr:col>12</xdr:col>
          <xdr:colOff>627154</xdr:colOff>
          <xdr:row>9</xdr:row>
          <xdr:rowOff>220222</xdr:rowOff>
        </xdr:to>
        <xdr:sp macro="" textlink="">
          <xdr:nvSpPr>
            <xdr:cNvPr id="12514" name="Check Box 226" hidden="1">
              <a:extLst>
                <a:ext uri="{63B3BB69-23CF-44E3-9099-C40C66FF867C}">
                  <a14:compatExt spid="_x0000_s1251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9</xdr:row>
          <xdr:rowOff>0</xdr:rowOff>
        </xdr:from>
        <xdr:to>
          <xdr:col>4</xdr:col>
          <xdr:colOff>627154</xdr:colOff>
          <xdr:row>9</xdr:row>
          <xdr:rowOff>220222</xdr:rowOff>
        </xdr:to>
        <xdr:sp macro="" textlink="">
          <xdr:nvSpPr>
            <xdr:cNvPr id="12515" name="Check Box 227" hidden="1">
              <a:extLst>
                <a:ext uri="{63B3BB69-23CF-44E3-9099-C40C66FF867C}">
                  <a14:compatExt spid="_x0000_s1251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9</xdr:row>
          <xdr:rowOff>0</xdr:rowOff>
        </xdr:from>
        <xdr:to>
          <xdr:col>14</xdr:col>
          <xdr:colOff>627154</xdr:colOff>
          <xdr:row>9</xdr:row>
          <xdr:rowOff>220222</xdr:rowOff>
        </xdr:to>
        <xdr:sp macro="" textlink="">
          <xdr:nvSpPr>
            <xdr:cNvPr id="12516" name="Check Box 228" hidden="1">
              <a:extLst>
                <a:ext uri="{63B3BB69-23CF-44E3-9099-C40C66FF867C}">
                  <a14:compatExt spid="_x0000_s125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9</xdr:row>
          <xdr:rowOff>0</xdr:rowOff>
        </xdr:from>
        <xdr:to>
          <xdr:col>16</xdr:col>
          <xdr:colOff>627154</xdr:colOff>
          <xdr:row>9</xdr:row>
          <xdr:rowOff>220222</xdr:rowOff>
        </xdr:to>
        <xdr:sp macro="" textlink="">
          <xdr:nvSpPr>
            <xdr:cNvPr id="12517" name="Check Box 229" hidden="1">
              <a:extLst>
                <a:ext uri="{63B3BB69-23CF-44E3-9099-C40C66FF867C}">
                  <a14:compatExt spid="_x0000_s125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13</xdr:row>
          <xdr:rowOff>0</xdr:rowOff>
        </xdr:from>
        <xdr:to>
          <xdr:col>2</xdr:col>
          <xdr:colOff>617579</xdr:colOff>
          <xdr:row>13</xdr:row>
          <xdr:rowOff>220222</xdr:rowOff>
        </xdr:to>
        <xdr:sp macro="" textlink="">
          <xdr:nvSpPr>
            <xdr:cNvPr id="12518" name="Check Box 230" hidden="1">
              <a:extLst>
                <a:ext uri="{63B3BB69-23CF-44E3-9099-C40C66FF867C}">
                  <a14:compatExt spid="_x0000_s1251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13</xdr:row>
          <xdr:rowOff>0</xdr:rowOff>
        </xdr:from>
        <xdr:to>
          <xdr:col>6</xdr:col>
          <xdr:colOff>617579</xdr:colOff>
          <xdr:row>13</xdr:row>
          <xdr:rowOff>220222</xdr:rowOff>
        </xdr:to>
        <xdr:sp macro="" textlink="">
          <xdr:nvSpPr>
            <xdr:cNvPr id="12519" name="Check Box 231" hidden="1">
              <a:extLst>
                <a:ext uri="{63B3BB69-23CF-44E3-9099-C40C66FF867C}">
                  <a14:compatExt spid="_x0000_s1251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13</xdr:row>
          <xdr:rowOff>0</xdr:rowOff>
        </xdr:from>
        <xdr:to>
          <xdr:col>8</xdr:col>
          <xdr:colOff>617579</xdr:colOff>
          <xdr:row>13</xdr:row>
          <xdr:rowOff>220222</xdr:rowOff>
        </xdr:to>
        <xdr:sp macro="" textlink="">
          <xdr:nvSpPr>
            <xdr:cNvPr id="12520" name="Check Box 232" hidden="1">
              <a:extLst>
                <a:ext uri="{63B3BB69-23CF-44E3-9099-C40C66FF867C}">
                  <a14:compatExt spid="_x0000_s1252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13</xdr:row>
          <xdr:rowOff>0</xdr:rowOff>
        </xdr:from>
        <xdr:to>
          <xdr:col>12</xdr:col>
          <xdr:colOff>617579</xdr:colOff>
          <xdr:row>13</xdr:row>
          <xdr:rowOff>220222</xdr:rowOff>
        </xdr:to>
        <xdr:sp macro="" textlink="">
          <xdr:nvSpPr>
            <xdr:cNvPr id="12522" name="Check Box 234" hidden="1">
              <a:extLst>
                <a:ext uri="{63B3BB69-23CF-44E3-9099-C40C66FF867C}">
                  <a14:compatExt spid="_x0000_s125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13</xdr:row>
          <xdr:rowOff>0</xdr:rowOff>
        </xdr:from>
        <xdr:to>
          <xdr:col>4</xdr:col>
          <xdr:colOff>617579</xdr:colOff>
          <xdr:row>13</xdr:row>
          <xdr:rowOff>220222</xdr:rowOff>
        </xdr:to>
        <xdr:sp macro="" textlink="">
          <xdr:nvSpPr>
            <xdr:cNvPr id="12523" name="Check Box 235" hidden="1">
              <a:extLst>
                <a:ext uri="{63B3BB69-23CF-44E3-9099-C40C66FF867C}">
                  <a14:compatExt spid="_x0000_s1252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13</xdr:row>
          <xdr:rowOff>0</xdr:rowOff>
        </xdr:from>
        <xdr:to>
          <xdr:col>14</xdr:col>
          <xdr:colOff>617579</xdr:colOff>
          <xdr:row>13</xdr:row>
          <xdr:rowOff>220222</xdr:rowOff>
        </xdr:to>
        <xdr:sp macro="" textlink="">
          <xdr:nvSpPr>
            <xdr:cNvPr id="12524" name="Check Box 236" hidden="1">
              <a:extLst>
                <a:ext uri="{63B3BB69-23CF-44E3-9099-C40C66FF867C}">
                  <a14:compatExt spid="_x0000_s1252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13</xdr:row>
          <xdr:rowOff>0</xdr:rowOff>
        </xdr:from>
        <xdr:to>
          <xdr:col>16</xdr:col>
          <xdr:colOff>617579</xdr:colOff>
          <xdr:row>13</xdr:row>
          <xdr:rowOff>220222</xdr:rowOff>
        </xdr:to>
        <xdr:sp macro="" textlink="">
          <xdr:nvSpPr>
            <xdr:cNvPr id="12525" name="Check Box 237" hidden="1">
              <a:extLst>
                <a:ext uri="{63B3BB69-23CF-44E3-9099-C40C66FF867C}">
                  <a14:compatExt spid="_x0000_s1252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19</xdr:row>
          <xdr:rowOff>0</xdr:rowOff>
        </xdr:from>
        <xdr:to>
          <xdr:col>2</xdr:col>
          <xdr:colOff>627154</xdr:colOff>
          <xdr:row>19</xdr:row>
          <xdr:rowOff>220222</xdr:rowOff>
        </xdr:to>
        <xdr:sp macro="" textlink="">
          <xdr:nvSpPr>
            <xdr:cNvPr id="12526" name="Check Box 238" hidden="1">
              <a:extLst>
                <a:ext uri="{63B3BB69-23CF-44E3-9099-C40C66FF867C}">
                  <a14:compatExt spid="_x0000_s1252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19</xdr:row>
          <xdr:rowOff>0</xdr:rowOff>
        </xdr:from>
        <xdr:to>
          <xdr:col>6</xdr:col>
          <xdr:colOff>627154</xdr:colOff>
          <xdr:row>19</xdr:row>
          <xdr:rowOff>220222</xdr:rowOff>
        </xdr:to>
        <xdr:sp macro="" textlink="">
          <xdr:nvSpPr>
            <xdr:cNvPr id="12527" name="Check Box 239" hidden="1">
              <a:extLst>
                <a:ext uri="{63B3BB69-23CF-44E3-9099-C40C66FF867C}">
                  <a14:compatExt spid="_x0000_s1252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19</xdr:row>
          <xdr:rowOff>0</xdr:rowOff>
        </xdr:from>
        <xdr:to>
          <xdr:col>8</xdr:col>
          <xdr:colOff>627154</xdr:colOff>
          <xdr:row>19</xdr:row>
          <xdr:rowOff>220222</xdr:rowOff>
        </xdr:to>
        <xdr:sp macro="" textlink="">
          <xdr:nvSpPr>
            <xdr:cNvPr id="12528" name="Check Box 240" hidden="1">
              <a:extLst>
                <a:ext uri="{63B3BB69-23CF-44E3-9099-C40C66FF867C}">
                  <a14:compatExt spid="_x0000_s1252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19</xdr:row>
          <xdr:rowOff>0</xdr:rowOff>
        </xdr:from>
        <xdr:to>
          <xdr:col>12</xdr:col>
          <xdr:colOff>627154</xdr:colOff>
          <xdr:row>19</xdr:row>
          <xdr:rowOff>220222</xdr:rowOff>
        </xdr:to>
        <xdr:sp macro="" textlink="">
          <xdr:nvSpPr>
            <xdr:cNvPr id="12530" name="Check Box 242" hidden="1">
              <a:extLst>
                <a:ext uri="{63B3BB69-23CF-44E3-9099-C40C66FF867C}">
                  <a14:compatExt spid="_x0000_s1253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19</xdr:row>
          <xdr:rowOff>0</xdr:rowOff>
        </xdr:from>
        <xdr:to>
          <xdr:col>4</xdr:col>
          <xdr:colOff>627154</xdr:colOff>
          <xdr:row>19</xdr:row>
          <xdr:rowOff>220222</xdr:rowOff>
        </xdr:to>
        <xdr:sp macro="" textlink="">
          <xdr:nvSpPr>
            <xdr:cNvPr id="12531" name="Check Box 243" hidden="1">
              <a:extLst>
                <a:ext uri="{63B3BB69-23CF-44E3-9099-C40C66FF867C}">
                  <a14:compatExt spid="_x0000_s1253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19</xdr:row>
          <xdr:rowOff>0</xdr:rowOff>
        </xdr:from>
        <xdr:to>
          <xdr:col>14</xdr:col>
          <xdr:colOff>627154</xdr:colOff>
          <xdr:row>19</xdr:row>
          <xdr:rowOff>220222</xdr:rowOff>
        </xdr:to>
        <xdr:sp macro="" textlink="">
          <xdr:nvSpPr>
            <xdr:cNvPr id="12532" name="Check Box 244" hidden="1">
              <a:extLst>
                <a:ext uri="{63B3BB69-23CF-44E3-9099-C40C66FF867C}">
                  <a14:compatExt spid="_x0000_s1253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19</xdr:row>
          <xdr:rowOff>0</xdr:rowOff>
        </xdr:from>
        <xdr:to>
          <xdr:col>16</xdr:col>
          <xdr:colOff>627154</xdr:colOff>
          <xdr:row>19</xdr:row>
          <xdr:rowOff>220222</xdr:rowOff>
        </xdr:to>
        <xdr:sp macro="" textlink="">
          <xdr:nvSpPr>
            <xdr:cNvPr id="12533" name="Check Box 245" hidden="1">
              <a:extLst>
                <a:ext uri="{63B3BB69-23CF-44E3-9099-C40C66FF867C}">
                  <a14:compatExt spid="_x0000_s1253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20</xdr:row>
          <xdr:rowOff>0</xdr:rowOff>
        </xdr:from>
        <xdr:to>
          <xdr:col>2</xdr:col>
          <xdr:colOff>627154</xdr:colOff>
          <xdr:row>20</xdr:row>
          <xdr:rowOff>220222</xdr:rowOff>
        </xdr:to>
        <xdr:sp macro="" textlink="">
          <xdr:nvSpPr>
            <xdr:cNvPr id="12534" name="Check Box 246" hidden="1">
              <a:extLst>
                <a:ext uri="{63B3BB69-23CF-44E3-9099-C40C66FF867C}">
                  <a14:compatExt spid="_x0000_s1253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20</xdr:row>
          <xdr:rowOff>0</xdr:rowOff>
        </xdr:from>
        <xdr:to>
          <xdr:col>6</xdr:col>
          <xdr:colOff>627154</xdr:colOff>
          <xdr:row>20</xdr:row>
          <xdr:rowOff>220222</xdr:rowOff>
        </xdr:to>
        <xdr:sp macro="" textlink="">
          <xdr:nvSpPr>
            <xdr:cNvPr id="12535" name="Check Box 247" hidden="1">
              <a:extLst>
                <a:ext uri="{63B3BB69-23CF-44E3-9099-C40C66FF867C}">
                  <a14:compatExt spid="_x0000_s1253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20</xdr:row>
          <xdr:rowOff>0</xdr:rowOff>
        </xdr:from>
        <xdr:to>
          <xdr:col>8</xdr:col>
          <xdr:colOff>627154</xdr:colOff>
          <xdr:row>20</xdr:row>
          <xdr:rowOff>220222</xdr:rowOff>
        </xdr:to>
        <xdr:sp macro="" textlink="">
          <xdr:nvSpPr>
            <xdr:cNvPr id="12536" name="Check Box 248" hidden="1">
              <a:extLst>
                <a:ext uri="{63B3BB69-23CF-44E3-9099-C40C66FF867C}">
                  <a14:compatExt spid="_x0000_s1253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20</xdr:row>
          <xdr:rowOff>0</xdr:rowOff>
        </xdr:from>
        <xdr:to>
          <xdr:col>12</xdr:col>
          <xdr:colOff>627154</xdr:colOff>
          <xdr:row>20</xdr:row>
          <xdr:rowOff>220222</xdr:rowOff>
        </xdr:to>
        <xdr:sp macro="" textlink="">
          <xdr:nvSpPr>
            <xdr:cNvPr id="12538" name="Check Box 250" hidden="1">
              <a:extLst>
                <a:ext uri="{63B3BB69-23CF-44E3-9099-C40C66FF867C}">
                  <a14:compatExt spid="_x0000_s1253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20</xdr:row>
          <xdr:rowOff>0</xdr:rowOff>
        </xdr:from>
        <xdr:to>
          <xdr:col>4</xdr:col>
          <xdr:colOff>627154</xdr:colOff>
          <xdr:row>20</xdr:row>
          <xdr:rowOff>220222</xdr:rowOff>
        </xdr:to>
        <xdr:sp macro="" textlink="">
          <xdr:nvSpPr>
            <xdr:cNvPr id="12539" name="Check Box 251" hidden="1">
              <a:extLst>
                <a:ext uri="{63B3BB69-23CF-44E3-9099-C40C66FF867C}">
                  <a14:compatExt spid="_x0000_s1253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20</xdr:row>
          <xdr:rowOff>0</xdr:rowOff>
        </xdr:from>
        <xdr:to>
          <xdr:col>14</xdr:col>
          <xdr:colOff>627154</xdr:colOff>
          <xdr:row>20</xdr:row>
          <xdr:rowOff>220222</xdr:rowOff>
        </xdr:to>
        <xdr:sp macro="" textlink="">
          <xdr:nvSpPr>
            <xdr:cNvPr id="12540" name="Check Box 252" hidden="1">
              <a:extLst>
                <a:ext uri="{63B3BB69-23CF-44E3-9099-C40C66FF867C}">
                  <a14:compatExt spid="_x0000_s1254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20</xdr:row>
          <xdr:rowOff>0</xdr:rowOff>
        </xdr:from>
        <xdr:to>
          <xdr:col>16</xdr:col>
          <xdr:colOff>627154</xdr:colOff>
          <xdr:row>20</xdr:row>
          <xdr:rowOff>220222</xdr:rowOff>
        </xdr:to>
        <xdr:sp macro="" textlink="">
          <xdr:nvSpPr>
            <xdr:cNvPr id="12541" name="Check Box 253" hidden="1">
              <a:extLst>
                <a:ext uri="{63B3BB69-23CF-44E3-9099-C40C66FF867C}">
                  <a14:compatExt spid="_x0000_s1254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21</xdr:row>
          <xdr:rowOff>0</xdr:rowOff>
        </xdr:from>
        <xdr:to>
          <xdr:col>2</xdr:col>
          <xdr:colOff>627154</xdr:colOff>
          <xdr:row>21</xdr:row>
          <xdr:rowOff>220222</xdr:rowOff>
        </xdr:to>
        <xdr:sp macro="" textlink="">
          <xdr:nvSpPr>
            <xdr:cNvPr id="12542" name="Check Box 254" hidden="1">
              <a:extLst>
                <a:ext uri="{63B3BB69-23CF-44E3-9099-C40C66FF867C}">
                  <a14:compatExt spid="_x0000_s1254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21</xdr:row>
          <xdr:rowOff>0</xdr:rowOff>
        </xdr:from>
        <xdr:to>
          <xdr:col>6</xdr:col>
          <xdr:colOff>627154</xdr:colOff>
          <xdr:row>21</xdr:row>
          <xdr:rowOff>220222</xdr:rowOff>
        </xdr:to>
        <xdr:sp macro="" textlink="">
          <xdr:nvSpPr>
            <xdr:cNvPr id="12543" name="Check Box 255" hidden="1">
              <a:extLst>
                <a:ext uri="{63B3BB69-23CF-44E3-9099-C40C66FF867C}">
                  <a14:compatExt spid="_x0000_s1254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21</xdr:row>
          <xdr:rowOff>0</xdr:rowOff>
        </xdr:from>
        <xdr:to>
          <xdr:col>8</xdr:col>
          <xdr:colOff>627154</xdr:colOff>
          <xdr:row>21</xdr:row>
          <xdr:rowOff>220222</xdr:rowOff>
        </xdr:to>
        <xdr:sp macro="" textlink="">
          <xdr:nvSpPr>
            <xdr:cNvPr id="12544" name="Check Box 256" hidden="1">
              <a:extLst>
                <a:ext uri="{63B3BB69-23CF-44E3-9099-C40C66FF867C}">
                  <a14:compatExt spid="_x0000_s1254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21</xdr:row>
          <xdr:rowOff>0</xdr:rowOff>
        </xdr:from>
        <xdr:to>
          <xdr:col>12</xdr:col>
          <xdr:colOff>627154</xdr:colOff>
          <xdr:row>21</xdr:row>
          <xdr:rowOff>220222</xdr:rowOff>
        </xdr:to>
        <xdr:sp macro="" textlink="">
          <xdr:nvSpPr>
            <xdr:cNvPr id="12546" name="Check Box 258" hidden="1">
              <a:extLst>
                <a:ext uri="{63B3BB69-23CF-44E3-9099-C40C66FF867C}">
                  <a14:compatExt spid="_x0000_s1254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21</xdr:row>
          <xdr:rowOff>0</xdr:rowOff>
        </xdr:from>
        <xdr:to>
          <xdr:col>4</xdr:col>
          <xdr:colOff>627154</xdr:colOff>
          <xdr:row>21</xdr:row>
          <xdr:rowOff>220222</xdr:rowOff>
        </xdr:to>
        <xdr:sp macro="" textlink="">
          <xdr:nvSpPr>
            <xdr:cNvPr id="12547" name="Check Box 259" hidden="1">
              <a:extLst>
                <a:ext uri="{63B3BB69-23CF-44E3-9099-C40C66FF867C}">
                  <a14:compatExt spid="_x0000_s1254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21</xdr:row>
          <xdr:rowOff>0</xdr:rowOff>
        </xdr:from>
        <xdr:to>
          <xdr:col>14</xdr:col>
          <xdr:colOff>627154</xdr:colOff>
          <xdr:row>21</xdr:row>
          <xdr:rowOff>220222</xdr:rowOff>
        </xdr:to>
        <xdr:sp macro="" textlink="">
          <xdr:nvSpPr>
            <xdr:cNvPr id="12548" name="Check Box 260" hidden="1">
              <a:extLst>
                <a:ext uri="{63B3BB69-23CF-44E3-9099-C40C66FF867C}">
                  <a14:compatExt spid="_x0000_s1254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21</xdr:row>
          <xdr:rowOff>0</xdr:rowOff>
        </xdr:from>
        <xdr:to>
          <xdr:col>16</xdr:col>
          <xdr:colOff>627154</xdr:colOff>
          <xdr:row>21</xdr:row>
          <xdr:rowOff>220222</xdr:rowOff>
        </xdr:to>
        <xdr:sp macro="" textlink="">
          <xdr:nvSpPr>
            <xdr:cNvPr id="12549" name="Check Box 261" hidden="1">
              <a:extLst>
                <a:ext uri="{63B3BB69-23CF-44E3-9099-C40C66FF867C}">
                  <a14:compatExt spid="_x0000_s1254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22</xdr:row>
          <xdr:rowOff>0</xdr:rowOff>
        </xdr:from>
        <xdr:to>
          <xdr:col>2</xdr:col>
          <xdr:colOff>627154</xdr:colOff>
          <xdr:row>22</xdr:row>
          <xdr:rowOff>220222</xdr:rowOff>
        </xdr:to>
        <xdr:sp macro="" textlink="">
          <xdr:nvSpPr>
            <xdr:cNvPr id="12550" name="Check Box 262" hidden="1">
              <a:extLst>
                <a:ext uri="{63B3BB69-23CF-44E3-9099-C40C66FF867C}">
                  <a14:compatExt spid="_x0000_s1255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22</xdr:row>
          <xdr:rowOff>0</xdr:rowOff>
        </xdr:from>
        <xdr:to>
          <xdr:col>6</xdr:col>
          <xdr:colOff>627154</xdr:colOff>
          <xdr:row>22</xdr:row>
          <xdr:rowOff>220222</xdr:rowOff>
        </xdr:to>
        <xdr:sp macro="" textlink="">
          <xdr:nvSpPr>
            <xdr:cNvPr id="12551" name="Check Box 263" hidden="1">
              <a:extLst>
                <a:ext uri="{63B3BB69-23CF-44E3-9099-C40C66FF867C}">
                  <a14:compatExt spid="_x0000_s1255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22</xdr:row>
          <xdr:rowOff>0</xdr:rowOff>
        </xdr:from>
        <xdr:to>
          <xdr:col>8</xdr:col>
          <xdr:colOff>627154</xdr:colOff>
          <xdr:row>22</xdr:row>
          <xdr:rowOff>220222</xdr:rowOff>
        </xdr:to>
        <xdr:sp macro="" textlink="">
          <xdr:nvSpPr>
            <xdr:cNvPr id="12552" name="Check Box 264" hidden="1">
              <a:extLst>
                <a:ext uri="{63B3BB69-23CF-44E3-9099-C40C66FF867C}">
                  <a14:compatExt spid="_x0000_s1255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22</xdr:row>
          <xdr:rowOff>0</xdr:rowOff>
        </xdr:from>
        <xdr:to>
          <xdr:col>12</xdr:col>
          <xdr:colOff>627154</xdr:colOff>
          <xdr:row>22</xdr:row>
          <xdr:rowOff>220222</xdr:rowOff>
        </xdr:to>
        <xdr:sp macro="" textlink="">
          <xdr:nvSpPr>
            <xdr:cNvPr id="12554" name="Check Box 266" hidden="1">
              <a:extLst>
                <a:ext uri="{63B3BB69-23CF-44E3-9099-C40C66FF867C}">
                  <a14:compatExt spid="_x0000_s1255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22</xdr:row>
          <xdr:rowOff>0</xdr:rowOff>
        </xdr:from>
        <xdr:to>
          <xdr:col>4</xdr:col>
          <xdr:colOff>627154</xdr:colOff>
          <xdr:row>22</xdr:row>
          <xdr:rowOff>220222</xdr:rowOff>
        </xdr:to>
        <xdr:sp macro="" textlink="">
          <xdr:nvSpPr>
            <xdr:cNvPr id="12555" name="Check Box 267" hidden="1">
              <a:extLst>
                <a:ext uri="{63B3BB69-23CF-44E3-9099-C40C66FF867C}">
                  <a14:compatExt spid="_x0000_s1255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22</xdr:row>
          <xdr:rowOff>0</xdr:rowOff>
        </xdr:from>
        <xdr:to>
          <xdr:col>14</xdr:col>
          <xdr:colOff>627154</xdr:colOff>
          <xdr:row>22</xdr:row>
          <xdr:rowOff>220222</xdr:rowOff>
        </xdr:to>
        <xdr:sp macro="" textlink="">
          <xdr:nvSpPr>
            <xdr:cNvPr id="12556" name="Check Box 268" hidden="1">
              <a:extLst>
                <a:ext uri="{63B3BB69-23CF-44E3-9099-C40C66FF867C}">
                  <a14:compatExt spid="_x0000_s1255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22</xdr:row>
          <xdr:rowOff>0</xdr:rowOff>
        </xdr:from>
        <xdr:to>
          <xdr:col>16</xdr:col>
          <xdr:colOff>627154</xdr:colOff>
          <xdr:row>22</xdr:row>
          <xdr:rowOff>220222</xdr:rowOff>
        </xdr:to>
        <xdr:sp macro="" textlink="">
          <xdr:nvSpPr>
            <xdr:cNvPr id="12557" name="Check Box 269" hidden="1">
              <a:extLst>
                <a:ext uri="{63B3BB69-23CF-44E3-9099-C40C66FF867C}">
                  <a14:compatExt spid="_x0000_s1255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23</xdr:row>
          <xdr:rowOff>0</xdr:rowOff>
        </xdr:from>
        <xdr:to>
          <xdr:col>2</xdr:col>
          <xdr:colOff>627154</xdr:colOff>
          <xdr:row>23</xdr:row>
          <xdr:rowOff>220222</xdr:rowOff>
        </xdr:to>
        <xdr:sp macro="" textlink="">
          <xdr:nvSpPr>
            <xdr:cNvPr id="12558" name="Check Box 270" hidden="1">
              <a:extLst>
                <a:ext uri="{63B3BB69-23CF-44E3-9099-C40C66FF867C}">
                  <a14:compatExt spid="_x0000_s1255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23</xdr:row>
          <xdr:rowOff>0</xdr:rowOff>
        </xdr:from>
        <xdr:to>
          <xdr:col>6</xdr:col>
          <xdr:colOff>627154</xdr:colOff>
          <xdr:row>23</xdr:row>
          <xdr:rowOff>220222</xdr:rowOff>
        </xdr:to>
        <xdr:sp macro="" textlink="">
          <xdr:nvSpPr>
            <xdr:cNvPr id="12559" name="Check Box 271" hidden="1">
              <a:extLst>
                <a:ext uri="{63B3BB69-23CF-44E3-9099-C40C66FF867C}">
                  <a14:compatExt spid="_x0000_s1255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23</xdr:row>
          <xdr:rowOff>0</xdr:rowOff>
        </xdr:from>
        <xdr:to>
          <xdr:col>8</xdr:col>
          <xdr:colOff>627154</xdr:colOff>
          <xdr:row>23</xdr:row>
          <xdr:rowOff>220222</xdr:rowOff>
        </xdr:to>
        <xdr:sp macro="" textlink="">
          <xdr:nvSpPr>
            <xdr:cNvPr id="12560" name="Check Box 272" hidden="1">
              <a:extLst>
                <a:ext uri="{63B3BB69-23CF-44E3-9099-C40C66FF867C}">
                  <a14:compatExt spid="_x0000_s1256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23</xdr:row>
          <xdr:rowOff>0</xdr:rowOff>
        </xdr:from>
        <xdr:to>
          <xdr:col>12</xdr:col>
          <xdr:colOff>627154</xdr:colOff>
          <xdr:row>23</xdr:row>
          <xdr:rowOff>220222</xdr:rowOff>
        </xdr:to>
        <xdr:sp macro="" textlink="">
          <xdr:nvSpPr>
            <xdr:cNvPr id="12562" name="Check Box 274" hidden="1">
              <a:extLst>
                <a:ext uri="{63B3BB69-23CF-44E3-9099-C40C66FF867C}">
                  <a14:compatExt spid="_x0000_s1256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23</xdr:row>
          <xdr:rowOff>0</xdr:rowOff>
        </xdr:from>
        <xdr:to>
          <xdr:col>4</xdr:col>
          <xdr:colOff>627154</xdr:colOff>
          <xdr:row>23</xdr:row>
          <xdr:rowOff>220222</xdr:rowOff>
        </xdr:to>
        <xdr:sp macro="" textlink="">
          <xdr:nvSpPr>
            <xdr:cNvPr id="12563" name="Check Box 275" hidden="1">
              <a:extLst>
                <a:ext uri="{63B3BB69-23CF-44E3-9099-C40C66FF867C}">
                  <a14:compatExt spid="_x0000_s1256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23</xdr:row>
          <xdr:rowOff>0</xdr:rowOff>
        </xdr:from>
        <xdr:to>
          <xdr:col>14</xdr:col>
          <xdr:colOff>627154</xdr:colOff>
          <xdr:row>23</xdr:row>
          <xdr:rowOff>220222</xdr:rowOff>
        </xdr:to>
        <xdr:sp macro="" textlink="">
          <xdr:nvSpPr>
            <xdr:cNvPr id="12564" name="Check Box 276" hidden="1">
              <a:extLst>
                <a:ext uri="{63B3BB69-23CF-44E3-9099-C40C66FF867C}">
                  <a14:compatExt spid="_x0000_s1256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23</xdr:row>
          <xdr:rowOff>0</xdr:rowOff>
        </xdr:from>
        <xdr:to>
          <xdr:col>16</xdr:col>
          <xdr:colOff>627154</xdr:colOff>
          <xdr:row>23</xdr:row>
          <xdr:rowOff>220222</xdr:rowOff>
        </xdr:to>
        <xdr:sp macro="" textlink="">
          <xdr:nvSpPr>
            <xdr:cNvPr id="12565" name="Check Box 277" hidden="1">
              <a:extLst>
                <a:ext uri="{63B3BB69-23CF-44E3-9099-C40C66FF867C}">
                  <a14:compatExt spid="_x0000_s1256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24</xdr:row>
          <xdr:rowOff>0</xdr:rowOff>
        </xdr:from>
        <xdr:to>
          <xdr:col>2</xdr:col>
          <xdr:colOff>627154</xdr:colOff>
          <xdr:row>24</xdr:row>
          <xdr:rowOff>220222</xdr:rowOff>
        </xdr:to>
        <xdr:sp macro="" textlink="">
          <xdr:nvSpPr>
            <xdr:cNvPr id="12566" name="Check Box 278" hidden="1">
              <a:extLst>
                <a:ext uri="{63B3BB69-23CF-44E3-9099-C40C66FF867C}">
                  <a14:compatExt spid="_x0000_s1256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24</xdr:row>
          <xdr:rowOff>0</xdr:rowOff>
        </xdr:from>
        <xdr:to>
          <xdr:col>6</xdr:col>
          <xdr:colOff>627154</xdr:colOff>
          <xdr:row>24</xdr:row>
          <xdr:rowOff>220222</xdr:rowOff>
        </xdr:to>
        <xdr:sp macro="" textlink="">
          <xdr:nvSpPr>
            <xdr:cNvPr id="12567" name="Check Box 279" hidden="1">
              <a:extLst>
                <a:ext uri="{63B3BB69-23CF-44E3-9099-C40C66FF867C}">
                  <a14:compatExt spid="_x0000_s1256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24</xdr:row>
          <xdr:rowOff>0</xdr:rowOff>
        </xdr:from>
        <xdr:to>
          <xdr:col>8</xdr:col>
          <xdr:colOff>627154</xdr:colOff>
          <xdr:row>24</xdr:row>
          <xdr:rowOff>220222</xdr:rowOff>
        </xdr:to>
        <xdr:sp macro="" textlink="">
          <xdr:nvSpPr>
            <xdr:cNvPr id="12568" name="Check Box 280" hidden="1">
              <a:extLst>
                <a:ext uri="{63B3BB69-23CF-44E3-9099-C40C66FF867C}">
                  <a14:compatExt spid="_x0000_s1256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24</xdr:row>
          <xdr:rowOff>0</xdr:rowOff>
        </xdr:from>
        <xdr:to>
          <xdr:col>12</xdr:col>
          <xdr:colOff>627154</xdr:colOff>
          <xdr:row>24</xdr:row>
          <xdr:rowOff>220222</xdr:rowOff>
        </xdr:to>
        <xdr:sp macro="" textlink="">
          <xdr:nvSpPr>
            <xdr:cNvPr id="12570" name="Check Box 282" hidden="1">
              <a:extLst>
                <a:ext uri="{63B3BB69-23CF-44E3-9099-C40C66FF867C}">
                  <a14:compatExt spid="_x0000_s1257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24</xdr:row>
          <xdr:rowOff>0</xdr:rowOff>
        </xdr:from>
        <xdr:to>
          <xdr:col>4</xdr:col>
          <xdr:colOff>627154</xdr:colOff>
          <xdr:row>24</xdr:row>
          <xdr:rowOff>220222</xdr:rowOff>
        </xdr:to>
        <xdr:sp macro="" textlink="">
          <xdr:nvSpPr>
            <xdr:cNvPr id="12571" name="Check Box 283" hidden="1">
              <a:extLst>
                <a:ext uri="{63B3BB69-23CF-44E3-9099-C40C66FF867C}">
                  <a14:compatExt spid="_x0000_s1257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24</xdr:row>
          <xdr:rowOff>0</xdr:rowOff>
        </xdr:from>
        <xdr:to>
          <xdr:col>14</xdr:col>
          <xdr:colOff>627154</xdr:colOff>
          <xdr:row>24</xdr:row>
          <xdr:rowOff>220222</xdr:rowOff>
        </xdr:to>
        <xdr:sp macro="" textlink="">
          <xdr:nvSpPr>
            <xdr:cNvPr id="12572" name="Check Box 284" hidden="1">
              <a:extLst>
                <a:ext uri="{63B3BB69-23CF-44E3-9099-C40C66FF867C}">
                  <a14:compatExt spid="_x0000_s1257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24</xdr:row>
          <xdr:rowOff>0</xdr:rowOff>
        </xdr:from>
        <xdr:to>
          <xdr:col>16</xdr:col>
          <xdr:colOff>627154</xdr:colOff>
          <xdr:row>24</xdr:row>
          <xdr:rowOff>220222</xdr:rowOff>
        </xdr:to>
        <xdr:sp macro="" textlink="">
          <xdr:nvSpPr>
            <xdr:cNvPr id="12573" name="Check Box 285" hidden="1">
              <a:extLst>
                <a:ext uri="{63B3BB69-23CF-44E3-9099-C40C66FF867C}">
                  <a14:compatExt spid="_x0000_s1257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2" Type="http://schemas.openxmlformats.org/officeDocument/2006/relationships/drawing" Target="../drawings/drawing7.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1" Type="http://schemas.openxmlformats.org/officeDocument/2006/relationships/printerSettings" Target="../printerSettings/printerSettings10.bin"/><Relationship Id="rId6" Type="http://schemas.openxmlformats.org/officeDocument/2006/relationships/ctrlProp" Target="../ctrlProps/ctrlProp3.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72.xml"/><Relationship Id="rId21" Type="http://schemas.openxmlformats.org/officeDocument/2006/relationships/ctrlProp" Target="../ctrlProps/ctrlProp67.xml"/><Relationship Id="rId42" Type="http://schemas.openxmlformats.org/officeDocument/2006/relationships/ctrlProp" Target="../ctrlProps/ctrlProp88.xml"/><Relationship Id="rId47" Type="http://schemas.openxmlformats.org/officeDocument/2006/relationships/ctrlProp" Target="../ctrlProps/ctrlProp93.xml"/><Relationship Id="rId63" Type="http://schemas.openxmlformats.org/officeDocument/2006/relationships/ctrlProp" Target="../ctrlProps/ctrlProp109.xml"/><Relationship Id="rId68" Type="http://schemas.openxmlformats.org/officeDocument/2006/relationships/ctrlProp" Target="../ctrlProps/ctrlProp114.xml"/><Relationship Id="rId84" Type="http://schemas.openxmlformats.org/officeDocument/2006/relationships/ctrlProp" Target="../ctrlProps/ctrlProp130.xml"/><Relationship Id="rId89" Type="http://schemas.openxmlformats.org/officeDocument/2006/relationships/ctrlProp" Target="../ctrlProps/ctrlProp135.xml"/><Relationship Id="rId16" Type="http://schemas.openxmlformats.org/officeDocument/2006/relationships/ctrlProp" Target="../ctrlProps/ctrlProp62.xml"/><Relationship Id="rId11" Type="http://schemas.openxmlformats.org/officeDocument/2006/relationships/ctrlProp" Target="../ctrlProps/ctrlProp57.xml"/><Relationship Id="rId32" Type="http://schemas.openxmlformats.org/officeDocument/2006/relationships/ctrlProp" Target="../ctrlProps/ctrlProp78.xml"/><Relationship Id="rId37" Type="http://schemas.openxmlformats.org/officeDocument/2006/relationships/ctrlProp" Target="../ctrlProps/ctrlProp83.xml"/><Relationship Id="rId53" Type="http://schemas.openxmlformats.org/officeDocument/2006/relationships/ctrlProp" Target="../ctrlProps/ctrlProp99.xml"/><Relationship Id="rId58" Type="http://schemas.openxmlformats.org/officeDocument/2006/relationships/ctrlProp" Target="../ctrlProps/ctrlProp104.xml"/><Relationship Id="rId74" Type="http://schemas.openxmlformats.org/officeDocument/2006/relationships/ctrlProp" Target="../ctrlProps/ctrlProp120.xml"/><Relationship Id="rId79" Type="http://schemas.openxmlformats.org/officeDocument/2006/relationships/ctrlProp" Target="../ctrlProps/ctrlProp125.xml"/><Relationship Id="rId5" Type="http://schemas.openxmlformats.org/officeDocument/2006/relationships/ctrlProp" Target="../ctrlProps/ctrlProp51.xml"/><Relationship Id="rId90" Type="http://schemas.openxmlformats.org/officeDocument/2006/relationships/ctrlProp" Target="../ctrlProps/ctrlProp136.xml"/><Relationship Id="rId22" Type="http://schemas.openxmlformats.org/officeDocument/2006/relationships/ctrlProp" Target="../ctrlProps/ctrlProp68.xml"/><Relationship Id="rId27" Type="http://schemas.openxmlformats.org/officeDocument/2006/relationships/ctrlProp" Target="../ctrlProps/ctrlProp73.xml"/><Relationship Id="rId43" Type="http://schemas.openxmlformats.org/officeDocument/2006/relationships/ctrlProp" Target="../ctrlProps/ctrlProp89.xml"/><Relationship Id="rId48" Type="http://schemas.openxmlformats.org/officeDocument/2006/relationships/ctrlProp" Target="../ctrlProps/ctrlProp94.xml"/><Relationship Id="rId64" Type="http://schemas.openxmlformats.org/officeDocument/2006/relationships/ctrlProp" Target="../ctrlProps/ctrlProp110.xml"/><Relationship Id="rId69" Type="http://schemas.openxmlformats.org/officeDocument/2006/relationships/ctrlProp" Target="../ctrlProps/ctrlProp115.xml"/><Relationship Id="rId8" Type="http://schemas.openxmlformats.org/officeDocument/2006/relationships/ctrlProp" Target="../ctrlProps/ctrlProp54.xml"/><Relationship Id="rId51" Type="http://schemas.openxmlformats.org/officeDocument/2006/relationships/ctrlProp" Target="../ctrlProps/ctrlProp97.xml"/><Relationship Id="rId72" Type="http://schemas.openxmlformats.org/officeDocument/2006/relationships/ctrlProp" Target="../ctrlProps/ctrlProp118.xml"/><Relationship Id="rId80" Type="http://schemas.openxmlformats.org/officeDocument/2006/relationships/ctrlProp" Target="../ctrlProps/ctrlProp126.xml"/><Relationship Id="rId85" Type="http://schemas.openxmlformats.org/officeDocument/2006/relationships/ctrlProp" Target="../ctrlProps/ctrlProp131.xml"/><Relationship Id="rId93" Type="http://schemas.openxmlformats.org/officeDocument/2006/relationships/ctrlProp" Target="../ctrlProps/ctrlProp139.xml"/><Relationship Id="rId3" Type="http://schemas.openxmlformats.org/officeDocument/2006/relationships/vmlDrawing" Target="../drawings/vmlDrawing2.vml"/><Relationship Id="rId12" Type="http://schemas.openxmlformats.org/officeDocument/2006/relationships/ctrlProp" Target="../ctrlProps/ctrlProp58.xml"/><Relationship Id="rId17" Type="http://schemas.openxmlformats.org/officeDocument/2006/relationships/ctrlProp" Target="../ctrlProps/ctrlProp63.xml"/><Relationship Id="rId25" Type="http://schemas.openxmlformats.org/officeDocument/2006/relationships/ctrlProp" Target="../ctrlProps/ctrlProp71.xml"/><Relationship Id="rId33" Type="http://schemas.openxmlformats.org/officeDocument/2006/relationships/ctrlProp" Target="../ctrlProps/ctrlProp79.xml"/><Relationship Id="rId38" Type="http://schemas.openxmlformats.org/officeDocument/2006/relationships/ctrlProp" Target="../ctrlProps/ctrlProp84.xml"/><Relationship Id="rId46" Type="http://schemas.openxmlformats.org/officeDocument/2006/relationships/ctrlProp" Target="../ctrlProps/ctrlProp92.xml"/><Relationship Id="rId59" Type="http://schemas.openxmlformats.org/officeDocument/2006/relationships/ctrlProp" Target="../ctrlProps/ctrlProp105.xml"/><Relationship Id="rId67" Type="http://schemas.openxmlformats.org/officeDocument/2006/relationships/ctrlProp" Target="../ctrlProps/ctrlProp113.xml"/><Relationship Id="rId20" Type="http://schemas.openxmlformats.org/officeDocument/2006/relationships/ctrlProp" Target="../ctrlProps/ctrlProp66.xml"/><Relationship Id="rId41" Type="http://schemas.openxmlformats.org/officeDocument/2006/relationships/ctrlProp" Target="../ctrlProps/ctrlProp87.xml"/><Relationship Id="rId54" Type="http://schemas.openxmlformats.org/officeDocument/2006/relationships/ctrlProp" Target="../ctrlProps/ctrlProp100.xml"/><Relationship Id="rId62" Type="http://schemas.openxmlformats.org/officeDocument/2006/relationships/ctrlProp" Target="../ctrlProps/ctrlProp108.xml"/><Relationship Id="rId70" Type="http://schemas.openxmlformats.org/officeDocument/2006/relationships/ctrlProp" Target="../ctrlProps/ctrlProp116.xml"/><Relationship Id="rId75" Type="http://schemas.openxmlformats.org/officeDocument/2006/relationships/ctrlProp" Target="../ctrlProps/ctrlProp121.xml"/><Relationship Id="rId83" Type="http://schemas.openxmlformats.org/officeDocument/2006/relationships/ctrlProp" Target="../ctrlProps/ctrlProp129.xml"/><Relationship Id="rId88" Type="http://schemas.openxmlformats.org/officeDocument/2006/relationships/ctrlProp" Target="../ctrlProps/ctrlProp134.xml"/><Relationship Id="rId91" Type="http://schemas.openxmlformats.org/officeDocument/2006/relationships/ctrlProp" Target="../ctrlProps/ctrlProp137.xml"/><Relationship Id="rId1" Type="http://schemas.openxmlformats.org/officeDocument/2006/relationships/printerSettings" Target="../printerSettings/printerSettings12.bin"/><Relationship Id="rId6" Type="http://schemas.openxmlformats.org/officeDocument/2006/relationships/ctrlProp" Target="../ctrlProps/ctrlProp52.xml"/><Relationship Id="rId15" Type="http://schemas.openxmlformats.org/officeDocument/2006/relationships/ctrlProp" Target="../ctrlProps/ctrlProp61.xml"/><Relationship Id="rId23" Type="http://schemas.openxmlformats.org/officeDocument/2006/relationships/ctrlProp" Target="../ctrlProps/ctrlProp69.xml"/><Relationship Id="rId28" Type="http://schemas.openxmlformats.org/officeDocument/2006/relationships/ctrlProp" Target="../ctrlProps/ctrlProp74.xml"/><Relationship Id="rId36" Type="http://schemas.openxmlformats.org/officeDocument/2006/relationships/ctrlProp" Target="../ctrlProps/ctrlProp82.xml"/><Relationship Id="rId49" Type="http://schemas.openxmlformats.org/officeDocument/2006/relationships/ctrlProp" Target="../ctrlProps/ctrlProp95.xml"/><Relationship Id="rId57" Type="http://schemas.openxmlformats.org/officeDocument/2006/relationships/ctrlProp" Target="../ctrlProps/ctrlProp103.xml"/><Relationship Id="rId10" Type="http://schemas.openxmlformats.org/officeDocument/2006/relationships/ctrlProp" Target="../ctrlProps/ctrlProp56.xml"/><Relationship Id="rId31" Type="http://schemas.openxmlformats.org/officeDocument/2006/relationships/ctrlProp" Target="../ctrlProps/ctrlProp77.xml"/><Relationship Id="rId44" Type="http://schemas.openxmlformats.org/officeDocument/2006/relationships/ctrlProp" Target="../ctrlProps/ctrlProp90.xml"/><Relationship Id="rId52" Type="http://schemas.openxmlformats.org/officeDocument/2006/relationships/ctrlProp" Target="../ctrlProps/ctrlProp98.xml"/><Relationship Id="rId60" Type="http://schemas.openxmlformats.org/officeDocument/2006/relationships/ctrlProp" Target="../ctrlProps/ctrlProp106.xml"/><Relationship Id="rId65" Type="http://schemas.openxmlformats.org/officeDocument/2006/relationships/ctrlProp" Target="../ctrlProps/ctrlProp111.xml"/><Relationship Id="rId73" Type="http://schemas.openxmlformats.org/officeDocument/2006/relationships/ctrlProp" Target="../ctrlProps/ctrlProp119.xml"/><Relationship Id="rId78" Type="http://schemas.openxmlformats.org/officeDocument/2006/relationships/ctrlProp" Target="../ctrlProps/ctrlProp124.xml"/><Relationship Id="rId81" Type="http://schemas.openxmlformats.org/officeDocument/2006/relationships/ctrlProp" Target="../ctrlProps/ctrlProp127.xml"/><Relationship Id="rId86" Type="http://schemas.openxmlformats.org/officeDocument/2006/relationships/ctrlProp" Target="../ctrlProps/ctrlProp132.xml"/><Relationship Id="rId94" Type="http://schemas.openxmlformats.org/officeDocument/2006/relationships/ctrlProp" Target="../ctrlProps/ctrlProp140.xml"/><Relationship Id="rId4" Type="http://schemas.openxmlformats.org/officeDocument/2006/relationships/ctrlProp" Target="../ctrlProps/ctrlProp50.xml"/><Relationship Id="rId9" Type="http://schemas.openxmlformats.org/officeDocument/2006/relationships/ctrlProp" Target="../ctrlProps/ctrlProp55.xml"/><Relationship Id="rId13" Type="http://schemas.openxmlformats.org/officeDocument/2006/relationships/ctrlProp" Target="../ctrlProps/ctrlProp59.xml"/><Relationship Id="rId18" Type="http://schemas.openxmlformats.org/officeDocument/2006/relationships/ctrlProp" Target="../ctrlProps/ctrlProp64.xml"/><Relationship Id="rId39" Type="http://schemas.openxmlformats.org/officeDocument/2006/relationships/ctrlProp" Target="../ctrlProps/ctrlProp85.xml"/><Relationship Id="rId34" Type="http://schemas.openxmlformats.org/officeDocument/2006/relationships/ctrlProp" Target="../ctrlProps/ctrlProp80.xml"/><Relationship Id="rId50" Type="http://schemas.openxmlformats.org/officeDocument/2006/relationships/ctrlProp" Target="../ctrlProps/ctrlProp96.xml"/><Relationship Id="rId55" Type="http://schemas.openxmlformats.org/officeDocument/2006/relationships/ctrlProp" Target="../ctrlProps/ctrlProp101.xml"/><Relationship Id="rId76" Type="http://schemas.openxmlformats.org/officeDocument/2006/relationships/ctrlProp" Target="../ctrlProps/ctrlProp122.xml"/><Relationship Id="rId7" Type="http://schemas.openxmlformats.org/officeDocument/2006/relationships/ctrlProp" Target="../ctrlProps/ctrlProp53.xml"/><Relationship Id="rId71" Type="http://schemas.openxmlformats.org/officeDocument/2006/relationships/ctrlProp" Target="../ctrlProps/ctrlProp117.xml"/><Relationship Id="rId92" Type="http://schemas.openxmlformats.org/officeDocument/2006/relationships/ctrlProp" Target="../ctrlProps/ctrlProp138.xml"/><Relationship Id="rId2" Type="http://schemas.openxmlformats.org/officeDocument/2006/relationships/drawing" Target="../drawings/drawing8.xml"/><Relationship Id="rId29" Type="http://schemas.openxmlformats.org/officeDocument/2006/relationships/ctrlProp" Target="../ctrlProps/ctrlProp75.xml"/><Relationship Id="rId24" Type="http://schemas.openxmlformats.org/officeDocument/2006/relationships/ctrlProp" Target="../ctrlProps/ctrlProp70.xml"/><Relationship Id="rId40" Type="http://schemas.openxmlformats.org/officeDocument/2006/relationships/ctrlProp" Target="../ctrlProps/ctrlProp86.xml"/><Relationship Id="rId45" Type="http://schemas.openxmlformats.org/officeDocument/2006/relationships/ctrlProp" Target="../ctrlProps/ctrlProp91.xml"/><Relationship Id="rId66" Type="http://schemas.openxmlformats.org/officeDocument/2006/relationships/ctrlProp" Target="../ctrlProps/ctrlProp112.xml"/><Relationship Id="rId87" Type="http://schemas.openxmlformats.org/officeDocument/2006/relationships/ctrlProp" Target="../ctrlProps/ctrlProp133.xml"/><Relationship Id="rId61" Type="http://schemas.openxmlformats.org/officeDocument/2006/relationships/ctrlProp" Target="../ctrlProps/ctrlProp107.xml"/><Relationship Id="rId82" Type="http://schemas.openxmlformats.org/officeDocument/2006/relationships/ctrlProp" Target="../ctrlProps/ctrlProp128.xml"/><Relationship Id="rId19" Type="http://schemas.openxmlformats.org/officeDocument/2006/relationships/ctrlProp" Target="../ctrlProps/ctrlProp65.xml"/><Relationship Id="rId14" Type="http://schemas.openxmlformats.org/officeDocument/2006/relationships/ctrlProp" Target="../ctrlProps/ctrlProp60.xml"/><Relationship Id="rId30" Type="http://schemas.openxmlformats.org/officeDocument/2006/relationships/ctrlProp" Target="../ctrlProps/ctrlProp76.xml"/><Relationship Id="rId35" Type="http://schemas.openxmlformats.org/officeDocument/2006/relationships/ctrlProp" Target="../ctrlProps/ctrlProp81.xml"/><Relationship Id="rId56" Type="http://schemas.openxmlformats.org/officeDocument/2006/relationships/ctrlProp" Target="../ctrlProps/ctrlProp102.xml"/><Relationship Id="rId77" Type="http://schemas.openxmlformats.org/officeDocument/2006/relationships/ctrlProp" Target="../ctrlProps/ctrlProp123.x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163.xml"/><Relationship Id="rId117" Type="http://schemas.openxmlformats.org/officeDocument/2006/relationships/ctrlProp" Target="../ctrlProps/ctrlProp254.xml"/><Relationship Id="rId21" Type="http://schemas.openxmlformats.org/officeDocument/2006/relationships/ctrlProp" Target="../ctrlProps/ctrlProp158.xml"/><Relationship Id="rId42" Type="http://schemas.openxmlformats.org/officeDocument/2006/relationships/ctrlProp" Target="../ctrlProps/ctrlProp179.xml"/><Relationship Id="rId47" Type="http://schemas.openxmlformats.org/officeDocument/2006/relationships/ctrlProp" Target="../ctrlProps/ctrlProp184.xml"/><Relationship Id="rId63" Type="http://schemas.openxmlformats.org/officeDocument/2006/relationships/ctrlProp" Target="../ctrlProps/ctrlProp200.xml"/><Relationship Id="rId68" Type="http://schemas.openxmlformats.org/officeDocument/2006/relationships/ctrlProp" Target="../ctrlProps/ctrlProp205.xml"/><Relationship Id="rId84" Type="http://schemas.openxmlformats.org/officeDocument/2006/relationships/ctrlProp" Target="../ctrlProps/ctrlProp221.xml"/><Relationship Id="rId89" Type="http://schemas.openxmlformats.org/officeDocument/2006/relationships/ctrlProp" Target="../ctrlProps/ctrlProp226.xml"/><Relationship Id="rId112" Type="http://schemas.openxmlformats.org/officeDocument/2006/relationships/ctrlProp" Target="../ctrlProps/ctrlProp249.xml"/><Relationship Id="rId16" Type="http://schemas.openxmlformats.org/officeDocument/2006/relationships/ctrlProp" Target="../ctrlProps/ctrlProp153.xml"/><Relationship Id="rId107" Type="http://schemas.openxmlformats.org/officeDocument/2006/relationships/ctrlProp" Target="../ctrlProps/ctrlProp244.xml"/><Relationship Id="rId11" Type="http://schemas.openxmlformats.org/officeDocument/2006/relationships/ctrlProp" Target="../ctrlProps/ctrlProp148.xml"/><Relationship Id="rId32" Type="http://schemas.openxmlformats.org/officeDocument/2006/relationships/ctrlProp" Target="../ctrlProps/ctrlProp169.xml"/><Relationship Id="rId37" Type="http://schemas.openxmlformats.org/officeDocument/2006/relationships/ctrlProp" Target="../ctrlProps/ctrlProp174.xml"/><Relationship Id="rId53" Type="http://schemas.openxmlformats.org/officeDocument/2006/relationships/ctrlProp" Target="../ctrlProps/ctrlProp190.xml"/><Relationship Id="rId58" Type="http://schemas.openxmlformats.org/officeDocument/2006/relationships/ctrlProp" Target="../ctrlProps/ctrlProp195.xml"/><Relationship Id="rId74" Type="http://schemas.openxmlformats.org/officeDocument/2006/relationships/ctrlProp" Target="../ctrlProps/ctrlProp211.xml"/><Relationship Id="rId79" Type="http://schemas.openxmlformats.org/officeDocument/2006/relationships/ctrlProp" Target="../ctrlProps/ctrlProp216.xml"/><Relationship Id="rId102" Type="http://schemas.openxmlformats.org/officeDocument/2006/relationships/ctrlProp" Target="../ctrlProps/ctrlProp239.xml"/><Relationship Id="rId123" Type="http://schemas.openxmlformats.org/officeDocument/2006/relationships/ctrlProp" Target="../ctrlProps/ctrlProp260.xml"/><Relationship Id="rId5" Type="http://schemas.openxmlformats.org/officeDocument/2006/relationships/ctrlProp" Target="../ctrlProps/ctrlProp142.xml"/><Relationship Id="rId90" Type="http://schemas.openxmlformats.org/officeDocument/2006/relationships/ctrlProp" Target="../ctrlProps/ctrlProp227.xml"/><Relationship Id="rId95" Type="http://schemas.openxmlformats.org/officeDocument/2006/relationships/ctrlProp" Target="../ctrlProps/ctrlProp232.xml"/><Relationship Id="rId22" Type="http://schemas.openxmlformats.org/officeDocument/2006/relationships/ctrlProp" Target="../ctrlProps/ctrlProp159.xml"/><Relationship Id="rId27" Type="http://schemas.openxmlformats.org/officeDocument/2006/relationships/ctrlProp" Target="../ctrlProps/ctrlProp164.xml"/><Relationship Id="rId43" Type="http://schemas.openxmlformats.org/officeDocument/2006/relationships/ctrlProp" Target="../ctrlProps/ctrlProp180.xml"/><Relationship Id="rId48" Type="http://schemas.openxmlformats.org/officeDocument/2006/relationships/ctrlProp" Target="../ctrlProps/ctrlProp185.xml"/><Relationship Id="rId64" Type="http://schemas.openxmlformats.org/officeDocument/2006/relationships/ctrlProp" Target="../ctrlProps/ctrlProp201.xml"/><Relationship Id="rId69" Type="http://schemas.openxmlformats.org/officeDocument/2006/relationships/ctrlProp" Target="../ctrlProps/ctrlProp206.xml"/><Relationship Id="rId113" Type="http://schemas.openxmlformats.org/officeDocument/2006/relationships/ctrlProp" Target="../ctrlProps/ctrlProp250.xml"/><Relationship Id="rId118" Type="http://schemas.openxmlformats.org/officeDocument/2006/relationships/ctrlProp" Target="../ctrlProps/ctrlProp255.xml"/><Relationship Id="rId80" Type="http://schemas.openxmlformats.org/officeDocument/2006/relationships/ctrlProp" Target="../ctrlProps/ctrlProp217.xml"/><Relationship Id="rId85" Type="http://schemas.openxmlformats.org/officeDocument/2006/relationships/ctrlProp" Target="../ctrlProps/ctrlProp222.xml"/><Relationship Id="rId12" Type="http://schemas.openxmlformats.org/officeDocument/2006/relationships/ctrlProp" Target="../ctrlProps/ctrlProp149.xml"/><Relationship Id="rId17" Type="http://schemas.openxmlformats.org/officeDocument/2006/relationships/ctrlProp" Target="../ctrlProps/ctrlProp154.xml"/><Relationship Id="rId33" Type="http://schemas.openxmlformats.org/officeDocument/2006/relationships/ctrlProp" Target="../ctrlProps/ctrlProp170.xml"/><Relationship Id="rId38" Type="http://schemas.openxmlformats.org/officeDocument/2006/relationships/ctrlProp" Target="../ctrlProps/ctrlProp175.xml"/><Relationship Id="rId59" Type="http://schemas.openxmlformats.org/officeDocument/2006/relationships/ctrlProp" Target="../ctrlProps/ctrlProp196.xml"/><Relationship Id="rId103" Type="http://schemas.openxmlformats.org/officeDocument/2006/relationships/ctrlProp" Target="../ctrlProps/ctrlProp240.xml"/><Relationship Id="rId108" Type="http://schemas.openxmlformats.org/officeDocument/2006/relationships/ctrlProp" Target="../ctrlProps/ctrlProp245.xml"/><Relationship Id="rId124" Type="http://schemas.openxmlformats.org/officeDocument/2006/relationships/ctrlProp" Target="../ctrlProps/ctrlProp261.xml"/><Relationship Id="rId54" Type="http://schemas.openxmlformats.org/officeDocument/2006/relationships/ctrlProp" Target="../ctrlProps/ctrlProp191.xml"/><Relationship Id="rId70" Type="http://schemas.openxmlformats.org/officeDocument/2006/relationships/ctrlProp" Target="../ctrlProps/ctrlProp207.xml"/><Relationship Id="rId75" Type="http://schemas.openxmlformats.org/officeDocument/2006/relationships/ctrlProp" Target="../ctrlProps/ctrlProp212.xml"/><Relationship Id="rId91" Type="http://schemas.openxmlformats.org/officeDocument/2006/relationships/ctrlProp" Target="../ctrlProps/ctrlProp228.xml"/><Relationship Id="rId96" Type="http://schemas.openxmlformats.org/officeDocument/2006/relationships/ctrlProp" Target="../ctrlProps/ctrlProp233.xml"/><Relationship Id="rId1" Type="http://schemas.openxmlformats.org/officeDocument/2006/relationships/printerSettings" Target="../printerSettings/printerSettings13.bin"/><Relationship Id="rId6" Type="http://schemas.openxmlformats.org/officeDocument/2006/relationships/ctrlProp" Target="../ctrlProps/ctrlProp143.xml"/><Relationship Id="rId23" Type="http://schemas.openxmlformats.org/officeDocument/2006/relationships/ctrlProp" Target="../ctrlProps/ctrlProp160.xml"/><Relationship Id="rId28" Type="http://schemas.openxmlformats.org/officeDocument/2006/relationships/ctrlProp" Target="../ctrlProps/ctrlProp165.xml"/><Relationship Id="rId49" Type="http://schemas.openxmlformats.org/officeDocument/2006/relationships/ctrlProp" Target="../ctrlProps/ctrlProp186.xml"/><Relationship Id="rId114" Type="http://schemas.openxmlformats.org/officeDocument/2006/relationships/ctrlProp" Target="../ctrlProps/ctrlProp251.xml"/><Relationship Id="rId119" Type="http://schemas.openxmlformats.org/officeDocument/2006/relationships/ctrlProp" Target="../ctrlProps/ctrlProp256.xml"/><Relationship Id="rId44" Type="http://schemas.openxmlformats.org/officeDocument/2006/relationships/ctrlProp" Target="../ctrlProps/ctrlProp181.xml"/><Relationship Id="rId60" Type="http://schemas.openxmlformats.org/officeDocument/2006/relationships/ctrlProp" Target="../ctrlProps/ctrlProp197.xml"/><Relationship Id="rId65" Type="http://schemas.openxmlformats.org/officeDocument/2006/relationships/ctrlProp" Target="../ctrlProps/ctrlProp202.xml"/><Relationship Id="rId81" Type="http://schemas.openxmlformats.org/officeDocument/2006/relationships/ctrlProp" Target="../ctrlProps/ctrlProp218.xml"/><Relationship Id="rId86" Type="http://schemas.openxmlformats.org/officeDocument/2006/relationships/ctrlProp" Target="../ctrlProps/ctrlProp223.xml"/><Relationship Id="rId13" Type="http://schemas.openxmlformats.org/officeDocument/2006/relationships/ctrlProp" Target="../ctrlProps/ctrlProp150.xml"/><Relationship Id="rId18" Type="http://schemas.openxmlformats.org/officeDocument/2006/relationships/ctrlProp" Target="../ctrlProps/ctrlProp155.xml"/><Relationship Id="rId39" Type="http://schemas.openxmlformats.org/officeDocument/2006/relationships/ctrlProp" Target="../ctrlProps/ctrlProp176.xml"/><Relationship Id="rId109" Type="http://schemas.openxmlformats.org/officeDocument/2006/relationships/ctrlProp" Target="../ctrlProps/ctrlProp246.xml"/><Relationship Id="rId34" Type="http://schemas.openxmlformats.org/officeDocument/2006/relationships/ctrlProp" Target="../ctrlProps/ctrlProp171.xml"/><Relationship Id="rId50" Type="http://schemas.openxmlformats.org/officeDocument/2006/relationships/ctrlProp" Target="../ctrlProps/ctrlProp187.xml"/><Relationship Id="rId55" Type="http://schemas.openxmlformats.org/officeDocument/2006/relationships/ctrlProp" Target="../ctrlProps/ctrlProp192.xml"/><Relationship Id="rId76" Type="http://schemas.openxmlformats.org/officeDocument/2006/relationships/ctrlProp" Target="../ctrlProps/ctrlProp213.xml"/><Relationship Id="rId97" Type="http://schemas.openxmlformats.org/officeDocument/2006/relationships/ctrlProp" Target="../ctrlProps/ctrlProp234.xml"/><Relationship Id="rId104" Type="http://schemas.openxmlformats.org/officeDocument/2006/relationships/ctrlProp" Target="../ctrlProps/ctrlProp241.xml"/><Relationship Id="rId120" Type="http://schemas.openxmlformats.org/officeDocument/2006/relationships/ctrlProp" Target="../ctrlProps/ctrlProp257.xml"/><Relationship Id="rId125" Type="http://schemas.openxmlformats.org/officeDocument/2006/relationships/ctrlProp" Target="../ctrlProps/ctrlProp262.xml"/><Relationship Id="rId7" Type="http://schemas.openxmlformats.org/officeDocument/2006/relationships/ctrlProp" Target="../ctrlProps/ctrlProp144.xml"/><Relationship Id="rId71" Type="http://schemas.openxmlformats.org/officeDocument/2006/relationships/ctrlProp" Target="../ctrlProps/ctrlProp208.xml"/><Relationship Id="rId92" Type="http://schemas.openxmlformats.org/officeDocument/2006/relationships/ctrlProp" Target="../ctrlProps/ctrlProp229.xml"/><Relationship Id="rId2" Type="http://schemas.openxmlformats.org/officeDocument/2006/relationships/drawing" Target="../drawings/drawing9.xml"/><Relationship Id="rId29" Type="http://schemas.openxmlformats.org/officeDocument/2006/relationships/ctrlProp" Target="../ctrlProps/ctrlProp166.xml"/><Relationship Id="rId24" Type="http://schemas.openxmlformats.org/officeDocument/2006/relationships/ctrlProp" Target="../ctrlProps/ctrlProp161.xml"/><Relationship Id="rId40" Type="http://schemas.openxmlformats.org/officeDocument/2006/relationships/ctrlProp" Target="../ctrlProps/ctrlProp177.xml"/><Relationship Id="rId45" Type="http://schemas.openxmlformats.org/officeDocument/2006/relationships/ctrlProp" Target="../ctrlProps/ctrlProp182.xml"/><Relationship Id="rId66" Type="http://schemas.openxmlformats.org/officeDocument/2006/relationships/ctrlProp" Target="../ctrlProps/ctrlProp203.xml"/><Relationship Id="rId87" Type="http://schemas.openxmlformats.org/officeDocument/2006/relationships/ctrlProp" Target="../ctrlProps/ctrlProp224.xml"/><Relationship Id="rId110" Type="http://schemas.openxmlformats.org/officeDocument/2006/relationships/ctrlProp" Target="../ctrlProps/ctrlProp247.xml"/><Relationship Id="rId115" Type="http://schemas.openxmlformats.org/officeDocument/2006/relationships/ctrlProp" Target="../ctrlProps/ctrlProp252.xml"/><Relationship Id="rId61" Type="http://schemas.openxmlformats.org/officeDocument/2006/relationships/ctrlProp" Target="../ctrlProps/ctrlProp198.xml"/><Relationship Id="rId82" Type="http://schemas.openxmlformats.org/officeDocument/2006/relationships/ctrlProp" Target="../ctrlProps/ctrlProp219.xml"/><Relationship Id="rId19" Type="http://schemas.openxmlformats.org/officeDocument/2006/relationships/ctrlProp" Target="../ctrlProps/ctrlProp156.xml"/><Relationship Id="rId14" Type="http://schemas.openxmlformats.org/officeDocument/2006/relationships/ctrlProp" Target="../ctrlProps/ctrlProp151.xml"/><Relationship Id="rId30" Type="http://schemas.openxmlformats.org/officeDocument/2006/relationships/ctrlProp" Target="../ctrlProps/ctrlProp167.xml"/><Relationship Id="rId35" Type="http://schemas.openxmlformats.org/officeDocument/2006/relationships/ctrlProp" Target="../ctrlProps/ctrlProp172.xml"/><Relationship Id="rId56" Type="http://schemas.openxmlformats.org/officeDocument/2006/relationships/ctrlProp" Target="../ctrlProps/ctrlProp193.xml"/><Relationship Id="rId77" Type="http://schemas.openxmlformats.org/officeDocument/2006/relationships/ctrlProp" Target="../ctrlProps/ctrlProp214.xml"/><Relationship Id="rId100" Type="http://schemas.openxmlformats.org/officeDocument/2006/relationships/ctrlProp" Target="../ctrlProps/ctrlProp237.xml"/><Relationship Id="rId105" Type="http://schemas.openxmlformats.org/officeDocument/2006/relationships/ctrlProp" Target="../ctrlProps/ctrlProp242.xml"/><Relationship Id="rId126" Type="http://schemas.openxmlformats.org/officeDocument/2006/relationships/ctrlProp" Target="../ctrlProps/ctrlProp263.xml"/><Relationship Id="rId8" Type="http://schemas.openxmlformats.org/officeDocument/2006/relationships/ctrlProp" Target="../ctrlProps/ctrlProp145.xml"/><Relationship Id="rId51" Type="http://schemas.openxmlformats.org/officeDocument/2006/relationships/ctrlProp" Target="../ctrlProps/ctrlProp188.xml"/><Relationship Id="rId72" Type="http://schemas.openxmlformats.org/officeDocument/2006/relationships/ctrlProp" Target="../ctrlProps/ctrlProp209.xml"/><Relationship Id="rId93" Type="http://schemas.openxmlformats.org/officeDocument/2006/relationships/ctrlProp" Target="../ctrlProps/ctrlProp230.xml"/><Relationship Id="rId98" Type="http://schemas.openxmlformats.org/officeDocument/2006/relationships/ctrlProp" Target="../ctrlProps/ctrlProp235.xml"/><Relationship Id="rId121" Type="http://schemas.openxmlformats.org/officeDocument/2006/relationships/ctrlProp" Target="../ctrlProps/ctrlProp258.xml"/><Relationship Id="rId3" Type="http://schemas.openxmlformats.org/officeDocument/2006/relationships/vmlDrawing" Target="../drawings/vmlDrawing3.vml"/><Relationship Id="rId25" Type="http://schemas.openxmlformats.org/officeDocument/2006/relationships/ctrlProp" Target="../ctrlProps/ctrlProp162.xml"/><Relationship Id="rId46" Type="http://schemas.openxmlformats.org/officeDocument/2006/relationships/ctrlProp" Target="../ctrlProps/ctrlProp183.xml"/><Relationship Id="rId67" Type="http://schemas.openxmlformats.org/officeDocument/2006/relationships/ctrlProp" Target="../ctrlProps/ctrlProp204.xml"/><Relationship Id="rId116" Type="http://schemas.openxmlformats.org/officeDocument/2006/relationships/ctrlProp" Target="../ctrlProps/ctrlProp253.xml"/><Relationship Id="rId20" Type="http://schemas.openxmlformats.org/officeDocument/2006/relationships/ctrlProp" Target="../ctrlProps/ctrlProp157.xml"/><Relationship Id="rId41" Type="http://schemas.openxmlformats.org/officeDocument/2006/relationships/ctrlProp" Target="../ctrlProps/ctrlProp178.xml"/><Relationship Id="rId62" Type="http://schemas.openxmlformats.org/officeDocument/2006/relationships/ctrlProp" Target="../ctrlProps/ctrlProp199.xml"/><Relationship Id="rId83" Type="http://schemas.openxmlformats.org/officeDocument/2006/relationships/ctrlProp" Target="../ctrlProps/ctrlProp220.xml"/><Relationship Id="rId88" Type="http://schemas.openxmlformats.org/officeDocument/2006/relationships/ctrlProp" Target="../ctrlProps/ctrlProp225.xml"/><Relationship Id="rId111" Type="http://schemas.openxmlformats.org/officeDocument/2006/relationships/ctrlProp" Target="../ctrlProps/ctrlProp248.xml"/><Relationship Id="rId15" Type="http://schemas.openxmlformats.org/officeDocument/2006/relationships/ctrlProp" Target="../ctrlProps/ctrlProp152.xml"/><Relationship Id="rId36" Type="http://schemas.openxmlformats.org/officeDocument/2006/relationships/ctrlProp" Target="../ctrlProps/ctrlProp173.xml"/><Relationship Id="rId57" Type="http://schemas.openxmlformats.org/officeDocument/2006/relationships/ctrlProp" Target="../ctrlProps/ctrlProp194.xml"/><Relationship Id="rId106" Type="http://schemas.openxmlformats.org/officeDocument/2006/relationships/ctrlProp" Target="../ctrlProps/ctrlProp243.xml"/><Relationship Id="rId10" Type="http://schemas.openxmlformats.org/officeDocument/2006/relationships/ctrlProp" Target="../ctrlProps/ctrlProp147.xml"/><Relationship Id="rId31" Type="http://schemas.openxmlformats.org/officeDocument/2006/relationships/ctrlProp" Target="../ctrlProps/ctrlProp168.xml"/><Relationship Id="rId52" Type="http://schemas.openxmlformats.org/officeDocument/2006/relationships/ctrlProp" Target="../ctrlProps/ctrlProp189.xml"/><Relationship Id="rId73" Type="http://schemas.openxmlformats.org/officeDocument/2006/relationships/ctrlProp" Target="../ctrlProps/ctrlProp210.xml"/><Relationship Id="rId78" Type="http://schemas.openxmlformats.org/officeDocument/2006/relationships/ctrlProp" Target="../ctrlProps/ctrlProp215.xml"/><Relationship Id="rId94" Type="http://schemas.openxmlformats.org/officeDocument/2006/relationships/ctrlProp" Target="../ctrlProps/ctrlProp231.xml"/><Relationship Id="rId99" Type="http://schemas.openxmlformats.org/officeDocument/2006/relationships/ctrlProp" Target="../ctrlProps/ctrlProp236.xml"/><Relationship Id="rId101" Type="http://schemas.openxmlformats.org/officeDocument/2006/relationships/ctrlProp" Target="../ctrlProps/ctrlProp238.xml"/><Relationship Id="rId122" Type="http://schemas.openxmlformats.org/officeDocument/2006/relationships/ctrlProp" Target="../ctrlProps/ctrlProp259.xml"/><Relationship Id="rId4" Type="http://schemas.openxmlformats.org/officeDocument/2006/relationships/ctrlProp" Target="../ctrlProps/ctrlProp141.xml"/><Relationship Id="rId9" Type="http://schemas.openxmlformats.org/officeDocument/2006/relationships/ctrlProp" Target="../ctrlProps/ctrlProp14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268.xml"/><Relationship Id="rId13" Type="http://schemas.openxmlformats.org/officeDocument/2006/relationships/ctrlProp" Target="../ctrlProps/ctrlProp273.xml"/><Relationship Id="rId18" Type="http://schemas.openxmlformats.org/officeDocument/2006/relationships/ctrlProp" Target="../ctrlProps/ctrlProp278.xml"/><Relationship Id="rId26" Type="http://schemas.openxmlformats.org/officeDocument/2006/relationships/ctrlProp" Target="../ctrlProps/ctrlProp286.xml"/><Relationship Id="rId3" Type="http://schemas.openxmlformats.org/officeDocument/2006/relationships/vmlDrawing" Target="../drawings/vmlDrawing4.vml"/><Relationship Id="rId21" Type="http://schemas.openxmlformats.org/officeDocument/2006/relationships/ctrlProp" Target="../ctrlProps/ctrlProp281.xml"/><Relationship Id="rId7" Type="http://schemas.openxmlformats.org/officeDocument/2006/relationships/ctrlProp" Target="../ctrlProps/ctrlProp267.xml"/><Relationship Id="rId12" Type="http://schemas.openxmlformats.org/officeDocument/2006/relationships/ctrlProp" Target="../ctrlProps/ctrlProp272.xml"/><Relationship Id="rId17" Type="http://schemas.openxmlformats.org/officeDocument/2006/relationships/ctrlProp" Target="../ctrlProps/ctrlProp277.xml"/><Relationship Id="rId25" Type="http://schemas.openxmlformats.org/officeDocument/2006/relationships/ctrlProp" Target="../ctrlProps/ctrlProp285.xml"/><Relationship Id="rId2" Type="http://schemas.openxmlformats.org/officeDocument/2006/relationships/drawing" Target="../drawings/drawing10.xml"/><Relationship Id="rId16" Type="http://schemas.openxmlformats.org/officeDocument/2006/relationships/ctrlProp" Target="../ctrlProps/ctrlProp276.xml"/><Relationship Id="rId20" Type="http://schemas.openxmlformats.org/officeDocument/2006/relationships/ctrlProp" Target="../ctrlProps/ctrlProp280.xml"/><Relationship Id="rId29" Type="http://schemas.openxmlformats.org/officeDocument/2006/relationships/ctrlProp" Target="../ctrlProps/ctrlProp289.xml"/><Relationship Id="rId1" Type="http://schemas.openxmlformats.org/officeDocument/2006/relationships/printerSettings" Target="../printerSettings/printerSettings16.bin"/><Relationship Id="rId6" Type="http://schemas.openxmlformats.org/officeDocument/2006/relationships/ctrlProp" Target="../ctrlProps/ctrlProp266.xml"/><Relationship Id="rId11" Type="http://schemas.openxmlformats.org/officeDocument/2006/relationships/ctrlProp" Target="../ctrlProps/ctrlProp271.xml"/><Relationship Id="rId24" Type="http://schemas.openxmlformats.org/officeDocument/2006/relationships/ctrlProp" Target="../ctrlProps/ctrlProp284.xml"/><Relationship Id="rId5" Type="http://schemas.openxmlformats.org/officeDocument/2006/relationships/ctrlProp" Target="../ctrlProps/ctrlProp265.xml"/><Relationship Id="rId15" Type="http://schemas.openxmlformats.org/officeDocument/2006/relationships/ctrlProp" Target="../ctrlProps/ctrlProp275.xml"/><Relationship Id="rId23" Type="http://schemas.openxmlformats.org/officeDocument/2006/relationships/ctrlProp" Target="../ctrlProps/ctrlProp283.xml"/><Relationship Id="rId28" Type="http://schemas.openxmlformats.org/officeDocument/2006/relationships/ctrlProp" Target="../ctrlProps/ctrlProp288.xml"/><Relationship Id="rId10" Type="http://schemas.openxmlformats.org/officeDocument/2006/relationships/ctrlProp" Target="../ctrlProps/ctrlProp270.xml"/><Relationship Id="rId19" Type="http://schemas.openxmlformats.org/officeDocument/2006/relationships/ctrlProp" Target="../ctrlProps/ctrlProp279.xml"/><Relationship Id="rId4" Type="http://schemas.openxmlformats.org/officeDocument/2006/relationships/ctrlProp" Target="../ctrlProps/ctrlProp264.xml"/><Relationship Id="rId9" Type="http://schemas.openxmlformats.org/officeDocument/2006/relationships/ctrlProp" Target="../ctrlProps/ctrlProp269.xml"/><Relationship Id="rId14" Type="http://schemas.openxmlformats.org/officeDocument/2006/relationships/ctrlProp" Target="../ctrlProps/ctrlProp274.xml"/><Relationship Id="rId22" Type="http://schemas.openxmlformats.org/officeDocument/2006/relationships/ctrlProp" Target="../ctrlProps/ctrlProp282.xml"/><Relationship Id="rId27" Type="http://schemas.openxmlformats.org/officeDocument/2006/relationships/ctrlProp" Target="../ctrlProps/ctrlProp287.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3" Type="http://schemas.openxmlformats.org/officeDocument/2006/relationships/ctrlProp" Target="../ctrlProps/ctrlProp299.xml"/><Relationship Id="rId18" Type="http://schemas.openxmlformats.org/officeDocument/2006/relationships/ctrlProp" Target="../ctrlProps/ctrlProp304.xml"/><Relationship Id="rId26" Type="http://schemas.openxmlformats.org/officeDocument/2006/relationships/ctrlProp" Target="../ctrlProps/ctrlProp312.xml"/><Relationship Id="rId39" Type="http://schemas.openxmlformats.org/officeDocument/2006/relationships/ctrlProp" Target="../ctrlProps/ctrlProp325.xml"/><Relationship Id="rId21" Type="http://schemas.openxmlformats.org/officeDocument/2006/relationships/ctrlProp" Target="../ctrlProps/ctrlProp307.xml"/><Relationship Id="rId34" Type="http://schemas.openxmlformats.org/officeDocument/2006/relationships/ctrlProp" Target="../ctrlProps/ctrlProp320.xml"/><Relationship Id="rId42" Type="http://schemas.openxmlformats.org/officeDocument/2006/relationships/ctrlProp" Target="../ctrlProps/ctrlProp328.xml"/><Relationship Id="rId7" Type="http://schemas.openxmlformats.org/officeDocument/2006/relationships/ctrlProp" Target="../ctrlProps/ctrlProp293.xml"/><Relationship Id="rId2" Type="http://schemas.openxmlformats.org/officeDocument/2006/relationships/drawing" Target="../drawings/drawing11.xml"/><Relationship Id="rId16" Type="http://schemas.openxmlformats.org/officeDocument/2006/relationships/ctrlProp" Target="../ctrlProps/ctrlProp302.xml"/><Relationship Id="rId20" Type="http://schemas.openxmlformats.org/officeDocument/2006/relationships/ctrlProp" Target="../ctrlProps/ctrlProp306.xml"/><Relationship Id="rId29" Type="http://schemas.openxmlformats.org/officeDocument/2006/relationships/ctrlProp" Target="../ctrlProps/ctrlProp315.xml"/><Relationship Id="rId41" Type="http://schemas.openxmlformats.org/officeDocument/2006/relationships/ctrlProp" Target="../ctrlProps/ctrlProp327.xml"/><Relationship Id="rId1" Type="http://schemas.openxmlformats.org/officeDocument/2006/relationships/printerSettings" Target="../printerSettings/printerSettings18.bin"/><Relationship Id="rId6" Type="http://schemas.openxmlformats.org/officeDocument/2006/relationships/ctrlProp" Target="../ctrlProps/ctrlProp292.xml"/><Relationship Id="rId11" Type="http://schemas.openxmlformats.org/officeDocument/2006/relationships/ctrlProp" Target="../ctrlProps/ctrlProp297.xml"/><Relationship Id="rId24" Type="http://schemas.openxmlformats.org/officeDocument/2006/relationships/ctrlProp" Target="../ctrlProps/ctrlProp310.xml"/><Relationship Id="rId32" Type="http://schemas.openxmlformats.org/officeDocument/2006/relationships/ctrlProp" Target="../ctrlProps/ctrlProp318.xml"/><Relationship Id="rId37" Type="http://schemas.openxmlformats.org/officeDocument/2006/relationships/ctrlProp" Target="../ctrlProps/ctrlProp323.xml"/><Relationship Id="rId40" Type="http://schemas.openxmlformats.org/officeDocument/2006/relationships/ctrlProp" Target="../ctrlProps/ctrlProp326.xml"/><Relationship Id="rId5" Type="http://schemas.openxmlformats.org/officeDocument/2006/relationships/ctrlProp" Target="../ctrlProps/ctrlProp291.xml"/><Relationship Id="rId15" Type="http://schemas.openxmlformats.org/officeDocument/2006/relationships/ctrlProp" Target="../ctrlProps/ctrlProp301.xml"/><Relationship Id="rId23" Type="http://schemas.openxmlformats.org/officeDocument/2006/relationships/ctrlProp" Target="../ctrlProps/ctrlProp309.xml"/><Relationship Id="rId28" Type="http://schemas.openxmlformats.org/officeDocument/2006/relationships/ctrlProp" Target="../ctrlProps/ctrlProp314.xml"/><Relationship Id="rId36" Type="http://schemas.openxmlformats.org/officeDocument/2006/relationships/ctrlProp" Target="../ctrlProps/ctrlProp322.xml"/><Relationship Id="rId10" Type="http://schemas.openxmlformats.org/officeDocument/2006/relationships/ctrlProp" Target="../ctrlProps/ctrlProp296.xml"/><Relationship Id="rId19" Type="http://schemas.openxmlformats.org/officeDocument/2006/relationships/ctrlProp" Target="../ctrlProps/ctrlProp305.xml"/><Relationship Id="rId31" Type="http://schemas.openxmlformats.org/officeDocument/2006/relationships/ctrlProp" Target="../ctrlProps/ctrlProp317.xml"/><Relationship Id="rId44" Type="http://schemas.openxmlformats.org/officeDocument/2006/relationships/ctrlProp" Target="../ctrlProps/ctrlProp330.xml"/><Relationship Id="rId4" Type="http://schemas.openxmlformats.org/officeDocument/2006/relationships/ctrlProp" Target="../ctrlProps/ctrlProp290.xml"/><Relationship Id="rId9" Type="http://schemas.openxmlformats.org/officeDocument/2006/relationships/ctrlProp" Target="../ctrlProps/ctrlProp295.xml"/><Relationship Id="rId14" Type="http://schemas.openxmlformats.org/officeDocument/2006/relationships/ctrlProp" Target="../ctrlProps/ctrlProp300.xml"/><Relationship Id="rId22" Type="http://schemas.openxmlformats.org/officeDocument/2006/relationships/ctrlProp" Target="../ctrlProps/ctrlProp308.xml"/><Relationship Id="rId27" Type="http://schemas.openxmlformats.org/officeDocument/2006/relationships/ctrlProp" Target="../ctrlProps/ctrlProp313.xml"/><Relationship Id="rId30" Type="http://schemas.openxmlformats.org/officeDocument/2006/relationships/ctrlProp" Target="../ctrlProps/ctrlProp316.xml"/><Relationship Id="rId35" Type="http://schemas.openxmlformats.org/officeDocument/2006/relationships/ctrlProp" Target="../ctrlProps/ctrlProp321.xml"/><Relationship Id="rId43" Type="http://schemas.openxmlformats.org/officeDocument/2006/relationships/ctrlProp" Target="../ctrlProps/ctrlProp329.xml"/><Relationship Id="rId8" Type="http://schemas.openxmlformats.org/officeDocument/2006/relationships/ctrlProp" Target="../ctrlProps/ctrlProp294.xml"/><Relationship Id="rId3" Type="http://schemas.openxmlformats.org/officeDocument/2006/relationships/vmlDrawing" Target="../drawings/vmlDrawing5.vml"/><Relationship Id="rId12" Type="http://schemas.openxmlformats.org/officeDocument/2006/relationships/ctrlProp" Target="../ctrlProps/ctrlProp298.xml"/><Relationship Id="rId17" Type="http://schemas.openxmlformats.org/officeDocument/2006/relationships/ctrlProp" Target="../ctrlProps/ctrlProp303.xml"/><Relationship Id="rId25" Type="http://schemas.openxmlformats.org/officeDocument/2006/relationships/ctrlProp" Target="../ctrlProps/ctrlProp311.xml"/><Relationship Id="rId33" Type="http://schemas.openxmlformats.org/officeDocument/2006/relationships/ctrlProp" Target="../ctrlProps/ctrlProp319.xml"/><Relationship Id="rId38" Type="http://schemas.openxmlformats.org/officeDocument/2006/relationships/ctrlProp" Target="../ctrlProps/ctrlProp324.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9.xml.rels><?xml version="1.0" encoding="UTF-8" standalone="yes"?>
<Relationships xmlns="http://schemas.openxmlformats.org/package/2006/relationships"><Relationship Id="rId117" Type="http://schemas.openxmlformats.org/officeDocument/2006/relationships/ctrlProp" Target="../ctrlProps/ctrlProp444.xml"/><Relationship Id="rId21" Type="http://schemas.openxmlformats.org/officeDocument/2006/relationships/ctrlProp" Target="../ctrlProps/ctrlProp348.xml"/><Relationship Id="rId42" Type="http://schemas.openxmlformats.org/officeDocument/2006/relationships/ctrlProp" Target="../ctrlProps/ctrlProp369.xml"/><Relationship Id="rId63" Type="http://schemas.openxmlformats.org/officeDocument/2006/relationships/ctrlProp" Target="../ctrlProps/ctrlProp390.xml"/><Relationship Id="rId84" Type="http://schemas.openxmlformats.org/officeDocument/2006/relationships/ctrlProp" Target="../ctrlProps/ctrlProp411.xml"/><Relationship Id="rId138" Type="http://schemas.openxmlformats.org/officeDocument/2006/relationships/ctrlProp" Target="../ctrlProps/ctrlProp465.xml"/><Relationship Id="rId159" Type="http://schemas.openxmlformats.org/officeDocument/2006/relationships/ctrlProp" Target="../ctrlProps/ctrlProp486.xml"/><Relationship Id="rId170" Type="http://schemas.openxmlformats.org/officeDocument/2006/relationships/ctrlProp" Target="../ctrlProps/ctrlProp497.xml"/><Relationship Id="rId191" Type="http://schemas.openxmlformats.org/officeDocument/2006/relationships/ctrlProp" Target="../ctrlProps/ctrlProp518.xml"/><Relationship Id="rId107" Type="http://schemas.openxmlformats.org/officeDocument/2006/relationships/ctrlProp" Target="../ctrlProps/ctrlProp434.xml"/><Relationship Id="rId11" Type="http://schemas.openxmlformats.org/officeDocument/2006/relationships/ctrlProp" Target="../ctrlProps/ctrlProp338.xml"/><Relationship Id="rId32" Type="http://schemas.openxmlformats.org/officeDocument/2006/relationships/ctrlProp" Target="../ctrlProps/ctrlProp359.xml"/><Relationship Id="rId53" Type="http://schemas.openxmlformats.org/officeDocument/2006/relationships/ctrlProp" Target="../ctrlProps/ctrlProp380.xml"/><Relationship Id="rId74" Type="http://schemas.openxmlformats.org/officeDocument/2006/relationships/ctrlProp" Target="../ctrlProps/ctrlProp401.xml"/><Relationship Id="rId128" Type="http://schemas.openxmlformats.org/officeDocument/2006/relationships/ctrlProp" Target="../ctrlProps/ctrlProp455.xml"/><Relationship Id="rId149" Type="http://schemas.openxmlformats.org/officeDocument/2006/relationships/ctrlProp" Target="../ctrlProps/ctrlProp476.xml"/><Relationship Id="rId5" Type="http://schemas.openxmlformats.org/officeDocument/2006/relationships/ctrlProp" Target="../ctrlProps/ctrlProp332.xml"/><Relationship Id="rId95" Type="http://schemas.openxmlformats.org/officeDocument/2006/relationships/ctrlProp" Target="../ctrlProps/ctrlProp422.xml"/><Relationship Id="rId160" Type="http://schemas.openxmlformats.org/officeDocument/2006/relationships/ctrlProp" Target="../ctrlProps/ctrlProp487.xml"/><Relationship Id="rId181" Type="http://schemas.openxmlformats.org/officeDocument/2006/relationships/ctrlProp" Target="../ctrlProps/ctrlProp508.xml"/><Relationship Id="rId22" Type="http://schemas.openxmlformats.org/officeDocument/2006/relationships/ctrlProp" Target="../ctrlProps/ctrlProp349.xml"/><Relationship Id="rId43" Type="http://schemas.openxmlformats.org/officeDocument/2006/relationships/ctrlProp" Target="../ctrlProps/ctrlProp370.xml"/><Relationship Id="rId64" Type="http://schemas.openxmlformats.org/officeDocument/2006/relationships/ctrlProp" Target="../ctrlProps/ctrlProp391.xml"/><Relationship Id="rId118" Type="http://schemas.openxmlformats.org/officeDocument/2006/relationships/ctrlProp" Target="../ctrlProps/ctrlProp445.xml"/><Relationship Id="rId139" Type="http://schemas.openxmlformats.org/officeDocument/2006/relationships/ctrlProp" Target="../ctrlProps/ctrlProp466.xml"/><Relationship Id="rId85" Type="http://schemas.openxmlformats.org/officeDocument/2006/relationships/ctrlProp" Target="../ctrlProps/ctrlProp412.xml"/><Relationship Id="rId150" Type="http://schemas.openxmlformats.org/officeDocument/2006/relationships/ctrlProp" Target="../ctrlProps/ctrlProp477.xml"/><Relationship Id="rId171" Type="http://schemas.openxmlformats.org/officeDocument/2006/relationships/ctrlProp" Target="../ctrlProps/ctrlProp498.xml"/><Relationship Id="rId192" Type="http://schemas.openxmlformats.org/officeDocument/2006/relationships/ctrlProp" Target="../ctrlProps/ctrlProp519.xml"/><Relationship Id="rId12" Type="http://schemas.openxmlformats.org/officeDocument/2006/relationships/ctrlProp" Target="../ctrlProps/ctrlProp339.xml"/><Relationship Id="rId33" Type="http://schemas.openxmlformats.org/officeDocument/2006/relationships/ctrlProp" Target="../ctrlProps/ctrlProp360.xml"/><Relationship Id="rId108" Type="http://schemas.openxmlformats.org/officeDocument/2006/relationships/ctrlProp" Target="../ctrlProps/ctrlProp435.xml"/><Relationship Id="rId129" Type="http://schemas.openxmlformats.org/officeDocument/2006/relationships/ctrlProp" Target="../ctrlProps/ctrlProp456.xml"/><Relationship Id="rId54" Type="http://schemas.openxmlformats.org/officeDocument/2006/relationships/ctrlProp" Target="../ctrlProps/ctrlProp381.xml"/><Relationship Id="rId75" Type="http://schemas.openxmlformats.org/officeDocument/2006/relationships/ctrlProp" Target="../ctrlProps/ctrlProp402.xml"/><Relationship Id="rId96" Type="http://schemas.openxmlformats.org/officeDocument/2006/relationships/ctrlProp" Target="../ctrlProps/ctrlProp423.xml"/><Relationship Id="rId140" Type="http://schemas.openxmlformats.org/officeDocument/2006/relationships/ctrlProp" Target="../ctrlProps/ctrlProp467.xml"/><Relationship Id="rId161" Type="http://schemas.openxmlformats.org/officeDocument/2006/relationships/ctrlProp" Target="../ctrlProps/ctrlProp488.xml"/><Relationship Id="rId182" Type="http://schemas.openxmlformats.org/officeDocument/2006/relationships/ctrlProp" Target="../ctrlProps/ctrlProp509.xml"/><Relationship Id="rId6" Type="http://schemas.openxmlformats.org/officeDocument/2006/relationships/ctrlProp" Target="../ctrlProps/ctrlProp333.xml"/><Relationship Id="rId23" Type="http://schemas.openxmlformats.org/officeDocument/2006/relationships/ctrlProp" Target="../ctrlProps/ctrlProp350.xml"/><Relationship Id="rId119" Type="http://schemas.openxmlformats.org/officeDocument/2006/relationships/ctrlProp" Target="../ctrlProps/ctrlProp446.xml"/><Relationship Id="rId44" Type="http://schemas.openxmlformats.org/officeDocument/2006/relationships/ctrlProp" Target="../ctrlProps/ctrlProp371.xml"/><Relationship Id="rId65" Type="http://schemas.openxmlformats.org/officeDocument/2006/relationships/ctrlProp" Target="../ctrlProps/ctrlProp392.xml"/><Relationship Id="rId86" Type="http://schemas.openxmlformats.org/officeDocument/2006/relationships/ctrlProp" Target="../ctrlProps/ctrlProp413.xml"/><Relationship Id="rId130" Type="http://schemas.openxmlformats.org/officeDocument/2006/relationships/ctrlProp" Target="../ctrlProps/ctrlProp457.xml"/><Relationship Id="rId151" Type="http://schemas.openxmlformats.org/officeDocument/2006/relationships/ctrlProp" Target="../ctrlProps/ctrlProp478.xml"/><Relationship Id="rId172" Type="http://schemas.openxmlformats.org/officeDocument/2006/relationships/ctrlProp" Target="../ctrlProps/ctrlProp499.xml"/><Relationship Id="rId13" Type="http://schemas.openxmlformats.org/officeDocument/2006/relationships/ctrlProp" Target="../ctrlProps/ctrlProp340.xml"/><Relationship Id="rId18" Type="http://schemas.openxmlformats.org/officeDocument/2006/relationships/ctrlProp" Target="../ctrlProps/ctrlProp345.xml"/><Relationship Id="rId39" Type="http://schemas.openxmlformats.org/officeDocument/2006/relationships/ctrlProp" Target="../ctrlProps/ctrlProp366.xml"/><Relationship Id="rId109" Type="http://schemas.openxmlformats.org/officeDocument/2006/relationships/ctrlProp" Target="../ctrlProps/ctrlProp436.xml"/><Relationship Id="rId34" Type="http://schemas.openxmlformats.org/officeDocument/2006/relationships/ctrlProp" Target="../ctrlProps/ctrlProp361.xml"/><Relationship Id="rId50" Type="http://schemas.openxmlformats.org/officeDocument/2006/relationships/ctrlProp" Target="../ctrlProps/ctrlProp377.xml"/><Relationship Id="rId55" Type="http://schemas.openxmlformats.org/officeDocument/2006/relationships/ctrlProp" Target="../ctrlProps/ctrlProp382.xml"/><Relationship Id="rId76" Type="http://schemas.openxmlformats.org/officeDocument/2006/relationships/ctrlProp" Target="../ctrlProps/ctrlProp403.xml"/><Relationship Id="rId97" Type="http://schemas.openxmlformats.org/officeDocument/2006/relationships/ctrlProp" Target="../ctrlProps/ctrlProp424.xml"/><Relationship Id="rId104" Type="http://schemas.openxmlformats.org/officeDocument/2006/relationships/ctrlProp" Target="../ctrlProps/ctrlProp431.xml"/><Relationship Id="rId120" Type="http://schemas.openxmlformats.org/officeDocument/2006/relationships/ctrlProp" Target="../ctrlProps/ctrlProp447.xml"/><Relationship Id="rId125" Type="http://schemas.openxmlformats.org/officeDocument/2006/relationships/ctrlProp" Target="../ctrlProps/ctrlProp452.xml"/><Relationship Id="rId141" Type="http://schemas.openxmlformats.org/officeDocument/2006/relationships/ctrlProp" Target="../ctrlProps/ctrlProp468.xml"/><Relationship Id="rId146" Type="http://schemas.openxmlformats.org/officeDocument/2006/relationships/ctrlProp" Target="../ctrlProps/ctrlProp473.xml"/><Relationship Id="rId167" Type="http://schemas.openxmlformats.org/officeDocument/2006/relationships/ctrlProp" Target="../ctrlProps/ctrlProp494.xml"/><Relationship Id="rId188" Type="http://schemas.openxmlformats.org/officeDocument/2006/relationships/ctrlProp" Target="../ctrlProps/ctrlProp515.xml"/><Relationship Id="rId7" Type="http://schemas.openxmlformats.org/officeDocument/2006/relationships/ctrlProp" Target="../ctrlProps/ctrlProp334.xml"/><Relationship Id="rId71" Type="http://schemas.openxmlformats.org/officeDocument/2006/relationships/ctrlProp" Target="../ctrlProps/ctrlProp398.xml"/><Relationship Id="rId92" Type="http://schemas.openxmlformats.org/officeDocument/2006/relationships/ctrlProp" Target="../ctrlProps/ctrlProp419.xml"/><Relationship Id="rId162" Type="http://schemas.openxmlformats.org/officeDocument/2006/relationships/ctrlProp" Target="../ctrlProps/ctrlProp489.xml"/><Relationship Id="rId183" Type="http://schemas.openxmlformats.org/officeDocument/2006/relationships/ctrlProp" Target="../ctrlProps/ctrlProp510.xml"/><Relationship Id="rId2" Type="http://schemas.openxmlformats.org/officeDocument/2006/relationships/drawing" Target="../drawings/drawing12.xml"/><Relationship Id="rId29" Type="http://schemas.openxmlformats.org/officeDocument/2006/relationships/ctrlProp" Target="../ctrlProps/ctrlProp356.xml"/><Relationship Id="rId24" Type="http://schemas.openxmlformats.org/officeDocument/2006/relationships/ctrlProp" Target="../ctrlProps/ctrlProp351.xml"/><Relationship Id="rId40" Type="http://schemas.openxmlformats.org/officeDocument/2006/relationships/ctrlProp" Target="../ctrlProps/ctrlProp367.xml"/><Relationship Id="rId45" Type="http://schemas.openxmlformats.org/officeDocument/2006/relationships/ctrlProp" Target="../ctrlProps/ctrlProp372.xml"/><Relationship Id="rId66" Type="http://schemas.openxmlformats.org/officeDocument/2006/relationships/ctrlProp" Target="../ctrlProps/ctrlProp393.xml"/><Relationship Id="rId87" Type="http://schemas.openxmlformats.org/officeDocument/2006/relationships/ctrlProp" Target="../ctrlProps/ctrlProp414.xml"/><Relationship Id="rId110" Type="http://schemas.openxmlformats.org/officeDocument/2006/relationships/ctrlProp" Target="../ctrlProps/ctrlProp437.xml"/><Relationship Id="rId115" Type="http://schemas.openxmlformats.org/officeDocument/2006/relationships/ctrlProp" Target="../ctrlProps/ctrlProp442.xml"/><Relationship Id="rId131" Type="http://schemas.openxmlformats.org/officeDocument/2006/relationships/ctrlProp" Target="../ctrlProps/ctrlProp458.xml"/><Relationship Id="rId136" Type="http://schemas.openxmlformats.org/officeDocument/2006/relationships/ctrlProp" Target="../ctrlProps/ctrlProp463.xml"/><Relationship Id="rId157" Type="http://schemas.openxmlformats.org/officeDocument/2006/relationships/ctrlProp" Target="../ctrlProps/ctrlProp484.xml"/><Relationship Id="rId178" Type="http://schemas.openxmlformats.org/officeDocument/2006/relationships/ctrlProp" Target="../ctrlProps/ctrlProp505.xml"/><Relationship Id="rId61" Type="http://schemas.openxmlformats.org/officeDocument/2006/relationships/ctrlProp" Target="../ctrlProps/ctrlProp388.xml"/><Relationship Id="rId82" Type="http://schemas.openxmlformats.org/officeDocument/2006/relationships/ctrlProp" Target="../ctrlProps/ctrlProp409.xml"/><Relationship Id="rId152" Type="http://schemas.openxmlformats.org/officeDocument/2006/relationships/ctrlProp" Target="../ctrlProps/ctrlProp479.xml"/><Relationship Id="rId173" Type="http://schemas.openxmlformats.org/officeDocument/2006/relationships/ctrlProp" Target="../ctrlProps/ctrlProp500.xml"/><Relationship Id="rId19" Type="http://schemas.openxmlformats.org/officeDocument/2006/relationships/ctrlProp" Target="../ctrlProps/ctrlProp346.xml"/><Relationship Id="rId14" Type="http://schemas.openxmlformats.org/officeDocument/2006/relationships/ctrlProp" Target="../ctrlProps/ctrlProp341.xml"/><Relationship Id="rId30" Type="http://schemas.openxmlformats.org/officeDocument/2006/relationships/ctrlProp" Target="../ctrlProps/ctrlProp357.xml"/><Relationship Id="rId35" Type="http://schemas.openxmlformats.org/officeDocument/2006/relationships/ctrlProp" Target="../ctrlProps/ctrlProp362.xml"/><Relationship Id="rId56" Type="http://schemas.openxmlformats.org/officeDocument/2006/relationships/ctrlProp" Target="../ctrlProps/ctrlProp383.xml"/><Relationship Id="rId77" Type="http://schemas.openxmlformats.org/officeDocument/2006/relationships/ctrlProp" Target="../ctrlProps/ctrlProp404.xml"/><Relationship Id="rId100" Type="http://schemas.openxmlformats.org/officeDocument/2006/relationships/ctrlProp" Target="../ctrlProps/ctrlProp427.xml"/><Relationship Id="rId105" Type="http://schemas.openxmlformats.org/officeDocument/2006/relationships/ctrlProp" Target="../ctrlProps/ctrlProp432.xml"/><Relationship Id="rId126" Type="http://schemas.openxmlformats.org/officeDocument/2006/relationships/ctrlProp" Target="../ctrlProps/ctrlProp453.xml"/><Relationship Id="rId147" Type="http://schemas.openxmlformats.org/officeDocument/2006/relationships/ctrlProp" Target="../ctrlProps/ctrlProp474.xml"/><Relationship Id="rId168" Type="http://schemas.openxmlformats.org/officeDocument/2006/relationships/ctrlProp" Target="../ctrlProps/ctrlProp495.xml"/><Relationship Id="rId8" Type="http://schemas.openxmlformats.org/officeDocument/2006/relationships/ctrlProp" Target="../ctrlProps/ctrlProp335.xml"/><Relationship Id="rId51" Type="http://schemas.openxmlformats.org/officeDocument/2006/relationships/ctrlProp" Target="../ctrlProps/ctrlProp378.xml"/><Relationship Id="rId72" Type="http://schemas.openxmlformats.org/officeDocument/2006/relationships/ctrlProp" Target="../ctrlProps/ctrlProp399.xml"/><Relationship Id="rId93" Type="http://schemas.openxmlformats.org/officeDocument/2006/relationships/ctrlProp" Target="../ctrlProps/ctrlProp420.xml"/><Relationship Id="rId98" Type="http://schemas.openxmlformats.org/officeDocument/2006/relationships/ctrlProp" Target="../ctrlProps/ctrlProp425.xml"/><Relationship Id="rId121" Type="http://schemas.openxmlformats.org/officeDocument/2006/relationships/ctrlProp" Target="../ctrlProps/ctrlProp448.xml"/><Relationship Id="rId142" Type="http://schemas.openxmlformats.org/officeDocument/2006/relationships/ctrlProp" Target="../ctrlProps/ctrlProp469.xml"/><Relationship Id="rId163" Type="http://schemas.openxmlformats.org/officeDocument/2006/relationships/ctrlProp" Target="../ctrlProps/ctrlProp490.xml"/><Relationship Id="rId184" Type="http://schemas.openxmlformats.org/officeDocument/2006/relationships/ctrlProp" Target="../ctrlProps/ctrlProp511.xml"/><Relationship Id="rId189" Type="http://schemas.openxmlformats.org/officeDocument/2006/relationships/ctrlProp" Target="../ctrlProps/ctrlProp516.xml"/><Relationship Id="rId3" Type="http://schemas.openxmlformats.org/officeDocument/2006/relationships/vmlDrawing" Target="../drawings/vmlDrawing6.vml"/><Relationship Id="rId25" Type="http://schemas.openxmlformats.org/officeDocument/2006/relationships/ctrlProp" Target="../ctrlProps/ctrlProp352.xml"/><Relationship Id="rId46" Type="http://schemas.openxmlformats.org/officeDocument/2006/relationships/ctrlProp" Target="../ctrlProps/ctrlProp373.xml"/><Relationship Id="rId67" Type="http://schemas.openxmlformats.org/officeDocument/2006/relationships/ctrlProp" Target="../ctrlProps/ctrlProp394.xml"/><Relationship Id="rId116" Type="http://schemas.openxmlformats.org/officeDocument/2006/relationships/ctrlProp" Target="../ctrlProps/ctrlProp443.xml"/><Relationship Id="rId137" Type="http://schemas.openxmlformats.org/officeDocument/2006/relationships/ctrlProp" Target="../ctrlProps/ctrlProp464.xml"/><Relationship Id="rId158" Type="http://schemas.openxmlformats.org/officeDocument/2006/relationships/ctrlProp" Target="../ctrlProps/ctrlProp485.xml"/><Relationship Id="rId20" Type="http://schemas.openxmlformats.org/officeDocument/2006/relationships/ctrlProp" Target="../ctrlProps/ctrlProp347.xml"/><Relationship Id="rId41" Type="http://schemas.openxmlformats.org/officeDocument/2006/relationships/ctrlProp" Target="../ctrlProps/ctrlProp368.xml"/><Relationship Id="rId62" Type="http://schemas.openxmlformats.org/officeDocument/2006/relationships/ctrlProp" Target="../ctrlProps/ctrlProp389.xml"/><Relationship Id="rId83" Type="http://schemas.openxmlformats.org/officeDocument/2006/relationships/ctrlProp" Target="../ctrlProps/ctrlProp410.xml"/><Relationship Id="rId88" Type="http://schemas.openxmlformats.org/officeDocument/2006/relationships/ctrlProp" Target="../ctrlProps/ctrlProp415.xml"/><Relationship Id="rId111" Type="http://schemas.openxmlformats.org/officeDocument/2006/relationships/ctrlProp" Target="../ctrlProps/ctrlProp438.xml"/><Relationship Id="rId132" Type="http://schemas.openxmlformats.org/officeDocument/2006/relationships/ctrlProp" Target="../ctrlProps/ctrlProp459.xml"/><Relationship Id="rId153" Type="http://schemas.openxmlformats.org/officeDocument/2006/relationships/ctrlProp" Target="../ctrlProps/ctrlProp480.xml"/><Relationship Id="rId174" Type="http://schemas.openxmlformats.org/officeDocument/2006/relationships/ctrlProp" Target="../ctrlProps/ctrlProp501.xml"/><Relationship Id="rId179" Type="http://schemas.openxmlformats.org/officeDocument/2006/relationships/ctrlProp" Target="../ctrlProps/ctrlProp506.xml"/><Relationship Id="rId190" Type="http://schemas.openxmlformats.org/officeDocument/2006/relationships/ctrlProp" Target="../ctrlProps/ctrlProp517.xml"/><Relationship Id="rId15" Type="http://schemas.openxmlformats.org/officeDocument/2006/relationships/ctrlProp" Target="../ctrlProps/ctrlProp342.xml"/><Relationship Id="rId36" Type="http://schemas.openxmlformats.org/officeDocument/2006/relationships/ctrlProp" Target="../ctrlProps/ctrlProp363.xml"/><Relationship Id="rId57" Type="http://schemas.openxmlformats.org/officeDocument/2006/relationships/ctrlProp" Target="../ctrlProps/ctrlProp384.xml"/><Relationship Id="rId106" Type="http://schemas.openxmlformats.org/officeDocument/2006/relationships/ctrlProp" Target="../ctrlProps/ctrlProp433.xml"/><Relationship Id="rId127" Type="http://schemas.openxmlformats.org/officeDocument/2006/relationships/ctrlProp" Target="../ctrlProps/ctrlProp454.xml"/><Relationship Id="rId10" Type="http://schemas.openxmlformats.org/officeDocument/2006/relationships/ctrlProp" Target="../ctrlProps/ctrlProp337.xml"/><Relationship Id="rId31" Type="http://schemas.openxmlformats.org/officeDocument/2006/relationships/ctrlProp" Target="../ctrlProps/ctrlProp358.xml"/><Relationship Id="rId52" Type="http://schemas.openxmlformats.org/officeDocument/2006/relationships/ctrlProp" Target="../ctrlProps/ctrlProp379.xml"/><Relationship Id="rId73" Type="http://schemas.openxmlformats.org/officeDocument/2006/relationships/ctrlProp" Target="../ctrlProps/ctrlProp400.xml"/><Relationship Id="rId78" Type="http://schemas.openxmlformats.org/officeDocument/2006/relationships/ctrlProp" Target="../ctrlProps/ctrlProp405.xml"/><Relationship Id="rId94" Type="http://schemas.openxmlformats.org/officeDocument/2006/relationships/ctrlProp" Target="../ctrlProps/ctrlProp421.xml"/><Relationship Id="rId99" Type="http://schemas.openxmlformats.org/officeDocument/2006/relationships/ctrlProp" Target="../ctrlProps/ctrlProp426.xml"/><Relationship Id="rId101" Type="http://schemas.openxmlformats.org/officeDocument/2006/relationships/ctrlProp" Target="../ctrlProps/ctrlProp428.xml"/><Relationship Id="rId122" Type="http://schemas.openxmlformats.org/officeDocument/2006/relationships/ctrlProp" Target="../ctrlProps/ctrlProp449.xml"/><Relationship Id="rId143" Type="http://schemas.openxmlformats.org/officeDocument/2006/relationships/ctrlProp" Target="../ctrlProps/ctrlProp470.xml"/><Relationship Id="rId148" Type="http://schemas.openxmlformats.org/officeDocument/2006/relationships/ctrlProp" Target="../ctrlProps/ctrlProp475.xml"/><Relationship Id="rId164" Type="http://schemas.openxmlformats.org/officeDocument/2006/relationships/ctrlProp" Target="../ctrlProps/ctrlProp491.xml"/><Relationship Id="rId169" Type="http://schemas.openxmlformats.org/officeDocument/2006/relationships/ctrlProp" Target="../ctrlProps/ctrlProp496.xml"/><Relationship Id="rId185" Type="http://schemas.openxmlformats.org/officeDocument/2006/relationships/ctrlProp" Target="../ctrlProps/ctrlProp512.xml"/><Relationship Id="rId4" Type="http://schemas.openxmlformats.org/officeDocument/2006/relationships/ctrlProp" Target="../ctrlProps/ctrlProp331.xml"/><Relationship Id="rId9" Type="http://schemas.openxmlformats.org/officeDocument/2006/relationships/ctrlProp" Target="../ctrlProps/ctrlProp336.xml"/><Relationship Id="rId180" Type="http://schemas.openxmlformats.org/officeDocument/2006/relationships/ctrlProp" Target="../ctrlProps/ctrlProp507.xml"/><Relationship Id="rId26" Type="http://schemas.openxmlformats.org/officeDocument/2006/relationships/ctrlProp" Target="../ctrlProps/ctrlProp353.xml"/><Relationship Id="rId47" Type="http://schemas.openxmlformats.org/officeDocument/2006/relationships/ctrlProp" Target="../ctrlProps/ctrlProp374.xml"/><Relationship Id="rId68" Type="http://schemas.openxmlformats.org/officeDocument/2006/relationships/ctrlProp" Target="../ctrlProps/ctrlProp395.xml"/><Relationship Id="rId89" Type="http://schemas.openxmlformats.org/officeDocument/2006/relationships/ctrlProp" Target="../ctrlProps/ctrlProp416.xml"/><Relationship Id="rId112" Type="http://schemas.openxmlformats.org/officeDocument/2006/relationships/ctrlProp" Target="../ctrlProps/ctrlProp439.xml"/><Relationship Id="rId133" Type="http://schemas.openxmlformats.org/officeDocument/2006/relationships/ctrlProp" Target="../ctrlProps/ctrlProp460.xml"/><Relationship Id="rId154" Type="http://schemas.openxmlformats.org/officeDocument/2006/relationships/ctrlProp" Target="../ctrlProps/ctrlProp481.xml"/><Relationship Id="rId175" Type="http://schemas.openxmlformats.org/officeDocument/2006/relationships/ctrlProp" Target="../ctrlProps/ctrlProp502.xml"/><Relationship Id="rId16" Type="http://schemas.openxmlformats.org/officeDocument/2006/relationships/ctrlProp" Target="../ctrlProps/ctrlProp343.xml"/><Relationship Id="rId37" Type="http://schemas.openxmlformats.org/officeDocument/2006/relationships/ctrlProp" Target="../ctrlProps/ctrlProp364.xml"/><Relationship Id="rId58" Type="http://schemas.openxmlformats.org/officeDocument/2006/relationships/ctrlProp" Target="../ctrlProps/ctrlProp385.xml"/><Relationship Id="rId79" Type="http://schemas.openxmlformats.org/officeDocument/2006/relationships/ctrlProp" Target="../ctrlProps/ctrlProp406.xml"/><Relationship Id="rId102" Type="http://schemas.openxmlformats.org/officeDocument/2006/relationships/ctrlProp" Target="../ctrlProps/ctrlProp429.xml"/><Relationship Id="rId123" Type="http://schemas.openxmlformats.org/officeDocument/2006/relationships/ctrlProp" Target="../ctrlProps/ctrlProp450.xml"/><Relationship Id="rId144" Type="http://schemas.openxmlformats.org/officeDocument/2006/relationships/ctrlProp" Target="../ctrlProps/ctrlProp471.xml"/><Relationship Id="rId90" Type="http://schemas.openxmlformats.org/officeDocument/2006/relationships/ctrlProp" Target="../ctrlProps/ctrlProp417.xml"/><Relationship Id="rId165" Type="http://schemas.openxmlformats.org/officeDocument/2006/relationships/ctrlProp" Target="../ctrlProps/ctrlProp492.xml"/><Relationship Id="rId186" Type="http://schemas.openxmlformats.org/officeDocument/2006/relationships/ctrlProp" Target="../ctrlProps/ctrlProp513.xml"/><Relationship Id="rId27" Type="http://schemas.openxmlformats.org/officeDocument/2006/relationships/ctrlProp" Target="../ctrlProps/ctrlProp354.xml"/><Relationship Id="rId48" Type="http://schemas.openxmlformats.org/officeDocument/2006/relationships/ctrlProp" Target="../ctrlProps/ctrlProp375.xml"/><Relationship Id="rId69" Type="http://schemas.openxmlformats.org/officeDocument/2006/relationships/ctrlProp" Target="../ctrlProps/ctrlProp396.xml"/><Relationship Id="rId113" Type="http://schemas.openxmlformats.org/officeDocument/2006/relationships/ctrlProp" Target="../ctrlProps/ctrlProp440.xml"/><Relationship Id="rId134" Type="http://schemas.openxmlformats.org/officeDocument/2006/relationships/ctrlProp" Target="../ctrlProps/ctrlProp461.xml"/><Relationship Id="rId80" Type="http://schemas.openxmlformats.org/officeDocument/2006/relationships/ctrlProp" Target="../ctrlProps/ctrlProp407.xml"/><Relationship Id="rId155" Type="http://schemas.openxmlformats.org/officeDocument/2006/relationships/ctrlProp" Target="../ctrlProps/ctrlProp482.xml"/><Relationship Id="rId176" Type="http://schemas.openxmlformats.org/officeDocument/2006/relationships/ctrlProp" Target="../ctrlProps/ctrlProp503.xml"/><Relationship Id="rId17" Type="http://schemas.openxmlformats.org/officeDocument/2006/relationships/ctrlProp" Target="../ctrlProps/ctrlProp344.xml"/><Relationship Id="rId38" Type="http://schemas.openxmlformats.org/officeDocument/2006/relationships/ctrlProp" Target="../ctrlProps/ctrlProp365.xml"/><Relationship Id="rId59" Type="http://schemas.openxmlformats.org/officeDocument/2006/relationships/ctrlProp" Target="../ctrlProps/ctrlProp386.xml"/><Relationship Id="rId103" Type="http://schemas.openxmlformats.org/officeDocument/2006/relationships/ctrlProp" Target="../ctrlProps/ctrlProp430.xml"/><Relationship Id="rId124" Type="http://schemas.openxmlformats.org/officeDocument/2006/relationships/ctrlProp" Target="../ctrlProps/ctrlProp451.xml"/><Relationship Id="rId70" Type="http://schemas.openxmlformats.org/officeDocument/2006/relationships/ctrlProp" Target="../ctrlProps/ctrlProp397.xml"/><Relationship Id="rId91" Type="http://schemas.openxmlformats.org/officeDocument/2006/relationships/ctrlProp" Target="../ctrlProps/ctrlProp418.xml"/><Relationship Id="rId145" Type="http://schemas.openxmlformats.org/officeDocument/2006/relationships/ctrlProp" Target="../ctrlProps/ctrlProp472.xml"/><Relationship Id="rId166" Type="http://schemas.openxmlformats.org/officeDocument/2006/relationships/ctrlProp" Target="../ctrlProps/ctrlProp493.xml"/><Relationship Id="rId187" Type="http://schemas.openxmlformats.org/officeDocument/2006/relationships/ctrlProp" Target="../ctrlProps/ctrlProp514.xml"/><Relationship Id="rId1" Type="http://schemas.openxmlformats.org/officeDocument/2006/relationships/printerSettings" Target="../printerSettings/printerSettings20.bin"/><Relationship Id="rId28" Type="http://schemas.openxmlformats.org/officeDocument/2006/relationships/ctrlProp" Target="../ctrlProps/ctrlProp355.xml"/><Relationship Id="rId49" Type="http://schemas.openxmlformats.org/officeDocument/2006/relationships/ctrlProp" Target="../ctrlProps/ctrlProp376.xml"/><Relationship Id="rId114" Type="http://schemas.openxmlformats.org/officeDocument/2006/relationships/ctrlProp" Target="../ctrlProps/ctrlProp441.xml"/><Relationship Id="rId60" Type="http://schemas.openxmlformats.org/officeDocument/2006/relationships/ctrlProp" Target="../ctrlProps/ctrlProp387.xml"/><Relationship Id="rId81" Type="http://schemas.openxmlformats.org/officeDocument/2006/relationships/ctrlProp" Target="../ctrlProps/ctrlProp408.xml"/><Relationship Id="rId135" Type="http://schemas.openxmlformats.org/officeDocument/2006/relationships/ctrlProp" Target="../ctrlProps/ctrlProp462.xml"/><Relationship Id="rId156" Type="http://schemas.openxmlformats.org/officeDocument/2006/relationships/ctrlProp" Target="../ctrlProps/ctrlProp483.xml"/><Relationship Id="rId177" Type="http://schemas.openxmlformats.org/officeDocument/2006/relationships/ctrlProp" Target="../ctrlProps/ctrlProp504.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dimension ref="A1:N49"/>
  <sheetViews>
    <sheetView workbookViewId="0">
      <selection activeCell="C25" sqref="C25"/>
    </sheetView>
  </sheetViews>
  <sheetFormatPr defaultRowHeight="12.85" x14ac:dyDescent="0.35"/>
  <cols>
    <col min="2" max="2" width="8.265625" customWidth="1"/>
    <col min="3" max="3" width="10.73046875" customWidth="1"/>
  </cols>
  <sheetData>
    <row r="1" spans="1:14" ht="25.65" x14ac:dyDescent="0.35">
      <c r="A1" s="37" t="s">
        <v>176</v>
      </c>
      <c r="B1" s="37" t="s">
        <v>176</v>
      </c>
      <c r="C1" s="37" t="s">
        <v>177</v>
      </c>
      <c r="I1" t="s">
        <v>179</v>
      </c>
    </row>
    <row r="2" spans="1:14" x14ac:dyDescent="0.35">
      <c r="A2">
        <v>0</v>
      </c>
      <c r="B2">
        <v>0</v>
      </c>
      <c r="C2">
        <v>0</v>
      </c>
      <c r="D2">
        <v>3.73</v>
      </c>
      <c r="E2">
        <v>3.04</v>
      </c>
      <c r="F2">
        <v>3.21</v>
      </c>
      <c r="G2">
        <v>3.41</v>
      </c>
      <c r="H2">
        <v>3.71</v>
      </c>
      <c r="I2">
        <v>4</v>
      </c>
      <c r="J2">
        <v>4.25</v>
      </c>
      <c r="K2">
        <v>4.53</v>
      </c>
      <c r="L2" s="277"/>
      <c r="M2" t="s">
        <v>180</v>
      </c>
      <c r="N2" t="e">
        <f ca="1">TRUNC((AfspraakDatum-GebDatum)/365,0)*12+TRUNC(((AfspraakDatum-GebDatum)-365*TRUNC((AfspraakDatum-GebDatum)/365,0))/30,0)</f>
        <v>#NAME?</v>
      </c>
    </row>
    <row r="3" spans="1:14" x14ac:dyDescent="0.35">
      <c r="A3">
        <v>5.8000000000000003E-2</v>
      </c>
      <c r="B3">
        <f t="shared" ref="B3:B49" si="0">ROUND(A3,1)</f>
        <v>0.1</v>
      </c>
      <c r="C3">
        <f t="shared" ref="C3:C49" si="1">ROUND(A3*12,1)</f>
        <v>0.7</v>
      </c>
      <c r="D3">
        <v>3.73</v>
      </c>
      <c r="E3">
        <v>3.04</v>
      </c>
      <c r="F3">
        <v>3.21</v>
      </c>
      <c r="G3">
        <v>3.41</v>
      </c>
      <c r="H3">
        <v>3.71</v>
      </c>
      <c r="I3">
        <v>4</v>
      </c>
      <c r="J3">
        <v>4.25</v>
      </c>
      <c r="K3">
        <v>4.53</v>
      </c>
      <c r="L3" s="277"/>
      <c r="M3" t="s">
        <v>181</v>
      </c>
      <c r="N3">
        <v>1.5</v>
      </c>
    </row>
    <row r="4" spans="1:14" x14ac:dyDescent="0.35">
      <c r="A4">
        <v>0.115</v>
      </c>
      <c r="B4">
        <f t="shared" si="0"/>
        <v>0.1</v>
      </c>
      <c r="C4">
        <f t="shared" si="1"/>
        <v>1.4</v>
      </c>
      <c r="D4">
        <v>4.3</v>
      </c>
      <c r="E4">
        <v>3.54</v>
      </c>
      <c r="F4">
        <v>3.74</v>
      </c>
      <c r="G4">
        <v>3.97</v>
      </c>
      <c r="H4">
        <v>4.29</v>
      </c>
      <c r="I4">
        <v>4.63</v>
      </c>
      <c r="J4">
        <v>4.91</v>
      </c>
      <c r="K4">
        <v>5.22</v>
      </c>
      <c r="L4" s="277"/>
      <c r="M4" t="s">
        <v>182</v>
      </c>
    </row>
    <row r="5" spans="1:14" x14ac:dyDescent="0.35">
      <c r="A5">
        <v>0.17299999999999999</v>
      </c>
      <c r="B5">
        <f t="shared" si="0"/>
        <v>0.2</v>
      </c>
      <c r="C5">
        <f t="shared" si="1"/>
        <v>2.1</v>
      </c>
      <c r="D5">
        <v>4.8499999999999996</v>
      </c>
      <c r="E5">
        <v>3.99</v>
      </c>
      <c r="F5">
        <v>4.22</v>
      </c>
      <c r="G5">
        <v>4.49</v>
      </c>
      <c r="H5">
        <v>4.82</v>
      </c>
      <c r="I5">
        <v>5.19</v>
      </c>
      <c r="J5">
        <v>5.52</v>
      </c>
      <c r="K5">
        <v>5.87</v>
      </c>
      <c r="L5" s="278"/>
      <c r="M5" t="s">
        <v>183</v>
      </c>
    </row>
    <row r="6" spans="1:14" x14ac:dyDescent="0.35">
      <c r="A6">
        <v>0.23100000000000001</v>
      </c>
      <c r="B6">
        <f t="shared" si="0"/>
        <v>0.2</v>
      </c>
      <c r="C6">
        <f t="shared" si="1"/>
        <v>2.8</v>
      </c>
      <c r="D6">
        <v>5.35</v>
      </c>
      <c r="E6">
        <v>4.4000000000000004</v>
      </c>
      <c r="F6">
        <v>4.6500000000000004</v>
      </c>
      <c r="G6">
        <v>4.99</v>
      </c>
      <c r="H6">
        <v>5.33</v>
      </c>
      <c r="I6">
        <v>5.75</v>
      </c>
      <c r="J6">
        <v>6.11</v>
      </c>
      <c r="K6">
        <v>6.49</v>
      </c>
      <c r="L6" s="278"/>
      <c r="M6" t="s">
        <v>184</v>
      </c>
    </row>
    <row r="7" spans="1:14" x14ac:dyDescent="0.35">
      <c r="A7">
        <v>0.34599999999999997</v>
      </c>
      <c r="B7">
        <f t="shared" si="0"/>
        <v>0.3</v>
      </c>
      <c r="C7">
        <f t="shared" si="1"/>
        <v>4.2</v>
      </c>
      <c r="D7">
        <v>6.26</v>
      </c>
      <c r="E7">
        <v>5.0999999999999996</v>
      </c>
      <c r="F7">
        <v>5.47</v>
      </c>
      <c r="G7">
        <v>5.84</v>
      </c>
      <c r="H7">
        <v>6.2</v>
      </c>
      <c r="I7">
        <v>6.68</v>
      </c>
      <c r="J7">
        <v>7.09</v>
      </c>
      <c r="K7">
        <v>7.55</v>
      </c>
      <c r="L7" s="278"/>
      <c r="M7" t="s">
        <v>185</v>
      </c>
    </row>
    <row r="8" spans="1:14" x14ac:dyDescent="0.35">
      <c r="A8">
        <v>0.5</v>
      </c>
      <c r="B8">
        <f t="shared" si="0"/>
        <v>0.5</v>
      </c>
      <c r="C8">
        <f t="shared" si="1"/>
        <v>6</v>
      </c>
      <c r="D8">
        <v>7.18</v>
      </c>
      <c r="E8">
        <v>5.82</v>
      </c>
      <c r="F8">
        <v>6.31</v>
      </c>
      <c r="G8">
        <v>6.68</v>
      </c>
      <c r="H8">
        <v>7.15</v>
      </c>
      <c r="I8">
        <v>7.64</v>
      </c>
      <c r="J8">
        <v>8.1199999999999992</v>
      </c>
      <c r="K8">
        <v>8.66</v>
      </c>
      <c r="L8" s="278"/>
    </row>
    <row r="9" spans="1:14" x14ac:dyDescent="0.35">
      <c r="A9">
        <v>0.61499999999999999</v>
      </c>
      <c r="B9">
        <f t="shared" si="0"/>
        <v>0.6</v>
      </c>
      <c r="C9">
        <f t="shared" si="1"/>
        <v>7.4</v>
      </c>
      <c r="D9">
        <v>7.8</v>
      </c>
      <c r="E9">
        <v>6.34</v>
      </c>
      <c r="F9">
        <v>6.83</v>
      </c>
      <c r="G9">
        <v>7.25</v>
      </c>
      <c r="H9">
        <v>7.8</v>
      </c>
      <c r="I9">
        <v>8.3000000000000007</v>
      </c>
      <c r="J9">
        <v>8.83</v>
      </c>
      <c r="K9">
        <v>9.41</v>
      </c>
      <c r="L9" s="278"/>
    </row>
    <row r="10" spans="1:14" x14ac:dyDescent="0.35">
      <c r="A10">
        <v>0.76900000000000002</v>
      </c>
      <c r="B10">
        <f t="shared" si="0"/>
        <v>0.8</v>
      </c>
      <c r="C10">
        <f t="shared" si="1"/>
        <v>9.1999999999999993</v>
      </c>
      <c r="D10">
        <v>8.5500000000000007</v>
      </c>
      <c r="E10">
        <v>6.92</v>
      </c>
      <c r="F10">
        <v>7.45</v>
      </c>
      <c r="G10">
        <v>7.95</v>
      </c>
      <c r="H10">
        <v>8.5299999999999994</v>
      </c>
      <c r="I10">
        <v>9.09</v>
      </c>
      <c r="J10">
        <v>9.6199999999999992</v>
      </c>
      <c r="K10">
        <v>10.3</v>
      </c>
      <c r="L10" s="278"/>
    </row>
    <row r="11" spans="1:14" x14ac:dyDescent="0.35">
      <c r="A11">
        <v>0.92300000000000004</v>
      </c>
      <c r="B11">
        <f t="shared" si="0"/>
        <v>0.9</v>
      </c>
      <c r="C11">
        <f t="shared" si="1"/>
        <v>11.1</v>
      </c>
      <c r="D11">
        <v>9.1999999999999993</v>
      </c>
      <c r="E11">
        <v>7.48</v>
      </c>
      <c r="F11">
        <v>8.01</v>
      </c>
      <c r="G11">
        <v>8.52</v>
      </c>
      <c r="H11">
        <v>9.16</v>
      </c>
      <c r="I11">
        <v>9.76</v>
      </c>
      <c r="J11">
        <v>10.33</v>
      </c>
      <c r="K11">
        <v>11.06</v>
      </c>
      <c r="L11" s="278"/>
    </row>
    <row r="12" spans="1:14" x14ac:dyDescent="0.35">
      <c r="A12">
        <v>1</v>
      </c>
      <c r="B12">
        <f t="shared" si="0"/>
        <v>1</v>
      </c>
      <c r="C12">
        <f t="shared" si="1"/>
        <v>12</v>
      </c>
      <c r="D12">
        <v>9.5</v>
      </c>
      <c r="E12">
        <v>7.8</v>
      </c>
      <c r="F12">
        <v>8.3000000000000007</v>
      </c>
      <c r="G12">
        <v>8.8000000000000007</v>
      </c>
      <c r="H12">
        <v>9.5</v>
      </c>
      <c r="I12">
        <v>10.1</v>
      </c>
      <c r="J12">
        <v>10.7</v>
      </c>
      <c r="K12">
        <v>11.4</v>
      </c>
      <c r="L12" s="278"/>
    </row>
    <row r="13" spans="1:14" x14ac:dyDescent="0.35">
      <c r="A13">
        <v>1.5</v>
      </c>
      <c r="B13">
        <f t="shared" si="0"/>
        <v>1.5</v>
      </c>
      <c r="C13">
        <f t="shared" si="1"/>
        <v>18</v>
      </c>
      <c r="D13">
        <v>11.2</v>
      </c>
      <c r="E13">
        <v>9.1999999999999993</v>
      </c>
      <c r="F13">
        <v>9.6999999999999993</v>
      </c>
      <c r="G13">
        <v>10.4</v>
      </c>
      <c r="H13">
        <v>11.3</v>
      </c>
      <c r="I13">
        <v>12</v>
      </c>
      <c r="J13">
        <v>12.8</v>
      </c>
      <c r="K13">
        <v>13.5</v>
      </c>
      <c r="L13" s="278"/>
    </row>
    <row r="14" spans="1:14" x14ac:dyDescent="0.35">
      <c r="A14">
        <v>2</v>
      </c>
      <c r="B14">
        <f t="shared" si="0"/>
        <v>2</v>
      </c>
      <c r="C14">
        <f t="shared" si="1"/>
        <v>24</v>
      </c>
      <c r="D14">
        <v>12.5</v>
      </c>
      <c r="E14">
        <v>10.3</v>
      </c>
      <c r="F14">
        <v>10.8</v>
      </c>
      <c r="G14">
        <v>11.7</v>
      </c>
      <c r="H14">
        <v>12.6</v>
      </c>
      <c r="I14">
        <v>13.5</v>
      </c>
      <c r="J14">
        <v>14.3</v>
      </c>
      <c r="K14">
        <v>15.2</v>
      </c>
      <c r="L14" s="278"/>
    </row>
    <row r="15" spans="1:14" x14ac:dyDescent="0.35">
      <c r="A15">
        <v>2.5</v>
      </c>
      <c r="B15">
        <f t="shared" si="0"/>
        <v>2.5</v>
      </c>
      <c r="C15">
        <f t="shared" si="1"/>
        <v>30</v>
      </c>
      <c r="D15">
        <v>13.8</v>
      </c>
      <c r="E15">
        <v>11.2</v>
      </c>
      <c r="F15">
        <v>11.8</v>
      </c>
      <c r="G15">
        <v>12.8</v>
      </c>
      <c r="H15">
        <v>13.8</v>
      </c>
      <c r="I15">
        <v>14.7</v>
      </c>
      <c r="J15">
        <v>15.7</v>
      </c>
      <c r="K15">
        <v>16.899999999999999</v>
      </c>
      <c r="L15" s="278"/>
    </row>
    <row r="16" spans="1:14" x14ac:dyDescent="0.35">
      <c r="A16">
        <v>3</v>
      </c>
      <c r="B16">
        <f t="shared" si="0"/>
        <v>3</v>
      </c>
      <c r="C16">
        <f t="shared" si="1"/>
        <v>36</v>
      </c>
      <c r="D16">
        <v>15</v>
      </c>
      <c r="E16">
        <v>12</v>
      </c>
      <c r="F16">
        <v>12.8</v>
      </c>
      <c r="G16">
        <v>13.8</v>
      </c>
      <c r="H16">
        <v>14.9</v>
      </c>
      <c r="I16">
        <v>15.9</v>
      </c>
      <c r="J16">
        <v>17.2</v>
      </c>
      <c r="K16">
        <v>18.5</v>
      </c>
      <c r="L16" s="278"/>
    </row>
    <row r="17" spans="1:12" x14ac:dyDescent="0.35">
      <c r="A17">
        <v>3.5</v>
      </c>
      <c r="B17">
        <f t="shared" si="0"/>
        <v>3.5</v>
      </c>
      <c r="C17">
        <f t="shared" si="1"/>
        <v>42</v>
      </c>
      <c r="D17">
        <v>16.100000000000001</v>
      </c>
      <c r="E17">
        <v>12.8</v>
      </c>
      <c r="F17">
        <v>13.7</v>
      </c>
      <c r="G17">
        <v>14.7</v>
      </c>
      <c r="H17">
        <v>16</v>
      </c>
      <c r="I17">
        <v>17.100000000000001</v>
      </c>
      <c r="J17">
        <v>18.5</v>
      </c>
      <c r="K17">
        <v>20</v>
      </c>
      <c r="L17" s="278"/>
    </row>
    <row r="18" spans="1:12" x14ac:dyDescent="0.35">
      <c r="A18">
        <v>4</v>
      </c>
      <c r="B18">
        <f t="shared" si="0"/>
        <v>4</v>
      </c>
      <c r="C18">
        <f t="shared" si="1"/>
        <v>48</v>
      </c>
      <c r="D18">
        <v>17.2</v>
      </c>
      <c r="E18">
        <v>13.6</v>
      </c>
      <c r="F18">
        <v>14.6</v>
      </c>
      <c r="G18">
        <v>15.6</v>
      </c>
      <c r="H18">
        <v>17</v>
      </c>
      <c r="I18">
        <v>18.3</v>
      </c>
      <c r="J18">
        <v>19.8</v>
      </c>
      <c r="K18">
        <v>21.5</v>
      </c>
      <c r="L18" s="278"/>
    </row>
    <row r="19" spans="1:12" x14ac:dyDescent="0.35">
      <c r="A19">
        <v>4.5</v>
      </c>
      <c r="B19">
        <f t="shared" si="0"/>
        <v>4.5</v>
      </c>
      <c r="C19">
        <f t="shared" si="1"/>
        <v>54</v>
      </c>
      <c r="D19">
        <v>18.3</v>
      </c>
      <c r="E19">
        <v>14.4</v>
      </c>
      <c r="F19">
        <v>15.5</v>
      </c>
      <c r="G19">
        <v>16.5</v>
      </c>
      <c r="H19">
        <v>18</v>
      </c>
      <c r="I19">
        <v>19.399999999999999</v>
      </c>
      <c r="J19">
        <v>21</v>
      </c>
      <c r="K19">
        <v>22.9</v>
      </c>
      <c r="L19" s="278"/>
    </row>
    <row r="20" spans="1:12" x14ac:dyDescent="0.35">
      <c r="A20">
        <v>5</v>
      </c>
      <c r="B20">
        <f t="shared" si="0"/>
        <v>5</v>
      </c>
      <c r="C20">
        <f t="shared" si="1"/>
        <v>60</v>
      </c>
      <c r="D20">
        <v>19.3</v>
      </c>
      <c r="E20">
        <v>15.2</v>
      </c>
      <c r="F20">
        <v>16.3</v>
      </c>
      <c r="G20">
        <v>17.399999999999999</v>
      </c>
      <c r="H20">
        <v>19</v>
      </c>
      <c r="I20">
        <v>20.5</v>
      </c>
      <c r="J20">
        <v>22.2</v>
      </c>
      <c r="K20">
        <v>24.2</v>
      </c>
      <c r="L20" s="278"/>
    </row>
    <row r="21" spans="1:12" x14ac:dyDescent="0.35">
      <c r="A21">
        <v>5.5</v>
      </c>
      <c r="B21">
        <f t="shared" si="0"/>
        <v>5.5</v>
      </c>
      <c r="C21">
        <f t="shared" si="1"/>
        <v>66</v>
      </c>
      <c r="D21">
        <v>20.3</v>
      </c>
      <c r="E21">
        <v>15.9</v>
      </c>
      <c r="F21">
        <v>17.100000000000001</v>
      </c>
      <c r="G21">
        <v>18.399999999999999</v>
      </c>
      <c r="H21">
        <v>20</v>
      </c>
      <c r="I21">
        <v>21.6</v>
      </c>
      <c r="J21">
        <v>23.6</v>
      </c>
      <c r="K21">
        <v>25.7</v>
      </c>
      <c r="L21" s="278"/>
    </row>
    <row r="22" spans="1:12" x14ac:dyDescent="0.35">
      <c r="A22">
        <v>6</v>
      </c>
      <c r="B22">
        <f t="shared" si="0"/>
        <v>6</v>
      </c>
      <c r="C22">
        <f t="shared" si="1"/>
        <v>72</v>
      </c>
      <c r="D22">
        <v>21.4</v>
      </c>
      <c r="E22">
        <v>16.7</v>
      </c>
      <c r="F22">
        <v>17.899999999999999</v>
      </c>
      <c r="G22">
        <v>19.399999999999999</v>
      </c>
      <c r="H22">
        <v>21</v>
      </c>
      <c r="I22">
        <v>22.9</v>
      </c>
      <c r="J22">
        <v>25</v>
      </c>
      <c r="K22">
        <v>27.4</v>
      </c>
      <c r="L22" s="278"/>
    </row>
    <row r="23" spans="1:12" x14ac:dyDescent="0.35">
      <c r="A23">
        <v>6.5</v>
      </c>
      <c r="B23">
        <f t="shared" si="0"/>
        <v>6.5</v>
      </c>
      <c r="C23">
        <f t="shared" si="1"/>
        <v>78</v>
      </c>
      <c r="D23">
        <v>22.7</v>
      </c>
      <c r="E23">
        <v>17.600000000000001</v>
      </c>
      <c r="F23">
        <v>18.8</v>
      </c>
      <c r="G23">
        <v>20.5</v>
      </c>
      <c r="H23">
        <v>22.2</v>
      </c>
      <c r="I23">
        <v>24.2</v>
      </c>
      <c r="J23">
        <v>26.6</v>
      </c>
      <c r="K23">
        <v>29.3</v>
      </c>
      <c r="L23" s="278"/>
    </row>
    <row r="24" spans="1:12" x14ac:dyDescent="0.35">
      <c r="A24">
        <v>7</v>
      </c>
      <c r="B24">
        <f t="shared" si="0"/>
        <v>7</v>
      </c>
      <c r="C24">
        <f t="shared" si="1"/>
        <v>84</v>
      </c>
      <c r="D24">
        <v>24.1</v>
      </c>
      <c r="E24">
        <v>18.600000000000001</v>
      </c>
      <c r="F24">
        <v>19.899999999999999</v>
      </c>
      <c r="G24">
        <v>21.6</v>
      </c>
      <c r="H24">
        <v>23.4</v>
      </c>
      <c r="I24">
        <v>25.7</v>
      </c>
      <c r="J24">
        <v>28.3</v>
      </c>
      <c r="K24">
        <v>31.3</v>
      </c>
      <c r="L24" s="278"/>
    </row>
    <row r="25" spans="1:12" x14ac:dyDescent="0.35">
      <c r="A25">
        <v>7.5</v>
      </c>
      <c r="B25">
        <f t="shared" si="0"/>
        <v>7.5</v>
      </c>
      <c r="C25">
        <f t="shared" si="1"/>
        <v>90</v>
      </c>
      <c r="D25">
        <v>25.5</v>
      </c>
      <c r="E25">
        <v>19.600000000000001</v>
      </c>
      <c r="F25">
        <v>21.1</v>
      </c>
      <c r="G25">
        <v>22.8</v>
      </c>
      <c r="H25">
        <v>24.8</v>
      </c>
      <c r="I25">
        <v>27.2</v>
      </c>
      <c r="J25">
        <v>30.2</v>
      </c>
      <c r="K25">
        <v>33.4</v>
      </c>
      <c r="L25" s="278"/>
    </row>
    <row r="26" spans="1:12" x14ac:dyDescent="0.35">
      <c r="A26">
        <v>8</v>
      </c>
      <c r="B26">
        <f t="shared" si="0"/>
        <v>8</v>
      </c>
      <c r="C26">
        <f t="shared" si="1"/>
        <v>96</v>
      </c>
      <c r="D26">
        <v>26.9</v>
      </c>
      <c r="E26">
        <v>20.7</v>
      </c>
      <c r="F26">
        <v>22.3</v>
      </c>
      <c r="G26">
        <v>24</v>
      </c>
      <c r="H26">
        <v>26.2</v>
      </c>
      <c r="I26">
        <v>28.8</v>
      </c>
      <c r="J26">
        <v>32.1</v>
      </c>
      <c r="K26">
        <v>35.5</v>
      </c>
      <c r="L26" s="278"/>
    </row>
    <row r="27" spans="1:12" x14ac:dyDescent="0.35">
      <c r="A27">
        <v>8.5</v>
      </c>
      <c r="B27">
        <f t="shared" si="0"/>
        <v>8.5</v>
      </c>
      <c r="C27">
        <f t="shared" si="1"/>
        <v>102</v>
      </c>
      <c r="D27">
        <v>28.3</v>
      </c>
      <c r="E27">
        <v>21.7</v>
      </c>
      <c r="F27">
        <v>23.5</v>
      </c>
      <c r="G27">
        <v>25.2</v>
      </c>
      <c r="H27">
        <v>27.6</v>
      </c>
      <c r="I27">
        <v>30.5</v>
      </c>
      <c r="J27">
        <v>34</v>
      </c>
      <c r="K27">
        <v>37.9</v>
      </c>
      <c r="L27" s="278"/>
    </row>
    <row r="28" spans="1:12" x14ac:dyDescent="0.35">
      <c r="A28">
        <v>9</v>
      </c>
      <c r="B28">
        <f t="shared" si="0"/>
        <v>9</v>
      </c>
      <c r="C28">
        <f t="shared" si="1"/>
        <v>108</v>
      </c>
      <c r="D28">
        <v>29.8</v>
      </c>
      <c r="E28">
        <v>22.8</v>
      </c>
      <c r="F28">
        <v>24.7</v>
      </c>
      <c r="G28">
        <v>26.5</v>
      </c>
      <c r="H28">
        <v>29</v>
      </c>
      <c r="I28">
        <v>32.200000000000003</v>
      </c>
      <c r="J28">
        <v>36</v>
      </c>
      <c r="K28">
        <v>40.299999999999997</v>
      </c>
      <c r="L28" s="278"/>
    </row>
    <row r="29" spans="1:12" x14ac:dyDescent="0.35">
      <c r="A29">
        <v>9.5</v>
      </c>
      <c r="B29">
        <f t="shared" si="0"/>
        <v>9.5</v>
      </c>
      <c r="C29">
        <f t="shared" si="1"/>
        <v>114</v>
      </c>
      <c r="D29">
        <v>31.4</v>
      </c>
      <c r="E29">
        <v>23.8</v>
      </c>
      <c r="F29">
        <v>25.9</v>
      </c>
      <c r="G29">
        <v>27.8</v>
      </c>
      <c r="H29">
        <v>30.5</v>
      </c>
      <c r="I29">
        <v>34</v>
      </c>
      <c r="J29">
        <v>38</v>
      </c>
      <c r="K29">
        <v>42.7</v>
      </c>
      <c r="L29" s="278"/>
    </row>
    <row r="30" spans="1:12" x14ac:dyDescent="0.35">
      <c r="A30">
        <v>10</v>
      </c>
      <c r="B30">
        <f t="shared" si="0"/>
        <v>10</v>
      </c>
      <c r="C30">
        <f t="shared" si="1"/>
        <v>120</v>
      </c>
      <c r="D30">
        <v>33.200000000000003</v>
      </c>
      <c r="E30">
        <v>24.8</v>
      </c>
      <c r="F30">
        <v>27.1</v>
      </c>
      <c r="G30">
        <v>29.1</v>
      </c>
      <c r="H30">
        <v>32.1</v>
      </c>
      <c r="I30">
        <v>35.799999999999997</v>
      </c>
      <c r="J30">
        <v>40.4</v>
      </c>
      <c r="K30">
        <v>45.4</v>
      </c>
      <c r="L30" s="278"/>
    </row>
    <row r="31" spans="1:12" x14ac:dyDescent="0.35">
      <c r="A31">
        <v>10.5</v>
      </c>
      <c r="B31">
        <f t="shared" si="0"/>
        <v>10.5</v>
      </c>
      <c r="C31">
        <f t="shared" si="1"/>
        <v>126</v>
      </c>
      <c r="D31">
        <v>35.1</v>
      </c>
      <c r="E31">
        <v>25.9</v>
      </c>
      <c r="F31">
        <v>28.3</v>
      </c>
      <c r="G31">
        <v>30.5</v>
      </c>
      <c r="H31">
        <v>33.9</v>
      </c>
      <c r="I31">
        <v>37.9</v>
      </c>
      <c r="J31">
        <v>43</v>
      </c>
      <c r="K31">
        <v>48.4</v>
      </c>
      <c r="L31" s="278"/>
    </row>
    <row r="32" spans="1:12" x14ac:dyDescent="0.35">
      <c r="A32">
        <v>11</v>
      </c>
      <c r="B32">
        <f t="shared" si="0"/>
        <v>11</v>
      </c>
      <c r="C32">
        <f t="shared" si="1"/>
        <v>132</v>
      </c>
      <c r="D32">
        <v>37.200000000000003</v>
      </c>
      <c r="E32">
        <v>27.1</v>
      </c>
      <c r="F32">
        <v>29.6</v>
      </c>
      <c r="G32">
        <v>32.5</v>
      </c>
      <c r="H32">
        <v>36.200000000000003</v>
      </c>
      <c r="I32">
        <v>40.5</v>
      </c>
      <c r="J32">
        <v>46.1</v>
      </c>
      <c r="K32">
        <v>51.6</v>
      </c>
      <c r="L32" s="278"/>
    </row>
    <row r="33" spans="1:12" x14ac:dyDescent="0.35">
      <c r="A33">
        <v>11.5</v>
      </c>
      <c r="B33">
        <f t="shared" si="0"/>
        <v>11.5</v>
      </c>
      <c r="C33">
        <f t="shared" si="1"/>
        <v>138</v>
      </c>
      <c r="D33">
        <v>39.6</v>
      </c>
      <c r="E33">
        <v>28.5</v>
      </c>
      <c r="F33">
        <v>31.2</v>
      </c>
      <c r="G33">
        <v>34.5</v>
      </c>
      <c r="H33">
        <v>38.799999999999997</v>
      </c>
      <c r="I33">
        <v>43.5</v>
      </c>
      <c r="J33">
        <v>49.9</v>
      </c>
      <c r="K33">
        <v>55.5</v>
      </c>
      <c r="L33" s="278"/>
    </row>
    <row r="34" spans="1:12" x14ac:dyDescent="0.35">
      <c r="A34">
        <v>12</v>
      </c>
      <c r="B34">
        <f t="shared" si="0"/>
        <v>12</v>
      </c>
      <c r="C34">
        <f t="shared" si="1"/>
        <v>144</v>
      </c>
      <c r="D34">
        <v>42.4</v>
      </c>
      <c r="E34">
        <v>30.2</v>
      </c>
      <c r="F34">
        <v>33.1</v>
      </c>
      <c r="G34">
        <v>36.9</v>
      </c>
      <c r="H34">
        <v>41.6</v>
      </c>
      <c r="I34">
        <v>46.8</v>
      </c>
      <c r="J34">
        <v>53.9</v>
      </c>
      <c r="K34">
        <v>59.7</v>
      </c>
      <c r="L34" s="278"/>
    </row>
    <row r="35" spans="1:12" x14ac:dyDescent="0.35">
      <c r="A35">
        <v>12.5</v>
      </c>
      <c r="B35">
        <f t="shared" si="0"/>
        <v>12.5</v>
      </c>
      <c r="C35">
        <f t="shared" si="1"/>
        <v>150</v>
      </c>
      <c r="D35">
        <v>45.3</v>
      </c>
      <c r="E35">
        <v>31.9</v>
      </c>
      <c r="F35">
        <v>35.200000000000003</v>
      </c>
      <c r="G35">
        <v>39.299999999999997</v>
      </c>
      <c r="H35">
        <v>44.2</v>
      </c>
      <c r="I35">
        <v>50</v>
      </c>
      <c r="J35">
        <v>56.7</v>
      </c>
      <c r="K35">
        <v>63.7</v>
      </c>
      <c r="L35" s="278"/>
    </row>
    <row r="36" spans="1:12" x14ac:dyDescent="0.35">
      <c r="A36">
        <v>13</v>
      </c>
      <c r="B36">
        <f t="shared" si="0"/>
        <v>13</v>
      </c>
      <c r="C36">
        <f t="shared" si="1"/>
        <v>156</v>
      </c>
      <c r="D36">
        <v>47.8</v>
      </c>
      <c r="E36">
        <v>33.700000000000003</v>
      </c>
      <c r="F36">
        <v>37.5</v>
      </c>
      <c r="G36">
        <v>41.7</v>
      </c>
      <c r="H36">
        <v>46.6</v>
      </c>
      <c r="I36">
        <v>52.7</v>
      </c>
      <c r="J36">
        <v>58.9</v>
      </c>
      <c r="K36">
        <v>66.400000000000006</v>
      </c>
      <c r="L36" s="278"/>
    </row>
    <row r="37" spans="1:12" x14ac:dyDescent="0.35">
      <c r="A37">
        <v>13.5</v>
      </c>
      <c r="B37">
        <f t="shared" si="0"/>
        <v>13.5</v>
      </c>
      <c r="C37">
        <f t="shared" si="1"/>
        <v>162</v>
      </c>
      <c r="D37">
        <v>50</v>
      </c>
      <c r="E37">
        <v>35.5</v>
      </c>
      <c r="F37">
        <v>39.799999999999997</v>
      </c>
      <c r="G37">
        <v>44.1</v>
      </c>
      <c r="H37">
        <v>49</v>
      </c>
      <c r="I37">
        <v>55.2</v>
      </c>
      <c r="J37">
        <v>60.9</v>
      </c>
      <c r="K37">
        <v>68.2</v>
      </c>
      <c r="L37" s="278"/>
    </row>
    <row r="38" spans="1:12" x14ac:dyDescent="0.35">
      <c r="A38">
        <v>14</v>
      </c>
      <c r="B38">
        <f t="shared" si="0"/>
        <v>14</v>
      </c>
      <c r="C38">
        <f t="shared" si="1"/>
        <v>168</v>
      </c>
      <c r="D38">
        <v>52.1</v>
      </c>
      <c r="E38">
        <v>37.299999999999997</v>
      </c>
      <c r="F38">
        <v>41.9</v>
      </c>
      <c r="G38">
        <v>46.3</v>
      </c>
      <c r="H38">
        <v>51.2</v>
      </c>
      <c r="I38">
        <v>57.4</v>
      </c>
      <c r="J38">
        <v>63</v>
      </c>
      <c r="K38">
        <v>70</v>
      </c>
      <c r="L38" s="278"/>
    </row>
    <row r="39" spans="1:12" x14ac:dyDescent="0.35">
      <c r="A39">
        <v>14.5</v>
      </c>
      <c r="B39">
        <f t="shared" si="0"/>
        <v>14.5</v>
      </c>
      <c r="C39">
        <f t="shared" si="1"/>
        <v>174</v>
      </c>
      <c r="D39">
        <v>54.1</v>
      </c>
      <c r="E39">
        <v>39.299999999999997</v>
      </c>
      <c r="F39">
        <v>43.7</v>
      </c>
      <c r="G39">
        <v>48.1</v>
      </c>
      <c r="H39">
        <v>53</v>
      </c>
      <c r="I39">
        <v>59.1</v>
      </c>
      <c r="J39">
        <v>64.8</v>
      </c>
      <c r="K39">
        <v>71.3</v>
      </c>
      <c r="L39" s="278"/>
    </row>
    <row r="40" spans="1:12" x14ac:dyDescent="0.35">
      <c r="A40">
        <v>15</v>
      </c>
      <c r="B40">
        <f t="shared" si="0"/>
        <v>15</v>
      </c>
      <c r="C40">
        <f t="shared" si="1"/>
        <v>180</v>
      </c>
      <c r="D40">
        <v>55.6</v>
      </c>
      <c r="E40">
        <v>41.3</v>
      </c>
      <c r="F40">
        <v>45.3</v>
      </c>
      <c r="G40">
        <v>49.6</v>
      </c>
      <c r="H40">
        <v>54.5</v>
      </c>
      <c r="I40">
        <v>60.5</v>
      </c>
      <c r="J40">
        <v>66.3</v>
      </c>
      <c r="K40">
        <v>72.400000000000006</v>
      </c>
      <c r="L40" s="278"/>
    </row>
    <row r="41" spans="1:12" x14ac:dyDescent="0.35">
      <c r="A41">
        <v>15.5</v>
      </c>
      <c r="B41">
        <f t="shared" si="0"/>
        <v>15.5</v>
      </c>
      <c r="C41">
        <f t="shared" si="1"/>
        <v>186</v>
      </c>
      <c r="D41">
        <v>56.7</v>
      </c>
      <c r="E41">
        <v>43</v>
      </c>
      <c r="F41">
        <v>46.9</v>
      </c>
      <c r="G41">
        <v>50.9</v>
      </c>
      <c r="H41">
        <v>55.8</v>
      </c>
      <c r="I41">
        <v>61.6</v>
      </c>
      <c r="J41">
        <v>67.2</v>
      </c>
      <c r="K41">
        <v>73.2</v>
      </c>
      <c r="L41" s="278"/>
    </row>
    <row r="42" spans="1:12" x14ac:dyDescent="0.35">
      <c r="A42">
        <v>16</v>
      </c>
      <c r="B42">
        <f t="shared" si="0"/>
        <v>16</v>
      </c>
      <c r="C42">
        <f t="shared" si="1"/>
        <v>192</v>
      </c>
      <c r="D42">
        <v>57.5</v>
      </c>
      <c r="E42">
        <v>44.4</v>
      </c>
      <c r="F42">
        <v>48.2</v>
      </c>
      <c r="G42">
        <v>51.8</v>
      </c>
      <c r="H42">
        <v>56.6</v>
      </c>
      <c r="I42">
        <v>62.2</v>
      </c>
      <c r="J42">
        <v>67.599999999999994</v>
      </c>
      <c r="K42">
        <v>73.8</v>
      </c>
      <c r="L42" s="278"/>
    </row>
    <row r="43" spans="1:12" x14ac:dyDescent="0.35">
      <c r="A43">
        <v>16.5</v>
      </c>
      <c r="B43">
        <f t="shared" si="0"/>
        <v>16.5</v>
      </c>
      <c r="C43">
        <f t="shared" si="1"/>
        <v>198</v>
      </c>
      <c r="D43">
        <v>58</v>
      </c>
      <c r="E43">
        <v>45.6</v>
      </c>
      <c r="F43">
        <v>49.2</v>
      </c>
      <c r="G43">
        <v>52.5</v>
      </c>
      <c r="H43">
        <v>57.3</v>
      </c>
      <c r="I43">
        <v>62.6</v>
      </c>
      <c r="J43">
        <v>67.8</v>
      </c>
      <c r="K43">
        <v>74</v>
      </c>
      <c r="L43" s="278"/>
    </row>
    <row r="44" spans="1:12" x14ac:dyDescent="0.35">
      <c r="A44">
        <v>17</v>
      </c>
      <c r="B44">
        <f t="shared" si="0"/>
        <v>17</v>
      </c>
      <c r="C44">
        <f t="shared" si="1"/>
        <v>204</v>
      </c>
      <c r="D44">
        <v>58.5</v>
      </c>
      <c r="E44">
        <v>46.3</v>
      </c>
      <c r="F44">
        <v>49.9</v>
      </c>
      <c r="G44">
        <v>52.9</v>
      </c>
      <c r="H44">
        <v>57.7</v>
      </c>
      <c r="I44">
        <v>62.9</v>
      </c>
      <c r="J44">
        <v>68</v>
      </c>
      <c r="K44">
        <v>74.099999999999994</v>
      </c>
      <c r="L44" s="278"/>
    </row>
    <row r="45" spans="1:12" x14ac:dyDescent="0.35">
      <c r="A45">
        <v>17.5</v>
      </c>
      <c r="B45">
        <f t="shared" si="0"/>
        <v>17.5</v>
      </c>
      <c r="C45">
        <f t="shared" si="1"/>
        <v>210</v>
      </c>
      <c r="D45">
        <v>59</v>
      </c>
      <c r="E45">
        <v>46.8</v>
      </c>
      <c r="F45">
        <v>50.2</v>
      </c>
      <c r="G45">
        <v>53.3</v>
      </c>
      <c r="H45">
        <v>58</v>
      </c>
      <c r="I45">
        <v>63.1</v>
      </c>
      <c r="J45">
        <v>68.2</v>
      </c>
      <c r="K45">
        <v>74.099999999999994</v>
      </c>
      <c r="L45" s="278"/>
    </row>
    <row r="46" spans="1:12" x14ac:dyDescent="0.35">
      <c r="A46">
        <v>18</v>
      </c>
      <c r="B46">
        <f t="shared" si="0"/>
        <v>18</v>
      </c>
      <c r="C46">
        <f t="shared" si="1"/>
        <v>216</v>
      </c>
      <c r="D46">
        <v>59.4</v>
      </c>
      <c r="E46">
        <v>47</v>
      </c>
      <c r="F46">
        <v>50.5</v>
      </c>
      <c r="G46">
        <v>53.6</v>
      </c>
      <c r="H46">
        <v>58.3</v>
      </c>
      <c r="I46">
        <v>63.3</v>
      </c>
      <c r="J46">
        <v>68.400000000000006</v>
      </c>
      <c r="K46">
        <v>74</v>
      </c>
      <c r="L46" s="278"/>
    </row>
    <row r="47" spans="1:12" x14ac:dyDescent="0.35">
      <c r="A47">
        <v>18.5</v>
      </c>
      <c r="B47">
        <f t="shared" si="0"/>
        <v>18.5</v>
      </c>
      <c r="C47">
        <f t="shared" si="1"/>
        <v>222</v>
      </c>
      <c r="D47">
        <v>59.8</v>
      </c>
      <c r="E47">
        <v>47.2</v>
      </c>
      <c r="F47">
        <v>50.7</v>
      </c>
      <c r="G47">
        <v>53.8</v>
      </c>
      <c r="H47">
        <v>58.5</v>
      </c>
      <c r="I47">
        <v>63.5</v>
      </c>
      <c r="J47">
        <v>68.5</v>
      </c>
      <c r="K47">
        <v>73.8</v>
      </c>
      <c r="L47" s="278"/>
    </row>
    <row r="48" spans="1:12" x14ac:dyDescent="0.35">
      <c r="A48">
        <v>19</v>
      </c>
      <c r="B48">
        <f t="shared" si="0"/>
        <v>19</v>
      </c>
      <c r="C48">
        <f t="shared" si="1"/>
        <v>228</v>
      </c>
      <c r="D48">
        <v>60.2</v>
      </c>
      <c r="E48">
        <v>47.3</v>
      </c>
      <c r="F48">
        <v>50.8</v>
      </c>
      <c r="G48">
        <v>53.9</v>
      </c>
      <c r="H48">
        <v>58.6</v>
      </c>
      <c r="I48">
        <v>63.7</v>
      </c>
      <c r="J48">
        <v>68.5</v>
      </c>
      <c r="K48">
        <v>73.8</v>
      </c>
      <c r="L48" s="278"/>
    </row>
    <row r="49" spans="1:12" x14ac:dyDescent="0.35">
      <c r="A49">
        <v>19.5</v>
      </c>
      <c r="B49">
        <f t="shared" si="0"/>
        <v>19.5</v>
      </c>
      <c r="C49">
        <f t="shared" si="1"/>
        <v>234</v>
      </c>
      <c r="D49">
        <v>60.2</v>
      </c>
      <c r="E49">
        <v>47.3</v>
      </c>
      <c r="F49">
        <v>50.8</v>
      </c>
      <c r="G49">
        <v>53.9</v>
      </c>
      <c r="H49">
        <v>58.6</v>
      </c>
      <c r="I49">
        <v>63.7</v>
      </c>
      <c r="J49">
        <v>68.5</v>
      </c>
      <c r="K49">
        <v>73.8</v>
      </c>
      <c r="L49" s="278"/>
    </row>
  </sheetData>
  <phoneticPr fontId="26"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dimension ref="A1:K18"/>
  <sheetViews>
    <sheetView workbookViewId="0"/>
  </sheetViews>
  <sheetFormatPr defaultRowHeight="12.85" x14ac:dyDescent="0.35"/>
  <sheetData>
    <row r="1" spans="1:11" ht="38.450000000000003" x14ac:dyDescent="0.35">
      <c r="A1" s="37" t="s">
        <v>176</v>
      </c>
      <c r="B1" s="37" t="s">
        <v>176</v>
      </c>
      <c r="C1" s="37" t="s">
        <v>177</v>
      </c>
      <c r="I1" t="s">
        <v>178</v>
      </c>
    </row>
    <row r="2" spans="1:11" x14ac:dyDescent="0.35">
      <c r="A2">
        <v>0</v>
      </c>
      <c r="B2">
        <v>0</v>
      </c>
      <c r="C2">
        <v>0</v>
      </c>
      <c r="D2">
        <v>3.84</v>
      </c>
      <c r="E2">
        <v>3.02</v>
      </c>
      <c r="F2">
        <v>3.23</v>
      </c>
      <c r="G2">
        <v>3.52</v>
      </c>
      <c r="H2">
        <v>3.83</v>
      </c>
      <c r="I2">
        <v>4.17</v>
      </c>
      <c r="J2">
        <v>4.46</v>
      </c>
      <c r="K2">
        <v>4.8099999999999996</v>
      </c>
    </row>
    <row r="3" spans="1:11" x14ac:dyDescent="0.35">
      <c r="A3">
        <v>5.8000000000000003E-2</v>
      </c>
      <c r="B3">
        <f t="shared" ref="B3:B12" si="0">ROUND(A3,1)</f>
        <v>0.1</v>
      </c>
      <c r="C3">
        <f t="shared" ref="C3:C12" si="1">ROUND(A3*12,1)</f>
        <v>0.7</v>
      </c>
      <c r="D3">
        <v>3.84</v>
      </c>
      <c r="E3">
        <v>3.02</v>
      </c>
      <c r="F3">
        <v>3.23</v>
      </c>
      <c r="G3">
        <v>3.52</v>
      </c>
      <c r="H3">
        <v>3.83</v>
      </c>
      <c r="I3">
        <v>4.17</v>
      </c>
      <c r="J3">
        <v>4.46</v>
      </c>
      <c r="K3">
        <v>4.8099999999999996</v>
      </c>
    </row>
    <row r="4" spans="1:11" x14ac:dyDescent="0.35">
      <c r="A4">
        <v>0.115</v>
      </c>
      <c r="B4">
        <f t="shared" si="0"/>
        <v>0.1</v>
      </c>
      <c r="C4">
        <f t="shared" si="1"/>
        <v>1.4</v>
      </c>
      <c r="D4">
        <v>4.53</v>
      </c>
      <c r="E4">
        <v>3.62</v>
      </c>
      <c r="F4">
        <v>3.83</v>
      </c>
      <c r="G4">
        <v>4.1500000000000004</v>
      </c>
      <c r="H4">
        <v>4.5</v>
      </c>
      <c r="I4">
        <v>4.8499999999999996</v>
      </c>
      <c r="J4">
        <v>5.18</v>
      </c>
      <c r="K4">
        <v>5.57</v>
      </c>
    </row>
    <row r="5" spans="1:11" x14ac:dyDescent="0.35">
      <c r="A5">
        <v>0.17299999999999999</v>
      </c>
      <c r="B5">
        <f t="shared" si="0"/>
        <v>0.2</v>
      </c>
      <c r="C5">
        <f t="shared" si="1"/>
        <v>2.1</v>
      </c>
      <c r="D5">
        <v>5.13</v>
      </c>
      <c r="E5">
        <v>4.12</v>
      </c>
      <c r="F5">
        <v>4.42</v>
      </c>
      <c r="G5">
        <v>4.74</v>
      </c>
      <c r="H5">
        <v>5.13</v>
      </c>
      <c r="I5">
        <v>5.5</v>
      </c>
      <c r="J5">
        <v>5.86</v>
      </c>
      <c r="K5">
        <v>6.28</v>
      </c>
    </row>
    <row r="6" spans="1:11" x14ac:dyDescent="0.35">
      <c r="A6">
        <v>0.23100000000000001</v>
      </c>
      <c r="B6">
        <f t="shared" si="0"/>
        <v>0.2</v>
      </c>
      <c r="C6">
        <f t="shared" si="1"/>
        <v>2.8</v>
      </c>
      <c r="D6">
        <v>5.66</v>
      </c>
      <c r="E6">
        <v>4.55</v>
      </c>
      <c r="F6">
        <v>4.92</v>
      </c>
      <c r="G6">
        <v>5.23</v>
      </c>
      <c r="H6">
        <v>5.64</v>
      </c>
      <c r="I6">
        <v>6.06</v>
      </c>
      <c r="J6">
        <v>6.44</v>
      </c>
      <c r="K6">
        <v>6.89</v>
      </c>
    </row>
    <row r="7" spans="1:11" x14ac:dyDescent="0.35">
      <c r="A7">
        <v>0.34599999999999997</v>
      </c>
      <c r="B7">
        <f t="shared" si="0"/>
        <v>0.3</v>
      </c>
      <c r="C7">
        <f t="shared" si="1"/>
        <v>4.2</v>
      </c>
      <c r="D7">
        <v>6.62</v>
      </c>
      <c r="E7">
        <v>5.35</v>
      </c>
      <c r="F7">
        <v>5.77</v>
      </c>
      <c r="G7">
        <v>6.17</v>
      </c>
      <c r="H7">
        <v>6.6</v>
      </c>
      <c r="I7">
        <v>7.06</v>
      </c>
      <c r="J7">
        <v>7.51</v>
      </c>
      <c r="K7">
        <v>8</v>
      </c>
    </row>
    <row r="8" spans="1:11" x14ac:dyDescent="0.35">
      <c r="A8">
        <v>0.5</v>
      </c>
      <c r="B8">
        <f t="shared" si="0"/>
        <v>0.5</v>
      </c>
      <c r="C8">
        <f t="shared" si="1"/>
        <v>6</v>
      </c>
      <c r="D8">
        <v>7.61</v>
      </c>
      <c r="E8">
        <v>6.18</v>
      </c>
      <c r="F8">
        <v>6.62</v>
      </c>
      <c r="G8">
        <v>7.08</v>
      </c>
      <c r="H8">
        <v>7.56</v>
      </c>
      <c r="I8">
        <v>8.1</v>
      </c>
      <c r="J8">
        <v>8.6</v>
      </c>
      <c r="K8">
        <v>9.1999999999999993</v>
      </c>
    </row>
    <row r="9" spans="1:11" x14ac:dyDescent="0.35">
      <c r="A9">
        <v>0.61499999999999999</v>
      </c>
      <c r="B9">
        <f t="shared" si="0"/>
        <v>0.6</v>
      </c>
      <c r="C9">
        <f t="shared" si="1"/>
        <v>7.4</v>
      </c>
      <c r="D9">
        <v>8.24</v>
      </c>
      <c r="E9">
        <v>6.7</v>
      </c>
      <c r="F9">
        <v>7.17</v>
      </c>
      <c r="G9">
        <v>7.67</v>
      </c>
      <c r="H9">
        <v>8.1999999999999993</v>
      </c>
      <c r="I9">
        <v>8.7899999999999991</v>
      </c>
      <c r="J9">
        <v>9.32</v>
      </c>
      <c r="K9">
        <v>10</v>
      </c>
    </row>
    <row r="10" spans="1:11" x14ac:dyDescent="0.35">
      <c r="A10">
        <v>0.76900000000000002</v>
      </c>
      <c r="B10">
        <f t="shared" si="0"/>
        <v>0.8</v>
      </c>
      <c r="C10">
        <f t="shared" si="1"/>
        <v>9.1999999999999993</v>
      </c>
      <c r="D10">
        <v>9.0500000000000007</v>
      </c>
      <c r="E10">
        <v>7.4</v>
      </c>
      <c r="F10">
        <v>7.89</v>
      </c>
      <c r="G10">
        <v>8.4499999999999993</v>
      </c>
      <c r="H10">
        <v>9.02</v>
      </c>
      <c r="I10">
        <v>9.69</v>
      </c>
      <c r="J10">
        <v>10.24</v>
      </c>
      <c r="K10">
        <v>10.94</v>
      </c>
    </row>
    <row r="11" spans="1:11" x14ac:dyDescent="0.35">
      <c r="A11">
        <v>0.92300000000000004</v>
      </c>
      <c r="B11">
        <f t="shared" si="0"/>
        <v>0.9</v>
      </c>
      <c r="C11">
        <f t="shared" si="1"/>
        <v>11.1</v>
      </c>
      <c r="D11">
        <v>9.75</v>
      </c>
      <c r="E11">
        <v>8.0299999999999994</v>
      </c>
      <c r="F11">
        <v>8.5399999999999991</v>
      </c>
      <c r="G11">
        <v>9.11</v>
      </c>
      <c r="H11">
        <v>9.73</v>
      </c>
      <c r="I11">
        <v>10.44</v>
      </c>
      <c r="J11">
        <v>11.01</v>
      </c>
      <c r="K11">
        <v>11.74</v>
      </c>
    </row>
    <row r="12" spans="1:11" x14ac:dyDescent="0.35">
      <c r="A12">
        <v>1</v>
      </c>
      <c r="B12">
        <f t="shared" si="0"/>
        <v>1</v>
      </c>
      <c r="C12">
        <f t="shared" si="1"/>
        <v>12</v>
      </c>
      <c r="D12">
        <v>10.1</v>
      </c>
      <c r="E12">
        <v>8.3000000000000007</v>
      </c>
      <c r="F12">
        <v>8.8000000000000007</v>
      </c>
      <c r="G12">
        <v>9.4</v>
      </c>
      <c r="H12">
        <v>10.1</v>
      </c>
      <c r="I12">
        <v>10.8</v>
      </c>
      <c r="J12">
        <v>11.4</v>
      </c>
      <c r="K12">
        <v>12.1</v>
      </c>
    </row>
    <row r="13" spans="1:11" x14ac:dyDescent="0.35">
      <c r="B13" t="s">
        <v>180</v>
      </c>
      <c r="C13" t="e">
        <f ca="1">TRUNC((AfspraakDatum-GebDatum)/365,0)*12+TRUNC(((AfspraakDatum-GebDatum)-365*TRUNC((AfspraakDatum-GebDatum)/365,0))/30,0)</f>
        <v>#NAME?</v>
      </c>
      <c r="D13">
        <f>Gewicht/10</f>
        <v>10</v>
      </c>
    </row>
    <row r="14" spans="1:11" x14ac:dyDescent="0.35">
      <c r="B14" t="s">
        <v>181</v>
      </c>
      <c r="C14">
        <v>1.5</v>
      </c>
      <c r="D14">
        <v>3.4</v>
      </c>
    </row>
    <row r="15" spans="1:11" x14ac:dyDescent="0.35">
      <c r="B15" t="s">
        <v>182</v>
      </c>
    </row>
    <row r="16" spans="1:11" x14ac:dyDescent="0.35">
      <c r="B16" t="s">
        <v>183</v>
      </c>
    </row>
    <row r="17" spans="2:2" x14ac:dyDescent="0.35">
      <c r="B17" t="s">
        <v>184</v>
      </c>
    </row>
    <row r="18" spans="2:2" x14ac:dyDescent="0.35">
      <c r="B18" t="s">
        <v>185</v>
      </c>
    </row>
  </sheetData>
  <phoneticPr fontId="26"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dimension ref="A1:D45"/>
  <sheetViews>
    <sheetView workbookViewId="0">
      <selection activeCell="I8" sqref="I8"/>
    </sheetView>
  </sheetViews>
  <sheetFormatPr defaultRowHeight="12.85" x14ac:dyDescent="0.35"/>
  <sheetData>
    <row r="1" spans="1:4" ht="25.65" x14ac:dyDescent="0.35">
      <c r="A1" s="37" t="s">
        <v>176</v>
      </c>
      <c r="B1" t="s">
        <v>178</v>
      </c>
      <c r="C1" t="s">
        <v>179</v>
      </c>
    </row>
    <row r="2" spans="1:4" x14ac:dyDescent="0.35">
      <c r="A2" s="37">
        <v>0</v>
      </c>
      <c r="B2">
        <v>53.2</v>
      </c>
      <c r="C2">
        <v>52.7</v>
      </c>
      <c r="D2">
        <f t="shared" ref="D2:D45" si="0">(B2+C2)/2</f>
        <v>52.95</v>
      </c>
    </row>
    <row r="3" spans="1:4" x14ac:dyDescent="0.35">
      <c r="A3">
        <v>5.6599999999999998E-2</v>
      </c>
      <c r="B3">
        <v>53.2</v>
      </c>
      <c r="C3">
        <v>52.7</v>
      </c>
      <c r="D3">
        <f t="shared" si="0"/>
        <v>52.95</v>
      </c>
    </row>
    <row r="4" spans="1:4" x14ac:dyDescent="0.35">
      <c r="A4">
        <v>0.25</v>
      </c>
      <c r="B4">
        <v>61.1</v>
      </c>
      <c r="C4">
        <v>59.9</v>
      </c>
      <c r="D4">
        <f t="shared" si="0"/>
        <v>60.5</v>
      </c>
    </row>
    <row r="5" spans="1:4" x14ac:dyDescent="0.35">
      <c r="A5">
        <v>0.5</v>
      </c>
      <c r="B5">
        <v>68.099999999999994</v>
      </c>
      <c r="C5">
        <v>66.400000000000006</v>
      </c>
      <c r="D5">
        <f t="shared" si="0"/>
        <v>67.25</v>
      </c>
    </row>
    <row r="6" spans="1:4" x14ac:dyDescent="0.35">
      <c r="A6">
        <v>0.75</v>
      </c>
      <c r="B6">
        <v>72.599999999999994</v>
      </c>
      <c r="C6">
        <v>71</v>
      </c>
      <c r="D6">
        <f t="shared" si="0"/>
        <v>71.8</v>
      </c>
    </row>
    <row r="7" spans="1:4" x14ac:dyDescent="0.35">
      <c r="A7">
        <v>1</v>
      </c>
      <c r="B7">
        <v>76.400000000000006</v>
      </c>
      <c r="C7">
        <v>74.8</v>
      </c>
      <c r="D7">
        <f t="shared" si="0"/>
        <v>75.599999999999994</v>
      </c>
    </row>
    <row r="8" spans="1:4" x14ac:dyDescent="0.35">
      <c r="A8">
        <v>1.5</v>
      </c>
      <c r="B8">
        <v>82.8</v>
      </c>
      <c r="C8">
        <v>81.8</v>
      </c>
      <c r="D8">
        <f t="shared" si="0"/>
        <v>82.3</v>
      </c>
    </row>
    <row r="9" spans="1:4" x14ac:dyDescent="0.35">
      <c r="A9">
        <v>2</v>
      </c>
      <c r="B9">
        <v>88.6</v>
      </c>
      <c r="C9">
        <v>87.7</v>
      </c>
      <c r="D9">
        <f t="shared" si="0"/>
        <v>88.15</v>
      </c>
    </row>
    <row r="10" spans="1:4" x14ac:dyDescent="0.35">
      <c r="A10">
        <v>2.5</v>
      </c>
      <c r="B10">
        <v>93.7</v>
      </c>
      <c r="C10">
        <v>92.5</v>
      </c>
      <c r="D10">
        <f t="shared" si="0"/>
        <v>93.1</v>
      </c>
    </row>
    <row r="11" spans="1:4" x14ac:dyDescent="0.35">
      <c r="A11">
        <v>3</v>
      </c>
      <c r="B11">
        <v>98.2</v>
      </c>
      <c r="C11">
        <v>97</v>
      </c>
      <c r="D11">
        <f t="shared" si="0"/>
        <v>97.6</v>
      </c>
    </row>
    <row r="12" spans="1:4" x14ac:dyDescent="0.35">
      <c r="A12">
        <v>3.5</v>
      </c>
      <c r="B12">
        <v>102</v>
      </c>
      <c r="C12">
        <v>101.1</v>
      </c>
      <c r="D12">
        <f t="shared" si="0"/>
        <v>101.55</v>
      </c>
    </row>
    <row r="13" spans="1:4" x14ac:dyDescent="0.35">
      <c r="A13">
        <v>4</v>
      </c>
      <c r="B13">
        <v>105.7</v>
      </c>
      <c r="C13">
        <v>104.8</v>
      </c>
      <c r="D13">
        <f t="shared" si="0"/>
        <v>105.25</v>
      </c>
    </row>
    <row r="14" spans="1:4" x14ac:dyDescent="0.35">
      <c r="A14">
        <v>4.5</v>
      </c>
      <c r="B14">
        <v>109.2</v>
      </c>
      <c r="C14">
        <v>108.4</v>
      </c>
      <c r="D14">
        <f t="shared" si="0"/>
        <v>108.80000000000001</v>
      </c>
    </row>
    <row r="15" spans="1:4" x14ac:dyDescent="0.35">
      <c r="A15">
        <v>5</v>
      </c>
      <c r="B15">
        <v>112.4</v>
      </c>
      <c r="C15">
        <v>111.9</v>
      </c>
      <c r="D15">
        <f t="shared" si="0"/>
        <v>112.15</v>
      </c>
    </row>
    <row r="16" spans="1:4" x14ac:dyDescent="0.35">
      <c r="A16">
        <v>5.5</v>
      </c>
      <c r="B16">
        <v>115.6</v>
      </c>
      <c r="C16">
        <v>115.1</v>
      </c>
      <c r="D16">
        <f t="shared" si="0"/>
        <v>115.35</v>
      </c>
    </row>
    <row r="17" spans="1:4" x14ac:dyDescent="0.35">
      <c r="A17">
        <v>6</v>
      </c>
      <c r="B17">
        <v>118.8</v>
      </c>
      <c r="C17">
        <v>118.3</v>
      </c>
      <c r="D17">
        <f t="shared" si="0"/>
        <v>118.55</v>
      </c>
    </row>
    <row r="18" spans="1:4" x14ac:dyDescent="0.35">
      <c r="A18">
        <v>6.5</v>
      </c>
      <c r="B18">
        <v>122</v>
      </c>
      <c r="C18">
        <v>121.4</v>
      </c>
      <c r="D18">
        <f t="shared" si="0"/>
        <v>121.7</v>
      </c>
    </row>
    <row r="19" spans="1:4" x14ac:dyDescent="0.35">
      <c r="A19">
        <v>7</v>
      </c>
      <c r="B19">
        <v>125</v>
      </c>
      <c r="C19">
        <v>124.4</v>
      </c>
      <c r="D19">
        <f t="shared" si="0"/>
        <v>124.7</v>
      </c>
    </row>
    <row r="20" spans="1:4" x14ac:dyDescent="0.35">
      <c r="A20">
        <v>7.5</v>
      </c>
      <c r="B20">
        <v>128</v>
      </c>
      <c r="C20">
        <v>127.4</v>
      </c>
      <c r="D20">
        <f t="shared" si="0"/>
        <v>127.7</v>
      </c>
    </row>
    <row r="21" spans="1:4" x14ac:dyDescent="0.35">
      <c r="A21">
        <v>8</v>
      </c>
      <c r="B21">
        <v>131</v>
      </c>
      <c r="C21">
        <v>130.4</v>
      </c>
      <c r="D21">
        <f t="shared" si="0"/>
        <v>130.69999999999999</v>
      </c>
    </row>
    <row r="22" spans="1:4" x14ac:dyDescent="0.35">
      <c r="A22">
        <v>8.5</v>
      </c>
      <c r="B22">
        <v>133.80000000000001</v>
      </c>
      <c r="C22">
        <v>133.19999999999999</v>
      </c>
      <c r="D22">
        <f t="shared" si="0"/>
        <v>133.5</v>
      </c>
    </row>
    <row r="23" spans="1:4" x14ac:dyDescent="0.35">
      <c r="A23">
        <v>9</v>
      </c>
      <c r="B23">
        <v>136.6</v>
      </c>
      <c r="C23">
        <v>135.80000000000001</v>
      </c>
      <c r="D23">
        <f t="shared" si="0"/>
        <v>136.19999999999999</v>
      </c>
    </row>
    <row r="24" spans="1:4" x14ac:dyDescent="0.35">
      <c r="A24">
        <v>9.5</v>
      </c>
      <c r="B24">
        <v>139.4</v>
      </c>
      <c r="C24">
        <v>138.6</v>
      </c>
      <c r="D24">
        <f t="shared" si="0"/>
        <v>139</v>
      </c>
    </row>
    <row r="25" spans="1:4" x14ac:dyDescent="0.35">
      <c r="A25">
        <v>10</v>
      </c>
      <c r="B25">
        <v>142.19999999999999</v>
      </c>
      <c r="C25">
        <v>141.4</v>
      </c>
      <c r="D25">
        <f t="shared" si="0"/>
        <v>141.80000000000001</v>
      </c>
    </row>
    <row r="26" spans="1:4" x14ac:dyDescent="0.35">
      <c r="A26">
        <v>10.5</v>
      </c>
      <c r="B26">
        <v>144.80000000000001</v>
      </c>
      <c r="C26">
        <v>144.19999999999999</v>
      </c>
      <c r="D26">
        <f t="shared" si="0"/>
        <v>144.5</v>
      </c>
    </row>
    <row r="27" spans="1:4" x14ac:dyDescent="0.35">
      <c r="A27">
        <v>11</v>
      </c>
      <c r="B27">
        <v>147.30000000000001</v>
      </c>
      <c r="C27">
        <v>147.19999999999999</v>
      </c>
      <c r="D27">
        <f t="shared" si="0"/>
        <v>147.25</v>
      </c>
    </row>
    <row r="28" spans="1:4" x14ac:dyDescent="0.35">
      <c r="A28">
        <v>11.5</v>
      </c>
      <c r="B28">
        <v>149.69999999999999</v>
      </c>
      <c r="C28">
        <v>150.6</v>
      </c>
      <c r="D28">
        <f t="shared" si="0"/>
        <v>150.14999999999998</v>
      </c>
    </row>
    <row r="29" spans="1:4" x14ac:dyDescent="0.35">
      <c r="A29">
        <v>12</v>
      </c>
      <c r="B29">
        <v>152.1</v>
      </c>
      <c r="C29">
        <v>154.4</v>
      </c>
      <c r="D29">
        <f t="shared" si="0"/>
        <v>153.25</v>
      </c>
    </row>
    <row r="30" spans="1:4" x14ac:dyDescent="0.35">
      <c r="A30">
        <v>12.5</v>
      </c>
      <c r="B30">
        <v>154.5</v>
      </c>
      <c r="C30">
        <v>158</v>
      </c>
      <c r="D30">
        <f t="shared" si="0"/>
        <v>156.25</v>
      </c>
    </row>
    <row r="31" spans="1:4" x14ac:dyDescent="0.35">
      <c r="A31">
        <v>13</v>
      </c>
      <c r="B31">
        <v>157.5</v>
      </c>
      <c r="C31">
        <v>160.6</v>
      </c>
      <c r="D31">
        <f t="shared" si="0"/>
        <v>159.05000000000001</v>
      </c>
    </row>
    <row r="32" spans="1:4" x14ac:dyDescent="0.35">
      <c r="A32">
        <v>13.5</v>
      </c>
      <c r="B32">
        <v>161.4</v>
      </c>
      <c r="C32">
        <v>162.5</v>
      </c>
      <c r="D32">
        <f t="shared" si="0"/>
        <v>161.94999999999999</v>
      </c>
    </row>
    <row r="33" spans="1:4" x14ac:dyDescent="0.35">
      <c r="A33">
        <v>14</v>
      </c>
      <c r="B33">
        <v>165.8</v>
      </c>
      <c r="C33">
        <v>164</v>
      </c>
      <c r="D33">
        <f t="shared" si="0"/>
        <v>164.9</v>
      </c>
    </row>
    <row r="34" spans="1:4" x14ac:dyDescent="0.35">
      <c r="A34">
        <v>14.5</v>
      </c>
      <c r="B34">
        <v>169.6</v>
      </c>
      <c r="C34">
        <v>165.3</v>
      </c>
      <c r="D34">
        <f t="shared" si="0"/>
        <v>167.45</v>
      </c>
    </row>
    <row r="35" spans="1:4" x14ac:dyDescent="0.35">
      <c r="A35">
        <v>15</v>
      </c>
      <c r="B35">
        <v>173.2</v>
      </c>
      <c r="C35">
        <v>166.4</v>
      </c>
      <c r="D35">
        <f t="shared" si="0"/>
        <v>169.8</v>
      </c>
    </row>
    <row r="36" spans="1:4" x14ac:dyDescent="0.35">
      <c r="A36">
        <v>15.5</v>
      </c>
      <c r="B36">
        <v>175.7</v>
      </c>
      <c r="C36">
        <v>167.3</v>
      </c>
      <c r="D36">
        <f t="shared" si="0"/>
        <v>171.5</v>
      </c>
    </row>
    <row r="37" spans="1:4" x14ac:dyDescent="0.35">
      <c r="A37">
        <v>16</v>
      </c>
      <c r="B37">
        <v>177.4</v>
      </c>
      <c r="C37">
        <v>167.7</v>
      </c>
      <c r="D37">
        <f t="shared" si="0"/>
        <v>172.55</v>
      </c>
    </row>
    <row r="38" spans="1:4" x14ac:dyDescent="0.35">
      <c r="A38">
        <v>16.5</v>
      </c>
      <c r="B38">
        <v>178.6</v>
      </c>
      <c r="C38">
        <v>167.9</v>
      </c>
      <c r="D38">
        <f t="shared" si="0"/>
        <v>173.25</v>
      </c>
    </row>
    <row r="39" spans="1:4" x14ac:dyDescent="0.35">
      <c r="A39">
        <v>17</v>
      </c>
      <c r="B39">
        <v>179.6</v>
      </c>
      <c r="C39">
        <v>168</v>
      </c>
      <c r="D39">
        <f t="shared" si="0"/>
        <v>173.8</v>
      </c>
    </row>
    <row r="40" spans="1:4" x14ac:dyDescent="0.35">
      <c r="A40">
        <v>17.5</v>
      </c>
      <c r="B40">
        <v>180.3</v>
      </c>
      <c r="C40">
        <v>168.1</v>
      </c>
      <c r="D40">
        <f t="shared" si="0"/>
        <v>174.2</v>
      </c>
    </row>
    <row r="41" spans="1:4" x14ac:dyDescent="0.35">
      <c r="A41">
        <v>18</v>
      </c>
      <c r="B41">
        <v>180.9</v>
      </c>
      <c r="C41">
        <v>168.2</v>
      </c>
      <c r="D41">
        <f t="shared" si="0"/>
        <v>174.55</v>
      </c>
    </row>
    <row r="42" spans="1:4" x14ac:dyDescent="0.35">
      <c r="A42">
        <v>18.5</v>
      </c>
      <c r="B42">
        <v>181.4</v>
      </c>
      <c r="C42">
        <v>168.3</v>
      </c>
      <c r="D42">
        <f t="shared" si="0"/>
        <v>174.85000000000002</v>
      </c>
    </row>
    <row r="43" spans="1:4" x14ac:dyDescent="0.35">
      <c r="A43">
        <v>19</v>
      </c>
      <c r="B43">
        <v>181.8</v>
      </c>
      <c r="C43">
        <v>168.3</v>
      </c>
      <c r="D43">
        <f t="shared" si="0"/>
        <v>175.05</v>
      </c>
    </row>
    <row r="44" spans="1:4" x14ac:dyDescent="0.35">
      <c r="A44">
        <v>19.5</v>
      </c>
      <c r="B44">
        <v>182</v>
      </c>
      <c r="C44">
        <v>168.3</v>
      </c>
      <c r="D44">
        <f t="shared" si="0"/>
        <v>175.15</v>
      </c>
    </row>
    <row r="45" spans="1:4" x14ac:dyDescent="0.35">
      <c r="A45">
        <v>20</v>
      </c>
      <c r="B45">
        <v>182</v>
      </c>
      <c r="C45">
        <v>168.3</v>
      </c>
      <c r="D45">
        <f t="shared" si="0"/>
        <v>175.15</v>
      </c>
    </row>
  </sheetData>
  <phoneticPr fontId="26"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dimension ref="A1:T49"/>
  <sheetViews>
    <sheetView workbookViewId="0">
      <selection sqref="A1:C65536"/>
    </sheetView>
  </sheetViews>
  <sheetFormatPr defaultRowHeight="12.85" x14ac:dyDescent="0.35"/>
  <cols>
    <col min="2" max="2" width="8.265625" customWidth="1"/>
    <col min="3" max="3" width="10.73046875" customWidth="1"/>
  </cols>
  <sheetData>
    <row r="1" spans="1:20" ht="25.65" x14ac:dyDescent="0.35">
      <c r="A1" s="37" t="s">
        <v>176</v>
      </c>
      <c r="B1" s="37" t="s">
        <v>176</v>
      </c>
      <c r="C1" s="37" t="s">
        <v>177</v>
      </c>
      <c r="I1" t="s">
        <v>178</v>
      </c>
      <c r="P1" t="s">
        <v>179</v>
      </c>
    </row>
    <row r="2" spans="1:20" x14ac:dyDescent="0.35">
      <c r="A2">
        <v>0</v>
      </c>
      <c r="B2">
        <v>0</v>
      </c>
      <c r="C2">
        <v>0</v>
      </c>
      <c r="D2">
        <v>3.84</v>
      </c>
      <c r="E2">
        <v>3.02</v>
      </c>
      <c r="F2">
        <v>3.23</v>
      </c>
      <c r="G2">
        <v>3.52</v>
      </c>
      <c r="H2">
        <v>3.83</v>
      </c>
      <c r="I2">
        <v>4.17</v>
      </c>
      <c r="J2">
        <v>4.46</v>
      </c>
      <c r="K2">
        <v>4.8099999999999996</v>
      </c>
      <c r="L2">
        <v>3.73</v>
      </c>
      <c r="M2">
        <v>3.04</v>
      </c>
      <c r="N2">
        <v>3.21</v>
      </c>
      <c r="O2">
        <v>3.41</v>
      </c>
      <c r="P2">
        <v>3.71</v>
      </c>
      <c r="Q2">
        <v>4</v>
      </c>
      <c r="R2">
        <v>4.25</v>
      </c>
      <c r="S2">
        <v>4.53</v>
      </c>
      <c r="T2" s="277">
        <f t="shared" ref="T2:T49" si="0">(D2+L2)/2</f>
        <v>3.7850000000000001</v>
      </c>
    </row>
    <row r="3" spans="1:20" x14ac:dyDescent="0.35">
      <c r="A3">
        <v>5.8000000000000003E-2</v>
      </c>
      <c r="B3">
        <f t="shared" ref="B3:B49" si="1">ROUND(A3,1)</f>
        <v>0.1</v>
      </c>
      <c r="C3">
        <f t="shared" ref="C3:C49" si="2">ROUND(A3*12,1)</f>
        <v>0.7</v>
      </c>
      <c r="D3">
        <v>3.84</v>
      </c>
      <c r="E3">
        <v>3.02</v>
      </c>
      <c r="F3">
        <v>3.23</v>
      </c>
      <c r="G3">
        <v>3.52</v>
      </c>
      <c r="H3">
        <v>3.83</v>
      </c>
      <c r="I3">
        <v>4.17</v>
      </c>
      <c r="J3">
        <v>4.46</v>
      </c>
      <c r="K3">
        <v>4.8099999999999996</v>
      </c>
      <c r="L3">
        <v>3.73</v>
      </c>
      <c r="M3">
        <v>3.04</v>
      </c>
      <c r="N3">
        <v>3.21</v>
      </c>
      <c r="O3">
        <v>3.41</v>
      </c>
      <c r="P3">
        <v>3.71</v>
      </c>
      <c r="Q3">
        <v>4</v>
      </c>
      <c r="R3">
        <v>4.25</v>
      </c>
      <c r="S3">
        <v>4.53</v>
      </c>
      <c r="T3" s="277">
        <f t="shared" si="0"/>
        <v>3.7850000000000001</v>
      </c>
    </row>
    <row r="4" spans="1:20" x14ac:dyDescent="0.35">
      <c r="A4">
        <v>0.115</v>
      </c>
      <c r="B4">
        <f t="shared" si="1"/>
        <v>0.1</v>
      </c>
      <c r="C4">
        <f t="shared" si="2"/>
        <v>1.4</v>
      </c>
      <c r="D4">
        <v>4.53</v>
      </c>
      <c r="E4">
        <v>3.62</v>
      </c>
      <c r="F4">
        <v>3.83</v>
      </c>
      <c r="G4">
        <v>4.1500000000000004</v>
      </c>
      <c r="H4">
        <v>4.5</v>
      </c>
      <c r="I4">
        <v>4.8499999999999996</v>
      </c>
      <c r="J4">
        <v>5.18</v>
      </c>
      <c r="K4">
        <v>5.57</v>
      </c>
      <c r="L4">
        <v>4.3</v>
      </c>
      <c r="M4">
        <v>3.54</v>
      </c>
      <c r="N4">
        <v>3.74</v>
      </c>
      <c r="O4">
        <v>3.97</v>
      </c>
      <c r="P4">
        <v>4.29</v>
      </c>
      <c r="Q4">
        <v>4.63</v>
      </c>
      <c r="R4">
        <v>4.91</v>
      </c>
      <c r="S4">
        <v>5.22</v>
      </c>
      <c r="T4" s="277">
        <f t="shared" si="0"/>
        <v>4.415</v>
      </c>
    </row>
    <row r="5" spans="1:20" x14ac:dyDescent="0.35">
      <c r="A5">
        <v>0.17299999999999999</v>
      </c>
      <c r="B5">
        <f t="shared" si="1"/>
        <v>0.2</v>
      </c>
      <c r="C5">
        <f t="shared" si="2"/>
        <v>2.1</v>
      </c>
      <c r="D5">
        <v>5.13</v>
      </c>
      <c r="E5">
        <v>4.12</v>
      </c>
      <c r="F5">
        <v>4.42</v>
      </c>
      <c r="G5">
        <v>4.74</v>
      </c>
      <c r="H5">
        <v>5.13</v>
      </c>
      <c r="I5">
        <v>5.5</v>
      </c>
      <c r="J5">
        <v>5.86</v>
      </c>
      <c r="K5">
        <v>6.28</v>
      </c>
      <c r="L5">
        <v>4.8499999999999996</v>
      </c>
      <c r="M5">
        <v>3.99</v>
      </c>
      <c r="N5">
        <v>4.22</v>
      </c>
      <c r="O5">
        <v>4.49</v>
      </c>
      <c r="P5">
        <v>4.82</v>
      </c>
      <c r="Q5">
        <v>5.19</v>
      </c>
      <c r="R5">
        <v>5.52</v>
      </c>
      <c r="S5">
        <v>5.87</v>
      </c>
      <c r="T5" s="278">
        <f t="shared" si="0"/>
        <v>4.99</v>
      </c>
    </row>
    <row r="6" spans="1:20" x14ac:dyDescent="0.35">
      <c r="A6">
        <v>0.23100000000000001</v>
      </c>
      <c r="B6">
        <f t="shared" si="1"/>
        <v>0.2</v>
      </c>
      <c r="C6">
        <f t="shared" si="2"/>
        <v>2.8</v>
      </c>
      <c r="D6">
        <v>5.66</v>
      </c>
      <c r="E6">
        <v>4.55</v>
      </c>
      <c r="F6">
        <v>4.92</v>
      </c>
      <c r="G6">
        <v>5.23</v>
      </c>
      <c r="H6">
        <v>5.64</v>
      </c>
      <c r="I6">
        <v>6.06</v>
      </c>
      <c r="J6">
        <v>6.44</v>
      </c>
      <c r="K6">
        <v>6.89</v>
      </c>
      <c r="L6">
        <v>5.35</v>
      </c>
      <c r="M6">
        <v>4.4000000000000004</v>
      </c>
      <c r="N6">
        <v>4.6500000000000004</v>
      </c>
      <c r="O6">
        <v>4.99</v>
      </c>
      <c r="P6">
        <v>5.33</v>
      </c>
      <c r="Q6">
        <v>5.75</v>
      </c>
      <c r="R6">
        <v>6.11</v>
      </c>
      <c r="S6">
        <v>6.49</v>
      </c>
      <c r="T6" s="278">
        <f t="shared" si="0"/>
        <v>5.5049999999999999</v>
      </c>
    </row>
    <row r="7" spans="1:20" x14ac:dyDescent="0.35">
      <c r="A7">
        <v>0.34599999999999997</v>
      </c>
      <c r="B7">
        <f t="shared" si="1"/>
        <v>0.3</v>
      </c>
      <c r="C7">
        <f t="shared" si="2"/>
        <v>4.2</v>
      </c>
      <c r="D7">
        <v>6.62</v>
      </c>
      <c r="E7">
        <v>5.35</v>
      </c>
      <c r="F7">
        <v>5.77</v>
      </c>
      <c r="G7">
        <v>6.17</v>
      </c>
      <c r="H7">
        <v>6.6</v>
      </c>
      <c r="I7">
        <v>7.06</v>
      </c>
      <c r="J7">
        <v>7.51</v>
      </c>
      <c r="K7">
        <v>8</v>
      </c>
      <c r="L7">
        <v>6.26</v>
      </c>
      <c r="M7">
        <v>5.0999999999999996</v>
      </c>
      <c r="N7">
        <v>5.47</v>
      </c>
      <c r="O7">
        <v>5.84</v>
      </c>
      <c r="P7">
        <v>6.2</v>
      </c>
      <c r="Q7">
        <v>6.68</v>
      </c>
      <c r="R7">
        <v>7.09</v>
      </c>
      <c r="S7">
        <v>7.55</v>
      </c>
      <c r="T7" s="278">
        <f t="shared" si="0"/>
        <v>6.4399999999999995</v>
      </c>
    </row>
    <row r="8" spans="1:20" x14ac:dyDescent="0.35">
      <c r="A8">
        <v>0.5</v>
      </c>
      <c r="B8">
        <f t="shared" si="1"/>
        <v>0.5</v>
      </c>
      <c r="C8">
        <f t="shared" si="2"/>
        <v>6</v>
      </c>
      <c r="D8">
        <v>7.61</v>
      </c>
      <c r="E8">
        <v>6.18</v>
      </c>
      <c r="F8">
        <v>6.62</v>
      </c>
      <c r="G8">
        <v>7.08</v>
      </c>
      <c r="H8">
        <v>7.56</v>
      </c>
      <c r="I8">
        <v>8.1</v>
      </c>
      <c r="J8">
        <v>8.6</v>
      </c>
      <c r="K8">
        <v>9.1999999999999993</v>
      </c>
      <c r="L8">
        <v>7.18</v>
      </c>
      <c r="M8">
        <v>5.82</v>
      </c>
      <c r="N8">
        <v>6.31</v>
      </c>
      <c r="O8">
        <v>6.68</v>
      </c>
      <c r="P8">
        <v>7.15</v>
      </c>
      <c r="Q8">
        <v>7.64</v>
      </c>
      <c r="R8">
        <v>8.1199999999999992</v>
      </c>
      <c r="S8">
        <v>8.66</v>
      </c>
      <c r="T8" s="278">
        <f t="shared" si="0"/>
        <v>7.3949999999999996</v>
      </c>
    </row>
    <row r="9" spans="1:20" x14ac:dyDescent="0.35">
      <c r="A9">
        <v>0.61499999999999999</v>
      </c>
      <c r="B9">
        <f t="shared" si="1"/>
        <v>0.6</v>
      </c>
      <c r="C9">
        <f t="shared" si="2"/>
        <v>7.4</v>
      </c>
      <c r="D9">
        <v>8.24</v>
      </c>
      <c r="E9">
        <v>6.7</v>
      </c>
      <c r="F9">
        <v>7.17</v>
      </c>
      <c r="G9">
        <v>7.67</v>
      </c>
      <c r="H9">
        <v>8.1999999999999993</v>
      </c>
      <c r="I9">
        <v>8.7899999999999991</v>
      </c>
      <c r="J9">
        <v>9.32</v>
      </c>
      <c r="K9">
        <v>10</v>
      </c>
      <c r="L9">
        <v>7.8</v>
      </c>
      <c r="M9">
        <v>6.34</v>
      </c>
      <c r="N9">
        <v>6.83</v>
      </c>
      <c r="O9">
        <v>7.25</v>
      </c>
      <c r="P9">
        <v>7.8</v>
      </c>
      <c r="Q9">
        <v>8.3000000000000007</v>
      </c>
      <c r="R9">
        <v>8.83</v>
      </c>
      <c r="S9">
        <v>9.41</v>
      </c>
      <c r="T9" s="278">
        <f t="shared" si="0"/>
        <v>8.02</v>
      </c>
    </row>
    <row r="10" spans="1:20" x14ac:dyDescent="0.35">
      <c r="A10">
        <v>0.76900000000000002</v>
      </c>
      <c r="B10">
        <f t="shared" si="1"/>
        <v>0.8</v>
      </c>
      <c r="C10">
        <f t="shared" si="2"/>
        <v>9.1999999999999993</v>
      </c>
      <c r="D10">
        <v>9.0500000000000007</v>
      </c>
      <c r="E10">
        <v>7.4</v>
      </c>
      <c r="F10">
        <v>7.89</v>
      </c>
      <c r="G10">
        <v>8.4499999999999993</v>
      </c>
      <c r="H10">
        <v>9.02</v>
      </c>
      <c r="I10">
        <v>9.69</v>
      </c>
      <c r="J10">
        <v>10.24</v>
      </c>
      <c r="K10">
        <v>10.94</v>
      </c>
      <c r="L10">
        <v>8.5500000000000007</v>
      </c>
      <c r="M10">
        <v>6.92</v>
      </c>
      <c r="N10">
        <v>7.45</v>
      </c>
      <c r="O10">
        <v>7.95</v>
      </c>
      <c r="P10">
        <v>8.5299999999999994</v>
      </c>
      <c r="Q10">
        <v>9.09</v>
      </c>
      <c r="R10">
        <v>9.6199999999999992</v>
      </c>
      <c r="S10">
        <v>10.3</v>
      </c>
      <c r="T10" s="278">
        <f t="shared" si="0"/>
        <v>8.8000000000000007</v>
      </c>
    </row>
    <row r="11" spans="1:20" x14ac:dyDescent="0.35">
      <c r="A11">
        <v>0.92300000000000004</v>
      </c>
      <c r="B11">
        <f t="shared" si="1"/>
        <v>0.9</v>
      </c>
      <c r="C11">
        <f t="shared" si="2"/>
        <v>11.1</v>
      </c>
      <c r="D11">
        <v>9.75</v>
      </c>
      <c r="E11">
        <v>8.0299999999999994</v>
      </c>
      <c r="F11">
        <v>8.5399999999999991</v>
      </c>
      <c r="G11">
        <v>9.11</v>
      </c>
      <c r="H11">
        <v>9.73</v>
      </c>
      <c r="I11">
        <v>10.44</v>
      </c>
      <c r="J11">
        <v>11.01</v>
      </c>
      <c r="K11">
        <v>11.74</v>
      </c>
      <c r="L11">
        <v>9.1999999999999993</v>
      </c>
      <c r="M11">
        <v>7.48</v>
      </c>
      <c r="N11">
        <v>8.01</v>
      </c>
      <c r="O11">
        <v>8.52</v>
      </c>
      <c r="P11">
        <v>9.16</v>
      </c>
      <c r="Q11">
        <v>9.76</v>
      </c>
      <c r="R11">
        <v>10.33</v>
      </c>
      <c r="S11">
        <v>11.06</v>
      </c>
      <c r="T11" s="278">
        <f t="shared" si="0"/>
        <v>9.4749999999999996</v>
      </c>
    </row>
    <row r="12" spans="1:20" x14ac:dyDescent="0.35">
      <c r="A12">
        <v>1</v>
      </c>
      <c r="B12">
        <f t="shared" si="1"/>
        <v>1</v>
      </c>
      <c r="C12">
        <f t="shared" si="2"/>
        <v>12</v>
      </c>
      <c r="D12">
        <v>10.1</v>
      </c>
      <c r="E12">
        <v>8.3000000000000007</v>
      </c>
      <c r="F12">
        <v>8.8000000000000007</v>
      </c>
      <c r="G12">
        <v>9.4</v>
      </c>
      <c r="H12">
        <v>10.1</v>
      </c>
      <c r="I12">
        <v>10.8</v>
      </c>
      <c r="J12">
        <v>11.4</v>
      </c>
      <c r="K12">
        <v>12.1</v>
      </c>
      <c r="L12">
        <v>9.5</v>
      </c>
      <c r="M12">
        <v>7.8</v>
      </c>
      <c r="N12">
        <v>8.3000000000000007</v>
      </c>
      <c r="O12">
        <v>8.8000000000000007</v>
      </c>
      <c r="P12">
        <v>9.5</v>
      </c>
      <c r="Q12">
        <v>10.1</v>
      </c>
      <c r="R12">
        <v>10.7</v>
      </c>
      <c r="S12">
        <v>11.4</v>
      </c>
      <c r="T12" s="278">
        <f t="shared" si="0"/>
        <v>9.8000000000000007</v>
      </c>
    </row>
    <row r="13" spans="1:20" x14ac:dyDescent="0.35">
      <c r="A13">
        <v>1.5</v>
      </c>
      <c r="B13">
        <f t="shared" si="1"/>
        <v>1.5</v>
      </c>
      <c r="C13">
        <f t="shared" si="2"/>
        <v>18</v>
      </c>
      <c r="D13">
        <v>11.8</v>
      </c>
      <c r="E13">
        <v>9.6999999999999993</v>
      </c>
      <c r="F13">
        <v>10.3</v>
      </c>
      <c r="G13">
        <v>11</v>
      </c>
      <c r="H13">
        <v>11.8</v>
      </c>
      <c r="I13">
        <v>12.6</v>
      </c>
      <c r="J13">
        <v>13.3</v>
      </c>
      <c r="K13">
        <v>14.1</v>
      </c>
      <c r="L13">
        <v>11.2</v>
      </c>
      <c r="M13">
        <v>9.1999999999999993</v>
      </c>
      <c r="N13">
        <v>9.6999999999999993</v>
      </c>
      <c r="O13">
        <v>10.4</v>
      </c>
      <c r="P13">
        <v>11.3</v>
      </c>
      <c r="Q13">
        <v>12</v>
      </c>
      <c r="R13">
        <v>12.8</v>
      </c>
      <c r="S13">
        <v>13.5</v>
      </c>
      <c r="T13" s="278">
        <f t="shared" si="0"/>
        <v>11.5</v>
      </c>
    </row>
    <row r="14" spans="1:20" x14ac:dyDescent="0.35">
      <c r="A14">
        <v>2</v>
      </c>
      <c r="B14">
        <f t="shared" si="1"/>
        <v>2</v>
      </c>
      <c r="C14">
        <f t="shared" si="2"/>
        <v>24</v>
      </c>
      <c r="D14">
        <v>13.1</v>
      </c>
      <c r="E14">
        <v>10.7</v>
      </c>
      <c r="F14">
        <v>11.4</v>
      </c>
      <c r="G14">
        <v>12.3</v>
      </c>
      <c r="H14">
        <v>13.1</v>
      </c>
      <c r="I14">
        <v>14</v>
      </c>
      <c r="J14">
        <v>14.9</v>
      </c>
      <c r="K14">
        <v>15.8</v>
      </c>
      <c r="L14">
        <v>12.5</v>
      </c>
      <c r="M14">
        <v>10.3</v>
      </c>
      <c r="N14">
        <v>10.8</v>
      </c>
      <c r="O14">
        <v>11.7</v>
      </c>
      <c r="P14">
        <v>12.6</v>
      </c>
      <c r="Q14">
        <v>13.5</v>
      </c>
      <c r="R14">
        <v>14.3</v>
      </c>
      <c r="S14">
        <v>15.2</v>
      </c>
      <c r="T14" s="278">
        <f t="shared" si="0"/>
        <v>12.8</v>
      </c>
    </row>
    <row r="15" spans="1:20" x14ac:dyDescent="0.35">
      <c r="A15">
        <v>2.5</v>
      </c>
      <c r="B15">
        <f t="shared" si="1"/>
        <v>2.5</v>
      </c>
      <c r="C15">
        <f t="shared" si="2"/>
        <v>30</v>
      </c>
      <c r="D15">
        <v>14.3</v>
      </c>
      <c r="E15">
        <v>11.6</v>
      </c>
      <c r="F15">
        <v>12.4</v>
      </c>
      <c r="G15">
        <v>13.3</v>
      </c>
      <c r="H15">
        <v>14.2</v>
      </c>
      <c r="I15">
        <v>15.2</v>
      </c>
      <c r="J15">
        <v>16.2</v>
      </c>
      <c r="K15">
        <v>17.2</v>
      </c>
      <c r="L15">
        <v>13.8</v>
      </c>
      <c r="M15">
        <v>11.2</v>
      </c>
      <c r="N15">
        <v>11.8</v>
      </c>
      <c r="O15">
        <v>12.8</v>
      </c>
      <c r="P15">
        <v>13.8</v>
      </c>
      <c r="Q15">
        <v>14.7</v>
      </c>
      <c r="R15">
        <v>15.7</v>
      </c>
      <c r="S15">
        <v>16.899999999999999</v>
      </c>
      <c r="T15" s="278">
        <f t="shared" si="0"/>
        <v>14.05</v>
      </c>
    </row>
    <row r="16" spans="1:20" x14ac:dyDescent="0.35">
      <c r="A16">
        <v>3</v>
      </c>
      <c r="B16">
        <f t="shared" si="1"/>
        <v>3</v>
      </c>
      <c r="C16">
        <f t="shared" si="2"/>
        <v>36</v>
      </c>
      <c r="D16">
        <v>15.4</v>
      </c>
      <c r="E16">
        <v>12.5</v>
      </c>
      <c r="F16">
        <v>13.3</v>
      </c>
      <c r="G16">
        <v>14.3</v>
      </c>
      <c r="H16">
        <v>15.3</v>
      </c>
      <c r="I16">
        <v>16.399999999999999</v>
      </c>
      <c r="J16">
        <v>17.5</v>
      </c>
      <c r="K16">
        <v>18.600000000000001</v>
      </c>
      <c r="L16">
        <v>15</v>
      </c>
      <c r="M16">
        <v>12</v>
      </c>
      <c r="N16">
        <v>12.8</v>
      </c>
      <c r="O16">
        <v>13.8</v>
      </c>
      <c r="P16">
        <v>14.9</v>
      </c>
      <c r="Q16">
        <v>15.9</v>
      </c>
      <c r="R16">
        <v>17.2</v>
      </c>
      <c r="S16">
        <v>18.5</v>
      </c>
      <c r="T16" s="278">
        <f t="shared" si="0"/>
        <v>15.2</v>
      </c>
    </row>
    <row r="17" spans="1:20" x14ac:dyDescent="0.35">
      <c r="A17">
        <v>3.5</v>
      </c>
      <c r="B17">
        <f t="shared" si="1"/>
        <v>3.5</v>
      </c>
      <c r="C17">
        <f t="shared" si="2"/>
        <v>42</v>
      </c>
      <c r="D17">
        <v>16.5</v>
      </c>
      <c r="E17">
        <v>13.3</v>
      </c>
      <c r="F17">
        <v>14.2</v>
      </c>
      <c r="G17">
        <v>15.3</v>
      </c>
      <c r="H17">
        <v>16.399999999999999</v>
      </c>
      <c r="I17">
        <v>17.600000000000001</v>
      </c>
      <c r="J17">
        <v>18.8</v>
      </c>
      <c r="K17">
        <v>20</v>
      </c>
      <c r="L17">
        <v>16.100000000000001</v>
      </c>
      <c r="M17">
        <v>12.8</v>
      </c>
      <c r="N17">
        <v>13.7</v>
      </c>
      <c r="O17">
        <v>14.7</v>
      </c>
      <c r="P17">
        <v>16</v>
      </c>
      <c r="Q17">
        <v>17.100000000000001</v>
      </c>
      <c r="R17">
        <v>18.5</v>
      </c>
      <c r="S17">
        <v>20</v>
      </c>
      <c r="T17" s="278">
        <f t="shared" si="0"/>
        <v>16.3</v>
      </c>
    </row>
    <row r="18" spans="1:20" x14ac:dyDescent="0.35">
      <c r="A18">
        <v>4</v>
      </c>
      <c r="B18">
        <f t="shared" si="1"/>
        <v>4</v>
      </c>
      <c r="C18">
        <f t="shared" si="2"/>
        <v>48</v>
      </c>
      <c r="D18">
        <v>17.600000000000001</v>
      </c>
      <c r="E18">
        <v>14.1</v>
      </c>
      <c r="F18">
        <v>15.1</v>
      </c>
      <c r="G18">
        <v>16.2</v>
      </c>
      <c r="H18">
        <v>17.399999999999999</v>
      </c>
      <c r="I18">
        <v>18.7</v>
      </c>
      <c r="J18">
        <v>20</v>
      </c>
      <c r="K18">
        <v>21.4</v>
      </c>
      <c r="L18">
        <v>17.2</v>
      </c>
      <c r="M18">
        <v>13.6</v>
      </c>
      <c r="N18">
        <v>14.6</v>
      </c>
      <c r="O18">
        <v>15.6</v>
      </c>
      <c r="P18">
        <v>17</v>
      </c>
      <c r="Q18">
        <v>18.3</v>
      </c>
      <c r="R18">
        <v>19.8</v>
      </c>
      <c r="S18">
        <v>21.5</v>
      </c>
      <c r="T18" s="278">
        <f t="shared" si="0"/>
        <v>17.399999999999999</v>
      </c>
    </row>
    <row r="19" spans="1:20" x14ac:dyDescent="0.35">
      <c r="A19">
        <v>4.5</v>
      </c>
      <c r="B19">
        <f t="shared" si="1"/>
        <v>4.5</v>
      </c>
      <c r="C19">
        <f t="shared" si="2"/>
        <v>54</v>
      </c>
      <c r="D19">
        <v>18.600000000000001</v>
      </c>
      <c r="E19">
        <v>14.9</v>
      </c>
      <c r="F19">
        <v>16</v>
      </c>
      <c r="G19">
        <v>17.100000000000001</v>
      </c>
      <c r="H19">
        <v>18.399999999999999</v>
      </c>
      <c r="I19">
        <v>19.8</v>
      </c>
      <c r="J19">
        <v>21.2</v>
      </c>
      <c r="K19">
        <v>22.7</v>
      </c>
      <c r="L19">
        <v>18.3</v>
      </c>
      <c r="M19">
        <v>14.4</v>
      </c>
      <c r="N19">
        <v>15.5</v>
      </c>
      <c r="O19">
        <v>16.5</v>
      </c>
      <c r="P19">
        <v>18</v>
      </c>
      <c r="Q19">
        <v>19.399999999999999</v>
      </c>
      <c r="R19">
        <v>21</v>
      </c>
      <c r="S19">
        <v>22.9</v>
      </c>
      <c r="T19" s="278">
        <f t="shared" si="0"/>
        <v>18.450000000000003</v>
      </c>
    </row>
    <row r="20" spans="1:20" x14ac:dyDescent="0.35">
      <c r="A20">
        <v>5</v>
      </c>
      <c r="B20">
        <f t="shared" si="1"/>
        <v>5</v>
      </c>
      <c r="C20">
        <f t="shared" si="2"/>
        <v>60</v>
      </c>
      <c r="D20">
        <v>19.600000000000001</v>
      </c>
      <c r="E20">
        <v>15.7</v>
      </c>
      <c r="F20">
        <v>16.8</v>
      </c>
      <c r="G20">
        <v>18</v>
      </c>
      <c r="H20">
        <v>19.399999999999999</v>
      </c>
      <c r="I20">
        <v>20.9</v>
      </c>
      <c r="J20">
        <v>22.4</v>
      </c>
      <c r="K20">
        <v>24</v>
      </c>
      <c r="L20">
        <v>19.3</v>
      </c>
      <c r="M20">
        <v>15.2</v>
      </c>
      <c r="N20">
        <v>16.3</v>
      </c>
      <c r="O20">
        <v>17.399999999999999</v>
      </c>
      <c r="P20">
        <v>19</v>
      </c>
      <c r="Q20">
        <v>20.5</v>
      </c>
      <c r="R20">
        <v>22.2</v>
      </c>
      <c r="S20">
        <v>24.2</v>
      </c>
      <c r="T20" s="278">
        <f t="shared" si="0"/>
        <v>19.450000000000003</v>
      </c>
    </row>
    <row r="21" spans="1:20" x14ac:dyDescent="0.35">
      <c r="A21">
        <v>5.5</v>
      </c>
      <c r="B21">
        <f t="shared" si="1"/>
        <v>5.5</v>
      </c>
      <c r="C21">
        <f t="shared" si="2"/>
        <v>66</v>
      </c>
      <c r="D21">
        <v>20.6</v>
      </c>
      <c r="E21">
        <v>16.399999999999999</v>
      </c>
      <c r="F21">
        <v>17.600000000000001</v>
      </c>
      <c r="G21">
        <v>18.899999999999999</v>
      </c>
      <c r="H21">
        <v>20.399999999999999</v>
      </c>
      <c r="I21">
        <v>22</v>
      </c>
      <c r="J21">
        <v>23.6</v>
      </c>
      <c r="K21">
        <v>25.4</v>
      </c>
      <c r="L21">
        <v>20.3</v>
      </c>
      <c r="M21">
        <v>15.9</v>
      </c>
      <c r="N21">
        <v>17.100000000000001</v>
      </c>
      <c r="O21">
        <v>18.399999999999999</v>
      </c>
      <c r="P21">
        <v>20</v>
      </c>
      <c r="Q21">
        <v>21.6</v>
      </c>
      <c r="R21">
        <v>23.6</v>
      </c>
      <c r="S21">
        <v>25.7</v>
      </c>
      <c r="T21" s="278">
        <f t="shared" si="0"/>
        <v>20.450000000000003</v>
      </c>
    </row>
    <row r="22" spans="1:20" x14ac:dyDescent="0.35">
      <c r="A22">
        <v>6</v>
      </c>
      <c r="B22">
        <f t="shared" si="1"/>
        <v>6</v>
      </c>
      <c r="C22">
        <f t="shared" si="2"/>
        <v>72</v>
      </c>
      <c r="D22">
        <v>21.7</v>
      </c>
      <c r="E22">
        <v>17.2</v>
      </c>
      <c r="F22">
        <v>18.5</v>
      </c>
      <c r="G22">
        <v>19.8</v>
      </c>
      <c r="H22">
        <v>21.5</v>
      </c>
      <c r="I22">
        <v>23.1</v>
      </c>
      <c r="J22">
        <v>24.9</v>
      </c>
      <c r="K22">
        <v>26.8</v>
      </c>
      <c r="L22">
        <v>21.4</v>
      </c>
      <c r="M22">
        <v>16.7</v>
      </c>
      <c r="N22">
        <v>17.899999999999999</v>
      </c>
      <c r="O22">
        <v>19.399999999999999</v>
      </c>
      <c r="P22">
        <v>21</v>
      </c>
      <c r="Q22">
        <v>22.9</v>
      </c>
      <c r="R22">
        <v>25</v>
      </c>
      <c r="S22">
        <v>27.4</v>
      </c>
      <c r="T22" s="278">
        <f t="shared" si="0"/>
        <v>21.549999999999997</v>
      </c>
    </row>
    <row r="23" spans="1:20" x14ac:dyDescent="0.35">
      <c r="A23">
        <v>6.5</v>
      </c>
      <c r="B23">
        <f t="shared" si="1"/>
        <v>6.5</v>
      </c>
      <c r="C23">
        <f t="shared" si="2"/>
        <v>78</v>
      </c>
      <c r="D23">
        <v>22.9</v>
      </c>
      <c r="E23">
        <v>18.2</v>
      </c>
      <c r="F23">
        <v>19.5</v>
      </c>
      <c r="G23">
        <v>20.9</v>
      </c>
      <c r="H23">
        <v>22.7</v>
      </c>
      <c r="I23">
        <v>24.4</v>
      </c>
      <c r="J23">
        <v>26.3</v>
      </c>
      <c r="K23">
        <v>28.3</v>
      </c>
      <c r="L23">
        <v>22.7</v>
      </c>
      <c r="M23">
        <v>17.600000000000001</v>
      </c>
      <c r="N23">
        <v>18.8</v>
      </c>
      <c r="O23">
        <v>20.5</v>
      </c>
      <c r="P23">
        <v>22.2</v>
      </c>
      <c r="Q23">
        <v>24.2</v>
      </c>
      <c r="R23">
        <v>26.6</v>
      </c>
      <c r="S23">
        <v>29.3</v>
      </c>
      <c r="T23" s="278">
        <f t="shared" si="0"/>
        <v>22.799999999999997</v>
      </c>
    </row>
    <row r="24" spans="1:20" x14ac:dyDescent="0.35">
      <c r="A24">
        <v>7</v>
      </c>
      <c r="B24">
        <f t="shared" si="1"/>
        <v>7</v>
      </c>
      <c r="C24">
        <f t="shared" si="2"/>
        <v>84</v>
      </c>
      <c r="D24">
        <v>24.2</v>
      </c>
      <c r="E24">
        <v>19.2</v>
      </c>
      <c r="F24">
        <v>20.6</v>
      </c>
      <c r="G24">
        <v>22.1</v>
      </c>
      <c r="H24">
        <v>23.9</v>
      </c>
      <c r="I24">
        <v>25.8</v>
      </c>
      <c r="J24">
        <v>27.8</v>
      </c>
      <c r="K24">
        <v>30.1</v>
      </c>
      <c r="L24">
        <v>24.1</v>
      </c>
      <c r="M24">
        <v>18.600000000000001</v>
      </c>
      <c r="N24">
        <v>19.899999999999999</v>
      </c>
      <c r="O24">
        <v>21.6</v>
      </c>
      <c r="P24">
        <v>23.4</v>
      </c>
      <c r="Q24">
        <v>25.7</v>
      </c>
      <c r="R24">
        <v>28.3</v>
      </c>
      <c r="S24">
        <v>31.3</v>
      </c>
      <c r="T24" s="278">
        <f t="shared" si="0"/>
        <v>24.15</v>
      </c>
    </row>
    <row r="25" spans="1:20" x14ac:dyDescent="0.35">
      <c r="A25">
        <v>7.5</v>
      </c>
      <c r="B25">
        <f t="shared" si="1"/>
        <v>7.5</v>
      </c>
      <c r="C25">
        <f t="shared" si="2"/>
        <v>90</v>
      </c>
      <c r="D25">
        <v>25.5</v>
      </c>
      <c r="E25">
        <v>20.2</v>
      </c>
      <c r="F25">
        <v>21.7</v>
      </c>
      <c r="G25">
        <v>23.3</v>
      </c>
      <c r="H25">
        <v>25.2</v>
      </c>
      <c r="I25">
        <v>27.3</v>
      </c>
      <c r="J25">
        <v>29.4</v>
      </c>
      <c r="K25">
        <v>32</v>
      </c>
      <c r="L25">
        <v>25.5</v>
      </c>
      <c r="M25">
        <v>19.600000000000001</v>
      </c>
      <c r="N25">
        <v>21.1</v>
      </c>
      <c r="O25">
        <v>22.8</v>
      </c>
      <c r="P25">
        <v>24.8</v>
      </c>
      <c r="Q25">
        <v>27.2</v>
      </c>
      <c r="R25">
        <v>30.2</v>
      </c>
      <c r="S25">
        <v>33.4</v>
      </c>
      <c r="T25" s="278">
        <f t="shared" si="0"/>
        <v>25.5</v>
      </c>
    </row>
    <row r="26" spans="1:20" x14ac:dyDescent="0.35">
      <c r="A26">
        <v>8</v>
      </c>
      <c r="B26">
        <f t="shared" si="1"/>
        <v>8</v>
      </c>
      <c r="C26">
        <f t="shared" si="2"/>
        <v>96</v>
      </c>
      <c r="D26">
        <v>26.8</v>
      </c>
      <c r="E26">
        <v>21.2</v>
      </c>
      <c r="F26">
        <v>22.8</v>
      </c>
      <c r="G26">
        <v>24.5</v>
      </c>
      <c r="H26">
        <v>26.5</v>
      </c>
      <c r="I26">
        <v>28.8</v>
      </c>
      <c r="J26">
        <v>31</v>
      </c>
      <c r="K26">
        <v>34.1</v>
      </c>
      <c r="L26">
        <v>26.9</v>
      </c>
      <c r="M26">
        <v>20.7</v>
      </c>
      <c r="N26">
        <v>22.3</v>
      </c>
      <c r="O26">
        <v>24</v>
      </c>
      <c r="P26">
        <v>26.2</v>
      </c>
      <c r="Q26">
        <v>28.8</v>
      </c>
      <c r="R26">
        <v>32.1</v>
      </c>
      <c r="S26">
        <v>35.5</v>
      </c>
      <c r="T26" s="278">
        <f t="shared" si="0"/>
        <v>26.85</v>
      </c>
    </row>
    <row r="27" spans="1:20" x14ac:dyDescent="0.35">
      <c r="A27">
        <v>8.5</v>
      </c>
      <c r="B27">
        <f t="shared" si="1"/>
        <v>8.5</v>
      </c>
      <c r="C27">
        <f t="shared" si="2"/>
        <v>102</v>
      </c>
      <c r="D27">
        <v>28.3</v>
      </c>
      <c r="E27">
        <v>22.2</v>
      </c>
      <c r="F27">
        <v>23.9</v>
      </c>
      <c r="G27">
        <v>25.7</v>
      </c>
      <c r="H27">
        <v>27.8</v>
      </c>
      <c r="I27">
        <v>30.4</v>
      </c>
      <c r="J27">
        <v>32.799999999999997</v>
      </c>
      <c r="K27">
        <v>36.4</v>
      </c>
      <c r="L27">
        <v>28.3</v>
      </c>
      <c r="M27">
        <v>21.7</v>
      </c>
      <c r="N27">
        <v>23.5</v>
      </c>
      <c r="O27">
        <v>25.2</v>
      </c>
      <c r="P27">
        <v>27.6</v>
      </c>
      <c r="Q27">
        <v>30.5</v>
      </c>
      <c r="R27">
        <v>34</v>
      </c>
      <c r="S27">
        <v>37.9</v>
      </c>
      <c r="T27" s="278">
        <f t="shared" si="0"/>
        <v>28.3</v>
      </c>
    </row>
    <row r="28" spans="1:20" x14ac:dyDescent="0.35">
      <c r="A28">
        <v>9</v>
      </c>
      <c r="B28">
        <f t="shared" si="1"/>
        <v>9</v>
      </c>
      <c r="C28">
        <f t="shared" si="2"/>
        <v>108</v>
      </c>
      <c r="D28">
        <v>29.8</v>
      </c>
      <c r="E28">
        <v>23.3</v>
      </c>
      <c r="F28">
        <v>25.1</v>
      </c>
      <c r="G28">
        <v>27</v>
      </c>
      <c r="H28">
        <v>29.3</v>
      </c>
      <c r="I28">
        <v>32</v>
      </c>
      <c r="J28">
        <v>34.799999999999997</v>
      </c>
      <c r="K28">
        <v>38.9</v>
      </c>
      <c r="L28">
        <v>29.8</v>
      </c>
      <c r="M28">
        <v>22.8</v>
      </c>
      <c r="N28">
        <v>24.7</v>
      </c>
      <c r="O28">
        <v>26.5</v>
      </c>
      <c r="P28">
        <v>29</v>
      </c>
      <c r="Q28">
        <v>32.200000000000003</v>
      </c>
      <c r="R28">
        <v>36</v>
      </c>
      <c r="S28">
        <v>40.299999999999997</v>
      </c>
      <c r="T28" s="278">
        <f t="shared" si="0"/>
        <v>29.8</v>
      </c>
    </row>
    <row r="29" spans="1:20" x14ac:dyDescent="0.35">
      <c r="A29">
        <v>9.5</v>
      </c>
      <c r="B29">
        <f t="shared" si="1"/>
        <v>9.5</v>
      </c>
      <c r="C29">
        <f t="shared" si="2"/>
        <v>114</v>
      </c>
      <c r="D29">
        <v>31.4</v>
      </c>
      <c r="E29">
        <v>24.4</v>
      </c>
      <c r="F29">
        <v>26.3</v>
      </c>
      <c r="G29">
        <v>28.4</v>
      </c>
      <c r="H29">
        <v>30.8</v>
      </c>
      <c r="I29">
        <v>33.6</v>
      </c>
      <c r="J29">
        <v>36.799999999999997</v>
      </c>
      <c r="K29">
        <v>41.4</v>
      </c>
      <c r="L29">
        <v>31.4</v>
      </c>
      <c r="M29">
        <v>23.8</v>
      </c>
      <c r="N29">
        <v>25.9</v>
      </c>
      <c r="O29">
        <v>27.8</v>
      </c>
      <c r="P29">
        <v>30.5</v>
      </c>
      <c r="Q29">
        <v>34</v>
      </c>
      <c r="R29">
        <v>38</v>
      </c>
      <c r="S29">
        <v>42.7</v>
      </c>
      <c r="T29" s="278">
        <f t="shared" si="0"/>
        <v>31.4</v>
      </c>
    </row>
    <row r="30" spans="1:20" x14ac:dyDescent="0.35">
      <c r="A30">
        <v>10</v>
      </c>
      <c r="B30">
        <f t="shared" si="1"/>
        <v>10</v>
      </c>
      <c r="C30">
        <f t="shared" si="2"/>
        <v>120</v>
      </c>
      <c r="D30">
        <v>33</v>
      </c>
      <c r="E30">
        <v>25.5</v>
      </c>
      <c r="F30">
        <v>27.6</v>
      </c>
      <c r="G30">
        <v>29.8</v>
      </c>
      <c r="H30">
        <v>32.299999999999997</v>
      </c>
      <c r="I30">
        <v>35.299999999999997</v>
      </c>
      <c r="J30">
        <v>38.9</v>
      </c>
      <c r="K30">
        <v>43.9</v>
      </c>
      <c r="L30">
        <v>33.200000000000003</v>
      </c>
      <c r="M30">
        <v>24.8</v>
      </c>
      <c r="N30">
        <v>27.1</v>
      </c>
      <c r="O30">
        <v>29.1</v>
      </c>
      <c r="P30">
        <v>32.1</v>
      </c>
      <c r="Q30">
        <v>35.799999999999997</v>
      </c>
      <c r="R30">
        <v>40.4</v>
      </c>
      <c r="S30">
        <v>45.4</v>
      </c>
      <c r="T30" s="278">
        <f t="shared" si="0"/>
        <v>33.1</v>
      </c>
    </row>
    <row r="31" spans="1:20" x14ac:dyDescent="0.35">
      <c r="A31">
        <v>10.5</v>
      </c>
      <c r="B31">
        <f t="shared" si="1"/>
        <v>10.5</v>
      </c>
      <c r="C31">
        <f t="shared" si="2"/>
        <v>126</v>
      </c>
      <c r="D31">
        <v>34.6</v>
      </c>
      <c r="E31">
        <v>26.6</v>
      </c>
      <c r="F31">
        <v>28.9</v>
      </c>
      <c r="G31">
        <v>31.2</v>
      </c>
      <c r="H31">
        <v>33.9</v>
      </c>
      <c r="I31">
        <v>37.200000000000003</v>
      </c>
      <c r="J31">
        <v>41.1</v>
      </c>
      <c r="K31">
        <v>46.6</v>
      </c>
      <c r="L31">
        <v>35.1</v>
      </c>
      <c r="M31">
        <v>25.9</v>
      </c>
      <c r="N31">
        <v>28.3</v>
      </c>
      <c r="O31">
        <v>30.5</v>
      </c>
      <c r="P31">
        <v>33.9</v>
      </c>
      <c r="Q31">
        <v>37.9</v>
      </c>
      <c r="R31">
        <v>43</v>
      </c>
      <c r="S31">
        <v>48.4</v>
      </c>
      <c r="T31" s="278">
        <f t="shared" si="0"/>
        <v>34.85</v>
      </c>
    </row>
    <row r="32" spans="1:20" x14ac:dyDescent="0.35">
      <c r="A32">
        <v>11</v>
      </c>
      <c r="B32">
        <f t="shared" si="1"/>
        <v>11</v>
      </c>
      <c r="C32">
        <f t="shared" si="2"/>
        <v>132</v>
      </c>
      <c r="D32">
        <v>36.299999999999997</v>
      </c>
      <c r="E32">
        <v>27.7</v>
      </c>
      <c r="F32">
        <v>30.2</v>
      </c>
      <c r="G32">
        <v>32.6</v>
      </c>
      <c r="H32">
        <v>35.5</v>
      </c>
      <c r="I32">
        <v>39.1</v>
      </c>
      <c r="J32">
        <v>43.5</v>
      </c>
      <c r="K32">
        <v>49.3</v>
      </c>
      <c r="L32">
        <v>37.200000000000003</v>
      </c>
      <c r="M32">
        <v>27.1</v>
      </c>
      <c r="N32">
        <v>29.6</v>
      </c>
      <c r="O32">
        <v>32.5</v>
      </c>
      <c r="P32">
        <v>36.200000000000003</v>
      </c>
      <c r="Q32">
        <v>40.5</v>
      </c>
      <c r="R32">
        <v>46.1</v>
      </c>
      <c r="S32">
        <v>51.6</v>
      </c>
      <c r="T32" s="278">
        <f t="shared" si="0"/>
        <v>36.75</v>
      </c>
    </row>
    <row r="33" spans="1:20" x14ac:dyDescent="0.35">
      <c r="A33">
        <v>11.5</v>
      </c>
      <c r="B33">
        <f t="shared" si="1"/>
        <v>11.5</v>
      </c>
      <c r="C33">
        <f t="shared" si="2"/>
        <v>138</v>
      </c>
      <c r="D33">
        <v>38.1</v>
      </c>
      <c r="E33">
        <v>28.8</v>
      </c>
      <c r="F33">
        <v>31.5</v>
      </c>
      <c r="G33">
        <v>34</v>
      </c>
      <c r="H33">
        <v>37.1</v>
      </c>
      <c r="I33">
        <v>41.1</v>
      </c>
      <c r="J33">
        <v>45.9</v>
      </c>
      <c r="K33">
        <v>52</v>
      </c>
      <c r="L33">
        <v>39.6</v>
      </c>
      <c r="M33">
        <v>28.5</v>
      </c>
      <c r="N33">
        <v>31.2</v>
      </c>
      <c r="O33">
        <v>34.5</v>
      </c>
      <c r="P33">
        <v>38.799999999999997</v>
      </c>
      <c r="Q33">
        <v>43.5</v>
      </c>
      <c r="R33">
        <v>49.9</v>
      </c>
      <c r="S33">
        <v>55.5</v>
      </c>
      <c r="T33" s="278">
        <f t="shared" si="0"/>
        <v>38.85</v>
      </c>
    </row>
    <row r="34" spans="1:20" x14ac:dyDescent="0.35">
      <c r="A34">
        <v>12</v>
      </c>
      <c r="B34">
        <f t="shared" si="1"/>
        <v>12</v>
      </c>
      <c r="C34">
        <f t="shared" si="2"/>
        <v>144</v>
      </c>
      <c r="D34">
        <v>39.9</v>
      </c>
      <c r="E34">
        <v>29.9</v>
      </c>
      <c r="F34">
        <v>32.799999999999997</v>
      </c>
      <c r="G34">
        <v>35.5</v>
      </c>
      <c r="H34">
        <v>38.700000000000003</v>
      </c>
      <c r="I34">
        <v>43.1</v>
      </c>
      <c r="J34">
        <v>48.4</v>
      </c>
      <c r="K34">
        <v>54.8</v>
      </c>
      <c r="L34">
        <v>42.4</v>
      </c>
      <c r="M34">
        <v>30.2</v>
      </c>
      <c r="N34">
        <v>33.1</v>
      </c>
      <c r="O34">
        <v>36.9</v>
      </c>
      <c r="P34">
        <v>41.6</v>
      </c>
      <c r="Q34">
        <v>46.8</v>
      </c>
      <c r="R34">
        <v>53.9</v>
      </c>
      <c r="S34">
        <v>59.7</v>
      </c>
      <c r="T34" s="278">
        <f t="shared" si="0"/>
        <v>41.15</v>
      </c>
    </row>
    <row r="35" spans="1:20" x14ac:dyDescent="0.35">
      <c r="A35">
        <v>12.5</v>
      </c>
      <c r="B35">
        <f t="shared" si="1"/>
        <v>12.5</v>
      </c>
      <c r="C35">
        <f t="shared" si="2"/>
        <v>150</v>
      </c>
      <c r="D35">
        <v>42</v>
      </c>
      <c r="E35">
        <v>31.1</v>
      </c>
      <c r="F35">
        <v>34.1</v>
      </c>
      <c r="G35">
        <v>37</v>
      </c>
      <c r="H35">
        <v>40.4</v>
      </c>
      <c r="I35">
        <v>45.5</v>
      </c>
      <c r="J35">
        <v>51.2</v>
      </c>
      <c r="K35">
        <v>57.8</v>
      </c>
      <c r="L35">
        <v>45.3</v>
      </c>
      <c r="M35">
        <v>31.9</v>
      </c>
      <c r="N35">
        <v>35.200000000000003</v>
      </c>
      <c r="O35">
        <v>39.299999999999997</v>
      </c>
      <c r="P35">
        <v>44.2</v>
      </c>
      <c r="Q35">
        <v>50</v>
      </c>
      <c r="R35">
        <v>56.7</v>
      </c>
      <c r="S35">
        <v>63.7</v>
      </c>
      <c r="T35" s="278">
        <f t="shared" si="0"/>
        <v>43.65</v>
      </c>
    </row>
    <row r="36" spans="1:20" x14ac:dyDescent="0.35">
      <c r="A36">
        <v>13</v>
      </c>
      <c r="B36">
        <f t="shared" si="1"/>
        <v>13</v>
      </c>
      <c r="C36">
        <f t="shared" si="2"/>
        <v>156</v>
      </c>
      <c r="D36">
        <v>44.5</v>
      </c>
      <c r="E36">
        <v>32.4</v>
      </c>
      <c r="F36">
        <v>35.799999999999997</v>
      </c>
      <c r="G36">
        <v>39</v>
      </c>
      <c r="H36">
        <v>42.9</v>
      </c>
      <c r="I36">
        <v>48.6</v>
      </c>
      <c r="J36">
        <v>55.3</v>
      </c>
      <c r="K36">
        <v>62.1</v>
      </c>
      <c r="L36">
        <v>47.8</v>
      </c>
      <c r="M36">
        <v>33.700000000000003</v>
      </c>
      <c r="N36">
        <v>37.5</v>
      </c>
      <c r="O36">
        <v>41.7</v>
      </c>
      <c r="P36">
        <v>46.6</v>
      </c>
      <c r="Q36">
        <v>52.7</v>
      </c>
      <c r="R36">
        <v>58.9</v>
      </c>
      <c r="S36">
        <v>66.400000000000006</v>
      </c>
      <c r="T36" s="278">
        <f t="shared" si="0"/>
        <v>46.15</v>
      </c>
    </row>
    <row r="37" spans="1:20" x14ac:dyDescent="0.35">
      <c r="A37">
        <v>13.5</v>
      </c>
      <c r="B37">
        <f t="shared" si="1"/>
        <v>13.5</v>
      </c>
      <c r="C37">
        <f t="shared" si="2"/>
        <v>162</v>
      </c>
      <c r="D37">
        <v>47.7</v>
      </c>
      <c r="E37">
        <v>34</v>
      </c>
      <c r="F37">
        <v>37.700000000000003</v>
      </c>
      <c r="G37">
        <v>41.2</v>
      </c>
      <c r="H37">
        <v>46.4</v>
      </c>
      <c r="I37">
        <v>53</v>
      </c>
      <c r="J37">
        <v>59.8</v>
      </c>
      <c r="K37">
        <v>66.599999999999994</v>
      </c>
      <c r="L37">
        <v>50</v>
      </c>
      <c r="M37">
        <v>35.5</v>
      </c>
      <c r="N37">
        <v>39.799999999999997</v>
      </c>
      <c r="O37">
        <v>44.1</v>
      </c>
      <c r="P37">
        <v>49</v>
      </c>
      <c r="Q37">
        <v>55.2</v>
      </c>
      <c r="R37">
        <v>60.9</v>
      </c>
      <c r="S37">
        <v>68.2</v>
      </c>
      <c r="T37" s="278">
        <f t="shared" si="0"/>
        <v>48.85</v>
      </c>
    </row>
    <row r="38" spans="1:20" x14ac:dyDescent="0.35">
      <c r="A38">
        <v>14</v>
      </c>
      <c r="B38">
        <f t="shared" si="1"/>
        <v>14</v>
      </c>
      <c r="C38">
        <f t="shared" si="2"/>
        <v>168</v>
      </c>
      <c r="D38">
        <v>50.9</v>
      </c>
      <c r="E38">
        <v>35.700000000000003</v>
      </c>
      <c r="F38">
        <v>39.700000000000003</v>
      </c>
      <c r="G38">
        <v>44</v>
      </c>
      <c r="H38">
        <v>50.1</v>
      </c>
      <c r="I38">
        <v>57.1</v>
      </c>
      <c r="J38">
        <v>63.3</v>
      </c>
      <c r="K38">
        <v>70.5</v>
      </c>
      <c r="L38">
        <v>52.1</v>
      </c>
      <c r="M38">
        <v>37.299999999999997</v>
      </c>
      <c r="N38">
        <v>41.9</v>
      </c>
      <c r="O38">
        <v>46.3</v>
      </c>
      <c r="P38">
        <v>51.2</v>
      </c>
      <c r="Q38">
        <v>57.4</v>
      </c>
      <c r="R38">
        <v>63</v>
      </c>
      <c r="S38">
        <v>70</v>
      </c>
      <c r="T38" s="278">
        <f t="shared" si="0"/>
        <v>51.5</v>
      </c>
    </row>
    <row r="39" spans="1:20" x14ac:dyDescent="0.35">
      <c r="A39">
        <v>14.5</v>
      </c>
      <c r="B39">
        <f t="shared" si="1"/>
        <v>14.5</v>
      </c>
      <c r="C39">
        <f t="shared" si="2"/>
        <v>174</v>
      </c>
      <c r="D39">
        <v>54</v>
      </c>
      <c r="E39">
        <v>37.9</v>
      </c>
      <c r="F39">
        <v>42.3</v>
      </c>
      <c r="G39">
        <v>47.4</v>
      </c>
      <c r="H39">
        <v>53.8</v>
      </c>
      <c r="I39">
        <v>60</v>
      </c>
      <c r="J39">
        <v>66.3</v>
      </c>
      <c r="K39">
        <v>73.8</v>
      </c>
      <c r="L39">
        <v>54.1</v>
      </c>
      <c r="M39">
        <v>39.299999999999997</v>
      </c>
      <c r="N39">
        <v>43.7</v>
      </c>
      <c r="O39">
        <v>48.1</v>
      </c>
      <c r="P39">
        <v>53</v>
      </c>
      <c r="Q39">
        <v>59.1</v>
      </c>
      <c r="R39">
        <v>64.8</v>
      </c>
      <c r="S39">
        <v>71.3</v>
      </c>
      <c r="T39" s="278">
        <f t="shared" si="0"/>
        <v>54.05</v>
      </c>
    </row>
    <row r="40" spans="1:20" x14ac:dyDescent="0.35">
      <c r="A40">
        <v>15</v>
      </c>
      <c r="B40">
        <f t="shared" si="1"/>
        <v>15</v>
      </c>
      <c r="C40">
        <f t="shared" si="2"/>
        <v>180</v>
      </c>
      <c r="D40">
        <v>57.1</v>
      </c>
      <c r="E40">
        <v>40.299999999999997</v>
      </c>
      <c r="F40">
        <v>45.2</v>
      </c>
      <c r="G40">
        <v>50.8</v>
      </c>
      <c r="H40">
        <v>57</v>
      </c>
      <c r="I40">
        <v>62.9</v>
      </c>
      <c r="J40">
        <v>69.099999999999994</v>
      </c>
      <c r="K40">
        <v>76.7</v>
      </c>
      <c r="L40">
        <v>55.6</v>
      </c>
      <c r="M40">
        <v>41.3</v>
      </c>
      <c r="N40">
        <v>45.3</v>
      </c>
      <c r="O40">
        <v>49.6</v>
      </c>
      <c r="P40">
        <v>54.5</v>
      </c>
      <c r="Q40">
        <v>60.5</v>
      </c>
      <c r="R40">
        <v>66.3</v>
      </c>
      <c r="S40">
        <v>72.400000000000006</v>
      </c>
      <c r="T40" s="278">
        <f t="shared" si="0"/>
        <v>56.35</v>
      </c>
    </row>
    <row r="41" spans="1:20" x14ac:dyDescent="0.35">
      <c r="A41">
        <v>15.5</v>
      </c>
      <c r="B41">
        <f t="shared" si="1"/>
        <v>15.5</v>
      </c>
      <c r="C41">
        <f t="shared" si="2"/>
        <v>186</v>
      </c>
      <c r="D41">
        <v>59.7</v>
      </c>
      <c r="E41">
        <v>43</v>
      </c>
      <c r="F41">
        <v>48.1</v>
      </c>
      <c r="G41">
        <v>53.5</v>
      </c>
      <c r="H41">
        <v>59.6</v>
      </c>
      <c r="I41">
        <v>65.5</v>
      </c>
      <c r="J41">
        <v>71.3</v>
      </c>
      <c r="K41">
        <v>79</v>
      </c>
      <c r="L41">
        <v>56.7</v>
      </c>
      <c r="M41">
        <v>43</v>
      </c>
      <c r="N41">
        <v>46.9</v>
      </c>
      <c r="O41">
        <v>50.9</v>
      </c>
      <c r="P41">
        <v>55.8</v>
      </c>
      <c r="Q41">
        <v>61.6</v>
      </c>
      <c r="R41">
        <v>67.2</v>
      </c>
      <c r="S41">
        <v>73.2</v>
      </c>
      <c r="T41" s="278">
        <f t="shared" si="0"/>
        <v>58.2</v>
      </c>
    </row>
    <row r="42" spans="1:20" x14ac:dyDescent="0.35">
      <c r="A42">
        <v>16</v>
      </c>
      <c r="B42">
        <f t="shared" si="1"/>
        <v>16</v>
      </c>
      <c r="C42">
        <f t="shared" si="2"/>
        <v>192</v>
      </c>
      <c r="D42">
        <v>62.1</v>
      </c>
      <c r="E42">
        <v>45.8</v>
      </c>
      <c r="F42">
        <v>50.8</v>
      </c>
      <c r="G42">
        <v>55.9</v>
      </c>
      <c r="H42">
        <v>61.8</v>
      </c>
      <c r="I42">
        <v>67.599999999999994</v>
      </c>
      <c r="J42">
        <v>73.400000000000006</v>
      </c>
      <c r="K42">
        <v>81</v>
      </c>
      <c r="L42">
        <v>57.5</v>
      </c>
      <c r="M42">
        <v>44.4</v>
      </c>
      <c r="N42">
        <v>48.2</v>
      </c>
      <c r="O42">
        <v>51.8</v>
      </c>
      <c r="P42">
        <v>56.6</v>
      </c>
      <c r="Q42">
        <v>62.2</v>
      </c>
      <c r="R42">
        <v>67.599999999999994</v>
      </c>
      <c r="S42">
        <v>73.8</v>
      </c>
      <c r="T42" s="278">
        <f t="shared" si="0"/>
        <v>59.8</v>
      </c>
    </row>
    <row r="43" spans="1:20" x14ac:dyDescent="0.35">
      <c r="A43">
        <v>16.5</v>
      </c>
      <c r="B43">
        <f t="shared" si="1"/>
        <v>16.5</v>
      </c>
      <c r="C43">
        <f t="shared" si="2"/>
        <v>198</v>
      </c>
      <c r="D43">
        <v>64.099999999999994</v>
      </c>
      <c r="E43">
        <v>48.5</v>
      </c>
      <c r="F43">
        <v>53</v>
      </c>
      <c r="G43">
        <v>57.9</v>
      </c>
      <c r="H43">
        <v>63.7</v>
      </c>
      <c r="I43">
        <v>69.5</v>
      </c>
      <c r="J43">
        <v>75.2</v>
      </c>
      <c r="K43">
        <v>82.9</v>
      </c>
      <c r="L43">
        <v>58</v>
      </c>
      <c r="M43">
        <v>45.6</v>
      </c>
      <c r="N43">
        <v>49.2</v>
      </c>
      <c r="O43">
        <v>52.5</v>
      </c>
      <c r="P43">
        <v>57.3</v>
      </c>
      <c r="Q43">
        <v>62.6</v>
      </c>
      <c r="R43">
        <v>67.8</v>
      </c>
      <c r="S43">
        <v>74</v>
      </c>
      <c r="T43" s="278">
        <f t="shared" si="0"/>
        <v>61.05</v>
      </c>
    </row>
    <row r="44" spans="1:20" x14ac:dyDescent="0.35">
      <c r="A44">
        <v>17</v>
      </c>
      <c r="B44">
        <f t="shared" si="1"/>
        <v>17</v>
      </c>
      <c r="C44">
        <f t="shared" si="2"/>
        <v>204</v>
      </c>
      <c r="D44">
        <v>65.900000000000006</v>
      </c>
      <c r="E44">
        <v>51.1</v>
      </c>
      <c r="F44">
        <v>55.1</v>
      </c>
      <c r="G44">
        <v>59.7</v>
      </c>
      <c r="H44">
        <v>65.2</v>
      </c>
      <c r="I44">
        <v>71</v>
      </c>
      <c r="J44">
        <v>76.7</v>
      </c>
      <c r="K44">
        <v>84.4</v>
      </c>
      <c r="L44">
        <v>58.5</v>
      </c>
      <c r="M44">
        <v>46.3</v>
      </c>
      <c r="N44">
        <v>49.9</v>
      </c>
      <c r="O44">
        <v>52.9</v>
      </c>
      <c r="P44">
        <v>57.7</v>
      </c>
      <c r="Q44">
        <v>62.9</v>
      </c>
      <c r="R44">
        <v>68</v>
      </c>
      <c r="S44">
        <v>74.099999999999994</v>
      </c>
      <c r="T44" s="278">
        <f t="shared" si="0"/>
        <v>62.2</v>
      </c>
    </row>
    <row r="45" spans="1:20" x14ac:dyDescent="0.35">
      <c r="A45">
        <v>17.5</v>
      </c>
      <c r="B45">
        <f t="shared" si="1"/>
        <v>17.5</v>
      </c>
      <c r="C45">
        <f t="shared" si="2"/>
        <v>210</v>
      </c>
      <c r="D45">
        <v>67.599999999999994</v>
      </c>
      <c r="E45">
        <v>53.1</v>
      </c>
      <c r="F45">
        <v>56.8</v>
      </c>
      <c r="G45">
        <v>61.3</v>
      </c>
      <c r="H45">
        <v>66.599999999999994</v>
      </c>
      <c r="I45">
        <v>72.400000000000006</v>
      </c>
      <c r="J45">
        <v>78.2</v>
      </c>
      <c r="K45">
        <v>85.8</v>
      </c>
      <c r="L45">
        <v>59</v>
      </c>
      <c r="M45">
        <v>46.8</v>
      </c>
      <c r="N45">
        <v>50.2</v>
      </c>
      <c r="O45">
        <v>53.3</v>
      </c>
      <c r="P45">
        <v>58</v>
      </c>
      <c r="Q45">
        <v>63.1</v>
      </c>
      <c r="R45">
        <v>68.2</v>
      </c>
      <c r="S45">
        <v>74.099999999999994</v>
      </c>
      <c r="T45" s="278">
        <f t="shared" si="0"/>
        <v>63.3</v>
      </c>
    </row>
    <row r="46" spans="1:20" x14ac:dyDescent="0.35">
      <c r="A46">
        <v>18</v>
      </c>
      <c r="B46">
        <f t="shared" si="1"/>
        <v>18</v>
      </c>
      <c r="C46">
        <f t="shared" si="2"/>
        <v>216</v>
      </c>
      <c r="D46">
        <v>69</v>
      </c>
      <c r="E46">
        <v>54.8</v>
      </c>
      <c r="F46">
        <v>58.4</v>
      </c>
      <c r="G46">
        <v>62.8</v>
      </c>
      <c r="H46">
        <v>68</v>
      </c>
      <c r="I46">
        <v>73.8</v>
      </c>
      <c r="J46">
        <v>79.5</v>
      </c>
      <c r="K46">
        <v>87.2</v>
      </c>
      <c r="L46">
        <v>59.4</v>
      </c>
      <c r="M46">
        <v>47</v>
      </c>
      <c r="N46">
        <v>50.5</v>
      </c>
      <c r="O46">
        <v>53.6</v>
      </c>
      <c r="P46">
        <v>58.3</v>
      </c>
      <c r="Q46">
        <v>63.3</v>
      </c>
      <c r="R46">
        <v>68.400000000000006</v>
      </c>
      <c r="S46">
        <v>74</v>
      </c>
      <c r="T46" s="278">
        <f t="shared" si="0"/>
        <v>64.2</v>
      </c>
    </row>
    <row r="47" spans="1:20" x14ac:dyDescent="0.35">
      <c r="A47">
        <v>18.5</v>
      </c>
      <c r="B47">
        <f t="shared" si="1"/>
        <v>18.5</v>
      </c>
      <c r="C47">
        <f t="shared" si="2"/>
        <v>222</v>
      </c>
      <c r="D47">
        <v>70.2</v>
      </c>
      <c r="E47">
        <v>56.2</v>
      </c>
      <c r="F47">
        <v>59.8</v>
      </c>
      <c r="G47">
        <v>64.099999999999994</v>
      </c>
      <c r="H47">
        <v>69.099999999999994</v>
      </c>
      <c r="I47">
        <v>75.099999999999994</v>
      </c>
      <c r="J47">
        <v>80.8</v>
      </c>
      <c r="K47">
        <v>88.4</v>
      </c>
      <c r="L47">
        <v>59.8</v>
      </c>
      <c r="M47">
        <v>47.2</v>
      </c>
      <c r="N47">
        <v>50.7</v>
      </c>
      <c r="O47">
        <v>53.8</v>
      </c>
      <c r="P47">
        <v>58.5</v>
      </c>
      <c r="Q47">
        <v>63.5</v>
      </c>
      <c r="R47">
        <v>68.5</v>
      </c>
      <c r="S47">
        <v>73.8</v>
      </c>
      <c r="T47" s="278">
        <f t="shared" si="0"/>
        <v>65</v>
      </c>
    </row>
    <row r="48" spans="1:20" x14ac:dyDescent="0.35">
      <c r="A48">
        <v>19</v>
      </c>
      <c r="B48">
        <f t="shared" si="1"/>
        <v>19</v>
      </c>
      <c r="C48">
        <f t="shared" si="2"/>
        <v>228</v>
      </c>
      <c r="D48">
        <v>71.2</v>
      </c>
      <c r="E48">
        <v>57.3</v>
      </c>
      <c r="F48">
        <v>60.9</v>
      </c>
      <c r="G48">
        <v>65.2</v>
      </c>
      <c r="H48">
        <v>70.099999999999994</v>
      </c>
      <c r="I48">
        <v>76.2</v>
      </c>
      <c r="J48">
        <v>82</v>
      </c>
      <c r="K48">
        <v>89.6</v>
      </c>
      <c r="L48">
        <v>60.2</v>
      </c>
      <c r="M48">
        <v>47.3</v>
      </c>
      <c r="N48">
        <v>50.8</v>
      </c>
      <c r="O48">
        <v>53.9</v>
      </c>
      <c r="P48">
        <v>58.6</v>
      </c>
      <c r="Q48">
        <v>63.7</v>
      </c>
      <c r="R48">
        <v>68.5</v>
      </c>
      <c r="S48">
        <v>73.8</v>
      </c>
      <c r="T48" s="278">
        <f t="shared" si="0"/>
        <v>65.7</v>
      </c>
    </row>
    <row r="49" spans="1:20" x14ac:dyDescent="0.35">
      <c r="A49">
        <v>19.5</v>
      </c>
      <c r="B49">
        <f t="shared" si="1"/>
        <v>19.5</v>
      </c>
      <c r="C49">
        <f t="shared" si="2"/>
        <v>234</v>
      </c>
      <c r="D49">
        <v>72</v>
      </c>
      <c r="E49">
        <v>58</v>
      </c>
      <c r="F49">
        <v>61.7</v>
      </c>
      <c r="G49">
        <v>65.900000000000006</v>
      </c>
      <c r="H49">
        <v>70.8</v>
      </c>
      <c r="I49">
        <v>77.099999999999994</v>
      </c>
      <c r="J49">
        <v>83</v>
      </c>
      <c r="K49">
        <v>90.5</v>
      </c>
      <c r="L49">
        <v>60.2</v>
      </c>
      <c r="M49">
        <v>47.3</v>
      </c>
      <c r="N49">
        <v>50.8</v>
      </c>
      <c r="O49">
        <v>53.9</v>
      </c>
      <c r="P49">
        <v>58.6</v>
      </c>
      <c r="Q49">
        <v>63.7</v>
      </c>
      <c r="R49">
        <v>68.5</v>
      </c>
      <c r="S49">
        <v>73.8</v>
      </c>
      <c r="T49" s="278">
        <f t="shared" si="0"/>
        <v>66.099999999999994</v>
      </c>
    </row>
  </sheetData>
  <phoneticPr fontId="26"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cuteOpvang">
    <outlinePr showOutlineSymbols="0"/>
    <pageSetUpPr autoPageBreaks="0"/>
  </sheetPr>
  <dimension ref="B1:FIO452"/>
  <sheetViews>
    <sheetView showGridLines="0" showRowColHeaders="0" tabSelected="1" showOutlineSymbols="0" topLeftCell="B1" zoomScaleNormal="100" workbookViewId="0">
      <selection activeCell="B1" sqref="B1"/>
    </sheetView>
  </sheetViews>
  <sheetFormatPr defaultColWidth="9.1328125" defaultRowHeight="12.85" x14ac:dyDescent="0.35"/>
  <cols>
    <col min="1" max="1" width="9.1328125" style="80"/>
    <col min="2" max="2" width="10.265625" style="11" customWidth="1"/>
    <col min="3" max="3" width="19.73046875" style="80" customWidth="1"/>
    <col min="4" max="5" width="17.73046875" style="80" customWidth="1"/>
    <col min="6" max="7" width="18.73046875" style="80" customWidth="1"/>
    <col min="8" max="16384" width="9.1328125" style="80"/>
  </cols>
  <sheetData>
    <row r="1" spans="2:25 4305:4305" x14ac:dyDescent="0.35">
      <c r="J1" s="274"/>
      <c r="K1" s="274"/>
      <c r="L1" s="200"/>
      <c r="M1" s="200"/>
      <c r="N1" s="200"/>
      <c r="O1" s="200"/>
      <c r="P1" s="200"/>
      <c r="Q1" s="200"/>
      <c r="R1" s="200"/>
      <c r="S1" s="200"/>
      <c r="T1" s="200"/>
      <c r="U1" s="200"/>
      <c r="V1" s="200"/>
      <c r="W1" s="274"/>
      <c r="X1" s="274"/>
      <c r="Y1" s="274"/>
    </row>
    <row r="2" spans="2:25 4305:4305" ht="15" customHeight="1" x14ac:dyDescent="0.4">
      <c r="B2" s="265" t="str">
        <f>"Patient: "&amp;AchterNaam&amp;", "&amp;VoorNaam</f>
        <v>Patient: Achternaam, Voornaam</v>
      </c>
      <c r="C2" s="263"/>
      <c r="D2" s="201"/>
      <c r="E2" s="266" t="e">
        <f ca="1">"Geschatte lengte: "&amp;VLOOKUP(C5+D5/12,HEIGHTNL.CRF!A2:D45,4)&amp;" cm"</f>
        <v>#NAME?</v>
      </c>
      <c r="F2" s="201"/>
      <c r="G2" s="223"/>
      <c r="H2" s="81"/>
      <c r="I2" s="81"/>
      <c r="J2" s="274"/>
      <c r="K2" s="274"/>
      <c r="L2" s="200">
        <v>0</v>
      </c>
      <c r="M2" s="200">
        <v>40</v>
      </c>
      <c r="N2" s="200">
        <v>3.5</v>
      </c>
      <c r="O2" s="200">
        <v>0</v>
      </c>
      <c r="P2" s="200">
        <v>3.5</v>
      </c>
      <c r="Q2" s="200">
        <v>51</v>
      </c>
      <c r="R2" s="200"/>
      <c r="S2" s="200">
        <v>1</v>
      </c>
      <c r="T2" s="200">
        <v>1</v>
      </c>
      <c r="U2" s="200">
        <v>1</v>
      </c>
      <c r="V2" s="200"/>
      <c r="W2" s="274"/>
      <c r="X2" s="274"/>
      <c r="Y2" s="274"/>
      <c r="FIO2" s="80">
        <v>30</v>
      </c>
    </row>
    <row r="3" spans="2:25 4305:4305" ht="15" customHeight="1" x14ac:dyDescent="0.35">
      <c r="B3" s="265" t="str">
        <f>"Geb datum.: "</f>
        <v xml:space="preserve">Geb datum.: </v>
      </c>
      <c r="C3" s="279">
        <f>GebDatum</f>
        <v>40909</v>
      </c>
      <c r="D3" s="201"/>
      <c r="E3" s="266" t="e">
        <f ca="1">"Geschat gewicht: "&amp;VLOOKUP(C5+D5/12,WEIGHTNL.CRF!A2:T49,20)&amp;" kg"</f>
        <v>#NAME?</v>
      </c>
      <c r="F3" s="259"/>
      <c r="G3" s="223"/>
      <c r="H3" s="81"/>
      <c r="I3" s="81"/>
      <c r="J3" s="274"/>
      <c r="K3" s="274"/>
      <c r="L3" s="200">
        <v>1</v>
      </c>
      <c r="M3" s="200">
        <v>30</v>
      </c>
      <c r="N3" s="200">
        <v>4.5</v>
      </c>
      <c r="O3" s="200">
        <v>1</v>
      </c>
      <c r="P3" s="200">
        <v>4.2</v>
      </c>
      <c r="Q3" s="200">
        <v>54</v>
      </c>
      <c r="R3" s="200"/>
      <c r="S3" s="200">
        <v>2</v>
      </c>
      <c r="T3" s="200">
        <v>2</v>
      </c>
      <c r="U3" s="200">
        <v>2</v>
      </c>
      <c r="V3" s="200"/>
      <c r="W3" s="274"/>
      <c r="X3" s="274"/>
      <c r="Y3" s="274"/>
    </row>
    <row r="4" spans="2:25 4305:4305" ht="15.75" customHeight="1" x14ac:dyDescent="0.4">
      <c r="B4" s="252"/>
      <c r="C4" s="261" t="s">
        <v>4178</v>
      </c>
      <c r="D4" s="261" t="s">
        <v>4179</v>
      </c>
      <c r="E4" s="261" t="s">
        <v>2745</v>
      </c>
      <c r="F4" s="261" t="s">
        <v>1341</v>
      </c>
      <c r="G4" s="261" t="s">
        <v>589</v>
      </c>
      <c r="H4" s="81"/>
      <c r="J4" s="275"/>
      <c r="K4" s="275"/>
      <c r="L4" s="200">
        <v>2</v>
      </c>
      <c r="M4" s="200">
        <v>25</v>
      </c>
      <c r="N4" s="200">
        <v>4.5</v>
      </c>
      <c r="O4" s="200">
        <v>2</v>
      </c>
      <c r="P4" s="200">
        <v>5</v>
      </c>
      <c r="Q4" s="200">
        <v>57</v>
      </c>
      <c r="R4" s="200"/>
      <c r="S4" s="200">
        <v>3</v>
      </c>
      <c r="T4" s="200">
        <v>3</v>
      </c>
      <c r="U4" s="200">
        <v>3</v>
      </c>
      <c r="V4" s="200"/>
      <c r="W4" s="274"/>
      <c r="X4" s="274"/>
      <c r="Y4" s="274"/>
    </row>
    <row r="5" spans="2:25 4305:4305" ht="15" customHeight="1" x14ac:dyDescent="0.4">
      <c r="B5" s="252"/>
      <c r="C5" s="261" t="e">
        <f ca="1">TRUNC((AfspraakDatum-GebDatum)/365,0)</f>
        <v>#NAME?</v>
      </c>
      <c r="D5" s="261" t="e">
        <f ca="1">TRUNC(((AfspraakDatum-GebDatum)-365*TRUNC((AfspraakDatum-GebDatum)/365,0))/30,0)</f>
        <v>#NAME?</v>
      </c>
      <c r="E5" s="261">
        <f>Gewicht/10</f>
        <v>10</v>
      </c>
      <c r="F5" s="261">
        <f>Lengte</f>
        <v>80</v>
      </c>
      <c r="G5" s="261">
        <f>ROUND(POWER(E5,0.425)*POWER(((F5/100)*100),0.725)*0.007184,2)</f>
        <v>0.46</v>
      </c>
      <c r="H5" s="81"/>
      <c r="J5" s="275"/>
      <c r="K5" s="275"/>
      <c r="L5" s="200">
        <v>3</v>
      </c>
      <c r="M5" s="200">
        <v>25</v>
      </c>
      <c r="N5" s="200">
        <v>5</v>
      </c>
      <c r="O5" s="200">
        <v>3</v>
      </c>
      <c r="P5" s="200">
        <v>5.7</v>
      </c>
      <c r="Q5" s="200">
        <v>60</v>
      </c>
      <c r="R5" s="200"/>
      <c r="S5" s="200">
        <v>4</v>
      </c>
      <c r="T5" s="200">
        <v>3</v>
      </c>
      <c r="U5" s="200"/>
      <c r="V5" s="200"/>
      <c r="W5" s="274"/>
      <c r="X5" s="274"/>
      <c r="Y5" s="274"/>
    </row>
    <row r="6" spans="2:25 4305:4305" ht="15" customHeight="1" thickBot="1" x14ac:dyDescent="0.45">
      <c r="B6" s="29"/>
      <c r="C6" s="264"/>
      <c r="D6" s="264"/>
      <c r="E6" s="264"/>
      <c r="F6" s="264"/>
      <c r="G6" s="264"/>
      <c r="H6" s="81"/>
      <c r="J6" s="275"/>
      <c r="K6" s="275"/>
      <c r="L6" s="200">
        <v>4</v>
      </c>
      <c r="M6" s="200">
        <v>25</v>
      </c>
      <c r="N6" s="200">
        <v>5</v>
      </c>
      <c r="O6" s="200">
        <v>4</v>
      </c>
      <c r="P6" s="200">
        <v>6.5</v>
      </c>
      <c r="Q6" s="200">
        <v>63</v>
      </c>
      <c r="R6" s="200"/>
      <c r="S6" s="200">
        <v>5</v>
      </c>
      <c r="T6" s="200">
        <v>5</v>
      </c>
      <c r="U6" s="200">
        <v>5</v>
      </c>
      <c r="V6" s="200"/>
      <c r="W6" s="274"/>
      <c r="X6" s="274"/>
      <c r="Y6" s="274"/>
    </row>
    <row r="7" spans="2:25 4305:4305" ht="20.100000000000001" customHeight="1" x14ac:dyDescent="0.4">
      <c r="B7" s="252" t="s">
        <v>3081</v>
      </c>
      <c r="C7" s="267" t="s">
        <v>590</v>
      </c>
      <c r="D7" s="268" t="e">
        <f ca="1">"Maat: "&amp;VLOOKUP(C5,L2:N20,3)&amp;", Lengte: "&amp;IF(C5&gt;1,ROUND((C5/2+15)/2,0)*2,IF(C5=0,12,15))&amp;" cm"&amp;" nasaal, "&amp;ROUND((C5/2+12)/2,0)*2&amp;" cm oraal"</f>
        <v>#NAME?</v>
      </c>
      <c r="E7" s="269"/>
      <c r="F7" s="269"/>
      <c r="G7" s="356"/>
      <c r="H7" s="81"/>
      <c r="I7" s="81"/>
      <c r="J7" s="274"/>
      <c r="K7" s="274"/>
      <c r="L7" s="200">
        <v>5</v>
      </c>
      <c r="M7" s="200">
        <v>25</v>
      </c>
      <c r="N7" s="200">
        <v>5.5</v>
      </c>
      <c r="O7" s="200">
        <v>5</v>
      </c>
      <c r="P7" s="200">
        <v>7</v>
      </c>
      <c r="Q7" s="200">
        <v>65</v>
      </c>
      <c r="R7" s="200"/>
      <c r="S7" s="200">
        <v>6</v>
      </c>
      <c r="T7" s="200">
        <v>5</v>
      </c>
      <c r="U7" s="200"/>
      <c r="V7" s="200"/>
      <c r="W7" s="274"/>
      <c r="X7" s="274"/>
      <c r="Y7" s="274"/>
    </row>
    <row r="8" spans="2:25 4305:4305" ht="20.100000000000001" customHeight="1" x14ac:dyDescent="0.4">
      <c r="B8" s="252"/>
      <c r="C8" s="251" t="s">
        <v>591</v>
      </c>
      <c r="D8" s="82" t="str">
        <f>IF(ROUND((E5)*4,0)&gt;150,150,VLOOKUP(ROUND(E5*4,0),S2:T362,2))&amp;" Joules Asynchroon"</f>
        <v>50 Joules Asynchroon</v>
      </c>
      <c r="E8" s="81"/>
      <c r="F8" s="81"/>
      <c r="G8" s="357" t="s">
        <v>37</v>
      </c>
      <c r="H8" s="81"/>
      <c r="I8" s="81"/>
      <c r="J8" s="274"/>
      <c r="K8" s="274"/>
      <c r="L8" s="200">
        <v>6</v>
      </c>
      <c r="M8" s="200">
        <v>20</v>
      </c>
      <c r="N8" s="200">
        <v>5.5</v>
      </c>
      <c r="O8" s="200">
        <v>6</v>
      </c>
      <c r="P8" s="200">
        <v>7.7</v>
      </c>
      <c r="Q8" s="200">
        <v>67</v>
      </c>
      <c r="R8" s="200"/>
      <c r="S8" s="200">
        <v>7</v>
      </c>
      <c r="T8" s="200">
        <v>7</v>
      </c>
      <c r="U8" s="200">
        <v>7</v>
      </c>
      <c r="V8" s="200"/>
      <c r="W8" s="274"/>
      <c r="X8" s="274"/>
      <c r="Y8" s="274"/>
    </row>
    <row r="9" spans="2:25 4305:4305" ht="20.100000000000001" customHeight="1" x14ac:dyDescent="0.4">
      <c r="B9" s="252"/>
      <c r="C9" s="251" t="s">
        <v>1291</v>
      </c>
      <c r="D9" s="82" t="e">
        <f ca="1">IF(OR(ROUND(0.01*(E5),2)&gt;1,C5&gt;=18),"1 mg iv",ROUND(0.01*(E5),2)&amp;" mg iv")</f>
        <v>#NAME?</v>
      </c>
      <c r="E9" s="81" t="str">
        <f>"= "&amp;IF(ROUND(0.01*(E5),2)&gt;1,"1 ml van 1mg = 10 ml (1:10.000)",ROUND(0.1*(E5),1)&amp;" ml van 1mg = 10 ml (1:10.000)")</f>
        <v>= 1 ml van 1mg = 10 ml (1:10.000)</v>
      </c>
      <c r="F9" s="81"/>
      <c r="G9" s="357" t="s">
        <v>38</v>
      </c>
      <c r="H9" s="81"/>
      <c r="I9" s="81"/>
      <c r="J9" s="274"/>
      <c r="K9" s="274"/>
      <c r="L9" s="200">
        <v>7</v>
      </c>
      <c r="M9" s="200">
        <v>20</v>
      </c>
      <c r="N9" s="200">
        <v>6</v>
      </c>
      <c r="O9" s="200">
        <v>7</v>
      </c>
      <c r="P9" s="200">
        <v>8.1999999999999993</v>
      </c>
      <c r="Q9" s="200">
        <v>69</v>
      </c>
      <c r="R9" s="200"/>
      <c r="S9" s="200">
        <v>8</v>
      </c>
      <c r="T9" s="200">
        <v>7</v>
      </c>
      <c r="U9" s="200"/>
      <c r="V9" s="200"/>
      <c r="W9" s="274"/>
      <c r="X9" s="274"/>
      <c r="Y9" s="274"/>
    </row>
    <row r="10" spans="2:25 4305:4305" ht="20.100000000000001" customHeight="1" x14ac:dyDescent="0.4">
      <c r="B10" s="252"/>
      <c r="C10" s="251" t="s">
        <v>592</v>
      </c>
      <c r="D10" s="82" t="str">
        <f>ROUND(IF(E5&gt;50,50,0.5*E5),0)&amp;" ml iv"</f>
        <v>5 ml iv</v>
      </c>
      <c r="E10" s="81"/>
      <c r="F10" s="81"/>
      <c r="G10" s="357" t="s">
        <v>39</v>
      </c>
      <c r="H10" s="81"/>
      <c r="I10" s="81"/>
      <c r="J10" s="274"/>
      <c r="K10" s="274"/>
      <c r="L10" s="200">
        <v>8</v>
      </c>
      <c r="M10" s="200">
        <v>20</v>
      </c>
      <c r="N10" s="200">
        <v>6</v>
      </c>
      <c r="O10" s="200">
        <v>8</v>
      </c>
      <c r="P10" s="200">
        <v>8.5</v>
      </c>
      <c r="Q10" s="200">
        <v>70</v>
      </c>
      <c r="R10" s="200"/>
      <c r="S10" s="200">
        <v>9</v>
      </c>
      <c r="T10" s="200">
        <v>7</v>
      </c>
      <c r="U10" s="200"/>
      <c r="V10" s="200"/>
      <c r="W10" s="274"/>
      <c r="X10" s="274"/>
      <c r="Y10" s="274"/>
    </row>
    <row r="11" spans="2:25 4305:4305" ht="20.100000000000001" customHeight="1" x14ac:dyDescent="0.4">
      <c r="B11" s="252"/>
      <c r="C11" s="251" t="s">
        <v>2098</v>
      </c>
      <c r="D11" s="82" t="str">
        <f>IF(0.2*E5&lt;=25,0.2*E5&amp;" gram iv","25 gram iv")</f>
        <v>2 gram iv</v>
      </c>
      <c r="E11" s="81" t="str">
        <f>"="&amp;" "&amp;IF(2*E5&lt;=250,ROUND(2*E5,0)&amp;" ml glucose 10%","250 ml glucose 10%")</f>
        <v>= 20 ml glucose 10%</v>
      </c>
      <c r="F11" s="81"/>
      <c r="G11" s="357" t="s">
        <v>40</v>
      </c>
      <c r="H11" s="81"/>
      <c r="I11" s="81"/>
      <c r="J11" s="274"/>
      <c r="K11" s="274"/>
      <c r="L11" s="200">
        <v>9</v>
      </c>
      <c r="M11" s="200">
        <v>20</v>
      </c>
      <c r="N11" s="200">
        <v>6.5</v>
      </c>
      <c r="O11" s="200">
        <v>9</v>
      </c>
      <c r="P11" s="200">
        <v>9</v>
      </c>
      <c r="Q11" s="200">
        <v>72</v>
      </c>
      <c r="R11" s="200"/>
      <c r="S11" s="200">
        <v>10</v>
      </c>
      <c r="T11" s="200">
        <v>10</v>
      </c>
      <c r="U11" s="200">
        <v>10</v>
      </c>
      <c r="V11" s="200"/>
      <c r="W11" s="274"/>
      <c r="X11" s="274"/>
      <c r="Y11" s="274"/>
    </row>
    <row r="12" spans="2:25 4305:4305" ht="20.100000000000001" customHeight="1" thickBot="1" x14ac:dyDescent="0.45">
      <c r="B12" s="252"/>
      <c r="C12" s="270" t="s">
        <v>593</v>
      </c>
      <c r="D12" s="271" t="str">
        <f>IF(ROUND(20*E5/10,0)*10&gt;500,500,ROUND(20*E5/10,0)*10)&amp;" ml fysiologisch zout iv per bolus"</f>
        <v>200 ml fysiologisch zout iv per bolus</v>
      </c>
      <c r="E12" s="272"/>
      <c r="F12" s="272"/>
      <c r="G12" s="358" t="s">
        <v>41</v>
      </c>
      <c r="H12" s="81"/>
      <c r="I12" s="81"/>
      <c r="J12" s="274"/>
      <c r="K12" s="274"/>
      <c r="L12" s="200">
        <v>10</v>
      </c>
      <c r="M12" s="200">
        <v>20</v>
      </c>
      <c r="N12" s="200">
        <v>6.5</v>
      </c>
      <c r="O12" s="200">
        <v>10</v>
      </c>
      <c r="P12" s="200">
        <v>9.3000000000000007</v>
      </c>
      <c r="Q12" s="200">
        <v>73</v>
      </c>
      <c r="R12" s="200"/>
      <c r="S12" s="200">
        <v>11</v>
      </c>
      <c r="T12" s="200">
        <v>10</v>
      </c>
      <c r="U12" s="200"/>
      <c r="V12" s="200"/>
      <c r="W12" s="274"/>
      <c r="X12" s="274"/>
      <c r="Y12" s="274"/>
    </row>
    <row r="13" spans="2:25 4305:4305" ht="20.100000000000001" customHeight="1" thickBot="1" x14ac:dyDescent="0.45">
      <c r="B13" s="29"/>
      <c r="C13" s="81"/>
      <c r="D13" s="82"/>
      <c r="E13" s="81"/>
      <c r="F13" s="81"/>
      <c r="G13" s="357"/>
      <c r="H13" s="81"/>
      <c r="I13" s="81"/>
      <c r="J13" s="274"/>
      <c r="K13" s="274"/>
      <c r="L13" s="200">
        <v>11</v>
      </c>
      <c r="M13" s="200">
        <v>20</v>
      </c>
      <c r="N13" s="200">
        <v>7</v>
      </c>
      <c r="O13" s="200">
        <v>11</v>
      </c>
      <c r="P13" s="200">
        <v>9.5</v>
      </c>
      <c r="Q13" s="200">
        <v>74</v>
      </c>
      <c r="R13" s="200"/>
      <c r="S13" s="200">
        <v>12</v>
      </c>
      <c r="T13" s="200">
        <v>10</v>
      </c>
      <c r="U13" s="200"/>
      <c r="V13" s="200"/>
      <c r="W13" s="274"/>
      <c r="X13" s="274"/>
      <c r="Y13" s="274"/>
    </row>
    <row r="14" spans="2:25 4305:4305" ht="20.100000000000001" customHeight="1" x14ac:dyDescent="0.4">
      <c r="B14" s="252" t="s">
        <v>3787</v>
      </c>
      <c r="C14" s="267" t="s">
        <v>3168</v>
      </c>
      <c r="D14" s="268" t="str">
        <f>IF(0.5*E5&gt;20,"20 mg iv",0.5*E5&amp;" mg iv")</f>
        <v>5 mg iv</v>
      </c>
      <c r="E14" s="269" t="str">
        <f>"= "&amp;IF(0.5*E5&gt;20,"10 ml van een 2 mg/ml oplossing",ROUND(0.5*E5*0.5,1)&amp;" ml van een 2 mg/ml oplossing")</f>
        <v>= 2.5 ml van een 2 mg/ml oplossing</v>
      </c>
      <c r="F14" s="269"/>
      <c r="G14" s="356" t="s">
        <v>42</v>
      </c>
      <c r="H14" s="81"/>
      <c r="I14" s="81"/>
      <c r="J14" s="274"/>
      <c r="K14" s="274"/>
      <c r="L14" s="200">
        <v>12</v>
      </c>
      <c r="M14" s="200">
        <v>15</v>
      </c>
      <c r="N14" s="200">
        <v>7</v>
      </c>
      <c r="O14" s="200">
        <v>12</v>
      </c>
      <c r="P14" s="200">
        <v>10</v>
      </c>
      <c r="Q14" s="200">
        <v>76</v>
      </c>
      <c r="R14" s="200"/>
      <c r="S14" s="200">
        <v>13</v>
      </c>
      <c r="T14" s="200">
        <v>10</v>
      </c>
      <c r="U14" s="200"/>
      <c r="V14" s="200"/>
      <c r="W14" s="274"/>
      <c r="X14" s="274"/>
      <c r="Y14" s="274"/>
    </row>
    <row r="15" spans="2:25 4305:4305" ht="20.100000000000001" customHeight="1" x14ac:dyDescent="0.4">
      <c r="B15" s="252"/>
      <c r="C15" s="251" t="s">
        <v>2730</v>
      </c>
      <c r="D15" s="82" t="str">
        <f>IF(ROUND(1*(E5),1)&gt;100,"100 mg iv",ROUND(1*(E5),1)&amp;" mg iv")</f>
        <v>10 mg iv</v>
      </c>
      <c r="E15" s="81" t="str">
        <f>"= "&amp;IF(ROUND(1*(E5),1)&gt;100,"10 ml"&amp;" van een 1mg/ml oplossing",ROUND(0.1*(E5),1)&amp;" ml"&amp;" van een 10 mg/ml oplossing")</f>
        <v>= 1 ml van een 10 mg/ml oplossing</v>
      </c>
      <c r="F15" s="81"/>
      <c r="G15" s="357" t="s">
        <v>43</v>
      </c>
      <c r="H15" s="81"/>
      <c r="I15" s="81"/>
      <c r="J15" s="274"/>
      <c r="K15" s="274"/>
      <c r="L15" s="200">
        <v>13</v>
      </c>
      <c r="M15" s="200">
        <v>15</v>
      </c>
      <c r="N15" s="200">
        <v>7</v>
      </c>
      <c r="O15" s="200"/>
      <c r="P15" s="200"/>
      <c r="Q15" s="200"/>
      <c r="R15" s="200"/>
      <c r="S15" s="200">
        <v>14</v>
      </c>
      <c r="T15" s="200">
        <v>10</v>
      </c>
      <c r="U15" s="200"/>
      <c r="V15" s="200"/>
      <c r="W15" s="274"/>
      <c r="X15" s="274"/>
      <c r="Y15" s="274"/>
    </row>
    <row r="16" spans="2:25 4305:4305" ht="20.100000000000001" customHeight="1" x14ac:dyDescent="0.4">
      <c r="B16" s="252"/>
      <c r="C16" s="251" t="s">
        <v>3169</v>
      </c>
      <c r="D16" s="82" t="str">
        <f>IF(ROUND(0.02*(E5),1)&lt;0.1,"0,1 mg iv",IF(ROUND(0.02*(E5),1)&gt;0.5,"0,5 mg iv",ROUND(0.02*(E5),1)&amp;" mg iv"))</f>
        <v>0.2 mg iv</v>
      </c>
      <c r="E16" s="368" t="str">
        <f>"= "&amp;IF(ROUND(0.02*(E5),1)&lt;0.1,0.1,IF(ROUND(0.02*(E5),1)&gt;0.5,0.5,ROUND(0.02*(E5),1)))*2&amp;" ml van 0,5 mg/ml (min 0,1 mg)"</f>
        <v>= 0.4 ml van 0,5 mg/ml (min 0,1 mg)</v>
      </c>
      <c r="F16" s="368"/>
      <c r="G16" s="357" t="s">
        <v>44</v>
      </c>
      <c r="H16" s="81"/>
      <c r="I16" s="81"/>
      <c r="J16" s="274"/>
      <c r="K16" s="274"/>
      <c r="L16" s="200">
        <v>14</v>
      </c>
      <c r="M16" s="200">
        <v>15</v>
      </c>
      <c r="N16" s="200">
        <v>7</v>
      </c>
      <c r="O16" s="200"/>
      <c r="P16" s="200"/>
      <c r="Q16" s="200"/>
      <c r="R16" s="200"/>
      <c r="S16" s="200">
        <v>15</v>
      </c>
      <c r="T16" s="200">
        <v>10</v>
      </c>
      <c r="U16" s="200"/>
      <c r="V16" s="200"/>
      <c r="W16" s="274"/>
      <c r="X16" s="274"/>
      <c r="Y16" s="274"/>
    </row>
    <row r="17" spans="2:25" ht="20.100000000000001" customHeight="1" thickBot="1" x14ac:dyDescent="0.45">
      <c r="B17" s="252"/>
      <c r="C17" s="270"/>
      <c r="D17" s="271"/>
      <c r="E17" s="369"/>
      <c r="F17" s="369"/>
      <c r="G17" s="358"/>
      <c r="H17" s="81"/>
      <c r="I17" s="81"/>
      <c r="J17" s="274"/>
      <c r="K17" s="274"/>
      <c r="L17" s="200">
        <v>15</v>
      </c>
      <c r="M17" s="200">
        <v>15</v>
      </c>
      <c r="N17" s="200">
        <v>7</v>
      </c>
      <c r="O17" s="200"/>
      <c r="P17" s="200"/>
      <c r="Q17" s="200"/>
      <c r="R17" s="200"/>
      <c r="S17" s="200">
        <v>16</v>
      </c>
      <c r="T17" s="200">
        <v>20</v>
      </c>
      <c r="U17" s="200"/>
      <c r="V17" s="200"/>
      <c r="W17" s="274"/>
      <c r="X17" s="274"/>
      <c r="Y17" s="274"/>
    </row>
    <row r="18" spans="2:25" ht="15.75" customHeight="1" thickBot="1" x14ac:dyDescent="0.45">
      <c r="B18" s="29"/>
      <c r="C18" s="226"/>
      <c r="D18" s="82"/>
      <c r="E18" s="262"/>
      <c r="F18" s="262"/>
      <c r="G18" s="357"/>
      <c r="H18" s="260"/>
      <c r="I18" s="260"/>
      <c r="J18" s="276"/>
      <c r="K18" s="274"/>
      <c r="L18" s="200">
        <v>16</v>
      </c>
      <c r="M18" s="200">
        <v>15</v>
      </c>
      <c r="N18" s="200">
        <v>7</v>
      </c>
      <c r="O18" s="200"/>
      <c r="P18" s="200"/>
      <c r="Q18" s="200"/>
      <c r="R18" s="200"/>
      <c r="S18" s="200">
        <v>17</v>
      </c>
      <c r="T18" s="200">
        <v>20</v>
      </c>
      <c r="U18" s="200"/>
      <c r="V18" s="200"/>
      <c r="W18" s="274"/>
      <c r="X18" s="274"/>
      <c r="Y18" s="274"/>
    </row>
    <row r="19" spans="2:25" ht="20.100000000000001" customHeight="1" x14ac:dyDescent="0.4">
      <c r="B19" s="252" t="s">
        <v>2660</v>
      </c>
      <c r="C19" s="267" t="s">
        <v>1002</v>
      </c>
      <c r="D19" s="268" t="str">
        <f>IF(0.02*E5&gt;0.3,"0,3 mg iv",0.02*E5&amp;" mg iv")</f>
        <v>0.2 mg iv</v>
      </c>
      <c r="E19" s="269" t="str">
        <f>"= "&amp;IF(0.02*E5&gt;1,"10 ml van anexate 0,1 mg/ml",ROUND((0.02*E5)/0.1,1)&amp;" ml van anexate 0,1 mg/ml")</f>
        <v>= 2 ml van anexate 0,1 mg/ml</v>
      </c>
      <c r="F19" s="269"/>
      <c r="G19" s="356" t="s">
        <v>45</v>
      </c>
      <c r="H19" s="260"/>
      <c r="I19" s="260"/>
      <c r="J19" s="276"/>
      <c r="K19" s="274"/>
      <c r="L19" s="200">
        <v>17</v>
      </c>
      <c r="M19" s="200">
        <v>15</v>
      </c>
      <c r="N19" s="200">
        <v>7</v>
      </c>
      <c r="O19" s="200"/>
      <c r="P19" s="200"/>
      <c r="Q19" s="200"/>
      <c r="R19" s="200"/>
      <c r="S19" s="200">
        <v>18</v>
      </c>
      <c r="T19" s="200">
        <v>20</v>
      </c>
      <c r="U19" s="200"/>
      <c r="V19" s="200"/>
      <c r="W19" s="274"/>
      <c r="X19" s="274"/>
      <c r="Y19" s="274"/>
    </row>
    <row r="20" spans="2:25" ht="20.100000000000001" customHeight="1" x14ac:dyDescent="0.4">
      <c r="B20" s="252"/>
      <c r="C20" s="251" t="s">
        <v>3171</v>
      </c>
      <c r="D20" s="82" t="str">
        <f>IF(0.01*E5&gt;0.4,"0,4 mg iv",0.01*E5&amp;" mg iv")</f>
        <v>0.1 mg iv</v>
      </c>
      <c r="E20" s="368" t="str">
        <f>"= "&amp;IF(0.01*E5&gt;0.4,"20 ml van naloxon 20 mcg/ml of "&amp;"1 ml van 0,4 mg/ml",ROUND((0.01*E5)/0.02,1)&amp;" ml van naloxon 20 mcg/ml of "&amp;ROUND((0.01*E5)/0.4,1)&amp;" ml van 0,4 mg/ml")</f>
        <v>= 5 ml van naloxon 20 mcg/ml of 0.3 ml van 0,4 mg/ml</v>
      </c>
      <c r="F20" s="368"/>
      <c r="G20" s="357" t="s">
        <v>46</v>
      </c>
      <c r="H20" s="81"/>
      <c r="I20" s="81"/>
      <c r="J20" s="274"/>
      <c r="K20" s="274"/>
      <c r="L20" s="200">
        <v>18</v>
      </c>
      <c r="M20" s="200">
        <v>15</v>
      </c>
      <c r="N20" s="200">
        <v>7</v>
      </c>
      <c r="O20" s="200"/>
      <c r="P20" s="200"/>
      <c r="Q20" s="200"/>
      <c r="R20" s="200"/>
      <c r="S20" s="200">
        <v>19</v>
      </c>
      <c r="T20" s="200">
        <v>20</v>
      </c>
      <c r="U20" s="200"/>
      <c r="V20" s="200"/>
      <c r="W20" s="274"/>
      <c r="X20" s="274"/>
      <c r="Y20" s="274"/>
    </row>
    <row r="21" spans="2:25" ht="20.100000000000001" customHeight="1" thickBot="1" x14ac:dyDescent="0.45">
      <c r="B21" s="252"/>
      <c r="C21" s="270"/>
      <c r="D21" s="271"/>
      <c r="E21" s="369"/>
      <c r="F21" s="369"/>
      <c r="G21" s="358"/>
      <c r="H21" s="81"/>
      <c r="I21" s="81"/>
      <c r="J21" s="274"/>
      <c r="K21" s="274"/>
      <c r="L21" s="200"/>
      <c r="M21" s="200"/>
      <c r="N21" s="200"/>
      <c r="O21" s="200"/>
      <c r="P21" s="200"/>
      <c r="Q21" s="200"/>
      <c r="R21" s="200"/>
      <c r="S21" s="200">
        <v>20</v>
      </c>
      <c r="T21" s="200">
        <v>20</v>
      </c>
      <c r="U21" s="200">
        <v>20</v>
      </c>
      <c r="V21" s="200"/>
      <c r="W21" s="274"/>
      <c r="X21" s="274"/>
      <c r="Y21" s="274"/>
    </row>
    <row r="22" spans="2:25" ht="20.100000000000001" customHeight="1" thickBot="1" x14ac:dyDescent="0.45">
      <c r="B22" s="29"/>
      <c r="C22" s="226"/>
      <c r="D22" s="82"/>
      <c r="E22" s="262"/>
      <c r="F22" s="262"/>
      <c r="G22" s="357"/>
      <c r="H22" s="81"/>
      <c r="I22" s="81"/>
      <c r="J22" s="274"/>
      <c r="K22" s="274"/>
      <c r="L22" s="200"/>
      <c r="M22" s="200"/>
      <c r="N22" s="200"/>
      <c r="O22" s="200"/>
      <c r="P22" s="200"/>
      <c r="Q22" s="200"/>
      <c r="R22" s="200"/>
      <c r="S22" s="200">
        <v>21</v>
      </c>
      <c r="T22" s="200">
        <v>30</v>
      </c>
      <c r="U22" s="200"/>
      <c r="V22" s="200"/>
      <c r="W22" s="274"/>
      <c r="X22" s="274"/>
      <c r="Y22" s="274"/>
    </row>
    <row r="23" spans="2:25" ht="20.100000000000001" customHeight="1" x14ac:dyDescent="0.4">
      <c r="B23" s="252" t="s">
        <v>2661</v>
      </c>
      <c r="C23" s="267" t="e">
        <f ca="1">IF(C5=0,"alprostadil (Prostin)","")</f>
        <v>#NAME?</v>
      </c>
      <c r="D23" s="268" t="e">
        <f ca="1">IF(C5=0,"0,5 mg in 50 ml FZ","")</f>
        <v>#NAME?</v>
      </c>
      <c r="E23" s="269" t="e">
        <f ca="1">IF(C5=0,"1 ml/uur = "&amp;ROUND(1000*(0.5/50)*24/(E5)/1.44,0)&amp;" nanog/kg/min iv","")</f>
        <v>#NAME?</v>
      </c>
      <c r="F23" s="269"/>
      <c r="G23" s="356" t="s">
        <v>3110</v>
      </c>
      <c r="H23" s="81"/>
      <c r="I23" s="81"/>
      <c r="J23" s="274"/>
      <c r="K23" s="274"/>
      <c r="L23" s="200"/>
      <c r="M23" s="200"/>
      <c r="N23" s="200"/>
      <c r="O23" s="200"/>
      <c r="P23" s="200"/>
      <c r="Q23" s="200"/>
      <c r="R23" s="200"/>
      <c r="S23" s="200">
        <v>22</v>
      </c>
      <c r="T23" s="200">
        <v>30</v>
      </c>
      <c r="U23" s="200"/>
      <c r="V23" s="200"/>
      <c r="W23" s="274"/>
      <c r="X23" s="274"/>
      <c r="Y23" s="274"/>
    </row>
    <row r="24" spans="2:25" ht="20.100000000000001" customHeight="1" x14ac:dyDescent="0.4">
      <c r="B24" s="252"/>
      <c r="C24" s="251" t="s">
        <v>1165</v>
      </c>
      <c r="D24" s="82" t="str">
        <f>IF(E5&gt;5,"200 mg in 50 ml FZ",ROUND(((E5)*24*60*(10/1000)/(24/50))/50,0)*50&amp;" mg in 50 ml FZ")</f>
        <v>200 mg in 50 ml FZ</v>
      </c>
      <c r="E24" s="81" t="str">
        <f>"1 ml/uur = "&amp;IF(E5&gt;5,ROUND((200/50/E5/60)*1000,1),ROUND(24*ROUND(((E5)*24*60*(10/1000)/(24/50))/50,0)*50/50/1.44/E5,1))&amp;" mcg/kg/min"</f>
        <v>1 ml/uur = 6.7 mcg/kg/min</v>
      </c>
      <c r="F24" s="81"/>
      <c r="G24" s="357" t="s">
        <v>3337</v>
      </c>
      <c r="H24" s="81"/>
      <c r="I24" s="81"/>
      <c r="J24" s="274"/>
      <c r="K24" s="274"/>
      <c r="L24" s="200"/>
      <c r="M24" s="200"/>
      <c r="N24" s="200"/>
      <c r="O24" s="200"/>
      <c r="P24" s="200"/>
      <c r="Q24" s="200"/>
      <c r="R24" s="200"/>
      <c r="S24" s="200">
        <v>23</v>
      </c>
      <c r="T24" s="200">
        <v>30</v>
      </c>
      <c r="U24" s="200"/>
      <c r="V24" s="200"/>
      <c r="W24" s="274"/>
      <c r="X24" s="274"/>
      <c r="Y24" s="274"/>
    </row>
    <row r="25" spans="2:25" ht="20.100000000000001" customHeight="1" thickBot="1" x14ac:dyDescent="0.45">
      <c r="B25" s="252"/>
      <c r="C25" s="270" t="s">
        <v>1166</v>
      </c>
      <c r="D25" s="271" t="str">
        <f>IF(Gewicht/15&gt;5,"10 mg in 50 ml FZ",ROUND((E5)*24*60*(0.1/1000)/(24/50)/5,1)*5&amp;" mg in 50 ml FZ")</f>
        <v>10 mg in 50 ml FZ</v>
      </c>
      <c r="E25" s="272" t="str">
        <f>"1 ml/uur = "&amp;IF(E5&gt;5,ROUND((10/50/E5/60)*1000,2),ROUND(24*ROUND((E5)*24*60*(0.1/1000)/(24/50)/5,1)*5/50/1.44/E5,2))&amp;" mcg/kg/min"</f>
        <v>1 ml/uur = 0.33 mcg/kg/min</v>
      </c>
      <c r="F25" s="272"/>
      <c r="G25" s="358" t="s">
        <v>3992</v>
      </c>
      <c r="H25" s="81"/>
      <c r="I25" s="81"/>
      <c r="J25" s="274"/>
      <c r="K25" s="274"/>
      <c r="L25" s="200"/>
      <c r="M25" s="200"/>
      <c r="N25" s="200"/>
      <c r="O25" s="200"/>
      <c r="P25" s="200"/>
      <c r="Q25" s="200"/>
      <c r="R25" s="200"/>
      <c r="S25" s="200">
        <v>24</v>
      </c>
      <c r="T25" s="200">
        <v>30</v>
      </c>
      <c r="U25" s="200"/>
      <c r="V25" s="200"/>
      <c r="W25" s="274"/>
      <c r="X25" s="274"/>
      <c r="Y25" s="274"/>
    </row>
    <row r="26" spans="2:25" ht="20.100000000000001" customHeight="1" thickBot="1" x14ac:dyDescent="0.45">
      <c r="B26" s="29"/>
      <c r="C26" s="81"/>
      <c r="D26" s="82"/>
      <c r="E26" s="81"/>
      <c r="F26" s="81"/>
      <c r="G26" s="357"/>
      <c r="H26" s="81"/>
      <c r="I26" s="81"/>
      <c r="J26" s="274"/>
      <c r="K26" s="274"/>
      <c r="L26" s="200"/>
      <c r="M26" s="200"/>
      <c r="N26" s="200"/>
      <c r="O26" s="200"/>
      <c r="P26" s="200"/>
      <c r="Q26" s="200"/>
      <c r="R26" s="200"/>
      <c r="S26" s="200">
        <v>25</v>
      </c>
      <c r="T26" s="200">
        <v>30</v>
      </c>
      <c r="U26" s="200"/>
      <c r="V26" s="200"/>
      <c r="W26" s="274"/>
      <c r="X26" s="274"/>
      <c r="Y26" s="274"/>
    </row>
    <row r="27" spans="2:25" ht="20.100000000000001" customHeight="1" x14ac:dyDescent="0.4">
      <c r="B27" s="366" t="s">
        <v>2662</v>
      </c>
      <c r="C27" s="267" t="s">
        <v>4838</v>
      </c>
      <c r="D27" s="268" t="str">
        <f>IF(ROUND(E5/2,0)*2&gt;50,"300 mg iv",ROUND(E5*5,0)&amp;" mg iv")</f>
        <v>50 mg iv</v>
      </c>
      <c r="E27" s="269" t="str">
        <f>IF(ROUND(E5/2,0)*2&gt;50,"6 ml van amiodarone 50 mg/ml iv",ROUND(E5*0.1,1)&amp;" ml van amiodarone 50 mg/ml iv")</f>
        <v>1 ml van amiodarone 50 mg/ml iv</v>
      </c>
      <c r="F27" s="269"/>
      <c r="G27" s="356" t="s">
        <v>47</v>
      </c>
      <c r="H27" s="81"/>
      <c r="I27" s="81"/>
      <c r="J27" s="274"/>
      <c r="K27" s="274"/>
      <c r="L27" s="200"/>
      <c r="M27" s="200"/>
      <c r="N27" s="200"/>
      <c r="O27" s="200"/>
      <c r="P27" s="200"/>
      <c r="Q27" s="200"/>
      <c r="R27" s="200"/>
      <c r="S27" s="200">
        <v>26</v>
      </c>
      <c r="T27" s="200">
        <v>30</v>
      </c>
      <c r="U27" s="200"/>
      <c r="V27" s="200"/>
      <c r="W27" s="274"/>
      <c r="X27" s="274"/>
      <c r="Y27" s="274"/>
    </row>
    <row r="28" spans="2:25" ht="20.100000000000001" customHeight="1" thickBot="1" x14ac:dyDescent="0.45">
      <c r="B28" s="367"/>
      <c r="C28" s="270" t="s">
        <v>3080</v>
      </c>
      <c r="D28" s="271" t="str">
        <f>IF(E5/10&gt;10,"10 ml iv",E5/10 &amp;" ml iv")</f>
        <v>1 ml iv</v>
      </c>
      <c r="E28" s="272" t="s">
        <v>2298</v>
      </c>
      <c r="F28" s="272"/>
      <c r="G28" s="358" t="s">
        <v>48</v>
      </c>
      <c r="H28" s="81"/>
      <c r="I28" s="81"/>
      <c r="J28" s="274"/>
      <c r="K28" s="274"/>
      <c r="L28" s="200"/>
      <c r="M28" s="200"/>
      <c r="N28" s="200"/>
      <c r="O28" s="200"/>
      <c r="P28" s="200"/>
      <c r="Q28" s="200"/>
      <c r="R28" s="200"/>
      <c r="S28" s="200">
        <v>27</v>
      </c>
      <c r="T28" s="200">
        <v>30</v>
      </c>
      <c r="U28" s="200"/>
      <c r="V28" s="200"/>
      <c r="W28" s="274"/>
      <c r="X28" s="274"/>
      <c r="Y28" s="274"/>
    </row>
    <row r="29" spans="2:25" ht="20.100000000000001" customHeight="1" thickBot="1" x14ac:dyDescent="0.45">
      <c r="B29" s="29"/>
      <c r="C29" s="81"/>
      <c r="D29" s="82"/>
      <c r="E29" s="81"/>
      <c r="F29" s="81"/>
      <c r="G29" s="357"/>
      <c r="H29" s="81"/>
      <c r="I29" s="81"/>
      <c r="J29" s="274"/>
      <c r="K29" s="274"/>
      <c r="L29" s="200"/>
      <c r="M29" s="200"/>
      <c r="N29" s="200"/>
      <c r="O29" s="200"/>
      <c r="P29" s="200"/>
      <c r="Q29" s="200"/>
      <c r="R29" s="200"/>
      <c r="S29" s="200">
        <v>28</v>
      </c>
      <c r="T29" s="200">
        <v>30</v>
      </c>
      <c r="U29" s="200"/>
      <c r="V29" s="200"/>
      <c r="W29" s="274"/>
      <c r="X29" s="274"/>
      <c r="Y29" s="274"/>
    </row>
    <row r="30" spans="2:25" ht="20.100000000000001" customHeight="1" x14ac:dyDescent="0.4">
      <c r="B30" s="365" t="s">
        <v>992</v>
      </c>
      <c r="C30" s="267" t="s">
        <v>1167</v>
      </c>
      <c r="D30" s="268" t="str">
        <f>IF((0.5*E5)&gt;10,"10 mg rect",(0.5*E5)&amp;" mg rect")</f>
        <v>5 mg rect</v>
      </c>
      <c r="E30" s="269" t="str">
        <f>"= "&amp;IF((0.5*E5)&gt;10,"5 ml van diazepam 2 mg/ml",ROUND((0.5*E5)/2,1)&amp;" ml van diazepam 2 mg/ml")</f>
        <v>= 2.5 ml van diazepam 2 mg/ml</v>
      </c>
      <c r="F30" s="269"/>
      <c r="G30" s="356" t="s">
        <v>49</v>
      </c>
      <c r="H30" s="81"/>
      <c r="I30" s="81"/>
      <c r="J30" s="274"/>
      <c r="K30" s="274"/>
      <c r="L30" s="200"/>
      <c r="M30" s="200"/>
      <c r="N30" s="200"/>
      <c r="O30" s="200"/>
      <c r="P30" s="200"/>
      <c r="Q30" s="200"/>
      <c r="R30" s="200"/>
      <c r="S30" s="200">
        <v>29</v>
      </c>
      <c r="T30" s="200">
        <v>30</v>
      </c>
      <c r="U30" s="200"/>
      <c r="V30" s="200"/>
      <c r="W30" s="274"/>
      <c r="X30" s="274"/>
      <c r="Y30" s="274"/>
    </row>
    <row r="31" spans="2:25" ht="20.100000000000001" customHeight="1" x14ac:dyDescent="0.4">
      <c r="B31" s="365"/>
      <c r="C31" s="251" t="s">
        <v>2690</v>
      </c>
      <c r="D31" s="82" t="str">
        <f>IF((20*E5)&gt;1500,"1500 mg iv",20*E5&amp;" mg iv")</f>
        <v>200 mg iv</v>
      </c>
      <c r="E31" s="368" t="str">
        <f>"= "&amp;IF((20*E5)&gt;750,"15 ml van fenytoine 50 mg/ml in 20 ml FZ langzaam iv",ROUND((15*E5)/50,1)&amp;" ml van fenytoine 50 mg/ml in 20 ml FZ langzaam iv")</f>
        <v>= 3 ml van fenytoine 50 mg/ml in 20 ml FZ langzaam iv</v>
      </c>
      <c r="F31" s="368"/>
      <c r="G31" s="359" t="s">
        <v>340</v>
      </c>
      <c r="H31" s="81"/>
      <c r="I31" s="81"/>
      <c r="J31" s="274"/>
      <c r="L31" s="200"/>
      <c r="M31" s="200"/>
      <c r="N31" s="200"/>
      <c r="O31" s="200"/>
      <c r="P31" s="200"/>
      <c r="Q31" s="200"/>
      <c r="R31" s="200"/>
      <c r="S31" s="200">
        <v>30</v>
      </c>
      <c r="T31" s="200">
        <v>30</v>
      </c>
      <c r="U31" s="200">
        <v>30</v>
      </c>
      <c r="V31" s="200"/>
      <c r="W31" s="274"/>
      <c r="X31" s="274"/>
      <c r="Y31" s="274"/>
    </row>
    <row r="32" spans="2:25" ht="20.100000000000001" customHeight="1" x14ac:dyDescent="0.4">
      <c r="B32" s="252"/>
      <c r="C32" s="251"/>
      <c r="D32" s="82"/>
      <c r="E32" s="368"/>
      <c r="F32" s="368"/>
      <c r="G32" s="357"/>
      <c r="H32" s="81"/>
      <c r="I32" s="81"/>
      <c r="L32" s="200"/>
      <c r="M32" s="200"/>
      <c r="N32" s="200"/>
      <c r="O32" s="200"/>
      <c r="P32" s="200"/>
      <c r="Q32" s="200"/>
      <c r="R32" s="200"/>
      <c r="S32" s="200">
        <v>31</v>
      </c>
      <c r="T32" s="200">
        <v>50</v>
      </c>
      <c r="U32" s="200"/>
      <c r="V32" s="200"/>
      <c r="W32" s="274"/>
      <c r="X32" s="274"/>
      <c r="Y32" s="274"/>
    </row>
    <row r="33" spans="2:25" ht="12.75" customHeight="1" thickBot="1" x14ac:dyDescent="0.45">
      <c r="B33" s="252"/>
      <c r="C33" s="270" t="s">
        <v>3517</v>
      </c>
      <c r="D33" s="271" t="str">
        <f>IF((0.1*E5)&gt;10,"10 mg iv",0.1*E5&amp;" mg iv")</f>
        <v>1 mg iv</v>
      </c>
      <c r="E33" s="272" t="str">
        <f>"= "&amp;IF((0.1*E5)&gt;15,10,ROUND((0.1*E5),1))&amp;" ml van dormicum 1 mg/ml iv"</f>
        <v>= 1 ml van dormicum 1 mg/ml iv</v>
      </c>
      <c r="F33" s="272"/>
      <c r="G33" s="360" t="s">
        <v>50</v>
      </c>
      <c r="H33" s="81"/>
      <c r="I33" s="81"/>
      <c r="L33" s="200"/>
      <c r="M33" s="200"/>
      <c r="N33" s="200"/>
      <c r="O33" s="200"/>
      <c r="P33" s="200"/>
      <c r="Q33" s="200"/>
      <c r="R33" s="200"/>
      <c r="S33" s="200">
        <v>32</v>
      </c>
      <c r="T33" s="200">
        <v>50</v>
      </c>
      <c r="U33" s="200"/>
      <c r="V33" s="200"/>
      <c r="W33" s="274"/>
      <c r="X33" s="274"/>
      <c r="Y33" s="274"/>
    </row>
    <row r="34" spans="2:25" ht="13.5" customHeight="1" thickBot="1" x14ac:dyDescent="0.45">
      <c r="B34" s="29"/>
      <c r="C34" s="81"/>
      <c r="D34" s="82"/>
      <c r="E34" s="81"/>
      <c r="F34" s="81"/>
      <c r="G34" s="361"/>
      <c r="H34" s="81"/>
      <c r="I34" s="81"/>
      <c r="L34" s="200"/>
      <c r="M34" s="200"/>
      <c r="N34" s="200"/>
      <c r="O34" s="200"/>
      <c r="P34" s="200"/>
      <c r="Q34" s="200"/>
      <c r="R34" s="200"/>
      <c r="S34" s="200">
        <v>33</v>
      </c>
      <c r="T34" s="200">
        <v>50</v>
      </c>
      <c r="U34" s="200"/>
      <c r="V34" s="200"/>
      <c r="W34" s="274"/>
      <c r="X34" s="274"/>
      <c r="Y34" s="274"/>
    </row>
    <row r="35" spans="2:25" ht="19.55" customHeight="1" x14ac:dyDescent="0.4">
      <c r="B35" s="252" t="s">
        <v>993</v>
      </c>
      <c r="C35" s="267" t="s">
        <v>4099</v>
      </c>
      <c r="D35" s="268" t="str">
        <f>IF(1*(E5&gt;25),"25 mg iv",1*(E5)&amp;" mg iv")</f>
        <v>10 mg iv</v>
      </c>
      <c r="E35" s="269"/>
      <c r="F35" s="269"/>
      <c r="G35" s="356" t="s">
        <v>51</v>
      </c>
      <c r="H35" s="81"/>
      <c r="I35" s="81"/>
      <c r="L35" s="200"/>
      <c r="M35" s="200"/>
      <c r="N35" s="200"/>
      <c r="O35" s="200"/>
      <c r="P35" s="200"/>
      <c r="Q35" s="200"/>
      <c r="R35" s="200"/>
      <c r="S35" s="200">
        <v>34</v>
      </c>
      <c r="T35" s="200">
        <v>50</v>
      </c>
      <c r="U35" s="200"/>
      <c r="V35" s="200"/>
      <c r="W35" s="274"/>
      <c r="X35" s="274"/>
      <c r="Y35" s="274"/>
    </row>
    <row r="36" spans="2:25" ht="19.55" customHeight="1" thickBot="1" x14ac:dyDescent="0.45">
      <c r="B36" s="252"/>
      <c r="C36" s="270" t="s">
        <v>1168</v>
      </c>
      <c r="D36" s="271" t="str">
        <f>IF(ROUND((0.5*E5),1)&gt;50,"50 gram iv",ROUND((0.5*E5),1)&amp;" gram iv")</f>
        <v>5 gram iv</v>
      </c>
      <c r="E36" s="272" t="str">
        <f>"= "&amp;IF(ROUND((0.5*E5),1)&gt;50,ROUND(50/0.15,0),ROUND((0.5*E5)/0.15,0))&amp;" ml van mannitol 15% in 30 min iv"</f>
        <v>= 33 ml van mannitol 15% in 30 min iv</v>
      </c>
      <c r="F36" s="272"/>
      <c r="G36" s="358" t="s">
        <v>52</v>
      </c>
      <c r="H36" s="81"/>
      <c r="I36" s="81"/>
      <c r="L36" s="200"/>
      <c r="M36" s="200"/>
      <c r="N36" s="200"/>
      <c r="O36" s="200"/>
      <c r="P36" s="200"/>
      <c r="Q36" s="200"/>
      <c r="R36" s="200"/>
      <c r="S36" s="200">
        <v>35</v>
      </c>
      <c r="T36" s="200">
        <v>50</v>
      </c>
      <c r="U36" s="200"/>
      <c r="V36" s="200"/>
      <c r="W36" s="274"/>
      <c r="X36" s="274"/>
      <c r="Y36" s="274"/>
    </row>
    <row r="37" spans="2:25" ht="25.55" customHeight="1" thickBot="1" x14ac:dyDescent="0.45">
      <c r="B37" s="29"/>
      <c r="C37" s="81"/>
      <c r="D37" s="82"/>
      <c r="E37" s="81"/>
      <c r="F37" s="81"/>
      <c r="G37" s="362"/>
      <c r="H37" s="81"/>
      <c r="I37" s="81"/>
      <c r="L37" s="200"/>
      <c r="M37" s="200"/>
      <c r="N37" s="200"/>
      <c r="O37" s="200"/>
      <c r="P37" s="200"/>
      <c r="Q37" s="200"/>
      <c r="R37" s="200"/>
      <c r="S37" s="200">
        <v>36</v>
      </c>
      <c r="T37" s="200">
        <v>50</v>
      </c>
      <c r="U37" s="200"/>
      <c r="V37" s="200"/>
      <c r="W37" s="274"/>
      <c r="X37" s="274"/>
      <c r="Y37" s="274"/>
    </row>
    <row r="38" spans="2:25" ht="19.55" customHeight="1" x14ac:dyDescent="0.4">
      <c r="B38" s="252" t="s">
        <v>1169</v>
      </c>
      <c r="C38" s="355" t="s">
        <v>2955</v>
      </c>
      <c r="D38" s="268" t="e">
        <f ca="1">"AMV "&amp;ROUND(E5*8*VLOOKUP(C5,L2:M20,2)/1000,1)&amp;" L/min"</f>
        <v>#NAME?</v>
      </c>
      <c r="E38" s="269"/>
      <c r="F38" s="268" t="s">
        <v>1170</v>
      </c>
      <c r="G38" s="269"/>
      <c r="H38" s="81"/>
      <c r="I38" s="81"/>
      <c r="L38" s="200"/>
      <c r="M38" s="200"/>
      <c r="N38" s="200"/>
      <c r="O38" s="200"/>
      <c r="P38" s="200"/>
      <c r="Q38" s="200"/>
      <c r="R38" s="200"/>
      <c r="S38" s="200"/>
      <c r="T38" s="200"/>
      <c r="U38" s="200"/>
      <c r="V38" s="200"/>
      <c r="W38" s="274"/>
      <c r="X38" s="274"/>
      <c r="Y38" s="274"/>
    </row>
    <row r="39" spans="2:25" ht="19.55" customHeight="1" x14ac:dyDescent="0.4">
      <c r="B39" s="252"/>
      <c r="C39" s="84"/>
      <c r="D39" s="82" t="e">
        <f ca="1">"frequentie "&amp;VLOOKUP(C5,L2:M20,2)&amp;"/min"</f>
        <v>#NAME?</v>
      </c>
      <c r="E39" s="81"/>
      <c r="F39" s="82" t="s">
        <v>1171</v>
      </c>
      <c r="G39" s="81"/>
      <c r="H39" s="81"/>
      <c r="I39" s="81"/>
      <c r="L39" s="200"/>
      <c r="M39" s="200"/>
      <c r="N39" s="200"/>
      <c r="O39" s="200"/>
      <c r="P39" s="200"/>
      <c r="Q39" s="200"/>
      <c r="R39" s="200"/>
      <c r="S39" s="200">
        <v>37</v>
      </c>
      <c r="T39" s="200">
        <v>50</v>
      </c>
      <c r="U39" s="200"/>
      <c r="V39" s="200"/>
      <c r="W39" s="274"/>
      <c r="X39" s="274"/>
      <c r="Y39" s="274"/>
    </row>
    <row r="40" spans="2:25" ht="19.55" customHeight="1" x14ac:dyDescent="0.4">
      <c r="B40" s="252"/>
      <c r="C40" s="84"/>
      <c r="D40" s="82" t="s">
        <v>4839</v>
      </c>
      <c r="E40" s="81"/>
      <c r="F40" s="82" t="s">
        <v>4168</v>
      </c>
      <c r="G40" s="81"/>
      <c r="H40" s="81"/>
      <c r="I40" s="81"/>
      <c r="L40" s="200"/>
      <c r="M40" s="200"/>
      <c r="N40" s="200"/>
      <c r="O40" s="200"/>
      <c r="P40" s="200"/>
      <c r="Q40" s="200"/>
      <c r="R40" s="200"/>
      <c r="S40" s="200">
        <v>38</v>
      </c>
      <c r="T40" s="200">
        <v>50</v>
      </c>
      <c r="U40" s="200"/>
      <c r="V40" s="200"/>
      <c r="W40" s="274"/>
      <c r="X40" s="274"/>
      <c r="Y40" s="274"/>
    </row>
    <row r="41" spans="2:25" ht="19.55" customHeight="1" x14ac:dyDescent="0.4">
      <c r="B41" s="252"/>
      <c r="C41" s="84"/>
      <c r="D41" s="82" t="s">
        <v>4169</v>
      </c>
      <c r="E41" s="81"/>
      <c r="F41" s="82"/>
      <c r="G41" s="81"/>
      <c r="H41" s="81"/>
      <c r="I41" s="81"/>
      <c r="L41" s="200"/>
      <c r="M41" s="200"/>
      <c r="N41" s="200"/>
      <c r="O41" s="200"/>
      <c r="P41" s="200"/>
      <c r="Q41" s="200"/>
      <c r="R41" s="200"/>
      <c r="S41" s="200">
        <v>39</v>
      </c>
      <c r="T41" s="200">
        <v>50</v>
      </c>
      <c r="U41" s="200"/>
      <c r="V41" s="200"/>
      <c r="W41" s="274"/>
      <c r="X41" s="274"/>
      <c r="Y41" s="274"/>
    </row>
    <row r="42" spans="2:25" ht="19.55" customHeight="1" thickBot="1" x14ac:dyDescent="0.45">
      <c r="B42" s="252"/>
      <c r="C42" s="273"/>
      <c r="D42" s="271"/>
      <c r="E42" s="272"/>
      <c r="F42" s="271"/>
      <c r="G42" s="272"/>
      <c r="H42" s="81"/>
      <c r="I42" s="81"/>
      <c r="L42" s="200"/>
      <c r="M42" s="200"/>
      <c r="N42" s="200"/>
      <c r="O42" s="200"/>
      <c r="P42" s="200"/>
      <c r="Q42" s="200"/>
      <c r="R42" s="200"/>
      <c r="S42" s="200">
        <v>40</v>
      </c>
      <c r="T42" s="200">
        <v>50</v>
      </c>
      <c r="U42" s="200"/>
      <c r="V42" s="200"/>
      <c r="W42" s="274"/>
      <c r="X42" s="274"/>
      <c r="Y42" s="274"/>
    </row>
    <row r="43" spans="2:25" ht="19.55" customHeight="1" x14ac:dyDescent="0.35">
      <c r="B43" s="26"/>
      <c r="C43" s="81"/>
      <c r="D43" s="81"/>
      <c r="E43" s="81"/>
      <c r="F43" s="81"/>
      <c r="G43" s="81"/>
      <c r="H43" s="81"/>
      <c r="I43" s="81"/>
      <c r="L43" s="200"/>
      <c r="M43" s="200"/>
      <c r="N43" s="200"/>
      <c r="O43" s="200"/>
      <c r="P43" s="200"/>
      <c r="Q43" s="200"/>
      <c r="R43" s="200"/>
      <c r="S43" s="200">
        <v>41</v>
      </c>
      <c r="T43" s="200">
        <v>50</v>
      </c>
      <c r="U43" s="200"/>
      <c r="V43" s="200"/>
      <c r="W43" s="274"/>
      <c r="X43" s="274"/>
      <c r="Y43" s="274"/>
    </row>
    <row r="44" spans="2:25" ht="19.55" customHeight="1" x14ac:dyDescent="0.35">
      <c r="B44" s="223" t="s">
        <v>918</v>
      </c>
      <c r="C44" s="83"/>
      <c r="D44" s="81"/>
      <c r="E44" s="81"/>
      <c r="F44" s="81"/>
      <c r="G44" s="81"/>
      <c r="H44" s="81"/>
      <c r="I44" s="81"/>
      <c r="L44" s="200"/>
      <c r="M44" s="200"/>
      <c r="N44" s="200"/>
      <c r="O44" s="200"/>
      <c r="P44" s="200"/>
      <c r="Q44" s="200"/>
      <c r="R44" s="200"/>
      <c r="S44" s="200">
        <v>42</v>
      </c>
      <c r="T44" s="200">
        <v>50</v>
      </c>
      <c r="U44" s="200"/>
      <c r="V44" s="200"/>
      <c r="W44" s="274"/>
      <c r="X44" s="274"/>
      <c r="Y44" s="274"/>
    </row>
    <row r="45" spans="2:25" ht="19.55" customHeight="1" x14ac:dyDescent="0.35">
      <c r="B45" s="98"/>
      <c r="C45" s="81"/>
      <c r="D45" s="81"/>
      <c r="E45" s="81"/>
      <c r="F45" s="81"/>
      <c r="G45" s="81"/>
      <c r="H45" s="81"/>
      <c r="I45" s="81"/>
      <c r="L45" s="200"/>
      <c r="M45" s="200"/>
      <c r="N45" s="200"/>
      <c r="O45" s="200"/>
      <c r="P45" s="200"/>
      <c r="Q45" s="200"/>
      <c r="R45" s="200"/>
      <c r="S45" s="200">
        <v>43</v>
      </c>
      <c r="T45" s="200">
        <v>50</v>
      </c>
      <c r="U45" s="200"/>
      <c r="V45" s="200"/>
      <c r="W45" s="274"/>
      <c r="X45" s="274"/>
      <c r="Y45" s="274"/>
    </row>
    <row r="46" spans="2:25" ht="19.55" customHeight="1" x14ac:dyDescent="0.35">
      <c r="B46" s="98"/>
      <c r="C46" s="81"/>
      <c r="D46" s="81"/>
      <c r="E46" s="81"/>
      <c r="F46" s="81"/>
      <c r="G46" s="81"/>
      <c r="H46" s="81"/>
      <c r="I46" s="81"/>
      <c r="L46" s="200"/>
      <c r="M46" s="200"/>
      <c r="N46" s="200"/>
      <c r="O46" s="200"/>
      <c r="P46" s="200"/>
      <c r="Q46" s="200"/>
      <c r="R46" s="200"/>
      <c r="S46" s="200">
        <v>44</v>
      </c>
      <c r="T46" s="200">
        <v>50</v>
      </c>
      <c r="U46" s="200"/>
      <c r="V46" s="200"/>
      <c r="W46" s="274"/>
      <c r="X46" s="274"/>
      <c r="Y46" s="274"/>
    </row>
    <row r="47" spans="2:25" x14ac:dyDescent="0.35">
      <c r="B47" s="98"/>
      <c r="C47" s="81"/>
      <c r="D47" s="81"/>
      <c r="E47" s="81"/>
      <c r="F47" s="81"/>
      <c r="G47" s="81"/>
      <c r="H47" s="81"/>
      <c r="I47" s="81"/>
      <c r="L47" s="200"/>
      <c r="M47" s="200"/>
      <c r="N47" s="200"/>
      <c r="O47" s="200"/>
      <c r="P47" s="200"/>
      <c r="Q47" s="200"/>
      <c r="R47" s="200"/>
      <c r="S47" s="200">
        <v>45</v>
      </c>
      <c r="T47" s="200">
        <v>50</v>
      </c>
      <c r="U47" s="200"/>
      <c r="V47" s="200"/>
      <c r="W47" s="274"/>
      <c r="X47" s="274"/>
      <c r="Y47" s="274"/>
    </row>
    <row r="48" spans="2:25" x14ac:dyDescent="0.35">
      <c r="B48" s="98"/>
      <c r="C48" s="81"/>
      <c r="D48" s="81"/>
      <c r="E48" s="81"/>
      <c r="F48" s="81"/>
      <c r="G48" s="81"/>
      <c r="H48" s="81"/>
      <c r="I48" s="81"/>
      <c r="L48" s="200"/>
      <c r="M48" s="200"/>
      <c r="N48" s="200"/>
      <c r="O48" s="200"/>
      <c r="P48" s="200"/>
      <c r="Q48" s="200"/>
      <c r="R48" s="200"/>
      <c r="S48" s="200">
        <v>46</v>
      </c>
      <c r="T48" s="200">
        <v>50</v>
      </c>
      <c r="U48" s="200"/>
      <c r="V48" s="200"/>
      <c r="W48" s="274"/>
      <c r="X48" s="274"/>
      <c r="Y48" s="274"/>
    </row>
    <row r="49" spans="2:25" x14ac:dyDescent="0.35">
      <c r="B49" s="98"/>
      <c r="C49" s="81"/>
      <c r="D49" s="81"/>
      <c r="E49" s="81"/>
      <c r="F49" s="81"/>
      <c r="G49" s="81"/>
      <c r="H49" s="81"/>
      <c r="I49" s="81"/>
      <c r="L49" s="200"/>
      <c r="M49" s="200"/>
      <c r="N49" s="200"/>
      <c r="O49" s="200"/>
      <c r="P49" s="200"/>
      <c r="Q49" s="200"/>
      <c r="R49" s="200"/>
      <c r="S49" s="200">
        <v>47</v>
      </c>
      <c r="T49" s="200">
        <v>50</v>
      </c>
      <c r="U49" s="200"/>
      <c r="V49" s="200"/>
      <c r="W49" s="274"/>
      <c r="X49" s="274"/>
      <c r="Y49" s="274"/>
    </row>
    <row r="50" spans="2:25" x14ac:dyDescent="0.35">
      <c r="B50" s="98"/>
      <c r="C50" s="81"/>
      <c r="D50" s="81"/>
      <c r="E50" s="81"/>
      <c r="F50" s="81"/>
      <c r="G50" s="81"/>
      <c r="H50" s="81"/>
      <c r="I50" s="81"/>
      <c r="L50" s="200"/>
      <c r="M50" s="200"/>
      <c r="N50" s="200"/>
      <c r="O50" s="200"/>
      <c r="P50" s="200"/>
      <c r="Q50" s="200"/>
      <c r="R50" s="200"/>
      <c r="S50" s="200">
        <v>48</v>
      </c>
      <c r="T50" s="200">
        <v>50</v>
      </c>
      <c r="U50" s="200"/>
      <c r="V50" s="200"/>
      <c r="W50" s="274"/>
      <c r="X50" s="274"/>
      <c r="Y50" s="274"/>
    </row>
    <row r="51" spans="2:25" x14ac:dyDescent="0.35">
      <c r="B51" s="98"/>
      <c r="C51" s="81"/>
      <c r="D51" s="81"/>
      <c r="E51" s="81"/>
      <c r="F51" s="81"/>
      <c r="G51" s="81"/>
      <c r="H51" s="81"/>
      <c r="I51" s="81"/>
      <c r="L51" s="200"/>
      <c r="M51" s="200"/>
      <c r="N51" s="200"/>
      <c r="O51" s="200"/>
      <c r="P51" s="200"/>
      <c r="Q51" s="200"/>
      <c r="R51" s="200"/>
      <c r="S51" s="200">
        <v>49</v>
      </c>
      <c r="T51" s="200">
        <v>50</v>
      </c>
      <c r="U51" s="200"/>
      <c r="V51" s="200"/>
      <c r="W51" s="274"/>
      <c r="X51" s="274"/>
      <c r="Y51" s="274"/>
    </row>
    <row r="52" spans="2:25" x14ac:dyDescent="0.35">
      <c r="B52" s="98"/>
      <c r="C52" s="81"/>
      <c r="D52" s="81"/>
      <c r="E52" s="81"/>
      <c r="F52" s="81"/>
      <c r="G52" s="81"/>
      <c r="H52" s="81"/>
      <c r="I52" s="81"/>
      <c r="L52" s="200"/>
      <c r="M52" s="200"/>
      <c r="N52" s="200"/>
      <c r="O52" s="200"/>
      <c r="P52" s="200"/>
      <c r="Q52" s="200"/>
      <c r="R52" s="200"/>
      <c r="S52" s="200">
        <v>50</v>
      </c>
      <c r="T52" s="200">
        <v>50</v>
      </c>
      <c r="U52" s="200">
        <v>50</v>
      </c>
      <c r="V52" s="200"/>
      <c r="W52" s="274"/>
      <c r="X52" s="274"/>
      <c r="Y52" s="274"/>
    </row>
    <row r="53" spans="2:25" x14ac:dyDescent="0.35">
      <c r="B53" s="98"/>
      <c r="C53" s="81"/>
      <c r="D53" s="81"/>
      <c r="E53" s="81"/>
      <c r="F53" s="81"/>
      <c r="G53" s="81"/>
      <c r="H53" s="81"/>
      <c r="I53" s="81"/>
      <c r="L53" s="200"/>
      <c r="M53" s="200"/>
      <c r="N53" s="200"/>
      <c r="O53" s="200"/>
      <c r="P53" s="200"/>
      <c r="Q53" s="200"/>
      <c r="R53" s="200"/>
      <c r="S53" s="200">
        <v>51</v>
      </c>
      <c r="T53" s="200">
        <v>70</v>
      </c>
      <c r="U53" s="200"/>
      <c r="V53" s="200"/>
      <c r="W53" s="274"/>
      <c r="X53" s="274"/>
      <c r="Y53" s="274"/>
    </row>
    <row r="54" spans="2:25" x14ac:dyDescent="0.35">
      <c r="B54" s="98"/>
      <c r="C54" s="81"/>
      <c r="D54" s="81"/>
      <c r="E54" s="81"/>
      <c r="F54" s="81"/>
      <c r="G54" s="81"/>
      <c r="H54" s="81"/>
      <c r="I54" s="81"/>
      <c r="L54" s="200"/>
      <c r="M54" s="200"/>
      <c r="N54" s="200"/>
      <c r="O54" s="200"/>
      <c r="P54" s="200"/>
      <c r="Q54" s="200"/>
      <c r="R54" s="200"/>
      <c r="S54" s="200">
        <v>52</v>
      </c>
      <c r="T54" s="200">
        <v>70</v>
      </c>
      <c r="U54" s="200"/>
      <c r="V54" s="200"/>
      <c r="W54" s="274"/>
      <c r="X54" s="274"/>
      <c r="Y54" s="274"/>
    </row>
    <row r="55" spans="2:25" x14ac:dyDescent="0.35">
      <c r="B55" s="98"/>
      <c r="C55" s="81"/>
      <c r="D55" s="81"/>
      <c r="E55" s="81"/>
      <c r="F55" s="81"/>
      <c r="G55" s="81"/>
      <c r="H55" s="81"/>
      <c r="I55" s="81"/>
      <c r="L55" s="200"/>
      <c r="M55" s="200"/>
      <c r="N55" s="200"/>
      <c r="O55" s="200"/>
      <c r="P55" s="200"/>
      <c r="Q55" s="200"/>
      <c r="R55" s="200"/>
      <c r="S55" s="200">
        <v>53</v>
      </c>
      <c r="T55" s="200">
        <v>70</v>
      </c>
      <c r="U55" s="200"/>
      <c r="V55" s="200"/>
      <c r="W55" s="274"/>
      <c r="X55" s="274"/>
      <c r="Y55" s="274"/>
    </row>
    <row r="56" spans="2:25" x14ac:dyDescent="0.35">
      <c r="B56" s="98"/>
      <c r="C56" s="81"/>
      <c r="D56" s="81"/>
      <c r="E56" s="81"/>
      <c r="F56" s="81"/>
      <c r="G56" s="81"/>
      <c r="H56" s="81"/>
      <c r="I56" s="81"/>
      <c r="L56" s="200"/>
      <c r="M56" s="200"/>
      <c r="N56" s="200"/>
      <c r="O56" s="200"/>
      <c r="P56" s="200"/>
      <c r="Q56" s="200"/>
      <c r="R56" s="200"/>
      <c r="S56" s="200">
        <v>54</v>
      </c>
      <c r="T56" s="200">
        <v>70</v>
      </c>
      <c r="U56" s="200"/>
      <c r="V56" s="200"/>
      <c r="W56" s="274"/>
      <c r="X56" s="274"/>
      <c r="Y56" s="274"/>
    </row>
    <row r="57" spans="2:25" x14ac:dyDescent="0.35">
      <c r="B57" s="98"/>
      <c r="C57" s="81"/>
      <c r="D57" s="81"/>
      <c r="E57" s="81"/>
      <c r="F57" s="81"/>
      <c r="G57" s="81"/>
      <c r="H57" s="81"/>
      <c r="I57" s="81"/>
      <c r="L57" s="200"/>
      <c r="M57" s="200"/>
      <c r="N57" s="200"/>
      <c r="O57" s="200"/>
      <c r="P57" s="200"/>
      <c r="Q57" s="200"/>
      <c r="R57" s="200"/>
      <c r="S57" s="200">
        <v>55</v>
      </c>
      <c r="T57" s="200">
        <v>70</v>
      </c>
      <c r="U57" s="200"/>
      <c r="V57" s="200"/>
      <c r="W57" s="274"/>
      <c r="X57" s="274"/>
      <c r="Y57" s="274"/>
    </row>
    <row r="58" spans="2:25" x14ac:dyDescent="0.35">
      <c r="B58" s="98"/>
      <c r="C58" s="81"/>
      <c r="D58" s="81"/>
      <c r="E58" s="81"/>
      <c r="F58" s="81"/>
      <c r="G58" s="81"/>
      <c r="H58" s="81"/>
      <c r="I58" s="81"/>
      <c r="L58" s="200"/>
      <c r="M58" s="200"/>
      <c r="N58" s="200"/>
      <c r="O58" s="200"/>
      <c r="P58" s="200"/>
      <c r="Q58" s="200"/>
      <c r="R58" s="200"/>
      <c r="S58" s="200">
        <v>56</v>
      </c>
      <c r="T58" s="200">
        <v>70</v>
      </c>
      <c r="U58" s="200"/>
      <c r="V58" s="200"/>
      <c r="W58" s="274"/>
      <c r="X58" s="274"/>
      <c r="Y58" s="274"/>
    </row>
    <row r="59" spans="2:25" x14ac:dyDescent="0.35">
      <c r="B59" s="98"/>
      <c r="C59" s="81"/>
      <c r="D59" s="81"/>
      <c r="E59" s="81"/>
      <c r="F59" s="81"/>
      <c r="G59" s="81"/>
      <c r="H59" s="81"/>
      <c r="I59" s="81"/>
      <c r="L59" s="200"/>
      <c r="M59" s="200"/>
      <c r="N59" s="200"/>
      <c r="O59" s="200"/>
      <c r="P59" s="200"/>
      <c r="Q59" s="200"/>
      <c r="R59" s="200"/>
      <c r="S59" s="200">
        <v>57</v>
      </c>
      <c r="T59" s="200">
        <v>70</v>
      </c>
      <c r="U59" s="200"/>
      <c r="V59" s="200"/>
      <c r="W59" s="274"/>
      <c r="X59" s="274"/>
      <c r="Y59" s="274"/>
    </row>
    <row r="60" spans="2:25" x14ac:dyDescent="0.35">
      <c r="B60" s="98"/>
      <c r="C60" s="81"/>
      <c r="D60" s="81"/>
      <c r="E60" s="81"/>
      <c r="F60" s="81"/>
      <c r="G60" s="81"/>
      <c r="H60" s="81"/>
      <c r="I60" s="81"/>
      <c r="L60" s="200"/>
      <c r="M60" s="200"/>
      <c r="N60" s="200"/>
      <c r="O60" s="200"/>
      <c r="P60" s="200"/>
      <c r="Q60" s="200"/>
      <c r="R60" s="200"/>
      <c r="S60" s="200">
        <v>58</v>
      </c>
      <c r="T60" s="200">
        <v>70</v>
      </c>
      <c r="U60" s="200"/>
      <c r="V60" s="200"/>
      <c r="W60" s="274"/>
      <c r="X60" s="274"/>
      <c r="Y60" s="274"/>
    </row>
    <row r="61" spans="2:25" x14ac:dyDescent="0.35">
      <c r="B61" s="98"/>
      <c r="C61" s="81"/>
      <c r="D61" s="81"/>
      <c r="E61" s="81"/>
      <c r="F61" s="81"/>
      <c r="G61" s="81"/>
      <c r="H61" s="81"/>
      <c r="I61" s="81"/>
      <c r="L61" s="200"/>
      <c r="M61" s="200"/>
      <c r="N61" s="200"/>
      <c r="O61" s="200"/>
      <c r="P61" s="200"/>
      <c r="Q61" s="200"/>
      <c r="R61" s="200"/>
      <c r="S61" s="200">
        <v>59</v>
      </c>
      <c r="T61" s="200">
        <v>70</v>
      </c>
      <c r="U61" s="200"/>
      <c r="V61" s="200"/>
      <c r="W61" s="274"/>
      <c r="X61" s="274"/>
      <c r="Y61" s="274"/>
    </row>
    <row r="62" spans="2:25" x14ac:dyDescent="0.35">
      <c r="B62" s="98"/>
      <c r="C62" s="81"/>
      <c r="D62" s="81"/>
      <c r="E62" s="81"/>
      <c r="F62" s="81"/>
      <c r="G62" s="81"/>
      <c r="H62" s="81"/>
      <c r="I62" s="81"/>
      <c r="L62" s="200"/>
      <c r="M62" s="200"/>
      <c r="N62" s="200"/>
      <c r="O62" s="200"/>
      <c r="P62" s="200"/>
      <c r="Q62" s="200"/>
      <c r="R62" s="200"/>
      <c r="S62" s="200">
        <v>60</v>
      </c>
      <c r="T62" s="200">
        <v>70</v>
      </c>
      <c r="U62" s="200"/>
      <c r="V62" s="200"/>
      <c r="W62" s="274"/>
      <c r="X62" s="274"/>
      <c r="Y62" s="274"/>
    </row>
    <row r="63" spans="2:25" x14ac:dyDescent="0.35">
      <c r="B63" s="98"/>
      <c r="C63" s="81"/>
      <c r="D63" s="81"/>
      <c r="E63" s="81"/>
      <c r="F63" s="81"/>
      <c r="G63" s="81"/>
      <c r="H63" s="81"/>
      <c r="I63" s="81"/>
      <c r="L63" s="200"/>
      <c r="M63" s="200"/>
      <c r="N63" s="200"/>
      <c r="O63" s="200"/>
      <c r="P63" s="200"/>
      <c r="Q63" s="200"/>
      <c r="R63" s="200"/>
      <c r="S63" s="200">
        <v>61</v>
      </c>
      <c r="T63" s="200">
        <v>70</v>
      </c>
      <c r="U63" s="200"/>
      <c r="V63" s="200"/>
      <c r="W63" s="274"/>
      <c r="X63" s="274"/>
      <c r="Y63" s="274"/>
    </row>
    <row r="64" spans="2:25" x14ac:dyDescent="0.35">
      <c r="B64" s="98"/>
      <c r="C64" s="81"/>
      <c r="D64" s="81"/>
      <c r="E64" s="81"/>
      <c r="F64" s="81"/>
      <c r="G64" s="81"/>
      <c r="H64" s="81"/>
      <c r="I64" s="81"/>
      <c r="L64" s="200"/>
      <c r="M64" s="200"/>
      <c r="N64" s="200"/>
      <c r="O64" s="200"/>
      <c r="P64" s="200"/>
      <c r="Q64" s="200"/>
      <c r="R64" s="200"/>
      <c r="S64" s="200">
        <v>62</v>
      </c>
      <c r="T64" s="200">
        <v>70</v>
      </c>
      <c r="U64" s="200"/>
      <c r="V64" s="200"/>
      <c r="W64" s="274"/>
      <c r="X64" s="274"/>
      <c r="Y64" s="274"/>
    </row>
    <row r="65" spans="2:25" x14ac:dyDescent="0.35">
      <c r="B65" s="98"/>
      <c r="C65" s="81"/>
      <c r="D65" s="81"/>
      <c r="E65" s="81"/>
      <c r="F65" s="81"/>
      <c r="G65" s="81"/>
      <c r="H65" s="81"/>
      <c r="I65" s="81"/>
      <c r="L65" s="200"/>
      <c r="M65" s="200"/>
      <c r="N65" s="200"/>
      <c r="O65" s="200"/>
      <c r="P65" s="200"/>
      <c r="Q65" s="200"/>
      <c r="R65" s="200"/>
      <c r="S65" s="200">
        <v>63</v>
      </c>
      <c r="T65" s="200">
        <v>70</v>
      </c>
      <c r="U65" s="200"/>
      <c r="V65" s="200"/>
      <c r="W65" s="274"/>
      <c r="X65" s="274"/>
      <c r="Y65" s="274"/>
    </row>
    <row r="66" spans="2:25" x14ac:dyDescent="0.35">
      <c r="B66" s="98"/>
      <c r="C66" s="81"/>
      <c r="D66" s="81"/>
      <c r="E66" s="81"/>
      <c r="F66" s="81"/>
      <c r="G66" s="81"/>
      <c r="H66" s="81"/>
      <c r="I66" s="81"/>
      <c r="L66" s="200"/>
      <c r="M66" s="200"/>
      <c r="N66" s="200"/>
      <c r="O66" s="200"/>
      <c r="P66" s="200"/>
      <c r="Q66" s="200"/>
      <c r="R66" s="200"/>
      <c r="S66" s="200">
        <v>64</v>
      </c>
      <c r="T66" s="200">
        <v>70</v>
      </c>
      <c r="U66" s="200"/>
      <c r="V66" s="200"/>
      <c r="W66" s="274"/>
      <c r="X66" s="274"/>
      <c r="Y66" s="274"/>
    </row>
    <row r="67" spans="2:25" x14ac:dyDescent="0.35">
      <c r="B67" s="98"/>
      <c r="C67" s="81"/>
      <c r="D67" s="81"/>
      <c r="E67" s="81"/>
      <c r="F67" s="81"/>
      <c r="G67" s="81"/>
      <c r="H67" s="81"/>
      <c r="I67" s="81"/>
      <c r="L67" s="200"/>
      <c r="M67" s="200"/>
      <c r="N67" s="200"/>
      <c r="O67" s="200"/>
      <c r="P67" s="200"/>
      <c r="Q67" s="200"/>
      <c r="R67" s="200"/>
      <c r="S67" s="200">
        <v>65</v>
      </c>
      <c r="T67" s="200">
        <v>70</v>
      </c>
      <c r="U67" s="200"/>
      <c r="V67" s="200"/>
      <c r="W67" s="274"/>
      <c r="X67" s="274"/>
      <c r="Y67" s="274"/>
    </row>
    <row r="68" spans="2:25" x14ac:dyDescent="0.35">
      <c r="B68" s="98"/>
      <c r="C68" s="81"/>
      <c r="D68" s="81"/>
      <c r="E68" s="81"/>
      <c r="F68" s="81"/>
      <c r="G68" s="81"/>
      <c r="H68" s="81"/>
      <c r="I68" s="81"/>
      <c r="L68" s="200"/>
      <c r="M68" s="200"/>
      <c r="N68" s="200"/>
      <c r="O68" s="200"/>
      <c r="P68" s="200"/>
      <c r="Q68" s="200"/>
      <c r="R68" s="200"/>
      <c r="S68" s="200">
        <v>66</v>
      </c>
      <c r="T68" s="200">
        <v>70</v>
      </c>
      <c r="U68" s="200"/>
      <c r="V68" s="200"/>
      <c r="W68" s="274"/>
      <c r="X68" s="274"/>
      <c r="Y68" s="274"/>
    </row>
    <row r="69" spans="2:25" x14ac:dyDescent="0.35">
      <c r="B69" s="98"/>
      <c r="C69" s="81"/>
      <c r="D69" s="81"/>
      <c r="E69" s="81"/>
      <c r="F69" s="81"/>
      <c r="G69" s="81"/>
      <c r="H69" s="81"/>
      <c r="I69" s="81"/>
      <c r="L69" s="200"/>
      <c r="M69" s="200"/>
      <c r="N69" s="200"/>
      <c r="O69" s="200"/>
      <c r="P69" s="200"/>
      <c r="Q69" s="200"/>
      <c r="R69" s="200"/>
      <c r="S69" s="200">
        <v>67</v>
      </c>
      <c r="T69" s="200">
        <v>70</v>
      </c>
      <c r="U69" s="200"/>
      <c r="V69" s="200"/>
      <c r="W69" s="274"/>
      <c r="X69" s="274"/>
      <c r="Y69" s="274"/>
    </row>
    <row r="70" spans="2:25" x14ac:dyDescent="0.35">
      <c r="B70" s="98"/>
      <c r="C70" s="81"/>
      <c r="D70" s="81"/>
      <c r="E70" s="81"/>
      <c r="F70" s="81"/>
      <c r="G70" s="81"/>
      <c r="H70" s="81"/>
      <c r="I70" s="81"/>
      <c r="L70" s="200"/>
      <c r="M70" s="200"/>
      <c r="N70" s="200"/>
      <c r="O70" s="200"/>
      <c r="P70" s="200"/>
      <c r="Q70" s="200"/>
      <c r="R70" s="200"/>
      <c r="S70" s="200">
        <v>68</v>
      </c>
      <c r="T70" s="200">
        <v>70</v>
      </c>
      <c r="U70" s="200"/>
      <c r="V70" s="200"/>
      <c r="W70" s="274"/>
      <c r="X70" s="274"/>
      <c r="Y70" s="274"/>
    </row>
    <row r="71" spans="2:25" x14ac:dyDescent="0.35">
      <c r="B71" s="98"/>
      <c r="C71" s="81"/>
      <c r="D71" s="81"/>
      <c r="E71" s="81"/>
      <c r="F71" s="81"/>
      <c r="G71" s="81"/>
      <c r="H71" s="81"/>
      <c r="I71" s="81"/>
      <c r="L71" s="200"/>
      <c r="M71" s="200"/>
      <c r="N71" s="200"/>
      <c r="O71" s="200"/>
      <c r="P71" s="200"/>
      <c r="Q71" s="200"/>
      <c r="R71" s="200"/>
      <c r="S71" s="200">
        <v>69</v>
      </c>
      <c r="T71" s="200">
        <v>70</v>
      </c>
      <c r="U71" s="200"/>
      <c r="V71" s="200"/>
      <c r="W71" s="274"/>
      <c r="X71" s="274"/>
      <c r="Y71" s="274"/>
    </row>
    <row r="72" spans="2:25" x14ac:dyDescent="0.35">
      <c r="B72" s="98"/>
      <c r="C72" s="81"/>
      <c r="D72" s="81"/>
      <c r="E72" s="81"/>
      <c r="F72" s="81"/>
      <c r="G72" s="81"/>
      <c r="H72" s="81"/>
      <c r="I72" s="81"/>
      <c r="L72" s="200"/>
      <c r="M72" s="200"/>
      <c r="N72" s="200"/>
      <c r="O72" s="200"/>
      <c r="P72" s="200"/>
      <c r="Q72" s="200"/>
      <c r="R72" s="200"/>
      <c r="S72" s="200">
        <v>70</v>
      </c>
      <c r="T72" s="200">
        <v>70</v>
      </c>
      <c r="U72" s="200">
        <v>70</v>
      </c>
      <c r="V72" s="200"/>
      <c r="W72" s="274"/>
      <c r="X72" s="274"/>
      <c r="Y72" s="274"/>
    </row>
    <row r="73" spans="2:25" x14ac:dyDescent="0.35">
      <c r="B73" s="98"/>
      <c r="C73" s="81"/>
      <c r="D73" s="81"/>
      <c r="E73" s="81"/>
      <c r="F73" s="81"/>
      <c r="G73" s="81"/>
      <c r="H73" s="81"/>
      <c r="I73" s="81"/>
      <c r="L73" s="200"/>
      <c r="M73" s="200"/>
      <c r="N73" s="200"/>
      <c r="O73" s="200"/>
      <c r="P73" s="200"/>
      <c r="Q73" s="200"/>
      <c r="R73" s="200"/>
      <c r="S73" s="200">
        <v>71</v>
      </c>
      <c r="T73" s="200">
        <v>100</v>
      </c>
      <c r="U73" s="200"/>
      <c r="V73" s="200"/>
      <c r="W73" s="274"/>
      <c r="X73" s="274"/>
      <c r="Y73" s="274"/>
    </row>
    <row r="74" spans="2:25" x14ac:dyDescent="0.35">
      <c r="B74" s="98"/>
      <c r="C74" s="81"/>
      <c r="D74" s="81"/>
      <c r="E74" s="81"/>
      <c r="F74" s="81"/>
      <c r="G74" s="81"/>
      <c r="H74" s="81"/>
      <c r="I74" s="81"/>
      <c r="L74" s="200"/>
      <c r="M74" s="200"/>
      <c r="N74" s="200"/>
      <c r="O74" s="200"/>
      <c r="P74" s="200"/>
      <c r="Q74" s="200"/>
      <c r="R74" s="200"/>
      <c r="S74" s="200">
        <v>72</v>
      </c>
      <c r="T74" s="200">
        <v>100</v>
      </c>
      <c r="U74" s="200"/>
      <c r="V74" s="200"/>
      <c r="W74" s="274"/>
      <c r="X74" s="274"/>
      <c r="Y74" s="274"/>
    </row>
    <row r="75" spans="2:25" x14ac:dyDescent="0.35">
      <c r="B75" s="98"/>
      <c r="C75" s="81"/>
      <c r="D75" s="81"/>
      <c r="E75" s="81"/>
      <c r="F75" s="81"/>
      <c r="G75" s="81"/>
      <c r="H75" s="81"/>
      <c r="I75" s="81"/>
      <c r="L75" s="200"/>
      <c r="M75" s="200"/>
      <c r="N75" s="200"/>
      <c r="O75" s="200"/>
      <c r="P75" s="200"/>
      <c r="Q75" s="200"/>
      <c r="R75" s="200"/>
      <c r="S75" s="200">
        <v>73</v>
      </c>
      <c r="T75" s="200">
        <v>100</v>
      </c>
      <c r="U75" s="200"/>
      <c r="V75" s="200"/>
      <c r="W75" s="274"/>
      <c r="X75" s="274"/>
      <c r="Y75" s="274"/>
    </row>
    <row r="76" spans="2:25" x14ac:dyDescent="0.35">
      <c r="B76" s="98"/>
      <c r="C76" s="81"/>
      <c r="D76" s="81"/>
      <c r="E76" s="81"/>
      <c r="F76" s="81"/>
      <c r="G76" s="81"/>
      <c r="H76" s="81"/>
      <c r="I76" s="81"/>
      <c r="L76" s="200"/>
      <c r="M76" s="200"/>
      <c r="N76" s="200"/>
      <c r="O76" s="200"/>
      <c r="P76" s="200"/>
      <c r="Q76" s="200"/>
      <c r="R76" s="200"/>
      <c r="S76" s="200">
        <v>74</v>
      </c>
      <c r="T76" s="200">
        <v>100</v>
      </c>
      <c r="U76" s="200"/>
      <c r="V76" s="200"/>
      <c r="W76" s="274"/>
      <c r="X76" s="274"/>
      <c r="Y76" s="274"/>
    </row>
    <row r="77" spans="2:25" x14ac:dyDescent="0.35">
      <c r="H77" s="81"/>
      <c r="I77" s="81"/>
      <c r="L77" s="200"/>
      <c r="M77" s="200"/>
      <c r="N77" s="200"/>
      <c r="O77" s="200"/>
      <c r="P77" s="200"/>
      <c r="Q77" s="200"/>
      <c r="R77" s="200"/>
      <c r="S77" s="200">
        <v>75</v>
      </c>
      <c r="T77" s="200">
        <v>100</v>
      </c>
      <c r="U77" s="200"/>
      <c r="V77" s="200"/>
      <c r="W77" s="274"/>
      <c r="X77" s="274"/>
      <c r="Y77" s="274"/>
    </row>
    <row r="78" spans="2:25" x14ac:dyDescent="0.35">
      <c r="L78" s="200"/>
      <c r="M78" s="200"/>
      <c r="N78" s="200"/>
      <c r="O78" s="200"/>
      <c r="P78" s="200"/>
      <c r="Q78" s="200"/>
      <c r="R78" s="200"/>
      <c r="S78" s="200">
        <v>76</v>
      </c>
      <c r="T78" s="200">
        <v>100</v>
      </c>
      <c r="U78" s="200"/>
      <c r="V78" s="200"/>
      <c r="W78" s="274"/>
      <c r="X78" s="274"/>
      <c r="Y78" s="274"/>
    </row>
    <row r="79" spans="2:25" x14ac:dyDescent="0.35">
      <c r="L79" s="200"/>
      <c r="M79" s="200"/>
      <c r="N79" s="200"/>
      <c r="O79" s="200"/>
      <c r="P79" s="200"/>
      <c r="Q79" s="200"/>
      <c r="R79" s="200"/>
      <c r="S79" s="200">
        <v>77</v>
      </c>
      <c r="T79" s="200">
        <v>100</v>
      </c>
      <c r="U79" s="200"/>
      <c r="V79" s="200"/>
      <c r="W79" s="274"/>
      <c r="X79" s="274"/>
      <c r="Y79" s="274"/>
    </row>
    <row r="80" spans="2:25" x14ac:dyDescent="0.35">
      <c r="L80" s="200"/>
      <c r="M80" s="200"/>
      <c r="N80" s="200"/>
      <c r="O80" s="200"/>
      <c r="P80" s="200"/>
      <c r="Q80" s="200"/>
      <c r="R80" s="200"/>
      <c r="S80" s="200">
        <v>78</v>
      </c>
      <c r="T80" s="200">
        <v>100</v>
      </c>
      <c r="U80" s="200"/>
      <c r="V80" s="200"/>
      <c r="W80" s="274"/>
      <c r="X80" s="274"/>
      <c r="Y80" s="274"/>
    </row>
    <row r="81" spans="12:25" x14ac:dyDescent="0.35">
      <c r="L81" s="200"/>
      <c r="M81" s="200"/>
      <c r="N81" s="200"/>
      <c r="O81" s="200"/>
      <c r="P81" s="200"/>
      <c r="Q81" s="200"/>
      <c r="R81" s="200"/>
      <c r="S81" s="200">
        <v>79</v>
      </c>
      <c r="T81" s="200">
        <v>100</v>
      </c>
      <c r="U81" s="200"/>
      <c r="V81" s="200"/>
      <c r="W81" s="274"/>
      <c r="X81" s="274"/>
      <c r="Y81" s="274"/>
    </row>
    <row r="82" spans="12:25" x14ac:dyDescent="0.35">
      <c r="L82" s="200"/>
      <c r="M82" s="200"/>
      <c r="N82" s="200"/>
      <c r="O82" s="200"/>
      <c r="P82" s="200"/>
      <c r="Q82" s="200"/>
      <c r="R82" s="200"/>
      <c r="S82" s="200">
        <v>80</v>
      </c>
      <c r="T82" s="200">
        <v>100</v>
      </c>
      <c r="U82" s="200"/>
      <c r="V82" s="200"/>
      <c r="W82" s="274"/>
      <c r="X82" s="274"/>
      <c r="Y82" s="274"/>
    </row>
    <row r="83" spans="12:25" x14ac:dyDescent="0.35">
      <c r="L83" s="200"/>
      <c r="M83" s="200"/>
      <c r="N83" s="200"/>
      <c r="O83" s="200"/>
      <c r="P83" s="200"/>
      <c r="Q83" s="200"/>
      <c r="R83" s="200"/>
      <c r="S83" s="200">
        <v>81</v>
      </c>
      <c r="T83" s="200">
        <v>100</v>
      </c>
      <c r="U83" s="200"/>
      <c r="V83" s="200"/>
      <c r="W83" s="274"/>
      <c r="X83" s="274"/>
      <c r="Y83" s="274"/>
    </row>
    <row r="84" spans="12:25" x14ac:dyDescent="0.35">
      <c r="L84" s="200"/>
      <c r="M84" s="200"/>
      <c r="N84" s="200"/>
      <c r="O84" s="200"/>
      <c r="P84" s="200"/>
      <c r="Q84" s="200"/>
      <c r="R84" s="200"/>
      <c r="S84" s="200">
        <v>82</v>
      </c>
      <c r="T84" s="200">
        <v>100</v>
      </c>
      <c r="U84" s="200"/>
      <c r="V84" s="200"/>
      <c r="W84" s="274"/>
      <c r="X84" s="274"/>
      <c r="Y84" s="274"/>
    </row>
    <row r="85" spans="12:25" x14ac:dyDescent="0.35">
      <c r="L85" s="200"/>
      <c r="M85" s="200"/>
      <c r="N85" s="200"/>
      <c r="O85" s="200"/>
      <c r="P85" s="200"/>
      <c r="Q85" s="200"/>
      <c r="R85" s="200"/>
      <c r="S85" s="200">
        <v>83</v>
      </c>
      <c r="T85" s="200">
        <v>100</v>
      </c>
      <c r="U85" s="200"/>
      <c r="V85" s="200"/>
      <c r="W85" s="274"/>
      <c r="X85" s="274"/>
      <c r="Y85" s="274"/>
    </row>
    <row r="86" spans="12:25" x14ac:dyDescent="0.35">
      <c r="L86" s="200"/>
      <c r="M86" s="200"/>
      <c r="N86" s="200"/>
      <c r="O86" s="200"/>
      <c r="P86" s="200"/>
      <c r="Q86" s="200"/>
      <c r="R86" s="200"/>
      <c r="S86" s="200">
        <v>84</v>
      </c>
      <c r="T86" s="200">
        <v>100</v>
      </c>
      <c r="U86" s="200"/>
      <c r="V86" s="200"/>
      <c r="W86" s="274"/>
      <c r="X86" s="274"/>
      <c r="Y86" s="274"/>
    </row>
    <row r="87" spans="12:25" x14ac:dyDescent="0.35">
      <c r="L87" s="200"/>
      <c r="M87" s="200"/>
      <c r="N87" s="200"/>
      <c r="O87" s="200"/>
      <c r="P87" s="200"/>
      <c r="Q87" s="200"/>
      <c r="R87" s="200"/>
      <c r="S87" s="200">
        <v>85</v>
      </c>
      <c r="T87" s="200">
        <v>100</v>
      </c>
      <c r="U87" s="200"/>
      <c r="V87" s="200"/>
      <c r="W87" s="274"/>
      <c r="X87" s="274"/>
      <c r="Y87" s="274"/>
    </row>
    <row r="88" spans="12:25" x14ac:dyDescent="0.35">
      <c r="L88" s="200"/>
      <c r="M88" s="200"/>
      <c r="N88" s="200"/>
      <c r="O88" s="200"/>
      <c r="P88" s="200"/>
      <c r="Q88" s="200"/>
      <c r="R88" s="200"/>
      <c r="S88" s="200">
        <v>86</v>
      </c>
      <c r="T88" s="200">
        <v>100</v>
      </c>
      <c r="U88" s="200"/>
      <c r="V88" s="200"/>
      <c r="W88" s="274"/>
      <c r="X88" s="274"/>
      <c r="Y88" s="274"/>
    </row>
    <row r="89" spans="12:25" x14ac:dyDescent="0.35">
      <c r="L89" s="200"/>
      <c r="M89" s="200"/>
      <c r="N89" s="200"/>
      <c r="O89" s="200"/>
      <c r="P89" s="200"/>
      <c r="Q89" s="200"/>
      <c r="R89" s="200"/>
      <c r="S89" s="200">
        <v>87</v>
      </c>
      <c r="T89" s="200">
        <v>100</v>
      </c>
      <c r="U89" s="200"/>
      <c r="V89" s="200"/>
      <c r="W89" s="274"/>
      <c r="X89" s="274"/>
      <c r="Y89" s="274"/>
    </row>
    <row r="90" spans="12:25" x14ac:dyDescent="0.35">
      <c r="L90" s="200"/>
      <c r="M90" s="200"/>
      <c r="N90" s="200"/>
      <c r="O90" s="200"/>
      <c r="P90" s="200"/>
      <c r="Q90" s="200"/>
      <c r="R90" s="200"/>
      <c r="S90" s="200">
        <v>88</v>
      </c>
      <c r="T90" s="200">
        <v>100</v>
      </c>
      <c r="U90" s="200"/>
      <c r="V90" s="200"/>
      <c r="W90" s="274"/>
      <c r="X90" s="274"/>
      <c r="Y90" s="274"/>
    </row>
    <row r="91" spans="12:25" x14ac:dyDescent="0.35">
      <c r="L91" s="200"/>
      <c r="M91" s="200"/>
      <c r="N91" s="200"/>
      <c r="O91" s="200"/>
      <c r="P91" s="200"/>
      <c r="Q91" s="200"/>
      <c r="R91" s="200"/>
      <c r="S91" s="200">
        <v>89</v>
      </c>
      <c r="T91" s="200">
        <v>100</v>
      </c>
      <c r="U91" s="200"/>
      <c r="V91" s="200"/>
      <c r="W91" s="274"/>
      <c r="X91" s="274"/>
      <c r="Y91" s="274"/>
    </row>
    <row r="92" spans="12:25" x14ac:dyDescent="0.35">
      <c r="L92" s="200"/>
      <c r="M92" s="200"/>
      <c r="N92" s="200"/>
      <c r="O92" s="200"/>
      <c r="P92" s="200"/>
      <c r="Q92" s="200"/>
      <c r="R92" s="200"/>
      <c r="S92" s="200">
        <v>90</v>
      </c>
      <c r="T92" s="200">
        <v>100</v>
      </c>
      <c r="U92" s="200"/>
      <c r="V92" s="200"/>
      <c r="W92" s="274"/>
      <c r="X92" s="274"/>
      <c r="Y92" s="274"/>
    </row>
    <row r="93" spans="12:25" x14ac:dyDescent="0.35">
      <c r="L93" s="200"/>
      <c r="M93" s="200"/>
      <c r="N93" s="200"/>
      <c r="O93" s="200"/>
      <c r="P93" s="200"/>
      <c r="Q93" s="200"/>
      <c r="R93" s="200"/>
      <c r="S93" s="200">
        <v>91</v>
      </c>
      <c r="T93" s="200">
        <v>100</v>
      </c>
      <c r="U93" s="200"/>
      <c r="V93" s="200"/>
      <c r="W93" s="274"/>
      <c r="X93" s="274"/>
      <c r="Y93" s="274"/>
    </row>
    <row r="94" spans="12:25" x14ac:dyDescent="0.35">
      <c r="L94" s="200"/>
      <c r="M94" s="200"/>
      <c r="N94" s="200"/>
      <c r="O94" s="200"/>
      <c r="P94" s="200"/>
      <c r="Q94" s="200"/>
      <c r="R94" s="200"/>
      <c r="S94" s="200">
        <v>92</v>
      </c>
      <c r="T94" s="200">
        <v>100</v>
      </c>
      <c r="U94" s="200"/>
      <c r="V94" s="200"/>
      <c r="W94" s="274"/>
      <c r="X94" s="274"/>
      <c r="Y94" s="274"/>
    </row>
    <row r="95" spans="12:25" x14ac:dyDescent="0.35">
      <c r="L95" s="200"/>
      <c r="M95" s="200"/>
      <c r="N95" s="200"/>
      <c r="O95" s="200"/>
      <c r="P95" s="200"/>
      <c r="Q95" s="200"/>
      <c r="R95" s="200"/>
      <c r="S95" s="200">
        <v>93</v>
      </c>
      <c r="T95" s="200">
        <v>100</v>
      </c>
      <c r="U95" s="200"/>
      <c r="V95" s="200"/>
      <c r="W95" s="274"/>
      <c r="X95" s="274"/>
      <c r="Y95" s="274"/>
    </row>
    <row r="96" spans="12:25" x14ac:dyDescent="0.35">
      <c r="L96" s="200"/>
      <c r="M96" s="200"/>
      <c r="N96" s="200"/>
      <c r="O96" s="200"/>
      <c r="P96" s="200"/>
      <c r="Q96" s="200"/>
      <c r="R96" s="200"/>
      <c r="S96" s="200">
        <v>94</v>
      </c>
      <c r="T96" s="200">
        <v>100</v>
      </c>
      <c r="U96" s="200"/>
      <c r="V96" s="200"/>
      <c r="W96" s="274"/>
      <c r="X96" s="274"/>
      <c r="Y96" s="274"/>
    </row>
    <row r="97" spans="12:25" x14ac:dyDescent="0.35">
      <c r="L97" s="200"/>
      <c r="M97" s="200"/>
      <c r="N97" s="200"/>
      <c r="O97" s="200"/>
      <c r="P97" s="200"/>
      <c r="Q97" s="200"/>
      <c r="R97" s="200"/>
      <c r="S97" s="200">
        <v>95</v>
      </c>
      <c r="T97" s="200">
        <v>100</v>
      </c>
      <c r="U97" s="200"/>
      <c r="V97" s="200"/>
      <c r="W97" s="274"/>
      <c r="X97" s="274"/>
      <c r="Y97" s="274"/>
    </row>
    <row r="98" spans="12:25" x14ac:dyDescent="0.35">
      <c r="L98" s="200"/>
      <c r="M98" s="200"/>
      <c r="N98" s="200"/>
      <c r="O98" s="200"/>
      <c r="P98" s="200"/>
      <c r="Q98" s="200"/>
      <c r="R98" s="200"/>
      <c r="S98" s="200">
        <v>96</v>
      </c>
      <c r="T98" s="200">
        <v>100</v>
      </c>
      <c r="U98" s="200"/>
      <c r="V98" s="200"/>
      <c r="W98" s="274"/>
      <c r="X98" s="274"/>
      <c r="Y98" s="274"/>
    </row>
    <row r="99" spans="12:25" x14ac:dyDescent="0.35">
      <c r="L99" s="200"/>
      <c r="M99" s="200"/>
      <c r="N99" s="200"/>
      <c r="O99" s="200"/>
      <c r="P99" s="200"/>
      <c r="Q99" s="200"/>
      <c r="R99" s="200"/>
      <c r="S99" s="200">
        <v>97</v>
      </c>
      <c r="T99" s="200">
        <v>100</v>
      </c>
      <c r="U99" s="200"/>
      <c r="V99" s="200"/>
      <c r="W99" s="274"/>
      <c r="X99" s="274"/>
      <c r="Y99" s="274"/>
    </row>
    <row r="100" spans="12:25" x14ac:dyDescent="0.35">
      <c r="L100" s="200"/>
      <c r="M100" s="200"/>
      <c r="N100" s="200"/>
      <c r="O100" s="200"/>
      <c r="P100" s="200"/>
      <c r="Q100" s="200"/>
      <c r="R100" s="200"/>
      <c r="S100" s="200">
        <v>98</v>
      </c>
      <c r="T100" s="200">
        <v>100</v>
      </c>
      <c r="U100" s="200"/>
      <c r="V100" s="200"/>
      <c r="W100" s="274"/>
      <c r="X100" s="274"/>
      <c r="Y100" s="274"/>
    </row>
    <row r="101" spans="12:25" x14ac:dyDescent="0.35">
      <c r="L101" s="200"/>
      <c r="M101" s="200"/>
      <c r="N101" s="200"/>
      <c r="O101" s="200"/>
      <c r="P101" s="200"/>
      <c r="Q101" s="200"/>
      <c r="R101" s="200"/>
      <c r="S101" s="200">
        <v>99</v>
      </c>
      <c r="T101" s="200">
        <v>100</v>
      </c>
      <c r="U101" s="200"/>
      <c r="V101" s="200"/>
      <c r="W101" s="274"/>
      <c r="X101" s="274"/>
      <c r="Y101" s="274"/>
    </row>
    <row r="102" spans="12:25" x14ac:dyDescent="0.35">
      <c r="L102" s="200"/>
      <c r="M102" s="200"/>
      <c r="N102" s="200"/>
      <c r="O102" s="200"/>
      <c r="P102" s="200"/>
      <c r="Q102" s="200"/>
      <c r="R102" s="200"/>
      <c r="S102" s="200">
        <v>100</v>
      </c>
      <c r="T102" s="200">
        <v>100</v>
      </c>
      <c r="U102" s="200">
        <v>100</v>
      </c>
      <c r="V102" s="200"/>
      <c r="W102" s="274"/>
      <c r="X102" s="274"/>
      <c r="Y102" s="274"/>
    </row>
    <row r="103" spans="12:25" x14ac:dyDescent="0.35">
      <c r="L103" s="200"/>
      <c r="M103" s="200"/>
      <c r="N103" s="200"/>
      <c r="O103" s="200"/>
      <c r="P103" s="200"/>
      <c r="Q103" s="200"/>
      <c r="R103" s="200"/>
      <c r="S103" s="200">
        <v>101</v>
      </c>
      <c r="T103" s="200">
        <v>150</v>
      </c>
      <c r="U103" s="200"/>
      <c r="V103" s="200"/>
      <c r="W103" s="274"/>
      <c r="X103" s="274"/>
      <c r="Y103" s="274"/>
    </row>
    <row r="104" spans="12:25" x14ac:dyDescent="0.35">
      <c r="L104" s="200"/>
      <c r="M104" s="200"/>
      <c r="N104" s="200"/>
      <c r="O104" s="200"/>
      <c r="P104" s="200"/>
      <c r="Q104" s="200"/>
      <c r="R104" s="200"/>
      <c r="S104" s="200">
        <v>102</v>
      </c>
      <c r="T104" s="200">
        <v>150</v>
      </c>
      <c r="U104" s="200"/>
      <c r="V104" s="200"/>
      <c r="W104" s="274"/>
      <c r="X104" s="274"/>
      <c r="Y104" s="274"/>
    </row>
    <row r="105" spans="12:25" x14ac:dyDescent="0.35">
      <c r="L105" s="200"/>
      <c r="M105" s="200"/>
      <c r="N105" s="200"/>
      <c r="O105" s="200"/>
      <c r="P105" s="200"/>
      <c r="Q105" s="200"/>
      <c r="R105" s="200"/>
      <c r="S105" s="200">
        <v>103</v>
      </c>
      <c r="T105" s="200">
        <v>150</v>
      </c>
      <c r="U105" s="200"/>
      <c r="V105" s="200"/>
      <c r="W105" s="274"/>
      <c r="X105" s="274"/>
      <c r="Y105" s="274"/>
    </row>
    <row r="106" spans="12:25" x14ac:dyDescent="0.35">
      <c r="L106" s="200"/>
      <c r="M106" s="200"/>
      <c r="N106" s="200"/>
      <c r="O106" s="200"/>
      <c r="P106" s="200"/>
      <c r="Q106" s="200"/>
      <c r="R106" s="200"/>
      <c r="S106" s="200">
        <v>104</v>
      </c>
      <c r="T106" s="200">
        <v>150</v>
      </c>
      <c r="U106" s="200"/>
      <c r="V106" s="200"/>
      <c r="W106" s="274"/>
      <c r="X106" s="274"/>
      <c r="Y106" s="274"/>
    </row>
    <row r="107" spans="12:25" x14ac:dyDescent="0.35">
      <c r="L107" s="200"/>
      <c r="M107" s="200"/>
      <c r="N107" s="200"/>
      <c r="O107" s="200"/>
      <c r="P107" s="200"/>
      <c r="Q107" s="200"/>
      <c r="R107" s="200"/>
      <c r="S107" s="200">
        <v>105</v>
      </c>
      <c r="T107" s="200">
        <v>150</v>
      </c>
      <c r="U107" s="200"/>
      <c r="V107" s="200"/>
      <c r="W107" s="274"/>
      <c r="X107" s="274"/>
      <c r="Y107" s="274"/>
    </row>
    <row r="108" spans="12:25" x14ac:dyDescent="0.35">
      <c r="L108" s="200"/>
      <c r="M108" s="200"/>
      <c r="N108" s="200"/>
      <c r="O108" s="200"/>
      <c r="P108" s="200"/>
      <c r="Q108" s="200"/>
      <c r="R108" s="200"/>
      <c r="S108" s="200">
        <v>106</v>
      </c>
      <c r="T108" s="200">
        <v>150</v>
      </c>
      <c r="U108" s="200"/>
      <c r="V108" s="200"/>
      <c r="W108" s="274"/>
      <c r="X108" s="274"/>
      <c r="Y108" s="274"/>
    </row>
    <row r="109" spans="12:25" x14ac:dyDescent="0.35">
      <c r="L109" s="200"/>
      <c r="M109" s="200"/>
      <c r="N109" s="200"/>
      <c r="O109" s="200"/>
      <c r="P109" s="200"/>
      <c r="Q109" s="200"/>
      <c r="R109" s="200"/>
      <c r="S109" s="200">
        <v>107</v>
      </c>
      <c r="T109" s="200">
        <v>150</v>
      </c>
      <c r="U109" s="200"/>
      <c r="V109" s="200"/>
      <c r="W109" s="274"/>
      <c r="X109" s="274"/>
      <c r="Y109" s="274"/>
    </row>
    <row r="110" spans="12:25" x14ac:dyDescent="0.35">
      <c r="L110" s="200"/>
      <c r="M110" s="200"/>
      <c r="N110" s="200"/>
      <c r="O110" s="200"/>
      <c r="P110" s="200"/>
      <c r="Q110" s="200"/>
      <c r="R110" s="200"/>
      <c r="S110" s="200">
        <v>108</v>
      </c>
      <c r="T110" s="200">
        <v>150</v>
      </c>
      <c r="U110" s="200"/>
      <c r="V110" s="200"/>
      <c r="W110" s="274"/>
      <c r="X110" s="274"/>
      <c r="Y110" s="274"/>
    </row>
    <row r="111" spans="12:25" x14ac:dyDescent="0.35">
      <c r="L111" s="200"/>
      <c r="M111" s="200"/>
      <c r="N111" s="200"/>
      <c r="O111" s="200"/>
      <c r="P111" s="200"/>
      <c r="Q111" s="200"/>
      <c r="R111" s="200"/>
      <c r="S111" s="200">
        <v>109</v>
      </c>
      <c r="T111" s="200">
        <v>150</v>
      </c>
      <c r="U111" s="200"/>
      <c r="V111" s="200"/>
      <c r="W111" s="274"/>
      <c r="X111" s="274"/>
      <c r="Y111" s="274"/>
    </row>
    <row r="112" spans="12:25" x14ac:dyDescent="0.35">
      <c r="L112" s="200"/>
      <c r="M112" s="200"/>
      <c r="N112" s="200"/>
      <c r="O112" s="200"/>
      <c r="P112" s="200"/>
      <c r="Q112" s="200"/>
      <c r="R112" s="200"/>
      <c r="S112" s="200">
        <v>110</v>
      </c>
      <c r="T112" s="200">
        <v>150</v>
      </c>
      <c r="U112" s="200"/>
      <c r="V112" s="200"/>
      <c r="W112" s="274"/>
      <c r="X112" s="274"/>
      <c r="Y112" s="274"/>
    </row>
    <row r="113" spans="12:25" x14ac:dyDescent="0.35">
      <c r="L113" s="200"/>
      <c r="M113" s="200"/>
      <c r="N113" s="200"/>
      <c r="O113" s="200"/>
      <c r="P113" s="200"/>
      <c r="Q113" s="200"/>
      <c r="R113" s="200"/>
      <c r="S113" s="200">
        <v>111</v>
      </c>
      <c r="T113" s="200">
        <v>150</v>
      </c>
      <c r="U113" s="200"/>
      <c r="V113" s="200"/>
      <c r="W113" s="274"/>
      <c r="X113" s="274"/>
      <c r="Y113" s="274"/>
    </row>
    <row r="114" spans="12:25" x14ac:dyDescent="0.35">
      <c r="L114" s="200"/>
      <c r="M114" s="200"/>
      <c r="N114" s="200"/>
      <c r="O114" s="200"/>
      <c r="P114" s="200"/>
      <c r="Q114" s="200"/>
      <c r="R114" s="200"/>
      <c r="S114" s="200">
        <v>112</v>
      </c>
      <c r="T114" s="200">
        <v>150</v>
      </c>
      <c r="U114" s="200"/>
      <c r="V114" s="200"/>
      <c r="W114" s="274"/>
      <c r="X114" s="274"/>
      <c r="Y114" s="274"/>
    </row>
    <row r="115" spans="12:25" x14ac:dyDescent="0.35">
      <c r="L115" s="200"/>
      <c r="M115" s="200"/>
      <c r="N115" s="200"/>
      <c r="O115" s="200"/>
      <c r="P115" s="200"/>
      <c r="Q115" s="200"/>
      <c r="R115" s="200"/>
      <c r="S115" s="200">
        <v>113</v>
      </c>
      <c r="T115" s="200">
        <v>150</v>
      </c>
      <c r="U115" s="200"/>
      <c r="V115" s="200"/>
      <c r="W115" s="274"/>
      <c r="X115" s="274"/>
      <c r="Y115" s="274"/>
    </row>
    <row r="116" spans="12:25" x14ac:dyDescent="0.35">
      <c r="L116" s="200"/>
      <c r="M116" s="200"/>
      <c r="N116" s="200"/>
      <c r="O116" s="200"/>
      <c r="P116" s="200"/>
      <c r="Q116" s="200"/>
      <c r="R116" s="200"/>
      <c r="S116" s="200">
        <v>114</v>
      </c>
      <c r="T116" s="200">
        <v>150</v>
      </c>
      <c r="U116" s="200"/>
      <c r="V116" s="200"/>
      <c r="W116" s="274"/>
      <c r="X116" s="274"/>
      <c r="Y116" s="274"/>
    </row>
    <row r="117" spans="12:25" x14ac:dyDescent="0.35">
      <c r="L117" s="200"/>
      <c r="M117" s="200"/>
      <c r="N117" s="200"/>
      <c r="O117" s="200"/>
      <c r="P117" s="200"/>
      <c r="Q117" s="200"/>
      <c r="R117" s="200"/>
      <c r="S117" s="200">
        <v>115</v>
      </c>
      <c r="T117" s="200">
        <v>150</v>
      </c>
      <c r="U117" s="200"/>
      <c r="V117" s="200"/>
      <c r="W117" s="274"/>
      <c r="X117" s="274"/>
      <c r="Y117" s="274"/>
    </row>
    <row r="118" spans="12:25" x14ac:dyDescent="0.35">
      <c r="L118" s="200"/>
      <c r="M118" s="200"/>
      <c r="N118" s="200"/>
      <c r="O118" s="200"/>
      <c r="P118" s="200"/>
      <c r="Q118" s="200"/>
      <c r="R118" s="200"/>
      <c r="S118" s="200">
        <v>116</v>
      </c>
      <c r="T118" s="200">
        <v>150</v>
      </c>
      <c r="U118" s="200"/>
      <c r="V118" s="200"/>
      <c r="W118" s="274"/>
      <c r="X118" s="274"/>
      <c r="Y118" s="274"/>
    </row>
    <row r="119" spans="12:25" x14ac:dyDescent="0.35">
      <c r="L119" s="200"/>
      <c r="M119" s="200"/>
      <c r="N119" s="200"/>
      <c r="O119" s="200"/>
      <c r="P119" s="200"/>
      <c r="Q119" s="200"/>
      <c r="R119" s="200"/>
      <c r="S119" s="200">
        <v>117</v>
      </c>
      <c r="T119" s="200">
        <v>150</v>
      </c>
      <c r="U119" s="200"/>
      <c r="V119" s="200"/>
      <c r="W119" s="274"/>
      <c r="X119" s="274"/>
      <c r="Y119" s="274"/>
    </row>
    <row r="120" spans="12:25" x14ac:dyDescent="0.35">
      <c r="L120" s="200"/>
      <c r="M120" s="200"/>
      <c r="N120" s="200"/>
      <c r="O120" s="200"/>
      <c r="P120" s="200"/>
      <c r="Q120" s="200"/>
      <c r="R120" s="200"/>
      <c r="S120" s="200">
        <v>118</v>
      </c>
      <c r="T120" s="200">
        <v>150</v>
      </c>
      <c r="U120" s="200"/>
      <c r="V120" s="200"/>
      <c r="W120" s="274"/>
      <c r="X120" s="274"/>
      <c r="Y120" s="274"/>
    </row>
    <row r="121" spans="12:25" x14ac:dyDescent="0.35">
      <c r="L121" s="200"/>
      <c r="M121" s="200"/>
      <c r="N121" s="200"/>
      <c r="O121" s="200"/>
      <c r="P121" s="200"/>
      <c r="Q121" s="200"/>
      <c r="R121" s="200"/>
      <c r="S121" s="200">
        <v>119</v>
      </c>
      <c r="T121" s="200">
        <v>150</v>
      </c>
      <c r="U121" s="200"/>
      <c r="V121" s="200"/>
      <c r="W121" s="274"/>
      <c r="X121" s="274"/>
      <c r="Y121" s="274"/>
    </row>
    <row r="122" spans="12:25" x14ac:dyDescent="0.35">
      <c r="L122" s="200"/>
      <c r="M122" s="200"/>
      <c r="N122" s="200"/>
      <c r="O122" s="200"/>
      <c r="P122" s="200"/>
      <c r="Q122" s="200"/>
      <c r="R122" s="200"/>
      <c r="S122" s="200">
        <v>120</v>
      </c>
      <c r="T122" s="200">
        <v>150</v>
      </c>
      <c r="U122" s="200"/>
      <c r="V122" s="200"/>
      <c r="W122" s="274"/>
      <c r="X122" s="274"/>
      <c r="Y122" s="274"/>
    </row>
    <row r="123" spans="12:25" x14ac:dyDescent="0.35">
      <c r="L123" s="200"/>
      <c r="M123" s="200"/>
      <c r="N123" s="200"/>
      <c r="O123" s="200"/>
      <c r="P123" s="200"/>
      <c r="Q123" s="200"/>
      <c r="R123" s="200"/>
      <c r="S123" s="200">
        <v>121</v>
      </c>
      <c r="T123" s="200">
        <v>150</v>
      </c>
      <c r="U123" s="200"/>
      <c r="V123" s="200"/>
      <c r="W123" s="274"/>
      <c r="X123" s="274"/>
      <c r="Y123" s="274"/>
    </row>
    <row r="124" spans="12:25" x14ac:dyDescent="0.35">
      <c r="L124" s="200"/>
      <c r="M124" s="200"/>
      <c r="N124" s="200"/>
      <c r="O124" s="200"/>
      <c r="P124" s="200"/>
      <c r="Q124" s="200"/>
      <c r="R124" s="200"/>
      <c r="S124" s="200">
        <v>122</v>
      </c>
      <c r="T124" s="200">
        <v>150</v>
      </c>
      <c r="U124" s="200"/>
      <c r="V124" s="200"/>
      <c r="W124" s="274"/>
      <c r="X124" s="274"/>
      <c r="Y124" s="274"/>
    </row>
    <row r="125" spans="12:25" x14ac:dyDescent="0.35">
      <c r="L125" s="200"/>
      <c r="M125" s="200"/>
      <c r="N125" s="200"/>
      <c r="O125" s="200"/>
      <c r="P125" s="200"/>
      <c r="Q125" s="200"/>
      <c r="R125" s="200"/>
      <c r="S125" s="200">
        <v>123</v>
      </c>
      <c r="T125" s="200">
        <v>150</v>
      </c>
      <c r="U125" s="200"/>
      <c r="V125" s="200"/>
      <c r="W125" s="274"/>
      <c r="X125" s="274"/>
      <c r="Y125" s="274"/>
    </row>
    <row r="126" spans="12:25" x14ac:dyDescent="0.35">
      <c r="L126" s="200"/>
      <c r="M126" s="200"/>
      <c r="N126" s="200"/>
      <c r="O126" s="200"/>
      <c r="P126" s="200"/>
      <c r="Q126" s="200"/>
      <c r="R126" s="200"/>
      <c r="S126" s="200">
        <v>124</v>
      </c>
      <c r="T126" s="200">
        <v>150</v>
      </c>
      <c r="U126" s="200"/>
      <c r="V126" s="200"/>
      <c r="W126" s="274"/>
      <c r="X126" s="274"/>
      <c r="Y126" s="274"/>
    </row>
    <row r="127" spans="12:25" x14ac:dyDescent="0.35">
      <c r="L127" s="200"/>
      <c r="M127" s="200"/>
      <c r="N127" s="200"/>
      <c r="O127" s="200"/>
      <c r="P127" s="200"/>
      <c r="Q127" s="200"/>
      <c r="R127" s="200"/>
      <c r="S127" s="200">
        <v>125</v>
      </c>
      <c r="T127" s="200">
        <v>150</v>
      </c>
      <c r="U127" s="200"/>
      <c r="V127" s="200"/>
      <c r="W127" s="274"/>
      <c r="X127" s="274"/>
      <c r="Y127" s="274"/>
    </row>
    <row r="128" spans="12:25" x14ac:dyDescent="0.35">
      <c r="L128" s="200"/>
      <c r="M128" s="200"/>
      <c r="N128" s="200"/>
      <c r="O128" s="200"/>
      <c r="P128" s="200"/>
      <c r="Q128" s="200"/>
      <c r="R128" s="200"/>
      <c r="S128" s="200">
        <v>126</v>
      </c>
      <c r="T128" s="200">
        <v>150</v>
      </c>
      <c r="U128" s="200"/>
      <c r="V128" s="200"/>
      <c r="W128" s="274"/>
      <c r="X128" s="274"/>
      <c r="Y128" s="274"/>
    </row>
    <row r="129" spans="12:25" x14ac:dyDescent="0.35">
      <c r="L129" s="200"/>
      <c r="M129" s="200"/>
      <c r="N129" s="200"/>
      <c r="O129" s="200"/>
      <c r="P129" s="200"/>
      <c r="Q129" s="200"/>
      <c r="R129" s="200"/>
      <c r="S129" s="200">
        <v>127</v>
      </c>
      <c r="T129" s="200">
        <v>150</v>
      </c>
      <c r="U129" s="200"/>
      <c r="V129" s="200"/>
      <c r="W129" s="274"/>
      <c r="X129" s="274"/>
      <c r="Y129" s="274"/>
    </row>
    <row r="130" spans="12:25" x14ac:dyDescent="0.35">
      <c r="L130" s="200"/>
      <c r="M130" s="200"/>
      <c r="N130" s="200"/>
      <c r="O130" s="200"/>
      <c r="P130" s="200"/>
      <c r="Q130" s="200"/>
      <c r="R130" s="200"/>
      <c r="S130" s="200">
        <v>128</v>
      </c>
      <c r="T130" s="200">
        <v>150</v>
      </c>
      <c r="U130" s="200"/>
      <c r="V130" s="200"/>
      <c r="W130" s="274"/>
      <c r="X130" s="274"/>
      <c r="Y130" s="274"/>
    </row>
    <row r="131" spans="12:25" x14ac:dyDescent="0.35">
      <c r="L131" s="200"/>
      <c r="M131" s="200"/>
      <c r="N131" s="200"/>
      <c r="O131" s="200"/>
      <c r="P131" s="200"/>
      <c r="Q131" s="200"/>
      <c r="R131" s="200"/>
      <c r="S131" s="200">
        <v>129</v>
      </c>
      <c r="T131" s="200">
        <v>150</v>
      </c>
      <c r="U131" s="200"/>
      <c r="V131" s="200"/>
      <c r="W131" s="274"/>
      <c r="X131" s="274"/>
      <c r="Y131" s="274"/>
    </row>
    <row r="132" spans="12:25" x14ac:dyDescent="0.35">
      <c r="L132" s="200"/>
      <c r="M132" s="200"/>
      <c r="N132" s="200"/>
      <c r="O132" s="200"/>
      <c r="P132" s="200"/>
      <c r="Q132" s="200"/>
      <c r="R132" s="200"/>
      <c r="S132" s="200">
        <v>130</v>
      </c>
      <c r="T132" s="200">
        <v>150</v>
      </c>
      <c r="U132" s="200"/>
      <c r="V132" s="200"/>
      <c r="W132" s="274"/>
      <c r="X132" s="274"/>
      <c r="Y132" s="274"/>
    </row>
    <row r="133" spans="12:25" x14ac:dyDescent="0.35">
      <c r="L133" s="200"/>
      <c r="M133" s="200"/>
      <c r="N133" s="200"/>
      <c r="O133" s="200"/>
      <c r="P133" s="200"/>
      <c r="Q133" s="200"/>
      <c r="R133" s="200"/>
      <c r="S133" s="200">
        <v>131</v>
      </c>
      <c r="T133" s="200">
        <v>150</v>
      </c>
      <c r="U133" s="200"/>
      <c r="V133" s="200"/>
      <c r="W133" s="274"/>
      <c r="X133" s="274"/>
      <c r="Y133" s="274"/>
    </row>
    <row r="134" spans="12:25" x14ac:dyDescent="0.35">
      <c r="L134" s="200"/>
      <c r="M134" s="200"/>
      <c r="N134" s="200"/>
      <c r="O134" s="200"/>
      <c r="P134" s="200"/>
      <c r="Q134" s="200"/>
      <c r="R134" s="200"/>
      <c r="S134" s="200">
        <v>132</v>
      </c>
      <c r="T134" s="200">
        <v>150</v>
      </c>
      <c r="U134" s="200"/>
      <c r="V134" s="200"/>
      <c r="W134" s="274"/>
      <c r="X134" s="274"/>
      <c r="Y134" s="274"/>
    </row>
    <row r="135" spans="12:25" x14ac:dyDescent="0.35">
      <c r="L135" s="200"/>
      <c r="M135" s="200"/>
      <c r="N135" s="200"/>
      <c r="O135" s="200"/>
      <c r="P135" s="200"/>
      <c r="Q135" s="200"/>
      <c r="R135" s="200"/>
      <c r="S135" s="200">
        <v>133</v>
      </c>
      <c r="T135" s="200">
        <v>150</v>
      </c>
      <c r="U135" s="200"/>
      <c r="V135" s="200"/>
      <c r="W135" s="274"/>
      <c r="X135" s="274"/>
      <c r="Y135" s="274"/>
    </row>
    <row r="136" spans="12:25" x14ac:dyDescent="0.35">
      <c r="L136" s="200"/>
      <c r="M136" s="200"/>
      <c r="N136" s="200"/>
      <c r="O136" s="200"/>
      <c r="P136" s="200"/>
      <c r="Q136" s="200"/>
      <c r="R136" s="200"/>
      <c r="S136" s="200">
        <v>134</v>
      </c>
      <c r="T136" s="200">
        <v>150</v>
      </c>
      <c r="U136" s="200"/>
      <c r="V136" s="200"/>
      <c r="W136" s="274"/>
      <c r="X136" s="274"/>
      <c r="Y136" s="274"/>
    </row>
    <row r="137" spans="12:25" x14ac:dyDescent="0.35">
      <c r="L137" s="200"/>
      <c r="M137" s="200"/>
      <c r="N137" s="200"/>
      <c r="O137" s="200"/>
      <c r="P137" s="200"/>
      <c r="Q137" s="200"/>
      <c r="R137" s="200"/>
      <c r="S137" s="200">
        <v>135</v>
      </c>
      <c r="T137" s="200">
        <v>150</v>
      </c>
      <c r="U137" s="200"/>
      <c r="V137" s="200"/>
      <c r="W137" s="274"/>
      <c r="X137" s="274"/>
      <c r="Y137" s="274"/>
    </row>
    <row r="138" spans="12:25" x14ac:dyDescent="0.35">
      <c r="L138" s="200"/>
      <c r="M138" s="200"/>
      <c r="N138" s="200"/>
      <c r="O138" s="200"/>
      <c r="P138" s="200"/>
      <c r="Q138" s="200"/>
      <c r="R138" s="200"/>
      <c r="S138" s="200">
        <v>136</v>
      </c>
      <c r="T138" s="200">
        <v>150</v>
      </c>
      <c r="U138" s="200"/>
      <c r="V138" s="200"/>
      <c r="W138" s="274"/>
      <c r="X138" s="274"/>
      <c r="Y138" s="274"/>
    </row>
    <row r="139" spans="12:25" x14ac:dyDescent="0.35">
      <c r="L139" s="200"/>
      <c r="M139" s="200"/>
      <c r="N139" s="200"/>
      <c r="O139" s="200"/>
      <c r="P139" s="200"/>
      <c r="Q139" s="200"/>
      <c r="R139" s="200"/>
      <c r="S139" s="200">
        <v>137</v>
      </c>
      <c r="T139" s="200">
        <v>150</v>
      </c>
      <c r="U139" s="200"/>
      <c r="V139" s="200"/>
      <c r="W139" s="274"/>
      <c r="X139" s="274"/>
      <c r="Y139" s="274"/>
    </row>
    <row r="140" spans="12:25" x14ac:dyDescent="0.35">
      <c r="L140" s="200"/>
      <c r="M140" s="200"/>
      <c r="N140" s="200"/>
      <c r="O140" s="200"/>
      <c r="P140" s="200"/>
      <c r="Q140" s="200"/>
      <c r="R140" s="200"/>
      <c r="S140" s="200">
        <v>138</v>
      </c>
      <c r="T140" s="200">
        <v>150</v>
      </c>
      <c r="U140" s="200"/>
      <c r="V140" s="200"/>
      <c r="W140" s="274"/>
      <c r="X140" s="274"/>
      <c r="Y140" s="274"/>
    </row>
    <row r="141" spans="12:25" x14ac:dyDescent="0.35">
      <c r="L141" s="200"/>
      <c r="M141" s="200"/>
      <c r="N141" s="200"/>
      <c r="O141" s="200"/>
      <c r="P141" s="200"/>
      <c r="Q141" s="200"/>
      <c r="R141" s="200"/>
      <c r="S141" s="200">
        <v>139</v>
      </c>
      <c r="T141" s="200">
        <v>150</v>
      </c>
      <c r="U141" s="200"/>
      <c r="V141" s="200"/>
      <c r="W141" s="274"/>
      <c r="X141" s="274"/>
      <c r="Y141" s="274"/>
    </row>
    <row r="142" spans="12:25" x14ac:dyDescent="0.35">
      <c r="L142" s="200"/>
      <c r="M142" s="200"/>
      <c r="N142" s="200"/>
      <c r="O142" s="200"/>
      <c r="P142" s="200"/>
      <c r="Q142" s="200"/>
      <c r="R142" s="200"/>
      <c r="S142" s="200">
        <v>140</v>
      </c>
      <c r="T142" s="200">
        <v>150</v>
      </c>
      <c r="U142" s="200"/>
      <c r="V142" s="200"/>
      <c r="W142" s="274"/>
      <c r="X142" s="274"/>
      <c r="Y142" s="274"/>
    </row>
    <row r="143" spans="12:25" x14ac:dyDescent="0.35">
      <c r="L143" s="200"/>
      <c r="M143" s="200"/>
      <c r="N143" s="200"/>
      <c r="O143" s="200"/>
      <c r="P143" s="200"/>
      <c r="Q143" s="200"/>
      <c r="R143" s="200"/>
      <c r="S143" s="200">
        <v>141</v>
      </c>
      <c r="T143" s="200">
        <v>150</v>
      </c>
      <c r="U143" s="200"/>
      <c r="V143" s="200"/>
      <c r="W143" s="274"/>
      <c r="X143" s="274"/>
      <c r="Y143" s="274"/>
    </row>
    <row r="144" spans="12:25" x14ac:dyDescent="0.35">
      <c r="L144" s="200"/>
      <c r="M144" s="200"/>
      <c r="N144" s="200"/>
      <c r="O144" s="200"/>
      <c r="P144" s="200"/>
      <c r="Q144" s="200"/>
      <c r="R144" s="200"/>
      <c r="S144" s="200">
        <v>142</v>
      </c>
      <c r="T144" s="200">
        <v>150</v>
      </c>
      <c r="U144" s="200"/>
      <c r="V144" s="200"/>
      <c r="W144" s="274"/>
      <c r="X144" s="274"/>
      <c r="Y144" s="274"/>
    </row>
    <row r="145" spans="12:25" x14ac:dyDescent="0.35">
      <c r="L145" s="200"/>
      <c r="M145" s="200"/>
      <c r="N145" s="200"/>
      <c r="O145" s="200"/>
      <c r="P145" s="200"/>
      <c r="Q145" s="200"/>
      <c r="R145" s="200"/>
      <c r="S145" s="200">
        <v>143</v>
      </c>
      <c r="T145" s="200">
        <v>150</v>
      </c>
      <c r="U145" s="200"/>
      <c r="V145" s="200"/>
      <c r="W145" s="274"/>
      <c r="X145" s="274"/>
      <c r="Y145" s="274"/>
    </row>
    <row r="146" spans="12:25" x14ac:dyDescent="0.35">
      <c r="L146" s="200"/>
      <c r="M146" s="200"/>
      <c r="N146" s="200"/>
      <c r="O146" s="200"/>
      <c r="P146" s="200"/>
      <c r="Q146" s="200"/>
      <c r="R146" s="200"/>
      <c r="S146" s="200">
        <v>144</v>
      </c>
      <c r="T146" s="200">
        <v>150</v>
      </c>
      <c r="U146" s="200"/>
      <c r="V146" s="200"/>
      <c r="W146" s="274"/>
      <c r="X146" s="274"/>
      <c r="Y146" s="274"/>
    </row>
    <row r="147" spans="12:25" x14ac:dyDescent="0.35">
      <c r="L147" s="200"/>
      <c r="M147" s="200"/>
      <c r="N147" s="200"/>
      <c r="O147" s="200"/>
      <c r="P147" s="200"/>
      <c r="Q147" s="200"/>
      <c r="R147" s="200"/>
      <c r="S147" s="200">
        <v>145</v>
      </c>
      <c r="T147" s="200">
        <v>150</v>
      </c>
      <c r="U147" s="200"/>
      <c r="V147" s="200"/>
      <c r="W147" s="274"/>
      <c r="X147" s="274"/>
      <c r="Y147" s="274"/>
    </row>
    <row r="148" spans="12:25" x14ac:dyDescent="0.35">
      <c r="L148" s="200"/>
      <c r="M148" s="200"/>
      <c r="N148" s="200"/>
      <c r="O148" s="200"/>
      <c r="P148" s="200"/>
      <c r="Q148" s="200"/>
      <c r="R148" s="200"/>
      <c r="S148" s="200">
        <v>146</v>
      </c>
      <c r="T148" s="200">
        <v>150</v>
      </c>
      <c r="U148" s="200"/>
      <c r="V148" s="200"/>
      <c r="W148" s="274"/>
      <c r="X148" s="274"/>
      <c r="Y148" s="274"/>
    </row>
    <row r="149" spans="12:25" x14ac:dyDescent="0.35">
      <c r="L149" s="200"/>
      <c r="M149" s="200"/>
      <c r="N149" s="200"/>
      <c r="O149" s="200"/>
      <c r="P149" s="200"/>
      <c r="Q149" s="200"/>
      <c r="R149" s="200"/>
      <c r="S149" s="200">
        <v>147</v>
      </c>
      <c r="T149" s="200">
        <v>150</v>
      </c>
      <c r="U149" s="200"/>
      <c r="V149" s="200"/>
      <c r="W149" s="274"/>
      <c r="X149" s="274"/>
      <c r="Y149" s="274"/>
    </row>
    <row r="150" spans="12:25" x14ac:dyDescent="0.35">
      <c r="L150" s="200"/>
      <c r="M150" s="200"/>
      <c r="N150" s="200"/>
      <c r="O150" s="200"/>
      <c r="P150" s="200"/>
      <c r="Q150" s="200"/>
      <c r="R150" s="200"/>
      <c r="S150" s="200">
        <v>148</v>
      </c>
      <c r="T150" s="200">
        <v>150</v>
      </c>
      <c r="U150" s="200"/>
      <c r="V150" s="200"/>
      <c r="W150" s="274"/>
      <c r="X150" s="274"/>
      <c r="Y150" s="274"/>
    </row>
    <row r="151" spans="12:25" x14ac:dyDescent="0.35">
      <c r="L151" s="200"/>
      <c r="M151" s="200"/>
      <c r="N151" s="200"/>
      <c r="O151" s="200"/>
      <c r="P151" s="200"/>
      <c r="Q151" s="200"/>
      <c r="R151" s="200"/>
      <c r="S151" s="200">
        <v>149</v>
      </c>
      <c r="T151" s="200">
        <v>150</v>
      </c>
      <c r="U151" s="200"/>
      <c r="V151" s="200"/>
      <c r="W151" s="274"/>
      <c r="X151" s="274"/>
      <c r="Y151" s="274"/>
    </row>
    <row r="152" spans="12:25" x14ac:dyDescent="0.35">
      <c r="L152" s="200"/>
      <c r="M152" s="200"/>
      <c r="N152" s="200"/>
      <c r="O152" s="200"/>
      <c r="P152" s="200"/>
      <c r="Q152" s="200"/>
      <c r="R152" s="200"/>
      <c r="S152" s="200">
        <v>150</v>
      </c>
      <c r="T152" s="200">
        <v>150</v>
      </c>
      <c r="U152" s="200">
        <v>150</v>
      </c>
      <c r="V152" s="200"/>
      <c r="W152" s="274"/>
      <c r="X152" s="274"/>
      <c r="Y152" s="274"/>
    </row>
    <row r="153" spans="12:25" x14ac:dyDescent="0.35">
      <c r="L153" s="200"/>
      <c r="M153" s="200"/>
      <c r="N153" s="200"/>
      <c r="O153" s="200"/>
      <c r="P153" s="200"/>
      <c r="Q153" s="200"/>
      <c r="R153" s="200"/>
      <c r="S153" s="200">
        <v>151</v>
      </c>
      <c r="T153" s="200">
        <v>150</v>
      </c>
      <c r="U153" s="200"/>
      <c r="V153" s="200"/>
      <c r="W153" s="274"/>
      <c r="X153" s="274"/>
      <c r="Y153" s="274"/>
    </row>
    <row r="154" spans="12:25" x14ac:dyDescent="0.35">
      <c r="L154" s="200"/>
      <c r="M154" s="200"/>
      <c r="N154" s="200"/>
      <c r="O154" s="200"/>
      <c r="P154" s="200"/>
      <c r="Q154" s="200"/>
      <c r="R154" s="200"/>
      <c r="S154" s="200">
        <v>152</v>
      </c>
      <c r="T154" s="200">
        <v>150</v>
      </c>
      <c r="U154" s="200"/>
      <c r="V154" s="200"/>
      <c r="W154" s="274"/>
      <c r="X154" s="274"/>
      <c r="Y154" s="274"/>
    </row>
    <row r="155" spans="12:25" x14ac:dyDescent="0.35">
      <c r="L155" s="200"/>
      <c r="M155" s="200"/>
      <c r="N155" s="200"/>
      <c r="O155" s="200"/>
      <c r="P155" s="200"/>
      <c r="Q155" s="200"/>
      <c r="R155" s="200"/>
      <c r="S155" s="200">
        <v>153</v>
      </c>
      <c r="T155" s="200">
        <v>150</v>
      </c>
      <c r="U155" s="200"/>
      <c r="V155" s="200"/>
      <c r="W155" s="274"/>
      <c r="X155" s="274"/>
      <c r="Y155" s="274"/>
    </row>
    <row r="156" spans="12:25" x14ac:dyDescent="0.35">
      <c r="L156" s="200"/>
      <c r="M156" s="200"/>
      <c r="N156" s="200"/>
      <c r="O156" s="200"/>
      <c r="P156" s="200"/>
      <c r="Q156" s="200"/>
      <c r="R156" s="200"/>
      <c r="S156" s="200">
        <v>154</v>
      </c>
      <c r="T156" s="200">
        <v>150</v>
      </c>
      <c r="U156" s="200"/>
      <c r="V156" s="200"/>
      <c r="W156" s="274"/>
      <c r="X156" s="274"/>
      <c r="Y156" s="274"/>
    </row>
    <row r="157" spans="12:25" x14ac:dyDescent="0.35">
      <c r="L157" s="200"/>
      <c r="M157" s="200"/>
      <c r="N157" s="200"/>
      <c r="O157" s="200"/>
      <c r="P157" s="200"/>
      <c r="Q157" s="200"/>
      <c r="R157" s="200"/>
      <c r="S157" s="200">
        <v>155</v>
      </c>
      <c r="T157" s="200">
        <v>150</v>
      </c>
      <c r="U157" s="200"/>
      <c r="V157" s="200"/>
      <c r="W157" s="274"/>
      <c r="X157" s="274"/>
      <c r="Y157" s="274"/>
    </row>
    <row r="158" spans="12:25" x14ac:dyDescent="0.35">
      <c r="L158" s="200"/>
      <c r="M158" s="200"/>
      <c r="N158" s="200"/>
      <c r="O158" s="200"/>
      <c r="P158" s="200"/>
      <c r="Q158" s="200"/>
      <c r="R158" s="200"/>
      <c r="S158" s="200">
        <v>156</v>
      </c>
      <c r="T158" s="200">
        <v>150</v>
      </c>
      <c r="U158" s="200"/>
      <c r="V158" s="200"/>
      <c r="W158" s="274"/>
      <c r="X158" s="274"/>
      <c r="Y158" s="274"/>
    </row>
    <row r="159" spans="12:25" x14ac:dyDescent="0.35">
      <c r="L159" s="200"/>
      <c r="M159" s="200"/>
      <c r="N159" s="200"/>
      <c r="O159" s="200"/>
      <c r="P159" s="200"/>
      <c r="Q159" s="200"/>
      <c r="R159" s="200"/>
      <c r="S159" s="200">
        <v>157</v>
      </c>
      <c r="T159" s="200">
        <v>150</v>
      </c>
      <c r="U159" s="200"/>
      <c r="V159" s="200"/>
      <c r="W159" s="274"/>
      <c r="X159" s="274"/>
      <c r="Y159" s="274"/>
    </row>
    <row r="160" spans="12:25" x14ac:dyDescent="0.35">
      <c r="L160" s="200"/>
      <c r="M160" s="200"/>
      <c r="N160" s="200"/>
      <c r="O160" s="200"/>
      <c r="P160" s="200"/>
      <c r="Q160" s="200"/>
      <c r="R160" s="200"/>
      <c r="S160" s="200">
        <v>158</v>
      </c>
      <c r="T160" s="200">
        <v>150</v>
      </c>
      <c r="U160" s="200"/>
      <c r="V160" s="200"/>
      <c r="W160" s="274"/>
      <c r="X160" s="274"/>
      <c r="Y160" s="274"/>
    </row>
    <row r="161" spans="12:25" x14ac:dyDescent="0.35">
      <c r="L161" s="200"/>
      <c r="M161" s="200"/>
      <c r="N161" s="200"/>
      <c r="O161" s="200"/>
      <c r="P161" s="200"/>
      <c r="Q161" s="200"/>
      <c r="R161" s="200"/>
      <c r="S161" s="200">
        <v>159</v>
      </c>
      <c r="T161" s="200">
        <v>150</v>
      </c>
      <c r="U161" s="200"/>
      <c r="V161" s="200"/>
      <c r="W161" s="274"/>
      <c r="X161" s="274"/>
      <c r="Y161" s="274"/>
    </row>
    <row r="162" spans="12:25" x14ac:dyDescent="0.35">
      <c r="L162" s="200"/>
      <c r="M162" s="200"/>
      <c r="N162" s="200"/>
      <c r="O162" s="200"/>
      <c r="P162" s="200"/>
      <c r="Q162" s="200"/>
      <c r="R162" s="200"/>
      <c r="S162" s="200">
        <v>160</v>
      </c>
      <c r="T162" s="200">
        <v>150</v>
      </c>
      <c r="U162" s="200"/>
      <c r="V162" s="200"/>
      <c r="W162" s="274"/>
      <c r="X162" s="274"/>
      <c r="Y162" s="274"/>
    </row>
    <row r="163" spans="12:25" x14ac:dyDescent="0.35">
      <c r="L163" s="200"/>
      <c r="M163" s="200"/>
      <c r="N163" s="200"/>
      <c r="O163" s="200"/>
      <c r="P163" s="200"/>
      <c r="Q163" s="200"/>
      <c r="R163" s="200"/>
      <c r="S163" s="200">
        <v>161</v>
      </c>
      <c r="T163" s="200">
        <v>150</v>
      </c>
      <c r="U163" s="200"/>
      <c r="V163" s="200"/>
      <c r="W163" s="274"/>
      <c r="X163" s="274"/>
      <c r="Y163" s="274"/>
    </row>
    <row r="164" spans="12:25" x14ac:dyDescent="0.35">
      <c r="L164" s="200"/>
      <c r="M164" s="200"/>
      <c r="N164" s="200"/>
      <c r="O164" s="200"/>
      <c r="P164" s="200"/>
      <c r="Q164" s="200"/>
      <c r="R164" s="200"/>
      <c r="S164" s="200">
        <v>162</v>
      </c>
      <c r="T164" s="200">
        <v>150</v>
      </c>
      <c r="U164" s="200"/>
      <c r="V164" s="200"/>
      <c r="W164" s="274"/>
      <c r="X164" s="274"/>
      <c r="Y164" s="274"/>
    </row>
    <row r="165" spans="12:25" x14ac:dyDescent="0.35">
      <c r="L165" s="200"/>
      <c r="M165" s="200"/>
      <c r="N165" s="200"/>
      <c r="O165" s="200"/>
      <c r="P165" s="200"/>
      <c r="Q165" s="200"/>
      <c r="R165" s="200"/>
      <c r="S165" s="200">
        <v>163</v>
      </c>
      <c r="T165" s="200">
        <v>150</v>
      </c>
      <c r="U165" s="200"/>
      <c r="V165" s="200"/>
      <c r="W165" s="274"/>
      <c r="X165" s="274"/>
      <c r="Y165" s="274"/>
    </row>
    <row r="166" spans="12:25" x14ac:dyDescent="0.35">
      <c r="L166" s="200"/>
      <c r="M166" s="200"/>
      <c r="N166" s="200"/>
      <c r="O166" s="200"/>
      <c r="P166" s="200"/>
      <c r="Q166" s="200"/>
      <c r="R166" s="200"/>
      <c r="S166" s="200">
        <v>164</v>
      </c>
      <c r="T166" s="200">
        <v>150</v>
      </c>
      <c r="U166" s="200"/>
      <c r="V166" s="200"/>
      <c r="W166" s="274"/>
      <c r="X166" s="274"/>
      <c r="Y166" s="274"/>
    </row>
    <row r="167" spans="12:25" x14ac:dyDescent="0.35">
      <c r="L167" s="200"/>
      <c r="M167" s="200"/>
      <c r="N167" s="200"/>
      <c r="O167" s="200"/>
      <c r="P167" s="200"/>
      <c r="Q167" s="200"/>
      <c r="R167" s="200"/>
      <c r="S167" s="200">
        <v>165</v>
      </c>
      <c r="T167" s="200">
        <v>150</v>
      </c>
      <c r="U167" s="200"/>
      <c r="V167" s="200"/>
      <c r="W167" s="274"/>
      <c r="X167" s="274"/>
      <c r="Y167" s="274"/>
    </row>
    <row r="168" spans="12:25" x14ac:dyDescent="0.35">
      <c r="L168" s="200"/>
      <c r="M168" s="200"/>
      <c r="N168" s="200"/>
      <c r="O168" s="200"/>
      <c r="P168" s="200"/>
      <c r="Q168" s="200"/>
      <c r="R168" s="200"/>
      <c r="S168" s="200">
        <v>166</v>
      </c>
      <c r="T168" s="200">
        <v>150</v>
      </c>
      <c r="U168" s="200"/>
      <c r="V168" s="200"/>
      <c r="W168" s="274"/>
      <c r="X168" s="274"/>
      <c r="Y168" s="274"/>
    </row>
    <row r="169" spans="12:25" x14ac:dyDescent="0.35">
      <c r="L169" s="200"/>
      <c r="M169" s="200"/>
      <c r="N169" s="200"/>
      <c r="O169" s="200"/>
      <c r="P169" s="200"/>
      <c r="Q169" s="200"/>
      <c r="R169" s="200"/>
      <c r="S169" s="200">
        <v>167</v>
      </c>
      <c r="T169" s="200">
        <v>150</v>
      </c>
      <c r="U169" s="200"/>
      <c r="V169" s="200"/>
      <c r="W169" s="274"/>
      <c r="X169" s="274"/>
      <c r="Y169" s="274"/>
    </row>
    <row r="170" spans="12:25" x14ac:dyDescent="0.35">
      <c r="L170" s="200"/>
      <c r="M170" s="200"/>
      <c r="N170" s="200"/>
      <c r="O170" s="200"/>
      <c r="P170" s="200"/>
      <c r="Q170" s="200"/>
      <c r="R170" s="200"/>
      <c r="S170" s="200">
        <v>168</v>
      </c>
      <c r="T170" s="200">
        <v>150</v>
      </c>
      <c r="U170" s="200"/>
      <c r="V170" s="200"/>
      <c r="W170" s="274"/>
      <c r="X170" s="274"/>
      <c r="Y170" s="274"/>
    </row>
    <row r="171" spans="12:25" x14ac:dyDescent="0.35">
      <c r="L171" s="200"/>
      <c r="M171" s="200"/>
      <c r="N171" s="200"/>
      <c r="O171" s="200"/>
      <c r="P171" s="200"/>
      <c r="Q171" s="200"/>
      <c r="R171" s="200"/>
      <c r="S171" s="200">
        <v>169</v>
      </c>
      <c r="T171" s="200">
        <v>150</v>
      </c>
      <c r="U171" s="200"/>
      <c r="V171" s="200"/>
      <c r="W171" s="274"/>
      <c r="X171" s="274"/>
      <c r="Y171" s="274"/>
    </row>
    <row r="172" spans="12:25" x14ac:dyDescent="0.35">
      <c r="L172" s="200"/>
      <c r="M172" s="200"/>
      <c r="N172" s="200"/>
      <c r="O172" s="200"/>
      <c r="P172" s="200"/>
      <c r="Q172" s="200"/>
      <c r="R172" s="200"/>
      <c r="S172" s="200">
        <v>170</v>
      </c>
      <c r="T172" s="200">
        <v>150</v>
      </c>
      <c r="U172" s="200"/>
      <c r="V172" s="200"/>
      <c r="W172" s="274"/>
      <c r="X172" s="274"/>
      <c r="Y172" s="274"/>
    </row>
    <row r="173" spans="12:25" x14ac:dyDescent="0.35">
      <c r="L173" s="200"/>
      <c r="M173" s="200"/>
      <c r="N173" s="200"/>
      <c r="O173" s="200"/>
      <c r="P173" s="200"/>
      <c r="Q173" s="200"/>
      <c r="R173" s="200"/>
      <c r="S173" s="200">
        <v>171</v>
      </c>
      <c r="T173" s="200">
        <v>150</v>
      </c>
      <c r="U173" s="200"/>
      <c r="V173" s="200"/>
      <c r="W173" s="274"/>
      <c r="X173" s="274"/>
      <c r="Y173" s="274"/>
    </row>
    <row r="174" spans="12:25" x14ac:dyDescent="0.35">
      <c r="L174" s="200"/>
      <c r="M174" s="200"/>
      <c r="N174" s="200"/>
      <c r="O174" s="200"/>
      <c r="P174" s="200"/>
      <c r="Q174" s="200"/>
      <c r="R174" s="200"/>
      <c r="S174" s="200">
        <v>172</v>
      </c>
      <c r="T174" s="200">
        <v>150</v>
      </c>
      <c r="U174" s="200"/>
      <c r="V174" s="200"/>
      <c r="W174" s="274"/>
      <c r="X174" s="274"/>
      <c r="Y174" s="274"/>
    </row>
    <row r="175" spans="12:25" x14ac:dyDescent="0.35">
      <c r="L175" s="200"/>
      <c r="M175" s="200"/>
      <c r="N175" s="200"/>
      <c r="O175" s="200"/>
      <c r="P175" s="200"/>
      <c r="Q175" s="200"/>
      <c r="R175" s="200"/>
      <c r="S175" s="200">
        <v>173</v>
      </c>
      <c r="T175" s="200">
        <v>150</v>
      </c>
      <c r="U175" s="200"/>
      <c r="V175" s="200"/>
      <c r="W175" s="274"/>
      <c r="X175" s="274"/>
      <c r="Y175" s="274"/>
    </row>
    <row r="176" spans="12:25" x14ac:dyDescent="0.35">
      <c r="L176" s="200"/>
      <c r="M176" s="200"/>
      <c r="N176" s="200"/>
      <c r="O176" s="200"/>
      <c r="P176" s="200"/>
      <c r="Q176" s="200"/>
      <c r="R176" s="200"/>
      <c r="S176" s="200">
        <v>174</v>
      </c>
      <c r="T176" s="200">
        <v>150</v>
      </c>
      <c r="U176" s="200"/>
      <c r="V176" s="200"/>
      <c r="W176" s="274"/>
      <c r="X176" s="274"/>
      <c r="Y176" s="274"/>
    </row>
    <row r="177" spans="12:25" x14ac:dyDescent="0.35">
      <c r="L177" s="200"/>
      <c r="M177" s="200"/>
      <c r="N177" s="200"/>
      <c r="O177" s="200"/>
      <c r="P177" s="200"/>
      <c r="Q177" s="200"/>
      <c r="R177" s="200"/>
      <c r="S177" s="200">
        <v>175</v>
      </c>
      <c r="T177" s="200">
        <v>150</v>
      </c>
      <c r="U177" s="200"/>
      <c r="V177" s="200"/>
      <c r="W177" s="274"/>
      <c r="X177" s="274"/>
      <c r="Y177" s="274"/>
    </row>
    <row r="178" spans="12:25" x14ac:dyDescent="0.35">
      <c r="L178" s="200"/>
      <c r="M178" s="200"/>
      <c r="N178" s="200"/>
      <c r="O178" s="200"/>
      <c r="P178" s="200"/>
      <c r="Q178" s="200"/>
      <c r="R178" s="200"/>
      <c r="S178" s="200">
        <v>176</v>
      </c>
      <c r="T178" s="200">
        <v>150</v>
      </c>
      <c r="U178" s="200"/>
      <c r="V178" s="200"/>
      <c r="W178" s="274"/>
      <c r="X178" s="274"/>
      <c r="Y178" s="274"/>
    </row>
    <row r="179" spans="12:25" x14ac:dyDescent="0.35">
      <c r="L179" s="200"/>
      <c r="M179" s="200"/>
      <c r="N179" s="200"/>
      <c r="O179" s="200"/>
      <c r="P179" s="200"/>
      <c r="Q179" s="200"/>
      <c r="R179" s="200"/>
      <c r="S179" s="200">
        <v>177</v>
      </c>
      <c r="T179" s="200">
        <v>150</v>
      </c>
      <c r="U179" s="200"/>
      <c r="V179" s="200"/>
      <c r="W179" s="274"/>
      <c r="X179" s="274"/>
      <c r="Y179" s="274"/>
    </row>
    <row r="180" spans="12:25" x14ac:dyDescent="0.35">
      <c r="L180" s="200"/>
      <c r="M180" s="200"/>
      <c r="N180" s="200"/>
      <c r="O180" s="200"/>
      <c r="P180" s="200"/>
      <c r="Q180" s="200"/>
      <c r="R180" s="200"/>
      <c r="S180" s="200">
        <v>178</v>
      </c>
      <c r="T180" s="200">
        <v>150</v>
      </c>
      <c r="U180" s="200"/>
      <c r="V180" s="200"/>
      <c r="W180" s="274"/>
      <c r="X180" s="274"/>
      <c r="Y180" s="274"/>
    </row>
    <row r="181" spans="12:25" x14ac:dyDescent="0.35">
      <c r="L181" s="200"/>
      <c r="M181" s="200"/>
      <c r="N181" s="200"/>
      <c r="O181" s="200"/>
      <c r="P181" s="200"/>
      <c r="Q181" s="200"/>
      <c r="R181" s="200"/>
      <c r="S181" s="200">
        <v>179</v>
      </c>
      <c r="T181" s="200">
        <v>150</v>
      </c>
      <c r="U181" s="200"/>
      <c r="V181" s="200"/>
      <c r="W181" s="274"/>
      <c r="X181" s="274"/>
      <c r="Y181" s="274"/>
    </row>
    <row r="182" spans="12:25" x14ac:dyDescent="0.35">
      <c r="L182" s="200"/>
      <c r="M182" s="200"/>
      <c r="N182" s="200"/>
      <c r="O182" s="200"/>
      <c r="P182" s="200"/>
      <c r="Q182" s="200"/>
      <c r="R182" s="200"/>
      <c r="S182" s="200">
        <v>180</v>
      </c>
      <c r="T182" s="200">
        <v>150</v>
      </c>
      <c r="U182" s="200"/>
      <c r="V182" s="200"/>
      <c r="W182" s="274"/>
      <c r="X182" s="274"/>
      <c r="Y182" s="274"/>
    </row>
    <row r="183" spans="12:25" x14ac:dyDescent="0.35">
      <c r="L183" s="200"/>
      <c r="M183" s="200"/>
      <c r="N183" s="200"/>
      <c r="O183" s="200"/>
      <c r="P183" s="200"/>
      <c r="Q183" s="200"/>
      <c r="R183" s="200"/>
      <c r="S183" s="200">
        <v>181</v>
      </c>
      <c r="T183" s="200">
        <v>150</v>
      </c>
      <c r="U183" s="200"/>
      <c r="V183" s="200"/>
      <c r="W183" s="274"/>
      <c r="X183" s="274"/>
      <c r="Y183" s="274"/>
    </row>
    <row r="184" spans="12:25" x14ac:dyDescent="0.35">
      <c r="L184" s="200"/>
      <c r="M184" s="200"/>
      <c r="N184" s="200"/>
      <c r="O184" s="200"/>
      <c r="P184" s="200"/>
      <c r="Q184" s="200"/>
      <c r="R184" s="200"/>
      <c r="S184" s="200">
        <v>182</v>
      </c>
      <c r="T184" s="200">
        <v>150</v>
      </c>
      <c r="U184" s="200"/>
      <c r="V184" s="200"/>
      <c r="W184" s="274"/>
      <c r="X184" s="274"/>
      <c r="Y184" s="274"/>
    </row>
    <row r="185" spans="12:25" x14ac:dyDescent="0.35">
      <c r="L185" s="200"/>
      <c r="M185" s="200"/>
      <c r="N185" s="200"/>
      <c r="O185" s="200"/>
      <c r="P185" s="200"/>
      <c r="Q185" s="200"/>
      <c r="R185" s="200"/>
      <c r="S185" s="200">
        <v>183</v>
      </c>
      <c r="T185" s="200">
        <v>150</v>
      </c>
      <c r="U185" s="200"/>
      <c r="V185" s="200"/>
      <c r="W185" s="274"/>
      <c r="X185" s="274"/>
      <c r="Y185" s="274"/>
    </row>
    <row r="186" spans="12:25" x14ac:dyDescent="0.35">
      <c r="L186" s="200"/>
      <c r="M186" s="200"/>
      <c r="N186" s="200"/>
      <c r="O186" s="200"/>
      <c r="P186" s="200"/>
      <c r="Q186" s="200"/>
      <c r="R186" s="200"/>
      <c r="S186" s="200">
        <v>184</v>
      </c>
      <c r="T186" s="200">
        <v>150</v>
      </c>
      <c r="U186" s="200"/>
      <c r="V186" s="200"/>
      <c r="W186" s="274"/>
      <c r="X186" s="274"/>
      <c r="Y186" s="274"/>
    </row>
    <row r="187" spans="12:25" x14ac:dyDescent="0.35">
      <c r="L187" s="200"/>
      <c r="M187" s="200"/>
      <c r="N187" s="200"/>
      <c r="O187" s="200"/>
      <c r="P187" s="200"/>
      <c r="Q187" s="200"/>
      <c r="R187" s="200"/>
      <c r="S187" s="200">
        <v>185</v>
      </c>
      <c r="T187" s="200">
        <v>150</v>
      </c>
      <c r="U187" s="200"/>
      <c r="V187" s="200"/>
      <c r="W187" s="274"/>
      <c r="X187" s="274"/>
      <c r="Y187" s="274"/>
    </row>
    <row r="188" spans="12:25" x14ac:dyDescent="0.35">
      <c r="L188" s="200"/>
      <c r="M188" s="200"/>
      <c r="N188" s="200"/>
      <c r="O188" s="200"/>
      <c r="P188" s="200"/>
      <c r="Q188" s="200"/>
      <c r="R188" s="200"/>
      <c r="S188" s="200">
        <v>186</v>
      </c>
      <c r="T188" s="200">
        <v>150</v>
      </c>
      <c r="U188" s="200"/>
      <c r="V188" s="200"/>
      <c r="W188" s="274"/>
      <c r="X188" s="274"/>
      <c r="Y188" s="274"/>
    </row>
    <row r="189" spans="12:25" x14ac:dyDescent="0.35">
      <c r="L189" s="200"/>
      <c r="M189" s="200"/>
      <c r="N189" s="200"/>
      <c r="O189" s="200"/>
      <c r="P189" s="200"/>
      <c r="Q189" s="200"/>
      <c r="R189" s="200"/>
      <c r="S189" s="200">
        <v>187</v>
      </c>
      <c r="T189" s="200">
        <v>150</v>
      </c>
      <c r="U189" s="200"/>
      <c r="V189" s="200"/>
      <c r="W189" s="274"/>
      <c r="X189" s="274"/>
      <c r="Y189" s="274"/>
    </row>
    <row r="190" spans="12:25" x14ac:dyDescent="0.35">
      <c r="L190" s="200"/>
      <c r="M190" s="200"/>
      <c r="N190" s="200"/>
      <c r="O190" s="200"/>
      <c r="P190" s="200"/>
      <c r="Q190" s="200"/>
      <c r="R190" s="200"/>
      <c r="S190" s="200">
        <v>188</v>
      </c>
      <c r="T190" s="200">
        <v>150</v>
      </c>
      <c r="U190" s="200"/>
      <c r="V190" s="200"/>
      <c r="W190" s="274"/>
      <c r="X190" s="274"/>
      <c r="Y190" s="274"/>
    </row>
    <row r="191" spans="12:25" x14ac:dyDescent="0.35">
      <c r="L191" s="200"/>
      <c r="M191" s="200"/>
      <c r="N191" s="200"/>
      <c r="O191" s="200"/>
      <c r="P191" s="200"/>
      <c r="Q191" s="200"/>
      <c r="R191" s="200"/>
      <c r="S191" s="200">
        <v>189</v>
      </c>
      <c r="T191" s="200">
        <v>150</v>
      </c>
      <c r="U191" s="200"/>
      <c r="V191" s="200"/>
      <c r="W191" s="274"/>
      <c r="X191" s="274"/>
      <c r="Y191" s="274"/>
    </row>
    <row r="192" spans="12:25" x14ac:dyDescent="0.35">
      <c r="L192" s="200"/>
      <c r="M192" s="200"/>
      <c r="N192" s="200"/>
      <c r="O192" s="200"/>
      <c r="P192" s="200"/>
      <c r="Q192" s="200"/>
      <c r="R192" s="200"/>
      <c r="S192" s="200">
        <v>190</v>
      </c>
      <c r="T192" s="200">
        <v>150</v>
      </c>
      <c r="U192" s="200"/>
      <c r="V192" s="200"/>
      <c r="W192" s="274"/>
      <c r="X192" s="274"/>
      <c r="Y192" s="274"/>
    </row>
    <row r="193" spans="12:25" x14ac:dyDescent="0.35">
      <c r="L193" s="200"/>
      <c r="M193" s="200"/>
      <c r="N193" s="200"/>
      <c r="O193" s="200"/>
      <c r="P193" s="200"/>
      <c r="Q193" s="200"/>
      <c r="R193" s="200"/>
      <c r="S193" s="200">
        <v>191</v>
      </c>
      <c r="T193" s="200">
        <v>150</v>
      </c>
      <c r="U193" s="200"/>
      <c r="V193" s="200"/>
      <c r="W193" s="274"/>
      <c r="X193" s="274"/>
      <c r="Y193" s="274"/>
    </row>
    <row r="194" spans="12:25" x14ac:dyDescent="0.35">
      <c r="L194" s="200"/>
      <c r="M194" s="200"/>
      <c r="N194" s="200"/>
      <c r="O194" s="200"/>
      <c r="P194" s="200"/>
      <c r="Q194" s="200"/>
      <c r="R194" s="200"/>
      <c r="S194" s="200">
        <v>192</v>
      </c>
      <c r="T194" s="200">
        <v>150</v>
      </c>
      <c r="U194" s="200"/>
      <c r="V194" s="200"/>
      <c r="W194" s="274"/>
      <c r="X194" s="274"/>
      <c r="Y194" s="274"/>
    </row>
    <row r="195" spans="12:25" x14ac:dyDescent="0.35">
      <c r="L195" s="200"/>
      <c r="M195" s="200"/>
      <c r="N195" s="200"/>
      <c r="O195" s="200"/>
      <c r="P195" s="200"/>
      <c r="Q195" s="200"/>
      <c r="R195" s="200"/>
      <c r="S195" s="200">
        <v>193</v>
      </c>
      <c r="T195" s="200">
        <v>150</v>
      </c>
      <c r="U195" s="200"/>
      <c r="V195" s="200"/>
      <c r="W195" s="274"/>
      <c r="X195" s="274"/>
      <c r="Y195" s="274"/>
    </row>
    <row r="196" spans="12:25" x14ac:dyDescent="0.35">
      <c r="L196" s="200"/>
      <c r="M196" s="200"/>
      <c r="N196" s="200"/>
      <c r="O196" s="200"/>
      <c r="P196" s="200"/>
      <c r="Q196" s="200"/>
      <c r="R196" s="200"/>
      <c r="S196" s="200">
        <v>194</v>
      </c>
      <c r="T196" s="200">
        <v>150</v>
      </c>
      <c r="U196" s="200"/>
      <c r="V196" s="200"/>
      <c r="W196" s="274"/>
      <c r="X196" s="274"/>
      <c r="Y196" s="274"/>
    </row>
    <row r="197" spans="12:25" x14ac:dyDescent="0.35">
      <c r="L197" s="200"/>
      <c r="M197" s="200"/>
      <c r="N197" s="200"/>
      <c r="O197" s="200"/>
      <c r="P197" s="200"/>
      <c r="Q197" s="200"/>
      <c r="R197" s="200"/>
      <c r="S197" s="200">
        <v>195</v>
      </c>
      <c r="T197" s="200">
        <v>150</v>
      </c>
      <c r="U197" s="200"/>
      <c r="V197" s="200"/>
      <c r="W197" s="274"/>
      <c r="X197" s="274"/>
      <c r="Y197" s="274"/>
    </row>
    <row r="198" spans="12:25" x14ac:dyDescent="0.35">
      <c r="L198" s="200"/>
      <c r="M198" s="200"/>
      <c r="N198" s="200"/>
      <c r="O198" s="200"/>
      <c r="P198" s="200"/>
      <c r="Q198" s="200"/>
      <c r="R198" s="200"/>
      <c r="S198" s="200">
        <v>196</v>
      </c>
      <c r="T198" s="200">
        <v>150</v>
      </c>
      <c r="U198" s="200"/>
      <c r="V198" s="200"/>
      <c r="W198" s="274"/>
      <c r="X198" s="274"/>
      <c r="Y198" s="274"/>
    </row>
    <row r="199" spans="12:25" x14ac:dyDescent="0.35">
      <c r="L199" s="200"/>
      <c r="M199" s="200"/>
      <c r="N199" s="200"/>
      <c r="O199" s="200"/>
      <c r="P199" s="200"/>
      <c r="Q199" s="200"/>
      <c r="R199" s="200"/>
      <c r="S199" s="200">
        <v>197</v>
      </c>
      <c r="T199" s="200">
        <v>150</v>
      </c>
      <c r="U199" s="200"/>
      <c r="V199" s="200"/>
      <c r="W199" s="274"/>
      <c r="X199" s="274"/>
      <c r="Y199" s="274"/>
    </row>
    <row r="200" spans="12:25" x14ac:dyDescent="0.35">
      <c r="L200" s="200"/>
      <c r="M200" s="200"/>
      <c r="N200" s="200"/>
      <c r="O200" s="200"/>
      <c r="P200" s="200"/>
      <c r="Q200" s="200"/>
      <c r="R200" s="200"/>
      <c r="S200" s="200">
        <v>198</v>
      </c>
      <c r="T200" s="200">
        <v>150</v>
      </c>
      <c r="U200" s="200"/>
      <c r="V200" s="200"/>
      <c r="W200" s="274"/>
      <c r="X200" s="274"/>
      <c r="Y200" s="274"/>
    </row>
    <row r="201" spans="12:25" x14ac:dyDescent="0.35">
      <c r="L201" s="200"/>
      <c r="M201" s="200"/>
      <c r="N201" s="200"/>
      <c r="O201" s="200"/>
      <c r="P201" s="200"/>
      <c r="Q201" s="200"/>
      <c r="R201" s="200"/>
      <c r="S201" s="200">
        <v>199</v>
      </c>
      <c r="T201" s="200">
        <v>150</v>
      </c>
      <c r="U201" s="200"/>
      <c r="V201" s="200"/>
      <c r="W201" s="274"/>
      <c r="X201" s="274"/>
      <c r="Y201" s="274"/>
    </row>
    <row r="202" spans="12:25" x14ac:dyDescent="0.35">
      <c r="L202" s="200"/>
      <c r="M202" s="200"/>
      <c r="N202" s="200"/>
      <c r="O202" s="200"/>
      <c r="P202" s="200"/>
      <c r="Q202" s="200"/>
      <c r="R202" s="200"/>
      <c r="S202" s="200">
        <v>200</v>
      </c>
      <c r="T202" s="200">
        <v>150</v>
      </c>
      <c r="U202" s="200">
        <v>200</v>
      </c>
      <c r="V202" s="200"/>
      <c r="W202" s="274"/>
      <c r="X202" s="274"/>
      <c r="Y202" s="274"/>
    </row>
    <row r="203" spans="12:25" x14ac:dyDescent="0.35">
      <c r="L203" s="200"/>
      <c r="M203" s="200"/>
      <c r="N203" s="200"/>
      <c r="O203" s="200"/>
      <c r="P203" s="200"/>
      <c r="Q203" s="200"/>
      <c r="R203" s="200"/>
      <c r="S203" s="200">
        <v>201</v>
      </c>
      <c r="T203" s="200">
        <v>150</v>
      </c>
      <c r="U203" s="200"/>
      <c r="V203" s="200"/>
      <c r="W203" s="274"/>
      <c r="X203" s="274"/>
      <c r="Y203" s="274"/>
    </row>
    <row r="204" spans="12:25" x14ac:dyDescent="0.35">
      <c r="L204" s="200"/>
      <c r="M204" s="200"/>
      <c r="N204" s="200"/>
      <c r="O204" s="200"/>
      <c r="P204" s="200"/>
      <c r="Q204" s="200"/>
      <c r="R204" s="200"/>
      <c r="S204" s="200">
        <v>202</v>
      </c>
      <c r="T204" s="200">
        <v>150</v>
      </c>
      <c r="U204" s="200"/>
      <c r="V204" s="200"/>
      <c r="W204" s="274"/>
      <c r="X204" s="274"/>
      <c r="Y204" s="274"/>
    </row>
    <row r="205" spans="12:25" x14ac:dyDescent="0.35">
      <c r="L205" s="200"/>
      <c r="M205" s="200"/>
      <c r="N205" s="200"/>
      <c r="O205" s="200"/>
      <c r="P205" s="200"/>
      <c r="Q205" s="200"/>
      <c r="R205" s="200"/>
      <c r="S205" s="200">
        <v>203</v>
      </c>
      <c r="T205" s="200">
        <v>150</v>
      </c>
      <c r="U205" s="200"/>
      <c r="V205" s="200"/>
      <c r="W205" s="274"/>
      <c r="X205" s="274"/>
      <c r="Y205" s="274"/>
    </row>
    <row r="206" spans="12:25" x14ac:dyDescent="0.35">
      <c r="L206" s="200"/>
      <c r="M206" s="200"/>
      <c r="N206" s="200"/>
      <c r="O206" s="200"/>
      <c r="P206" s="200"/>
      <c r="Q206" s="200"/>
      <c r="R206" s="200"/>
      <c r="S206" s="200">
        <v>204</v>
      </c>
      <c r="T206" s="200">
        <v>150</v>
      </c>
      <c r="U206" s="200"/>
      <c r="V206" s="200"/>
      <c r="W206" s="274"/>
      <c r="X206" s="274"/>
      <c r="Y206" s="274"/>
    </row>
    <row r="207" spans="12:25" x14ac:dyDescent="0.35">
      <c r="L207" s="200"/>
      <c r="M207" s="200"/>
      <c r="N207" s="200"/>
      <c r="O207" s="200"/>
      <c r="P207" s="200"/>
      <c r="Q207" s="200"/>
      <c r="R207" s="200"/>
      <c r="S207" s="200">
        <v>205</v>
      </c>
      <c r="T207" s="200">
        <v>150</v>
      </c>
      <c r="U207" s="200"/>
      <c r="V207" s="200"/>
      <c r="W207" s="274"/>
      <c r="X207" s="274"/>
      <c r="Y207" s="274"/>
    </row>
    <row r="208" spans="12:25" x14ac:dyDescent="0.35">
      <c r="L208" s="200"/>
      <c r="M208" s="200"/>
      <c r="N208" s="200"/>
      <c r="O208" s="200"/>
      <c r="P208" s="200"/>
      <c r="Q208" s="200"/>
      <c r="R208" s="200"/>
      <c r="S208" s="200">
        <v>206</v>
      </c>
      <c r="T208" s="200">
        <v>150</v>
      </c>
      <c r="U208" s="200"/>
      <c r="V208" s="200"/>
      <c r="W208" s="274"/>
      <c r="X208" s="274"/>
      <c r="Y208" s="274"/>
    </row>
    <row r="209" spans="12:25" x14ac:dyDescent="0.35">
      <c r="L209" s="200"/>
      <c r="M209" s="200"/>
      <c r="N209" s="200"/>
      <c r="O209" s="200"/>
      <c r="P209" s="200"/>
      <c r="Q209" s="200"/>
      <c r="R209" s="200"/>
      <c r="S209" s="200">
        <v>207</v>
      </c>
      <c r="T209" s="200">
        <v>150</v>
      </c>
      <c r="U209" s="200"/>
      <c r="V209" s="200"/>
      <c r="W209" s="274"/>
      <c r="X209" s="274"/>
      <c r="Y209" s="274"/>
    </row>
    <row r="210" spans="12:25" x14ac:dyDescent="0.35">
      <c r="L210" s="200"/>
      <c r="M210" s="200"/>
      <c r="N210" s="200"/>
      <c r="O210" s="200"/>
      <c r="P210" s="200"/>
      <c r="Q210" s="200"/>
      <c r="R210" s="200"/>
      <c r="S210" s="200">
        <v>208</v>
      </c>
      <c r="T210" s="200">
        <v>150</v>
      </c>
      <c r="U210" s="200"/>
      <c r="V210" s="200"/>
      <c r="W210" s="274"/>
      <c r="X210" s="274"/>
      <c r="Y210" s="274"/>
    </row>
    <row r="211" spans="12:25" x14ac:dyDescent="0.35">
      <c r="L211" s="200"/>
      <c r="M211" s="200"/>
      <c r="N211" s="200"/>
      <c r="O211" s="200"/>
      <c r="P211" s="200"/>
      <c r="Q211" s="200"/>
      <c r="R211" s="200"/>
      <c r="S211" s="200">
        <v>209</v>
      </c>
      <c r="T211" s="200">
        <v>150</v>
      </c>
      <c r="U211" s="200"/>
      <c r="V211" s="200"/>
      <c r="W211" s="274"/>
      <c r="X211" s="274"/>
      <c r="Y211" s="274"/>
    </row>
    <row r="212" spans="12:25" x14ac:dyDescent="0.35">
      <c r="L212" s="200"/>
      <c r="M212" s="200"/>
      <c r="N212" s="200"/>
      <c r="O212" s="200"/>
      <c r="P212" s="200"/>
      <c r="Q212" s="200"/>
      <c r="R212" s="200"/>
      <c r="S212" s="200">
        <v>210</v>
      </c>
      <c r="T212" s="200">
        <v>150</v>
      </c>
      <c r="U212" s="200"/>
      <c r="V212" s="200"/>
      <c r="W212" s="274"/>
      <c r="X212" s="274"/>
      <c r="Y212" s="274"/>
    </row>
    <row r="213" spans="12:25" x14ac:dyDescent="0.35">
      <c r="L213" s="200"/>
      <c r="M213" s="200"/>
      <c r="N213" s="200"/>
      <c r="O213" s="200"/>
      <c r="P213" s="200"/>
      <c r="Q213" s="200"/>
      <c r="R213" s="200"/>
      <c r="S213" s="200">
        <v>211</v>
      </c>
      <c r="T213" s="200">
        <v>150</v>
      </c>
      <c r="U213" s="200"/>
      <c r="V213" s="200"/>
      <c r="W213" s="274"/>
      <c r="X213" s="274"/>
      <c r="Y213" s="274"/>
    </row>
    <row r="214" spans="12:25" x14ac:dyDescent="0.35">
      <c r="L214" s="200"/>
      <c r="M214" s="200"/>
      <c r="N214" s="200"/>
      <c r="O214" s="200"/>
      <c r="P214" s="200"/>
      <c r="Q214" s="200"/>
      <c r="R214" s="200"/>
      <c r="S214" s="200">
        <v>212</v>
      </c>
      <c r="T214" s="200">
        <v>150</v>
      </c>
      <c r="U214" s="200"/>
      <c r="V214" s="200"/>
      <c r="W214" s="274"/>
      <c r="X214" s="274"/>
      <c r="Y214" s="274"/>
    </row>
    <row r="215" spans="12:25" x14ac:dyDescent="0.35">
      <c r="L215" s="200"/>
      <c r="M215" s="200"/>
      <c r="N215" s="200"/>
      <c r="O215" s="200"/>
      <c r="P215" s="200"/>
      <c r="Q215" s="200"/>
      <c r="R215" s="200"/>
      <c r="S215" s="200">
        <v>213</v>
      </c>
      <c r="T215" s="200">
        <v>150</v>
      </c>
      <c r="U215" s="200"/>
      <c r="V215" s="200"/>
      <c r="W215" s="274"/>
      <c r="X215" s="274"/>
      <c r="Y215" s="274"/>
    </row>
    <row r="216" spans="12:25" x14ac:dyDescent="0.35">
      <c r="L216" s="200"/>
      <c r="M216" s="200"/>
      <c r="N216" s="200"/>
      <c r="O216" s="200"/>
      <c r="P216" s="200"/>
      <c r="Q216" s="200"/>
      <c r="R216" s="200"/>
      <c r="S216" s="200">
        <v>214</v>
      </c>
      <c r="T216" s="200">
        <v>150</v>
      </c>
      <c r="U216" s="200"/>
      <c r="V216" s="200"/>
      <c r="W216" s="274"/>
      <c r="X216" s="274"/>
      <c r="Y216" s="274"/>
    </row>
    <row r="217" spans="12:25" x14ac:dyDescent="0.35">
      <c r="L217" s="200"/>
      <c r="M217" s="200"/>
      <c r="N217" s="200"/>
      <c r="O217" s="200"/>
      <c r="P217" s="200"/>
      <c r="Q217" s="200"/>
      <c r="R217" s="200"/>
      <c r="S217" s="200">
        <v>215</v>
      </c>
      <c r="T217" s="200">
        <v>150</v>
      </c>
      <c r="U217" s="200"/>
      <c r="V217" s="200"/>
      <c r="W217" s="274"/>
      <c r="X217" s="274"/>
      <c r="Y217" s="274"/>
    </row>
    <row r="218" spans="12:25" x14ac:dyDescent="0.35">
      <c r="L218" s="200"/>
      <c r="M218" s="200"/>
      <c r="N218" s="200"/>
      <c r="O218" s="200"/>
      <c r="P218" s="200"/>
      <c r="Q218" s="200"/>
      <c r="R218" s="200"/>
      <c r="S218" s="200">
        <v>216</v>
      </c>
      <c r="T218" s="200">
        <v>150</v>
      </c>
      <c r="U218" s="200"/>
      <c r="V218" s="200"/>
      <c r="W218" s="274"/>
      <c r="X218" s="274"/>
      <c r="Y218" s="274"/>
    </row>
    <row r="219" spans="12:25" x14ac:dyDescent="0.35">
      <c r="L219" s="200"/>
      <c r="M219" s="200"/>
      <c r="N219" s="200"/>
      <c r="O219" s="200"/>
      <c r="P219" s="200"/>
      <c r="Q219" s="200"/>
      <c r="R219" s="200"/>
      <c r="S219" s="200">
        <v>217</v>
      </c>
      <c r="T219" s="200">
        <v>150</v>
      </c>
      <c r="U219" s="200"/>
      <c r="V219" s="200"/>
      <c r="W219" s="274"/>
      <c r="X219" s="274"/>
      <c r="Y219" s="274"/>
    </row>
    <row r="220" spans="12:25" x14ac:dyDescent="0.35">
      <c r="L220" s="200"/>
      <c r="M220" s="200"/>
      <c r="N220" s="200"/>
      <c r="O220" s="200"/>
      <c r="P220" s="200"/>
      <c r="Q220" s="200"/>
      <c r="R220" s="200"/>
      <c r="S220" s="200">
        <v>218</v>
      </c>
      <c r="T220" s="200">
        <v>150</v>
      </c>
      <c r="U220" s="200"/>
      <c r="V220" s="200"/>
      <c r="W220" s="274"/>
      <c r="X220" s="274"/>
      <c r="Y220" s="274"/>
    </row>
    <row r="221" spans="12:25" x14ac:dyDescent="0.35">
      <c r="L221" s="200"/>
      <c r="M221" s="200"/>
      <c r="N221" s="200"/>
      <c r="O221" s="200"/>
      <c r="P221" s="200"/>
      <c r="Q221" s="200"/>
      <c r="R221" s="200"/>
      <c r="S221" s="200">
        <v>219</v>
      </c>
      <c r="T221" s="200">
        <v>150</v>
      </c>
      <c r="U221" s="200"/>
      <c r="V221" s="200"/>
      <c r="W221" s="274"/>
      <c r="X221" s="274"/>
      <c r="Y221" s="274"/>
    </row>
    <row r="222" spans="12:25" x14ac:dyDescent="0.35">
      <c r="L222" s="200"/>
      <c r="M222" s="200"/>
      <c r="N222" s="200"/>
      <c r="O222" s="200"/>
      <c r="P222" s="200"/>
      <c r="Q222" s="200"/>
      <c r="R222" s="200"/>
      <c r="S222" s="200">
        <v>220</v>
      </c>
      <c r="T222" s="200">
        <v>150</v>
      </c>
      <c r="U222" s="200"/>
      <c r="V222" s="200"/>
      <c r="W222" s="274"/>
      <c r="X222" s="274"/>
      <c r="Y222" s="274"/>
    </row>
    <row r="223" spans="12:25" x14ac:dyDescent="0.35">
      <c r="L223" s="200"/>
      <c r="M223" s="200"/>
      <c r="N223" s="200"/>
      <c r="O223" s="200"/>
      <c r="P223" s="200"/>
      <c r="Q223" s="200"/>
      <c r="R223" s="200"/>
      <c r="S223" s="200">
        <v>221</v>
      </c>
      <c r="T223" s="200">
        <v>150</v>
      </c>
      <c r="U223" s="200"/>
      <c r="V223" s="200"/>
      <c r="W223" s="274"/>
      <c r="X223" s="274"/>
      <c r="Y223" s="274"/>
    </row>
    <row r="224" spans="12:25" x14ac:dyDescent="0.35">
      <c r="L224" s="200"/>
      <c r="M224" s="200"/>
      <c r="N224" s="200"/>
      <c r="O224" s="200"/>
      <c r="P224" s="200"/>
      <c r="Q224" s="200"/>
      <c r="R224" s="200"/>
      <c r="S224" s="200">
        <v>222</v>
      </c>
      <c r="T224" s="200">
        <v>150</v>
      </c>
      <c r="U224" s="200"/>
      <c r="V224" s="200"/>
      <c r="W224" s="274"/>
      <c r="X224" s="274"/>
      <c r="Y224" s="274"/>
    </row>
    <row r="225" spans="12:25" x14ac:dyDescent="0.35">
      <c r="L225" s="200"/>
      <c r="M225" s="200"/>
      <c r="N225" s="200"/>
      <c r="O225" s="200"/>
      <c r="P225" s="200"/>
      <c r="Q225" s="200"/>
      <c r="R225" s="200"/>
      <c r="S225" s="200">
        <v>223</v>
      </c>
      <c r="T225" s="200">
        <v>150</v>
      </c>
      <c r="U225" s="200"/>
      <c r="V225" s="200"/>
      <c r="W225" s="274"/>
      <c r="X225" s="274"/>
      <c r="Y225" s="274"/>
    </row>
    <row r="226" spans="12:25" x14ac:dyDescent="0.35">
      <c r="L226" s="200"/>
      <c r="M226" s="200"/>
      <c r="N226" s="200"/>
      <c r="O226" s="200"/>
      <c r="P226" s="200"/>
      <c r="Q226" s="200"/>
      <c r="R226" s="200"/>
      <c r="S226" s="200">
        <v>224</v>
      </c>
      <c r="T226" s="200">
        <v>150</v>
      </c>
      <c r="U226" s="200"/>
      <c r="V226" s="200"/>
      <c r="W226" s="274"/>
      <c r="X226" s="274"/>
      <c r="Y226" s="274"/>
    </row>
    <row r="227" spans="12:25" x14ac:dyDescent="0.35">
      <c r="L227" s="200"/>
      <c r="M227" s="200"/>
      <c r="N227" s="200"/>
      <c r="O227" s="200"/>
      <c r="P227" s="200"/>
      <c r="Q227" s="200"/>
      <c r="R227" s="200"/>
      <c r="S227" s="200">
        <v>225</v>
      </c>
      <c r="T227" s="200">
        <v>150</v>
      </c>
      <c r="U227" s="200"/>
      <c r="V227" s="200"/>
      <c r="W227" s="274"/>
      <c r="X227" s="274"/>
      <c r="Y227" s="274"/>
    </row>
    <row r="228" spans="12:25" x14ac:dyDescent="0.35">
      <c r="L228" s="200"/>
      <c r="M228" s="200"/>
      <c r="N228" s="200"/>
      <c r="O228" s="200"/>
      <c r="P228" s="200"/>
      <c r="Q228" s="200"/>
      <c r="R228" s="200"/>
      <c r="S228" s="200">
        <v>226</v>
      </c>
      <c r="T228" s="200">
        <v>150</v>
      </c>
      <c r="U228" s="200"/>
      <c r="V228" s="200"/>
      <c r="W228" s="274"/>
      <c r="X228" s="274"/>
      <c r="Y228" s="274"/>
    </row>
    <row r="229" spans="12:25" x14ac:dyDescent="0.35">
      <c r="L229" s="200"/>
      <c r="M229" s="200"/>
      <c r="N229" s="200"/>
      <c r="O229" s="200"/>
      <c r="P229" s="200"/>
      <c r="Q229" s="200"/>
      <c r="R229" s="200"/>
      <c r="S229" s="200">
        <v>227</v>
      </c>
      <c r="T229" s="200">
        <v>150</v>
      </c>
      <c r="U229" s="200"/>
      <c r="V229" s="200"/>
      <c r="W229" s="274"/>
      <c r="X229" s="274"/>
      <c r="Y229" s="274"/>
    </row>
    <row r="230" spans="12:25" x14ac:dyDescent="0.35">
      <c r="L230" s="200"/>
      <c r="M230" s="200"/>
      <c r="N230" s="200"/>
      <c r="O230" s="200"/>
      <c r="P230" s="200"/>
      <c r="Q230" s="200"/>
      <c r="R230" s="200"/>
      <c r="S230" s="200">
        <v>228</v>
      </c>
      <c r="T230" s="200">
        <v>150</v>
      </c>
      <c r="U230" s="200"/>
      <c r="V230" s="200"/>
      <c r="W230" s="274"/>
      <c r="X230" s="274"/>
      <c r="Y230" s="274"/>
    </row>
    <row r="231" spans="12:25" x14ac:dyDescent="0.35">
      <c r="L231" s="200"/>
      <c r="M231" s="200"/>
      <c r="N231" s="200"/>
      <c r="O231" s="200"/>
      <c r="P231" s="200"/>
      <c r="Q231" s="200"/>
      <c r="R231" s="200"/>
      <c r="S231" s="200">
        <v>229</v>
      </c>
      <c r="T231" s="200">
        <v>150</v>
      </c>
      <c r="U231" s="200"/>
      <c r="V231" s="200"/>
      <c r="W231" s="274"/>
      <c r="X231" s="274"/>
      <c r="Y231" s="274"/>
    </row>
    <row r="232" spans="12:25" x14ac:dyDescent="0.35">
      <c r="L232" s="200"/>
      <c r="M232" s="200"/>
      <c r="N232" s="200"/>
      <c r="O232" s="200"/>
      <c r="P232" s="200"/>
      <c r="Q232" s="200"/>
      <c r="R232" s="200"/>
      <c r="S232" s="200">
        <v>230</v>
      </c>
      <c r="T232" s="200">
        <v>150</v>
      </c>
      <c r="U232" s="200"/>
      <c r="V232" s="200"/>
      <c r="W232" s="274"/>
      <c r="X232" s="274"/>
      <c r="Y232" s="274"/>
    </row>
    <row r="233" spans="12:25" x14ac:dyDescent="0.35">
      <c r="L233" s="200"/>
      <c r="M233" s="200"/>
      <c r="N233" s="200"/>
      <c r="O233" s="200"/>
      <c r="P233" s="200"/>
      <c r="Q233" s="200"/>
      <c r="R233" s="200"/>
      <c r="S233" s="200">
        <v>231</v>
      </c>
      <c r="T233" s="200">
        <v>150</v>
      </c>
      <c r="U233" s="200"/>
      <c r="V233" s="200"/>
      <c r="W233" s="274"/>
      <c r="X233" s="274"/>
      <c r="Y233" s="274"/>
    </row>
    <row r="234" spans="12:25" x14ac:dyDescent="0.35">
      <c r="L234" s="200"/>
      <c r="M234" s="200"/>
      <c r="N234" s="200"/>
      <c r="O234" s="200"/>
      <c r="P234" s="200"/>
      <c r="Q234" s="200"/>
      <c r="R234" s="200"/>
      <c r="S234" s="200">
        <v>232</v>
      </c>
      <c r="T234" s="200">
        <v>150</v>
      </c>
      <c r="U234" s="200"/>
      <c r="V234" s="200"/>
      <c r="W234" s="274"/>
      <c r="X234" s="274"/>
      <c r="Y234" s="274"/>
    </row>
    <row r="235" spans="12:25" x14ac:dyDescent="0.35">
      <c r="L235" s="200"/>
      <c r="M235" s="200"/>
      <c r="N235" s="200"/>
      <c r="O235" s="200"/>
      <c r="P235" s="200"/>
      <c r="Q235" s="200"/>
      <c r="R235" s="200"/>
      <c r="S235" s="200">
        <v>233</v>
      </c>
      <c r="T235" s="200">
        <v>150</v>
      </c>
      <c r="U235" s="200"/>
      <c r="V235" s="200"/>
      <c r="W235" s="274"/>
      <c r="X235" s="274"/>
      <c r="Y235" s="274"/>
    </row>
    <row r="236" spans="12:25" x14ac:dyDescent="0.35">
      <c r="L236" s="200"/>
      <c r="M236" s="200"/>
      <c r="N236" s="200"/>
      <c r="O236" s="200"/>
      <c r="P236" s="200"/>
      <c r="Q236" s="200"/>
      <c r="R236" s="200"/>
      <c r="S236" s="200">
        <v>234</v>
      </c>
      <c r="T236" s="200">
        <v>150</v>
      </c>
      <c r="U236" s="200"/>
      <c r="V236" s="200"/>
      <c r="W236" s="274"/>
      <c r="X236" s="274"/>
      <c r="Y236" s="274"/>
    </row>
    <row r="237" spans="12:25" x14ac:dyDescent="0.35">
      <c r="L237" s="200"/>
      <c r="M237" s="200"/>
      <c r="N237" s="200"/>
      <c r="O237" s="200"/>
      <c r="P237" s="200"/>
      <c r="Q237" s="200"/>
      <c r="R237" s="200"/>
      <c r="S237" s="200">
        <v>235</v>
      </c>
      <c r="T237" s="200">
        <v>150</v>
      </c>
      <c r="U237" s="200"/>
      <c r="V237" s="200"/>
      <c r="W237" s="274"/>
      <c r="X237" s="274"/>
      <c r="Y237" s="274"/>
    </row>
    <row r="238" spans="12:25" x14ac:dyDescent="0.35">
      <c r="L238" s="200"/>
      <c r="M238" s="200"/>
      <c r="N238" s="200"/>
      <c r="O238" s="200"/>
      <c r="P238" s="200"/>
      <c r="Q238" s="200"/>
      <c r="R238" s="200"/>
      <c r="S238" s="200">
        <v>236</v>
      </c>
      <c r="T238" s="200">
        <v>150</v>
      </c>
      <c r="U238" s="200"/>
      <c r="V238" s="200"/>
      <c r="W238" s="274"/>
      <c r="X238" s="274"/>
      <c r="Y238" s="274"/>
    </row>
    <row r="239" spans="12:25" x14ac:dyDescent="0.35">
      <c r="L239" s="200"/>
      <c r="M239" s="200"/>
      <c r="N239" s="200"/>
      <c r="O239" s="200"/>
      <c r="P239" s="200"/>
      <c r="Q239" s="200"/>
      <c r="R239" s="200"/>
      <c r="S239" s="200">
        <v>237</v>
      </c>
      <c r="T239" s="200">
        <v>150</v>
      </c>
      <c r="U239" s="200"/>
      <c r="V239" s="200"/>
      <c r="W239" s="274"/>
      <c r="X239" s="274"/>
      <c r="Y239" s="274"/>
    </row>
    <row r="240" spans="12:25" x14ac:dyDescent="0.35">
      <c r="L240" s="200"/>
      <c r="M240" s="200"/>
      <c r="N240" s="200"/>
      <c r="O240" s="200"/>
      <c r="P240" s="200"/>
      <c r="Q240" s="200"/>
      <c r="R240" s="200"/>
      <c r="S240" s="200">
        <v>238</v>
      </c>
      <c r="T240" s="200">
        <v>150</v>
      </c>
      <c r="U240" s="200"/>
      <c r="V240" s="200"/>
      <c r="W240" s="274"/>
      <c r="X240" s="274"/>
      <c r="Y240" s="274"/>
    </row>
    <row r="241" spans="12:25" x14ac:dyDescent="0.35">
      <c r="L241" s="200"/>
      <c r="M241" s="200"/>
      <c r="N241" s="200"/>
      <c r="O241" s="200"/>
      <c r="P241" s="200"/>
      <c r="Q241" s="200"/>
      <c r="R241" s="200"/>
      <c r="S241" s="200">
        <v>239</v>
      </c>
      <c r="T241" s="200">
        <v>150</v>
      </c>
      <c r="U241" s="200"/>
      <c r="V241" s="200"/>
      <c r="W241" s="274"/>
      <c r="X241" s="274"/>
      <c r="Y241" s="274"/>
    </row>
    <row r="242" spans="12:25" x14ac:dyDescent="0.35">
      <c r="L242" s="200"/>
      <c r="M242" s="200"/>
      <c r="N242" s="200"/>
      <c r="O242" s="200"/>
      <c r="P242" s="200"/>
      <c r="Q242" s="200"/>
      <c r="R242" s="200"/>
      <c r="S242" s="200">
        <v>240</v>
      </c>
      <c r="T242" s="200">
        <v>150</v>
      </c>
      <c r="U242" s="200"/>
      <c r="V242" s="200"/>
      <c r="W242" s="274"/>
      <c r="X242" s="274"/>
      <c r="Y242" s="274"/>
    </row>
    <row r="243" spans="12:25" x14ac:dyDescent="0.35">
      <c r="L243" s="200"/>
      <c r="M243" s="200"/>
      <c r="N243" s="200"/>
      <c r="O243" s="200"/>
      <c r="P243" s="200"/>
      <c r="Q243" s="200"/>
      <c r="R243" s="200"/>
      <c r="S243" s="200">
        <v>241</v>
      </c>
      <c r="T243" s="200">
        <v>150</v>
      </c>
      <c r="U243" s="200"/>
      <c r="V243" s="200"/>
      <c r="W243" s="274"/>
      <c r="X243" s="274"/>
      <c r="Y243" s="274"/>
    </row>
    <row r="244" spans="12:25" x14ac:dyDescent="0.35">
      <c r="L244" s="200"/>
      <c r="M244" s="200"/>
      <c r="N244" s="200"/>
      <c r="O244" s="200"/>
      <c r="P244" s="200"/>
      <c r="Q244" s="200"/>
      <c r="R244" s="200"/>
      <c r="S244" s="200">
        <v>242</v>
      </c>
      <c r="T244" s="200">
        <v>150</v>
      </c>
      <c r="U244" s="200"/>
      <c r="V244" s="200"/>
      <c r="W244" s="274"/>
      <c r="X244" s="274"/>
      <c r="Y244" s="274"/>
    </row>
    <row r="245" spans="12:25" x14ac:dyDescent="0.35">
      <c r="L245" s="200"/>
      <c r="M245" s="200"/>
      <c r="N245" s="200"/>
      <c r="O245" s="200"/>
      <c r="P245" s="200"/>
      <c r="Q245" s="200"/>
      <c r="R245" s="200"/>
      <c r="S245" s="200">
        <v>243</v>
      </c>
      <c r="T245" s="200">
        <v>150</v>
      </c>
      <c r="U245" s="200"/>
      <c r="V245" s="200"/>
      <c r="W245" s="274"/>
      <c r="X245" s="274"/>
      <c r="Y245" s="274"/>
    </row>
    <row r="246" spans="12:25" x14ac:dyDescent="0.35">
      <c r="L246" s="200"/>
      <c r="M246" s="200"/>
      <c r="N246" s="200"/>
      <c r="O246" s="200"/>
      <c r="P246" s="200"/>
      <c r="Q246" s="200"/>
      <c r="R246" s="200"/>
      <c r="S246" s="200">
        <v>244</v>
      </c>
      <c r="T246" s="200">
        <v>150</v>
      </c>
      <c r="U246" s="200"/>
      <c r="V246" s="200"/>
      <c r="W246" s="274"/>
      <c r="X246" s="274"/>
      <c r="Y246" s="274"/>
    </row>
    <row r="247" spans="12:25" x14ac:dyDescent="0.35">
      <c r="L247" s="200"/>
      <c r="M247" s="200"/>
      <c r="N247" s="200"/>
      <c r="O247" s="200"/>
      <c r="P247" s="200"/>
      <c r="Q247" s="200"/>
      <c r="R247" s="200"/>
      <c r="S247" s="200">
        <v>245</v>
      </c>
      <c r="T247" s="200">
        <v>150</v>
      </c>
      <c r="U247" s="200"/>
      <c r="V247" s="200"/>
      <c r="W247" s="274"/>
      <c r="X247" s="274"/>
      <c r="Y247" s="274"/>
    </row>
    <row r="248" spans="12:25" x14ac:dyDescent="0.35">
      <c r="L248" s="200"/>
      <c r="M248" s="200"/>
      <c r="N248" s="200"/>
      <c r="O248" s="200"/>
      <c r="P248" s="200"/>
      <c r="Q248" s="200"/>
      <c r="R248" s="200"/>
      <c r="S248" s="200">
        <v>246</v>
      </c>
      <c r="T248" s="200">
        <v>150</v>
      </c>
      <c r="U248" s="200"/>
      <c r="V248" s="200"/>
      <c r="W248" s="274"/>
      <c r="X248" s="274"/>
      <c r="Y248" s="274"/>
    </row>
    <row r="249" spans="12:25" x14ac:dyDescent="0.35">
      <c r="L249" s="200"/>
      <c r="M249" s="200"/>
      <c r="N249" s="200"/>
      <c r="O249" s="200"/>
      <c r="P249" s="200"/>
      <c r="Q249" s="200"/>
      <c r="R249" s="200"/>
      <c r="S249" s="200">
        <v>247</v>
      </c>
      <c r="T249" s="200">
        <v>150</v>
      </c>
      <c r="U249" s="200"/>
      <c r="V249" s="200"/>
      <c r="W249" s="274"/>
      <c r="X249" s="274"/>
      <c r="Y249" s="274"/>
    </row>
    <row r="250" spans="12:25" x14ac:dyDescent="0.35">
      <c r="L250" s="200"/>
      <c r="M250" s="200"/>
      <c r="N250" s="200"/>
      <c r="O250" s="200"/>
      <c r="P250" s="200"/>
      <c r="Q250" s="200"/>
      <c r="R250" s="200"/>
      <c r="S250" s="200">
        <v>248</v>
      </c>
      <c r="T250" s="200">
        <v>150</v>
      </c>
      <c r="U250" s="200"/>
      <c r="V250" s="200"/>
      <c r="W250" s="274"/>
      <c r="X250" s="274"/>
      <c r="Y250" s="274"/>
    </row>
    <row r="251" spans="12:25" x14ac:dyDescent="0.35">
      <c r="L251" s="200"/>
      <c r="M251" s="200"/>
      <c r="N251" s="200"/>
      <c r="O251" s="200"/>
      <c r="P251" s="200"/>
      <c r="Q251" s="200"/>
      <c r="R251" s="200"/>
      <c r="S251" s="200">
        <v>249</v>
      </c>
      <c r="T251" s="200">
        <v>150</v>
      </c>
      <c r="U251" s="200"/>
      <c r="V251" s="200"/>
      <c r="W251" s="274"/>
      <c r="X251" s="274"/>
      <c r="Y251" s="274"/>
    </row>
    <row r="252" spans="12:25" x14ac:dyDescent="0.35">
      <c r="L252" s="200"/>
      <c r="M252" s="200"/>
      <c r="N252" s="200"/>
      <c r="O252" s="200"/>
      <c r="P252" s="200"/>
      <c r="Q252" s="200"/>
      <c r="R252" s="200"/>
      <c r="S252" s="200">
        <v>250</v>
      </c>
      <c r="T252" s="200">
        <v>150</v>
      </c>
      <c r="U252" s="200"/>
      <c r="V252" s="200"/>
      <c r="W252" s="274"/>
      <c r="X252" s="274"/>
      <c r="Y252" s="274"/>
    </row>
    <row r="253" spans="12:25" x14ac:dyDescent="0.35">
      <c r="L253" s="200"/>
      <c r="M253" s="200"/>
      <c r="N253" s="200"/>
      <c r="O253" s="200"/>
      <c r="P253" s="200"/>
      <c r="Q253" s="200"/>
      <c r="R253" s="200"/>
      <c r="S253" s="200">
        <v>251</v>
      </c>
      <c r="T253" s="200">
        <v>150</v>
      </c>
      <c r="U253" s="200"/>
      <c r="V253" s="200"/>
      <c r="W253" s="274"/>
      <c r="X253" s="274"/>
      <c r="Y253" s="274"/>
    </row>
    <row r="254" spans="12:25" x14ac:dyDescent="0.35">
      <c r="L254" s="200"/>
      <c r="M254" s="200"/>
      <c r="N254" s="200"/>
      <c r="O254" s="200"/>
      <c r="P254" s="200"/>
      <c r="Q254" s="200"/>
      <c r="R254" s="200"/>
      <c r="S254" s="200">
        <v>252</v>
      </c>
      <c r="T254" s="200">
        <v>150</v>
      </c>
      <c r="U254" s="200"/>
      <c r="V254" s="200"/>
      <c r="W254" s="274"/>
      <c r="X254" s="274"/>
      <c r="Y254" s="274"/>
    </row>
    <row r="255" spans="12:25" x14ac:dyDescent="0.35">
      <c r="L255" s="200"/>
      <c r="M255" s="200"/>
      <c r="N255" s="200"/>
      <c r="O255" s="200"/>
      <c r="P255" s="200"/>
      <c r="Q255" s="200"/>
      <c r="R255" s="200"/>
      <c r="S255" s="200">
        <v>253</v>
      </c>
      <c r="T255" s="200">
        <v>150</v>
      </c>
      <c r="U255" s="200"/>
      <c r="V255" s="200"/>
      <c r="W255" s="274"/>
      <c r="X255" s="274"/>
      <c r="Y255" s="274"/>
    </row>
    <row r="256" spans="12:25" x14ac:dyDescent="0.35">
      <c r="L256" s="200"/>
      <c r="M256" s="200"/>
      <c r="N256" s="200"/>
      <c r="O256" s="200"/>
      <c r="P256" s="200"/>
      <c r="Q256" s="200"/>
      <c r="R256" s="200"/>
      <c r="S256" s="200">
        <v>254</v>
      </c>
      <c r="T256" s="200">
        <v>150</v>
      </c>
      <c r="U256" s="200"/>
      <c r="V256" s="200"/>
      <c r="W256" s="274"/>
      <c r="X256" s="274"/>
      <c r="Y256" s="274"/>
    </row>
    <row r="257" spans="12:25" x14ac:dyDescent="0.35">
      <c r="L257" s="200"/>
      <c r="M257" s="200"/>
      <c r="N257" s="200"/>
      <c r="O257" s="200"/>
      <c r="P257" s="200"/>
      <c r="Q257" s="200"/>
      <c r="R257" s="200"/>
      <c r="S257" s="200">
        <v>255</v>
      </c>
      <c r="T257" s="200">
        <v>150</v>
      </c>
      <c r="U257" s="200"/>
      <c r="V257" s="200"/>
      <c r="W257" s="274"/>
      <c r="X257" s="274"/>
      <c r="Y257" s="274"/>
    </row>
    <row r="258" spans="12:25" x14ac:dyDescent="0.35">
      <c r="L258" s="200"/>
      <c r="M258" s="200"/>
      <c r="N258" s="200"/>
      <c r="O258" s="200"/>
      <c r="P258" s="200"/>
      <c r="Q258" s="200"/>
      <c r="R258" s="200"/>
      <c r="S258" s="200">
        <v>256</v>
      </c>
      <c r="T258" s="200">
        <v>150</v>
      </c>
      <c r="U258" s="200"/>
      <c r="V258" s="200"/>
      <c r="W258" s="274"/>
      <c r="X258" s="274"/>
      <c r="Y258" s="274"/>
    </row>
    <row r="259" spans="12:25" x14ac:dyDescent="0.35">
      <c r="L259" s="200"/>
      <c r="M259" s="200"/>
      <c r="N259" s="200"/>
      <c r="O259" s="200"/>
      <c r="P259" s="200"/>
      <c r="Q259" s="200"/>
      <c r="R259" s="200"/>
      <c r="S259" s="200">
        <v>257</v>
      </c>
      <c r="T259" s="200">
        <v>150</v>
      </c>
      <c r="U259" s="200"/>
      <c r="V259" s="200"/>
      <c r="W259" s="274"/>
      <c r="X259" s="274"/>
      <c r="Y259" s="274"/>
    </row>
    <row r="260" spans="12:25" x14ac:dyDescent="0.35">
      <c r="L260" s="200"/>
      <c r="M260" s="200"/>
      <c r="N260" s="200"/>
      <c r="O260" s="200"/>
      <c r="P260" s="200"/>
      <c r="Q260" s="200"/>
      <c r="R260" s="200"/>
      <c r="S260" s="200">
        <v>258</v>
      </c>
      <c r="T260" s="200">
        <v>150</v>
      </c>
      <c r="U260" s="200"/>
      <c r="V260" s="200"/>
      <c r="W260" s="274"/>
      <c r="X260" s="274"/>
      <c r="Y260" s="274"/>
    </row>
    <row r="261" spans="12:25" x14ac:dyDescent="0.35">
      <c r="L261" s="200"/>
      <c r="M261" s="200"/>
      <c r="N261" s="200"/>
      <c r="O261" s="200"/>
      <c r="P261" s="200"/>
      <c r="Q261" s="200"/>
      <c r="R261" s="200"/>
      <c r="S261" s="200">
        <v>259</v>
      </c>
      <c r="T261" s="200">
        <v>150</v>
      </c>
      <c r="U261" s="200"/>
      <c r="V261" s="200"/>
      <c r="W261" s="274"/>
      <c r="X261" s="274"/>
      <c r="Y261" s="274"/>
    </row>
    <row r="262" spans="12:25" x14ac:dyDescent="0.35">
      <c r="L262" s="200"/>
      <c r="M262" s="200"/>
      <c r="N262" s="200"/>
      <c r="O262" s="200"/>
      <c r="P262" s="200"/>
      <c r="Q262" s="200"/>
      <c r="R262" s="200"/>
      <c r="S262" s="200">
        <v>260</v>
      </c>
      <c r="T262" s="200">
        <v>150</v>
      </c>
      <c r="U262" s="200"/>
      <c r="V262" s="200"/>
      <c r="W262" s="274"/>
      <c r="X262" s="274"/>
      <c r="Y262" s="274"/>
    </row>
    <row r="263" spans="12:25" x14ac:dyDescent="0.35">
      <c r="L263" s="200"/>
      <c r="M263" s="200"/>
      <c r="N263" s="200"/>
      <c r="O263" s="200"/>
      <c r="P263" s="200"/>
      <c r="Q263" s="200"/>
      <c r="R263" s="200"/>
      <c r="S263" s="200">
        <v>261</v>
      </c>
      <c r="T263" s="200">
        <v>150</v>
      </c>
      <c r="U263" s="200"/>
      <c r="V263" s="200"/>
      <c r="W263" s="274"/>
      <c r="X263" s="274"/>
      <c r="Y263" s="274"/>
    </row>
    <row r="264" spans="12:25" x14ac:dyDescent="0.35">
      <c r="L264" s="200"/>
      <c r="M264" s="200"/>
      <c r="N264" s="200"/>
      <c r="O264" s="200"/>
      <c r="P264" s="200"/>
      <c r="Q264" s="200"/>
      <c r="R264" s="200"/>
      <c r="S264" s="200">
        <v>262</v>
      </c>
      <c r="T264" s="200">
        <v>150</v>
      </c>
      <c r="U264" s="200"/>
      <c r="V264" s="200"/>
      <c r="W264" s="274"/>
      <c r="X264" s="274"/>
      <c r="Y264" s="274"/>
    </row>
    <row r="265" spans="12:25" x14ac:dyDescent="0.35">
      <c r="L265" s="200"/>
      <c r="M265" s="200"/>
      <c r="N265" s="200"/>
      <c r="O265" s="200"/>
      <c r="P265" s="200"/>
      <c r="Q265" s="200"/>
      <c r="R265" s="200"/>
      <c r="S265" s="200">
        <v>263</v>
      </c>
      <c r="T265" s="200">
        <v>150</v>
      </c>
      <c r="U265" s="200"/>
      <c r="V265" s="200"/>
      <c r="W265" s="274"/>
      <c r="X265" s="274"/>
      <c r="Y265" s="274"/>
    </row>
    <row r="266" spans="12:25" x14ac:dyDescent="0.35">
      <c r="L266" s="200"/>
      <c r="M266" s="200"/>
      <c r="N266" s="200"/>
      <c r="O266" s="200"/>
      <c r="P266" s="200"/>
      <c r="Q266" s="200"/>
      <c r="R266" s="200"/>
      <c r="S266" s="200">
        <v>264</v>
      </c>
      <c r="T266" s="200">
        <v>150</v>
      </c>
      <c r="U266" s="200"/>
      <c r="V266" s="200"/>
      <c r="W266" s="274"/>
      <c r="X266" s="274"/>
      <c r="Y266" s="274"/>
    </row>
    <row r="267" spans="12:25" x14ac:dyDescent="0.35">
      <c r="L267" s="200"/>
      <c r="M267" s="200"/>
      <c r="N267" s="200"/>
      <c r="O267" s="200"/>
      <c r="P267" s="200"/>
      <c r="Q267" s="200"/>
      <c r="R267" s="200"/>
      <c r="S267" s="200">
        <v>265</v>
      </c>
      <c r="T267" s="200">
        <v>150</v>
      </c>
      <c r="U267" s="200"/>
      <c r="V267" s="200"/>
      <c r="W267" s="274"/>
      <c r="X267" s="274"/>
      <c r="Y267" s="274"/>
    </row>
    <row r="268" spans="12:25" x14ac:dyDescent="0.35">
      <c r="L268" s="200"/>
      <c r="M268" s="200"/>
      <c r="N268" s="200"/>
      <c r="O268" s="200"/>
      <c r="P268" s="200"/>
      <c r="Q268" s="200"/>
      <c r="R268" s="200"/>
      <c r="S268" s="200">
        <v>266</v>
      </c>
      <c r="T268" s="200">
        <v>150</v>
      </c>
      <c r="U268" s="200"/>
      <c r="V268" s="200"/>
      <c r="W268" s="274"/>
      <c r="X268" s="274"/>
      <c r="Y268" s="274"/>
    </row>
    <row r="269" spans="12:25" x14ac:dyDescent="0.35">
      <c r="L269" s="200"/>
      <c r="M269" s="200"/>
      <c r="N269" s="200"/>
      <c r="O269" s="200"/>
      <c r="P269" s="200"/>
      <c r="Q269" s="200"/>
      <c r="R269" s="200"/>
      <c r="S269" s="200">
        <v>267</v>
      </c>
      <c r="T269" s="200">
        <v>150</v>
      </c>
      <c r="U269" s="200"/>
      <c r="V269" s="200"/>
      <c r="W269" s="274"/>
      <c r="X269" s="274"/>
      <c r="Y269" s="274"/>
    </row>
    <row r="270" spans="12:25" x14ac:dyDescent="0.35">
      <c r="L270" s="200"/>
      <c r="M270" s="200"/>
      <c r="N270" s="200"/>
      <c r="O270" s="200"/>
      <c r="P270" s="200"/>
      <c r="Q270" s="200"/>
      <c r="R270" s="200"/>
      <c r="S270" s="200">
        <v>268</v>
      </c>
      <c r="T270" s="200">
        <v>150</v>
      </c>
      <c r="U270" s="200"/>
      <c r="V270" s="200"/>
      <c r="W270" s="274"/>
      <c r="X270" s="274"/>
      <c r="Y270" s="274"/>
    </row>
    <row r="271" spans="12:25" x14ac:dyDescent="0.35">
      <c r="L271" s="200"/>
      <c r="M271" s="200"/>
      <c r="N271" s="200"/>
      <c r="O271" s="200"/>
      <c r="P271" s="200"/>
      <c r="Q271" s="200"/>
      <c r="R271" s="200"/>
      <c r="S271" s="200">
        <v>269</v>
      </c>
      <c r="T271" s="200">
        <v>150</v>
      </c>
      <c r="U271" s="200"/>
      <c r="V271" s="200"/>
      <c r="W271" s="274"/>
      <c r="X271" s="274"/>
      <c r="Y271" s="274"/>
    </row>
    <row r="272" spans="12:25" x14ac:dyDescent="0.35">
      <c r="L272" s="200"/>
      <c r="M272" s="200"/>
      <c r="N272" s="200"/>
      <c r="O272" s="200"/>
      <c r="P272" s="200"/>
      <c r="Q272" s="200"/>
      <c r="R272" s="200"/>
      <c r="S272" s="200">
        <v>270</v>
      </c>
      <c r="T272" s="200">
        <v>150</v>
      </c>
      <c r="U272" s="200"/>
      <c r="V272" s="200"/>
      <c r="W272" s="274"/>
      <c r="X272" s="274"/>
      <c r="Y272" s="274"/>
    </row>
    <row r="273" spans="12:25" x14ac:dyDescent="0.35">
      <c r="L273" s="200"/>
      <c r="M273" s="200"/>
      <c r="N273" s="200"/>
      <c r="O273" s="200"/>
      <c r="P273" s="200"/>
      <c r="Q273" s="200"/>
      <c r="R273" s="200"/>
      <c r="S273" s="200">
        <v>271</v>
      </c>
      <c r="T273" s="200">
        <v>150</v>
      </c>
      <c r="U273" s="200"/>
      <c r="V273" s="200"/>
      <c r="W273" s="274"/>
      <c r="X273" s="274"/>
      <c r="Y273" s="274"/>
    </row>
    <row r="274" spans="12:25" x14ac:dyDescent="0.35">
      <c r="L274" s="200"/>
      <c r="M274" s="200"/>
      <c r="N274" s="200"/>
      <c r="O274" s="200"/>
      <c r="P274" s="200"/>
      <c r="Q274" s="200"/>
      <c r="R274" s="200"/>
      <c r="S274" s="200">
        <v>272</v>
      </c>
      <c r="T274" s="200">
        <v>150</v>
      </c>
      <c r="U274" s="200"/>
      <c r="V274" s="200"/>
      <c r="W274" s="274"/>
      <c r="X274" s="274"/>
      <c r="Y274" s="274"/>
    </row>
    <row r="275" spans="12:25" x14ac:dyDescent="0.35">
      <c r="L275" s="200"/>
      <c r="M275" s="200"/>
      <c r="N275" s="200"/>
      <c r="O275" s="200"/>
      <c r="P275" s="200"/>
      <c r="Q275" s="200"/>
      <c r="R275" s="200"/>
      <c r="S275" s="200">
        <v>273</v>
      </c>
      <c r="T275" s="200">
        <v>150</v>
      </c>
      <c r="U275" s="200"/>
      <c r="V275" s="200"/>
      <c r="W275" s="274"/>
      <c r="X275" s="274"/>
      <c r="Y275" s="274"/>
    </row>
    <row r="276" spans="12:25" x14ac:dyDescent="0.35">
      <c r="L276" s="200"/>
      <c r="M276" s="200"/>
      <c r="N276" s="200"/>
      <c r="O276" s="200"/>
      <c r="P276" s="200"/>
      <c r="Q276" s="200"/>
      <c r="R276" s="200"/>
      <c r="S276" s="200">
        <v>274</v>
      </c>
      <c r="T276" s="200">
        <v>150</v>
      </c>
      <c r="U276" s="200"/>
      <c r="V276" s="200"/>
      <c r="W276" s="274"/>
      <c r="X276" s="274"/>
      <c r="Y276" s="274"/>
    </row>
    <row r="277" spans="12:25" x14ac:dyDescent="0.35">
      <c r="L277" s="200"/>
      <c r="M277" s="200"/>
      <c r="N277" s="200"/>
      <c r="O277" s="200"/>
      <c r="P277" s="200"/>
      <c r="Q277" s="200"/>
      <c r="R277" s="200"/>
      <c r="S277" s="200">
        <v>275</v>
      </c>
      <c r="T277" s="200">
        <v>150</v>
      </c>
      <c r="U277" s="200"/>
      <c r="V277" s="200"/>
      <c r="W277" s="274"/>
      <c r="X277" s="274"/>
      <c r="Y277" s="274"/>
    </row>
    <row r="278" spans="12:25" x14ac:dyDescent="0.35">
      <c r="L278" s="200"/>
      <c r="M278" s="200"/>
      <c r="N278" s="200"/>
      <c r="O278" s="200"/>
      <c r="P278" s="200"/>
      <c r="Q278" s="200"/>
      <c r="R278" s="200"/>
      <c r="S278" s="200">
        <v>276</v>
      </c>
      <c r="T278" s="200">
        <v>150</v>
      </c>
      <c r="U278" s="200"/>
      <c r="V278" s="200"/>
      <c r="W278" s="274"/>
      <c r="X278" s="274"/>
      <c r="Y278" s="274"/>
    </row>
    <row r="279" spans="12:25" x14ac:dyDescent="0.35">
      <c r="L279" s="200"/>
      <c r="M279" s="200"/>
      <c r="N279" s="200"/>
      <c r="O279" s="200"/>
      <c r="P279" s="200"/>
      <c r="Q279" s="200"/>
      <c r="R279" s="200"/>
      <c r="S279" s="200">
        <v>277</v>
      </c>
      <c r="T279" s="200">
        <v>150</v>
      </c>
      <c r="U279" s="200"/>
      <c r="V279" s="200"/>
      <c r="W279" s="274"/>
      <c r="X279" s="274"/>
      <c r="Y279" s="274"/>
    </row>
    <row r="280" spans="12:25" x14ac:dyDescent="0.35">
      <c r="L280" s="200"/>
      <c r="M280" s="200"/>
      <c r="N280" s="200"/>
      <c r="O280" s="200"/>
      <c r="P280" s="200"/>
      <c r="Q280" s="200"/>
      <c r="R280" s="200"/>
      <c r="S280" s="200">
        <v>278</v>
      </c>
      <c r="T280" s="200">
        <v>150</v>
      </c>
      <c r="U280" s="200"/>
      <c r="V280" s="200"/>
      <c r="W280" s="274"/>
      <c r="X280" s="274"/>
      <c r="Y280" s="274"/>
    </row>
    <row r="281" spans="12:25" x14ac:dyDescent="0.35">
      <c r="L281" s="200"/>
      <c r="M281" s="200"/>
      <c r="N281" s="200"/>
      <c r="O281" s="200"/>
      <c r="P281" s="200"/>
      <c r="Q281" s="200"/>
      <c r="R281" s="200"/>
      <c r="S281" s="200">
        <v>279</v>
      </c>
      <c r="T281" s="200">
        <v>150</v>
      </c>
      <c r="U281" s="200"/>
      <c r="V281" s="200"/>
      <c r="W281" s="274"/>
      <c r="X281" s="274"/>
      <c r="Y281" s="274"/>
    </row>
    <row r="282" spans="12:25" x14ac:dyDescent="0.35">
      <c r="L282" s="200"/>
      <c r="M282" s="200"/>
      <c r="N282" s="200"/>
      <c r="O282" s="200"/>
      <c r="P282" s="200"/>
      <c r="Q282" s="200"/>
      <c r="R282" s="200"/>
      <c r="S282" s="200">
        <v>280</v>
      </c>
      <c r="T282" s="200">
        <v>150</v>
      </c>
      <c r="U282" s="200"/>
      <c r="V282" s="200"/>
      <c r="W282" s="274"/>
      <c r="X282" s="274"/>
      <c r="Y282" s="274"/>
    </row>
    <row r="283" spans="12:25" x14ac:dyDescent="0.35">
      <c r="L283" s="200"/>
      <c r="M283" s="200"/>
      <c r="N283" s="200"/>
      <c r="O283" s="200"/>
      <c r="P283" s="200"/>
      <c r="Q283" s="200"/>
      <c r="R283" s="200"/>
      <c r="S283" s="200">
        <v>281</v>
      </c>
      <c r="T283" s="200">
        <v>150</v>
      </c>
      <c r="U283" s="200"/>
      <c r="V283" s="200"/>
      <c r="W283" s="274"/>
      <c r="X283" s="274"/>
      <c r="Y283" s="274"/>
    </row>
    <row r="284" spans="12:25" x14ac:dyDescent="0.35">
      <c r="L284" s="200"/>
      <c r="M284" s="200"/>
      <c r="N284" s="200"/>
      <c r="O284" s="200"/>
      <c r="P284" s="200"/>
      <c r="Q284" s="200"/>
      <c r="R284" s="200"/>
      <c r="S284" s="200">
        <v>282</v>
      </c>
      <c r="T284" s="200">
        <v>150</v>
      </c>
      <c r="U284" s="200"/>
      <c r="V284" s="200"/>
      <c r="W284" s="274"/>
      <c r="X284" s="274"/>
      <c r="Y284" s="274"/>
    </row>
    <row r="285" spans="12:25" x14ac:dyDescent="0.35">
      <c r="L285" s="200"/>
      <c r="M285" s="200"/>
      <c r="N285" s="200"/>
      <c r="O285" s="200"/>
      <c r="P285" s="200"/>
      <c r="Q285" s="200"/>
      <c r="R285" s="200"/>
      <c r="S285" s="200">
        <v>283</v>
      </c>
      <c r="T285" s="200">
        <v>150</v>
      </c>
      <c r="U285" s="200"/>
      <c r="V285" s="200"/>
      <c r="W285" s="274"/>
      <c r="X285" s="274"/>
      <c r="Y285" s="274"/>
    </row>
    <row r="286" spans="12:25" x14ac:dyDescent="0.35">
      <c r="L286" s="200"/>
      <c r="M286" s="200"/>
      <c r="N286" s="200"/>
      <c r="O286" s="200"/>
      <c r="P286" s="200"/>
      <c r="Q286" s="200"/>
      <c r="R286" s="200"/>
      <c r="S286" s="200">
        <v>284</v>
      </c>
      <c r="T286" s="200">
        <v>150</v>
      </c>
      <c r="U286" s="200"/>
      <c r="V286" s="200"/>
      <c r="W286" s="274"/>
      <c r="X286" s="274"/>
      <c r="Y286" s="274"/>
    </row>
    <row r="287" spans="12:25" x14ac:dyDescent="0.35">
      <c r="L287" s="200"/>
      <c r="M287" s="200"/>
      <c r="N287" s="200"/>
      <c r="O287" s="200"/>
      <c r="P287" s="200"/>
      <c r="Q287" s="200"/>
      <c r="R287" s="200"/>
      <c r="S287" s="200">
        <v>285</v>
      </c>
      <c r="T287" s="200">
        <v>150</v>
      </c>
      <c r="U287" s="200"/>
      <c r="V287" s="200"/>
      <c r="W287" s="274"/>
      <c r="X287" s="274"/>
      <c r="Y287" s="274"/>
    </row>
    <row r="288" spans="12:25" x14ac:dyDescent="0.35">
      <c r="L288" s="200"/>
      <c r="M288" s="200"/>
      <c r="N288" s="200"/>
      <c r="O288" s="200"/>
      <c r="P288" s="200"/>
      <c r="Q288" s="200"/>
      <c r="R288" s="200"/>
      <c r="S288" s="200">
        <v>286</v>
      </c>
      <c r="T288" s="200">
        <v>150</v>
      </c>
      <c r="U288" s="200"/>
      <c r="V288" s="200"/>
      <c r="W288" s="274"/>
      <c r="X288" s="274"/>
      <c r="Y288" s="274"/>
    </row>
    <row r="289" spans="12:25" x14ac:dyDescent="0.35">
      <c r="L289" s="200"/>
      <c r="M289" s="200"/>
      <c r="N289" s="200"/>
      <c r="O289" s="200"/>
      <c r="P289" s="200"/>
      <c r="Q289" s="200"/>
      <c r="R289" s="200"/>
      <c r="S289" s="200">
        <v>287</v>
      </c>
      <c r="T289" s="200">
        <v>150</v>
      </c>
      <c r="U289" s="200"/>
      <c r="V289" s="200"/>
      <c r="W289" s="274"/>
      <c r="X289" s="274"/>
      <c r="Y289" s="274"/>
    </row>
    <row r="290" spans="12:25" x14ac:dyDescent="0.35">
      <c r="L290" s="200"/>
      <c r="M290" s="200"/>
      <c r="N290" s="200"/>
      <c r="O290" s="200"/>
      <c r="P290" s="200"/>
      <c r="Q290" s="200"/>
      <c r="R290" s="200"/>
      <c r="S290" s="200">
        <v>288</v>
      </c>
      <c r="T290" s="200">
        <v>150</v>
      </c>
      <c r="U290" s="200"/>
      <c r="V290" s="200"/>
      <c r="W290" s="274"/>
      <c r="X290" s="274"/>
      <c r="Y290" s="274"/>
    </row>
    <row r="291" spans="12:25" x14ac:dyDescent="0.35">
      <c r="L291" s="200"/>
      <c r="M291" s="200"/>
      <c r="N291" s="200"/>
      <c r="O291" s="200"/>
      <c r="P291" s="200"/>
      <c r="Q291" s="200"/>
      <c r="R291" s="200"/>
      <c r="S291" s="200">
        <v>289</v>
      </c>
      <c r="T291" s="200">
        <v>150</v>
      </c>
      <c r="U291" s="200"/>
      <c r="V291" s="200"/>
      <c r="W291" s="274"/>
      <c r="X291" s="274"/>
      <c r="Y291" s="274"/>
    </row>
    <row r="292" spans="12:25" x14ac:dyDescent="0.35">
      <c r="L292" s="200"/>
      <c r="M292" s="200"/>
      <c r="N292" s="200"/>
      <c r="O292" s="200"/>
      <c r="P292" s="200"/>
      <c r="Q292" s="200"/>
      <c r="R292" s="200"/>
      <c r="S292" s="200">
        <v>290</v>
      </c>
      <c r="T292" s="200">
        <v>150</v>
      </c>
      <c r="U292" s="200"/>
      <c r="V292" s="200"/>
      <c r="W292" s="274"/>
      <c r="X292" s="274"/>
      <c r="Y292" s="274"/>
    </row>
    <row r="293" spans="12:25" x14ac:dyDescent="0.35">
      <c r="L293" s="200"/>
      <c r="M293" s="200"/>
      <c r="N293" s="200"/>
      <c r="O293" s="200"/>
      <c r="P293" s="200"/>
      <c r="Q293" s="200"/>
      <c r="R293" s="200"/>
      <c r="S293" s="200">
        <v>291</v>
      </c>
      <c r="T293" s="200">
        <v>150</v>
      </c>
      <c r="U293" s="200"/>
      <c r="V293" s="200"/>
      <c r="W293" s="274"/>
      <c r="X293" s="274"/>
      <c r="Y293" s="274"/>
    </row>
    <row r="294" spans="12:25" x14ac:dyDescent="0.35">
      <c r="L294" s="200"/>
      <c r="M294" s="200"/>
      <c r="N294" s="200"/>
      <c r="O294" s="200"/>
      <c r="P294" s="200"/>
      <c r="Q294" s="200"/>
      <c r="R294" s="200"/>
      <c r="S294" s="200">
        <v>292</v>
      </c>
      <c r="T294" s="200">
        <v>150</v>
      </c>
      <c r="U294" s="200"/>
      <c r="V294" s="200"/>
      <c r="W294" s="274"/>
      <c r="X294" s="274"/>
      <c r="Y294" s="274"/>
    </row>
    <row r="295" spans="12:25" x14ac:dyDescent="0.35">
      <c r="L295" s="200"/>
      <c r="M295" s="200"/>
      <c r="N295" s="200"/>
      <c r="O295" s="200"/>
      <c r="P295" s="200"/>
      <c r="Q295" s="200"/>
      <c r="R295" s="200"/>
      <c r="S295" s="200">
        <v>293</v>
      </c>
      <c r="T295" s="200">
        <v>150</v>
      </c>
      <c r="U295" s="200"/>
      <c r="V295" s="200"/>
      <c r="W295" s="274"/>
      <c r="X295" s="274"/>
      <c r="Y295" s="274"/>
    </row>
    <row r="296" spans="12:25" x14ac:dyDescent="0.35">
      <c r="L296" s="200"/>
      <c r="M296" s="200"/>
      <c r="N296" s="200"/>
      <c r="O296" s="200"/>
      <c r="P296" s="200"/>
      <c r="Q296" s="200"/>
      <c r="R296" s="200"/>
      <c r="S296" s="200">
        <v>294</v>
      </c>
      <c r="T296" s="200">
        <v>150</v>
      </c>
      <c r="U296" s="200"/>
      <c r="V296" s="200"/>
      <c r="W296" s="274"/>
      <c r="X296" s="274"/>
      <c r="Y296" s="274"/>
    </row>
    <row r="297" spans="12:25" x14ac:dyDescent="0.35">
      <c r="L297" s="200"/>
      <c r="M297" s="200"/>
      <c r="N297" s="200"/>
      <c r="O297" s="200"/>
      <c r="P297" s="200"/>
      <c r="Q297" s="200"/>
      <c r="R297" s="200"/>
      <c r="S297" s="200">
        <v>295</v>
      </c>
      <c r="T297" s="200">
        <v>150</v>
      </c>
      <c r="U297" s="200"/>
      <c r="V297" s="200"/>
      <c r="W297" s="274"/>
      <c r="X297" s="274"/>
      <c r="Y297" s="274"/>
    </row>
    <row r="298" spans="12:25" x14ac:dyDescent="0.35">
      <c r="L298" s="200"/>
      <c r="M298" s="200"/>
      <c r="N298" s="200"/>
      <c r="O298" s="200"/>
      <c r="P298" s="200"/>
      <c r="Q298" s="200"/>
      <c r="R298" s="200"/>
      <c r="S298" s="200">
        <v>296</v>
      </c>
      <c r="T298" s="200">
        <v>150</v>
      </c>
      <c r="U298" s="200"/>
      <c r="V298" s="200"/>
      <c r="W298" s="274"/>
      <c r="X298" s="274"/>
      <c r="Y298" s="274"/>
    </row>
    <row r="299" spans="12:25" x14ac:dyDescent="0.35">
      <c r="L299" s="200"/>
      <c r="M299" s="200"/>
      <c r="N299" s="200"/>
      <c r="O299" s="200"/>
      <c r="P299" s="200"/>
      <c r="Q299" s="200"/>
      <c r="R299" s="200"/>
      <c r="S299" s="200">
        <v>297</v>
      </c>
      <c r="T299" s="200">
        <v>150</v>
      </c>
      <c r="U299" s="200"/>
      <c r="V299" s="200"/>
      <c r="W299" s="274"/>
      <c r="X299" s="274"/>
      <c r="Y299" s="274"/>
    </row>
    <row r="300" spans="12:25" x14ac:dyDescent="0.35">
      <c r="L300" s="200"/>
      <c r="M300" s="200"/>
      <c r="N300" s="200"/>
      <c r="O300" s="200"/>
      <c r="P300" s="200"/>
      <c r="Q300" s="200"/>
      <c r="R300" s="200"/>
      <c r="S300" s="200">
        <v>298</v>
      </c>
      <c r="T300" s="200">
        <v>150</v>
      </c>
      <c r="U300" s="200"/>
      <c r="V300" s="200"/>
      <c r="W300" s="274"/>
      <c r="X300" s="274"/>
      <c r="Y300" s="274"/>
    </row>
    <row r="301" spans="12:25" x14ac:dyDescent="0.35">
      <c r="L301" s="200"/>
      <c r="M301" s="200"/>
      <c r="N301" s="200"/>
      <c r="O301" s="200"/>
      <c r="P301" s="200"/>
      <c r="Q301" s="200"/>
      <c r="R301" s="200"/>
      <c r="S301" s="200">
        <v>299</v>
      </c>
      <c r="T301" s="200">
        <v>150</v>
      </c>
      <c r="U301" s="200"/>
      <c r="V301" s="200"/>
      <c r="W301" s="274"/>
      <c r="X301" s="274"/>
      <c r="Y301" s="274"/>
    </row>
    <row r="302" spans="12:25" x14ac:dyDescent="0.35">
      <c r="L302" s="200"/>
      <c r="M302" s="200"/>
      <c r="N302" s="200"/>
      <c r="O302" s="200"/>
      <c r="P302" s="200"/>
      <c r="Q302" s="200"/>
      <c r="R302" s="200"/>
      <c r="S302" s="200">
        <v>300</v>
      </c>
      <c r="T302" s="200">
        <v>150</v>
      </c>
      <c r="U302" s="200">
        <v>300</v>
      </c>
      <c r="V302" s="200"/>
      <c r="W302" s="274"/>
      <c r="X302" s="274"/>
      <c r="Y302" s="274"/>
    </row>
    <row r="303" spans="12:25" x14ac:dyDescent="0.35">
      <c r="L303" s="200"/>
      <c r="M303" s="200"/>
      <c r="N303" s="200"/>
      <c r="O303" s="200"/>
      <c r="P303" s="200"/>
      <c r="Q303" s="200"/>
      <c r="R303" s="200"/>
      <c r="S303" s="200">
        <v>301</v>
      </c>
      <c r="T303" s="200">
        <v>150</v>
      </c>
      <c r="U303" s="200"/>
      <c r="V303" s="200"/>
      <c r="W303" s="274"/>
      <c r="X303" s="274"/>
      <c r="Y303" s="274"/>
    </row>
    <row r="304" spans="12:25" x14ac:dyDescent="0.35">
      <c r="L304" s="200"/>
      <c r="M304" s="200"/>
      <c r="N304" s="200"/>
      <c r="O304" s="200"/>
      <c r="P304" s="200"/>
      <c r="Q304" s="200"/>
      <c r="R304" s="200"/>
      <c r="S304" s="200">
        <v>302</v>
      </c>
      <c r="T304" s="200">
        <v>150</v>
      </c>
      <c r="U304" s="200"/>
      <c r="V304" s="200"/>
      <c r="W304" s="274"/>
      <c r="X304" s="274"/>
      <c r="Y304" s="274"/>
    </row>
    <row r="305" spans="12:25" x14ac:dyDescent="0.35">
      <c r="L305" s="200"/>
      <c r="M305" s="200"/>
      <c r="N305" s="200"/>
      <c r="O305" s="200"/>
      <c r="P305" s="200"/>
      <c r="Q305" s="200"/>
      <c r="R305" s="200"/>
      <c r="S305" s="200">
        <v>303</v>
      </c>
      <c r="T305" s="200">
        <v>150</v>
      </c>
      <c r="U305" s="200"/>
      <c r="V305" s="200"/>
      <c r="W305" s="274"/>
      <c r="X305" s="274"/>
      <c r="Y305" s="274"/>
    </row>
    <row r="306" spans="12:25" x14ac:dyDescent="0.35">
      <c r="L306" s="200"/>
      <c r="M306" s="200"/>
      <c r="N306" s="200"/>
      <c r="O306" s="200"/>
      <c r="P306" s="200"/>
      <c r="Q306" s="200"/>
      <c r="R306" s="200"/>
      <c r="S306" s="200">
        <v>304</v>
      </c>
      <c r="T306" s="200">
        <v>150</v>
      </c>
      <c r="U306" s="200"/>
      <c r="V306" s="200"/>
      <c r="W306" s="274"/>
      <c r="X306" s="274"/>
      <c r="Y306" s="274"/>
    </row>
    <row r="307" spans="12:25" x14ac:dyDescent="0.35">
      <c r="L307" s="200"/>
      <c r="M307" s="200"/>
      <c r="N307" s="200"/>
      <c r="O307" s="200"/>
      <c r="P307" s="200"/>
      <c r="Q307" s="200"/>
      <c r="R307" s="200"/>
      <c r="S307" s="200">
        <v>305</v>
      </c>
      <c r="T307" s="200">
        <v>150</v>
      </c>
      <c r="U307" s="200"/>
      <c r="V307" s="200"/>
      <c r="W307" s="274"/>
      <c r="X307" s="274"/>
      <c r="Y307" s="274"/>
    </row>
    <row r="308" spans="12:25" x14ac:dyDescent="0.35">
      <c r="L308" s="200"/>
      <c r="M308" s="200"/>
      <c r="N308" s="200"/>
      <c r="O308" s="200"/>
      <c r="P308" s="200"/>
      <c r="Q308" s="200"/>
      <c r="R308" s="200"/>
      <c r="S308" s="200">
        <v>306</v>
      </c>
      <c r="T308" s="200">
        <v>150</v>
      </c>
      <c r="U308" s="200"/>
      <c r="V308" s="200"/>
      <c r="W308" s="274"/>
      <c r="X308" s="274"/>
      <c r="Y308" s="274"/>
    </row>
    <row r="309" spans="12:25" x14ac:dyDescent="0.35">
      <c r="L309" s="200"/>
      <c r="M309" s="200"/>
      <c r="N309" s="200"/>
      <c r="O309" s="200"/>
      <c r="P309" s="200"/>
      <c r="Q309" s="200"/>
      <c r="R309" s="200"/>
      <c r="S309" s="200">
        <v>307</v>
      </c>
      <c r="T309" s="200">
        <v>150</v>
      </c>
      <c r="U309" s="200"/>
      <c r="V309" s="200"/>
      <c r="W309" s="274"/>
      <c r="X309" s="274"/>
      <c r="Y309" s="274"/>
    </row>
    <row r="310" spans="12:25" x14ac:dyDescent="0.35">
      <c r="L310" s="200"/>
      <c r="M310" s="200"/>
      <c r="N310" s="200"/>
      <c r="O310" s="200"/>
      <c r="P310" s="200"/>
      <c r="Q310" s="200"/>
      <c r="R310" s="200"/>
      <c r="S310" s="200">
        <v>308</v>
      </c>
      <c r="T310" s="200">
        <v>150</v>
      </c>
      <c r="U310" s="200"/>
      <c r="V310" s="200"/>
      <c r="W310" s="274"/>
      <c r="X310" s="274"/>
      <c r="Y310" s="274"/>
    </row>
    <row r="311" spans="12:25" x14ac:dyDescent="0.35">
      <c r="L311" s="200"/>
      <c r="M311" s="200"/>
      <c r="N311" s="200"/>
      <c r="O311" s="200"/>
      <c r="P311" s="200"/>
      <c r="Q311" s="200"/>
      <c r="R311" s="200"/>
      <c r="S311" s="200">
        <v>309</v>
      </c>
      <c r="T311" s="200">
        <v>150</v>
      </c>
      <c r="U311" s="200"/>
      <c r="V311" s="200"/>
      <c r="W311" s="274"/>
      <c r="X311" s="274"/>
      <c r="Y311" s="274"/>
    </row>
    <row r="312" spans="12:25" x14ac:dyDescent="0.35">
      <c r="L312" s="200"/>
      <c r="M312" s="200"/>
      <c r="N312" s="200"/>
      <c r="O312" s="200"/>
      <c r="P312" s="200"/>
      <c r="Q312" s="200"/>
      <c r="R312" s="200"/>
      <c r="S312" s="200">
        <v>310</v>
      </c>
      <c r="T312" s="200">
        <v>150</v>
      </c>
      <c r="U312" s="200"/>
      <c r="V312" s="200"/>
      <c r="W312" s="274"/>
      <c r="X312" s="274"/>
      <c r="Y312" s="274"/>
    </row>
    <row r="313" spans="12:25" x14ac:dyDescent="0.35">
      <c r="L313" s="200"/>
      <c r="M313" s="200"/>
      <c r="N313" s="200"/>
      <c r="O313" s="200"/>
      <c r="P313" s="200"/>
      <c r="Q313" s="200"/>
      <c r="R313" s="200"/>
      <c r="S313" s="200">
        <v>311</v>
      </c>
      <c r="T313" s="200">
        <v>150</v>
      </c>
      <c r="U313" s="200"/>
      <c r="V313" s="200"/>
      <c r="W313" s="274"/>
      <c r="X313" s="274"/>
      <c r="Y313" s="274"/>
    </row>
    <row r="314" spans="12:25" x14ac:dyDescent="0.35">
      <c r="L314" s="200"/>
      <c r="M314" s="200"/>
      <c r="N314" s="200"/>
      <c r="O314" s="200"/>
      <c r="P314" s="200"/>
      <c r="Q314" s="200"/>
      <c r="R314" s="200"/>
      <c r="S314" s="200">
        <v>312</v>
      </c>
      <c r="T314" s="200">
        <v>150</v>
      </c>
      <c r="U314" s="200"/>
      <c r="V314" s="200"/>
      <c r="W314" s="274"/>
      <c r="X314" s="274"/>
      <c r="Y314" s="274"/>
    </row>
    <row r="315" spans="12:25" x14ac:dyDescent="0.35">
      <c r="L315" s="200"/>
      <c r="M315" s="200"/>
      <c r="N315" s="200"/>
      <c r="O315" s="200"/>
      <c r="P315" s="200"/>
      <c r="Q315" s="200"/>
      <c r="R315" s="200"/>
      <c r="S315" s="200">
        <v>313</v>
      </c>
      <c r="T315" s="200">
        <v>150</v>
      </c>
      <c r="U315" s="200"/>
      <c r="V315" s="200"/>
      <c r="W315" s="274"/>
      <c r="X315" s="274"/>
      <c r="Y315" s="274"/>
    </row>
    <row r="316" spans="12:25" x14ac:dyDescent="0.35">
      <c r="L316" s="200"/>
      <c r="M316" s="200"/>
      <c r="N316" s="200"/>
      <c r="O316" s="200"/>
      <c r="P316" s="200"/>
      <c r="Q316" s="200"/>
      <c r="R316" s="200"/>
      <c r="S316" s="200">
        <v>314</v>
      </c>
      <c r="T316" s="200">
        <v>150</v>
      </c>
      <c r="U316" s="200"/>
      <c r="V316" s="200"/>
      <c r="W316" s="274"/>
      <c r="X316" s="274"/>
      <c r="Y316" s="274"/>
    </row>
    <row r="317" spans="12:25" x14ac:dyDescent="0.35">
      <c r="L317" s="200"/>
      <c r="M317" s="200"/>
      <c r="N317" s="200"/>
      <c r="O317" s="200"/>
      <c r="P317" s="200"/>
      <c r="Q317" s="200"/>
      <c r="R317" s="200"/>
      <c r="S317" s="200">
        <v>315</v>
      </c>
      <c r="T317" s="200">
        <v>150</v>
      </c>
      <c r="U317" s="200"/>
      <c r="V317" s="200"/>
      <c r="W317" s="274"/>
      <c r="X317" s="274"/>
      <c r="Y317" s="274"/>
    </row>
    <row r="318" spans="12:25" x14ac:dyDescent="0.35">
      <c r="L318" s="200"/>
      <c r="M318" s="200"/>
      <c r="N318" s="200"/>
      <c r="O318" s="200"/>
      <c r="P318" s="200"/>
      <c r="Q318" s="200"/>
      <c r="R318" s="200"/>
      <c r="S318" s="200">
        <v>316</v>
      </c>
      <c r="T318" s="200">
        <v>150</v>
      </c>
      <c r="U318" s="200"/>
      <c r="V318" s="200"/>
      <c r="W318" s="274"/>
      <c r="X318" s="274"/>
      <c r="Y318" s="274"/>
    </row>
    <row r="319" spans="12:25" x14ac:dyDescent="0.35">
      <c r="L319" s="200"/>
      <c r="M319" s="200"/>
      <c r="N319" s="200"/>
      <c r="O319" s="200"/>
      <c r="P319" s="200"/>
      <c r="Q319" s="200"/>
      <c r="R319" s="200"/>
      <c r="S319" s="200">
        <v>317</v>
      </c>
      <c r="T319" s="200">
        <v>150</v>
      </c>
      <c r="U319" s="200"/>
      <c r="V319" s="200"/>
      <c r="W319" s="274"/>
      <c r="X319" s="274"/>
      <c r="Y319" s="274"/>
    </row>
    <row r="320" spans="12:25" x14ac:dyDescent="0.35">
      <c r="L320" s="200"/>
      <c r="M320" s="200"/>
      <c r="N320" s="200"/>
      <c r="O320" s="200"/>
      <c r="P320" s="200"/>
      <c r="Q320" s="200"/>
      <c r="R320" s="200"/>
      <c r="S320" s="200">
        <v>318</v>
      </c>
      <c r="T320" s="200">
        <v>150</v>
      </c>
      <c r="U320" s="200"/>
      <c r="V320" s="200"/>
      <c r="W320" s="274"/>
      <c r="X320" s="274"/>
      <c r="Y320" s="274"/>
    </row>
    <row r="321" spans="12:25" x14ac:dyDescent="0.35">
      <c r="L321" s="200"/>
      <c r="M321" s="200"/>
      <c r="N321" s="200"/>
      <c r="O321" s="200"/>
      <c r="P321" s="200"/>
      <c r="Q321" s="200"/>
      <c r="R321" s="200"/>
      <c r="S321" s="200">
        <v>319</v>
      </c>
      <c r="T321" s="200">
        <v>150</v>
      </c>
      <c r="U321" s="200"/>
      <c r="V321" s="200"/>
      <c r="W321" s="274"/>
      <c r="X321" s="274"/>
      <c r="Y321" s="274"/>
    </row>
    <row r="322" spans="12:25" x14ac:dyDescent="0.35">
      <c r="L322" s="200"/>
      <c r="M322" s="200"/>
      <c r="N322" s="200"/>
      <c r="O322" s="200"/>
      <c r="P322" s="200"/>
      <c r="Q322" s="200"/>
      <c r="R322" s="200"/>
      <c r="S322" s="200">
        <v>320</v>
      </c>
      <c r="T322" s="200">
        <v>150</v>
      </c>
      <c r="U322" s="200"/>
      <c r="V322" s="200"/>
      <c r="W322" s="274"/>
      <c r="X322" s="274"/>
      <c r="Y322" s="274"/>
    </row>
    <row r="323" spans="12:25" x14ac:dyDescent="0.35">
      <c r="L323" s="200"/>
      <c r="M323" s="200"/>
      <c r="N323" s="200"/>
      <c r="O323" s="200"/>
      <c r="P323" s="200"/>
      <c r="Q323" s="200"/>
      <c r="R323" s="200"/>
      <c r="S323" s="200">
        <v>321</v>
      </c>
      <c r="T323" s="200">
        <v>150</v>
      </c>
      <c r="U323" s="200"/>
      <c r="V323" s="200"/>
      <c r="W323" s="274"/>
      <c r="X323" s="274"/>
      <c r="Y323" s="274"/>
    </row>
    <row r="324" spans="12:25" x14ac:dyDescent="0.35">
      <c r="L324" s="200"/>
      <c r="M324" s="200"/>
      <c r="N324" s="200"/>
      <c r="O324" s="200"/>
      <c r="P324" s="200"/>
      <c r="Q324" s="200"/>
      <c r="R324" s="200"/>
      <c r="S324" s="200">
        <v>322</v>
      </c>
      <c r="T324" s="200">
        <v>150</v>
      </c>
      <c r="U324" s="200"/>
      <c r="V324" s="200"/>
      <c r="W324" s="274"/>
      <c r="X324" s="274"/>
      <c r="Y324" s="274"/>
    </row>
    <row r="325" spans="12:25" x14ac:dyDescent="0.35">
      <c r="L325" s="200"/>
      <c r="M325" s="200"/>
      <c r="N325" s="200"/>
      <c r="O325" s="200"/>
      <c r="P325" s="200"/>
      <c r="Q325" s="200"/>
      <c r="R325" s="200"/>
      <c r="S325" s="200">
        <v>323</v>
      </c>
      <c r="T325" s="200">
        <v>150</v>
      </c>
      <c r="U325" s="200"/>
      <c r="V325" s="200"/>
      <c r="W325" s="274"/>
      <c r="X325" s="274"/>
      <c r="Y325" s="274"/>
    </row>
    <row r="326" spans="12:25" x14ac:dyDescent="0.35">
      <c r="L326" s="200"/>
      <c r="M326" s="200"/>
      <c r="N326" s="200"/>
      <c r="O326" s="200"/>
      <c r="P326" s="200"/>
      <c r="Q326" s="200"/>
      <c r="R326" s="200"/>
      <c r="S326" s="200">
        <v>324</v>
      </c>
      <c r="T326" s="200">
        <v>150</v>
      </c>
      <c r="U326" s="200"/>
      <c r="V326" s="200"/>
      <c r="W326" s="274"/>
      <c r="X326" s="274"/>
      <c r="Y326" s="274"/>
    </row>
    <row r="327" spans="12:25" x14ac:dyDescent="0.35">
      <c r="L327" s="200"/>
      <c r="M327" s="200"/>
      <c r="N327" s="200"/>
      <c r="O327" s="200"/>
      <c r="P327" s="200"/>
      <c r="Q327" s="200"/>
      <c r="R327" s="200"/>
      <c r="S327" s="200">
        <v>325</v>
      </c>
      <c r="T327" s="200">
        <v>150</v>
      </c>
      <c r="U327" s="200"/>
      <c r="V327" s="200"/>
      <c r="W327" s="274"/>
      <c r="X327" s="274"/>
      <c r="Y327" s="274"/>
    </row>
    <row r="328" spans="12:25" x14ac:dyDescent="0.35">
      <c r="L328" s="200"/>
      <c r="M328" s="200"/>
      <c r="N328" s="200"/>
      <c r="O328" s="200"/>
      <c r="P328" s="200"/>
      <c r="Q328" s="200"/>
      <c r="R328" s="200"/>
      <c r="S328" s="200">
        <v>326</v>
      </c>
      <c r="T328" s="200">
        <v>150</v>
      </c>
      <c r="U328" s="200"/>
      <c r="V328" s="200"/>
      <c r="W328" s="274"/>
      <c r="X328" s="274"/>
      <c r="Y328" s="274"/>
    </row>
    <row r="329" spans="12:25" x14ac:dyDescent="0.35">
      <c r="L329" s="200"/>
      <c r="M329" s="200"/>
      <c r="N329" s="200"/>
      <c r="O329" s="200"/>
      <c r="P329" s="200"/>
      <c r="Q329" s="200"/>
      <c r="R329" s="200"/>
      <c r="S329" s="200">
        <v>327</v>
      </c>
      <c r="T329" s="200">
        <v>150</v>
      </c>
      <c r="U329" s="200"/>
      <c r="V329" s="200"/>
      <c r="W329" s="274"/>
      <c r="X329" s="274"/>
      <c r="Y329" s="274"/>
    </row>
    <row r="330" spans="12:25" x14ac:dyDescent="0.35">
      <c r="L330" s="200"/>
      <c r="M330" s="200"/>
      <c r="N330" s="200"/>
      <c r="O330" s="200"/>
      <c r="P330" s="200"/>
      <c r="Q330" s="200"/>
      <c r="R330" s="200"/>
      <c r="S330" s="200">
        <v>328</v>
      </c>
      <c r="T330" s="200">
        <v>150</v>
      </c>
      <c r="U330" s="200"/>
      <c r="V330" s="200"/>
      <c r="W330" s="274"/>
      <c r="X330" s="274"/>
      <c r="Y330" s="274"/>
    </row>
    <row r="331" spans="12:25" x14ac:dyDescent="0.35">
      <c r="L331" s="200"/>
      <c r="M331" s="200"/>
      <c r="N331" s="200"/>
      <c r="O331" s="200"/>
      <c r="P331" s="200"/>
      <c r="Q331" s="200"/>
      <c r="R331" s="200"/>
      <c r="S331" s="200">
        <v>329</v>
      </c>
      <c r="T331" s="200">
        <v>150</v>
      </c>
      <c r="U331" s="200"/>
      <c r="V331" s="200"/>
      <c r="W331" s="274"/>
      <c r="X331" s="274"/>
      <c r="Y331" s="274"/>
    </row>
    <row r="332" spans="12:25" x14ac:dyDescent="0.35">
      <c r="L332" s="200"/>
      <c r="M332" s="200"/>
      <c r="N332" s="200"/>
      <c r="O332" s="200"/>
      <c r="P332" s="200"/>
      <c r="Q332" s="200"/>
      <c r="R332" s="200"/>
      <c r="S332" s="200">
        <v>330</v>
      </c>
      <c r="T332" s="200">
        <v>150</v>
      </c>
      <c r="U332" s="200"/>
      <c r="V332" s="200"/>
      <c r="W332" s="274"/>
      <c r="X332" s="274"/>
      <c r="Y332" s="274"/>
    </row>
    <row r="333" spans="12:25" x14ac:dyDescent="0.35">
      <c r="L333" s="200"/>
      <c r="M333" s="200"/>
      <c r="N333" s="200"/>
      <c r="O333" s="200"/>
      <c r="P333" s="200"/>
      <c r="Q333" s="200"/>
      <c r="R333" s="200"/>
      <c r="S333" s="200">
        <v>331</v>
      </c>
      <c r="T333" s="200">
        <v>150</v>
      </c>
      <c r="U333" s="200"/>
      <c r="V333" s="200"/>
      <c r="W333" s="274"/>
      <c r="X333" s="274"/>
      <c r="Y333" s="274"/>
    </row>
    <row r="334" spans="12:25" x14ac:dyDescent="0.35">
      <c r="L334" s="200"/>
      <c r="M334" s="200"/>
      <c r="N334" s="200"/>
      <c r="O334" s="200"/>
      <c r="P334" s="200"/>
      <c r="Q334" s="200"/>
      <c r="R334" s="200"/>
      <c r="S334" s="200">
        <v>332</v>
      </c>
      <c r="T334" s="200">
        <v>150</v>
      </c>
      <c r="U334" s="200"/>
      <c r="V334" s="200"/>
      <c r="W334" s="274"/>
      <c r="X334" s="274"/>
      <c r="Y334" s="274"/>
    </row>
    <row r="335" spans="12:25" x14ac:dyDescent="0.35">
      <c r="L335" s="200"/>
      <c r="M335" s="200"/>
      <c r="N335" s="200"/>
      <c r="O335" s="200"/>
      <c r="P335" s="200"/>
      <c r="Q335" s="200"/>
      <c r="R335" s="200"/>
      <c r="S335" s="200">
        <v>333</v>
      </c>
      <c r="T335" s="200">
        <v>150</v>
      </c>
      <c r="U335" s="200"/>
      <c r="V335" s="200"/>
      <c r="W335" s="274"/>
      <c r="X335" s="274"/>
      <c r="Y335" s="274"/>
    </row>
    <row r="336" spans="12:25" x14ac:dyDescent="0.35">
      <c r="L336" s="200"/>
      <c r="M336" s="200"/>
      <c r="N336" s="200"/>
      <c r="O336" s="200"/>
      <c r="P336" s="200"/>
      <c r="Q336" s="200"/>
      <c r="R336" s="200"/>
      <c r="S336" s="200">
        <v>334</v>
      </c>
      <c r="T336" s="200">
        <v>150</v>
      </c>
      <c r="U336" s="200"/>
      <c r="V336" s="200"/>
      <c r="W336" s="274"/>
      <c r="X336" s="274"/>
      <c r="Y336" s="274"/>
    </row>
    <row r="337" spans="12:25" x14ac:dyDescent="0.35">
      <c r="L337" s="200"/>
      <c r="M337" s="200"/>
      <c r="N337" s="200"/>
      <c r="O337" s="200"/>
      <c r="P337" s="200"/>
      <c r="Q337" s="200"/>
      <c r="R337" s="200"/>
      <c r="S337" s="200">
        <v>335</v>
      </c>
      <c r="T337" s="200">
        <v>150</v>
      </c>
      <c r="U337" s="200"/>
      <c r="V337" s="200"/>
      <c r="W337" s="274"/>
      <c r="X337" s="274"/>
      <c r="Y337" s="274"/>
    </row>
    <row r="338" spans="12:25" x14ac:dyDescent="0.35">
      <c r="L338" s="200"/>
      <c r="M338" s="200"/>
      <c r="N338" s="200"/>
      <c r="O338" s="200"/>
      <c r="P338" s="200"/>
      <c r="Q338" s="200"/>
      <c r="R338" s="200"/>
      <c r="S338" s="200">
        <v>336</v>
      </c>
      <c r="T338" s="200">
        <v>150</v>
      </c>
      <c r="U338" s="200"/>
      <c r="V338" s="200"/>
      <c r="W338" s="274"/>
      <c r="X338" s="274"/>
      <c r="Y338" s="274"/>
    </row>
    <row r="339" spans="12:25" x14ac:dyDescent="0.35">
      <c r="L339" s="200"/>
      <c r="M339" s="200"/>
      <c r="N339" s="200"/>
      <c r="O339" s="200"/>
      <c r="P339" s="200"/>
      <c r="Q339" s="200"/>
      <c r="R339" s="200"/>
      <c r="S339" s="200">
        <v>337</v>
      </c>
      <c r="T339" s="200">
        <v>150</v>
      </c>
      <c r="U339" s="200"/>
      <c r="V339" s="200"/>
      <c r="W339" s="274"/>
      <c r="X339" s="274"/>
      <c r="Y339" s="274"/>
    </row>
    <row r="340" spans="12:25" x14ac:dyDescent="0.35">
      <c r="L340" s="200"/>
      <c r="M340" s="200"/>
      <c r="N340" s="200"/>
      <c r="O340" s="200"/>
      <c r="P340" s="200"/>
      <c r="Q340" s="200"/>
      <c r="R340" s="200"/>
      <c r="S340" s="200">
        <v>338</v>
      </c>
      <c r="T340" s="200">
        <v>150</v>
      </c>
      <c r="U340" s="200"/>
      <c r="V340" s="200"/>
      <c r="W340" s="274"/>
      <c r="X340" s="274"/>
      <c r="Y340" s="274"/>
    </row>
    <row r="341" spans="12:25" x14ac:dyDescent="0.35">
      <c r="L341" s="200"/>
      <c r="M341" s="200"/>
      <c r="N341" s="200"/>
      <c r="O341" s="200"/>
      <c r="P341" s="200"/>
      <c r="Q341" s="200"/>
      <c r="R341" s="200"/>
      <c r="S341" s="200">
        <v>339</v>
      </c>
      <c r="T341" s="200">
        <v>150</v>
      </c>
      <c r="U341" s="200"/>
      <c r="V341" s="200"/>
      <c r="W341" s="274"/>
      <c r="X341" s="274"/>
      <c r="Y341" s="274"/>
    </row>
    <row r="342" spans="12:25" x14ac:dyDescent="0.35">
      <c r="L342" s="200"/>
      <c r="M342" s="200"/>
      <c r="N342" s="200"/>
      <c r="O342" s="200"/>
      <c r="P342" s="200"/>
      <c r="Q342" s="200"/>
      <c r="R342" s="200"/>
      <c r="S342" s="200">
        <v>340</v>
      </c>
      <c r="T342" s="200">
        <v>150</v>
      </c>
      <c r="U342" s="200"/>
      <c r="V342" s="200"/>
      <c r="W342" s="274"/>
      <c r="X342" s="274"/>
      <c r="Y342" s="274"/>
    </row>
    <row r="343" spans="12:25" x14ac:dyDescent="0.35">
      <c r="L343" s="200"/>
      <c r="M343" s="200"/>
      <c r="N343" s="200"/>
      <c r="O343" s="200"/>
      <c r="P343" s="200"/>
      <c r="Q343" s="200"/>
      <c r="R343" s="200"/>
      <c r="S343" s="200">
        <v>341</v>
      </c>
      <c r="T343" s="200">
        <v>150</v>
      </c>
      <c r="U343" s="200"/>
      <c r="V343" s="200"/>
      <c r="W343" s="274"/>
      <c r="X343" s="274"/>
      <c r="Y343" s="274"/>
    </row>
    <row r="344" spans="12:25" x14ac:dyDescent="0.35">
      <c r="L344" s="200"/>
      <c r="M344" s="200"/>
      <c r="N344" s="200"/>
      <c r="O344" s="200"/>
      <c r="P344" s="200"/>
      <c r="Q344" s="200"/>
      <c r="R344" s="200"/>
      <c r="S344" s="200">
        <v>342</v>
      </c>
      <c r="T344" s="200">
        <v>150</v>
      </c>
      <c r="U344" s="200"/>
      <c r="V344" s="200"/>
      <c r="W344" s="274"/>
      <c r="X344" s="274"/>
      <c r="Y344" s="274"/>
    </row>
    <row r="345" spans="12:25" x14ac:dyDescent="0.35">
      <c r="L345" s="200"/>
      <c r="M345" s="200"/>
      <c r="N345" s="200"/>
      <c r="O345" s="200"/>
      <c r="P345" s="200"/>
      <c r="Q345" s="200"/>
      <c r="R345" s="200"/>
      <c r="S345" s="200">
        <v>343</v>
      </c>
      <c r="T345" s="200">
        <v>150</v>
      </c>
      <c r="U345" s="200"/>
      <c r="V345" s="200"/>
      <c r="W345" s="274"/>
      <c r="X345" s="274"/>
      <c r="Y345" s="274"/>
    </row>
    <row r="346" spans="12:25" x14ac:dyDescent="0.35">
      <c r="L346" s="200"/>
      <c r="M346" s="200"/>
      <c r="N346" s="200"/>
      <c r="O346" s="200"/>
      <c r="P346" s="200"/>
      <c r="Q346" s="200"/>
      <c r="R346" s="200"/>
      <c r="S346" s="200">
        <v>344</v>
      </c>
      <c r="T346" s="200">
        <v>150</v>
      </c>
      <c r="U346" s="200"/>
      <c r="V346" s="200"/>
      <c r="W346" s="274"/>
      <c r="X346" s="274"/>
      <c r="Y346" s="274"/>
    </row>
    <row r="347" spans="12:25" x14ac:dyDescent="0.35">
      <c r="L347" s="200"/>
      <c r="M347" s="200"/>
      <c r="N347" s="200"/>
      <c r="O347" s="200"/>
      <c r="P347" s="200"/>
      <c r="Q347" s="200"/>
      <c r="R347" s="200"/>
      <c r="S347" s="200">
        <v>345</v>
      </c>
      <c r="T347" s="200">
        <v>150</v>
      </c>
      <c r="U347" s="200"/>
      <c r="V347" s="200"/>
      <c r="W347" s="274"/>
      <c r="X347" s="274"/>
      <c r="Y347" s="274"/>
    </row>
    <row r="348" spans="12:25" x14ac:dyDescent="0.35">
      <c r="L348" s="200"/>
      <c r="M348" s="200"/>
      <c r="N348" s="200"/>
      <c r="O348" s="200"/>
      <c r="P348" s="200"/>
      <c r="Q348" s="200"/>
      <c r="R348" s="200"/>
      <c r="S348" s="200">
        <v>346</v>
      </c>
      <c r="T348" s="200">
        <v>150</v>
      </c>
      <c r="U348" s="200"/>
      <c r="V348" s="200"/>
      <c r="W348" s="274"/>
      <c r="X348" s="274"/>
      <c r="Y348" s="274"/>
    </row>
    <row r="349" spans="12:25" x14ac:dyDescent="0.35">
      <c r="L349" s="200"/>
      <c r="M349" s="200"/>
      <c r="N349" s="200"/>
      <c r="O349" s="200"/>
      <c r="P349" s="200"/>
      <c r="Q349" s="200"/>
      <c r="R349" s="200"/>
      <c r="S349" s="200">
        <v>347</v>
      </c>
      <c r="T349" s="200">
        <v>150</v>
      </c>
      <c r="U349" s="200"/>
      <c r="V349" s="200"/>
      <c r="W349" s="274"/>
      <c r="X349" s="274"/>
      <c r="Y349" s="274"/>
    </row>
    <row r="350" spans="12:25" x14ac:dyDescent="0.35">
      <c r="L350" s="200"/>
      <c r="M350" s="200"/>
      <c r="N350" s="200"/>
      <c r="O350" s="200"/>
      <c r="P350" s="200"/>
      <c r="Q350" s="200"/>
      <c r="R350" s="200"/>
      <c r="S350" s="200">
        <v>348</v>
      </c>
      <c r="T350" s="200">
        <v>150</v>
      </c>
      <c r="U350" s="200"/>
      <c r="V350" s="200"/>
      <c r="W350" s="274"/>
      <c r="X350" s="274"/>
      <c r="Y350" s="274"/>
    </row>
    <row r="351" spans="12:25" x14ac:dyDescent="0.35">
      <c r="L351" s="200"/>
      <c r="M351" s="200"/>
      <c r="N351" s="200"/>
      <c r="O351" s="200"/>
      <c r="P351" s="200"/>
      <c r="Q351" s="200"/>
      <c r="R351" s="200"/>
      <c r="S351" s="200">
        <v>349</v>
      </c>
      <c r="T351" s="200">
        <v>150</v>
      </c>
      <c r="U351" s="200"/>
      <c r="V351" s="200"/>
      <c r="W351" s="274"/>
      <c r="X351" s="274"/>
      <c r="Y351" s="274"/>
    </row>
    <row r="352" spans="12:25" x14ac:dyDescent="0.35">
      <c r="L352" s="200"/>
      <c r="M352" s="200"/>
      <c r="N352" s="200"/>
      <c r="O352" s="200"/>
      <c r="P352" s="200"/>
      <c r="Q352" s="200"/>
      <c r="R352" s="200"/>
      <c r="S352" s="200">
        <v>350</v>
      </c>
      <c r="T352" s="200">
        <v>150</v>
      </c>
      <c r="U352" s="200"/>
      <c r="V352" s="200"/>
      <c r="W352" s="274"/>
      <c r="X352" s="274"/>
      <c r="Y352" s="274"/>
    </row>
    <row r="353" spans="12:25" x14ac:dyDescent="0.35">
      <c r="L353" s="200"/>
      <c r="M353" s="200"/>
      <c r="N353" s="200"/>
      <c r="O353" s="200"/>
      <c r="P353" s="200"/>
      <c r="Q353" s="200"/>
      <c r="R353" s="200"/>
      <c r="S353" s="200">
        <v>351</v>
      </c>
      <c r="T353" s="200">
        <v>150</v>
      </c>
      <c r="U353" s="200"/>
      <c r="V353" s="200"/>
      <c r="W353" s="274"/>
      <c r="X353" s="274"/>
      <c r="Y353" s="274"/>
    </row>
    <row r="354" spans="12:25" x14ac:dyDescent="0.35">
      <c r="L354" s="200"/>
      <c r="M354" s="200"/>
      <c r="N354" s="200"/>
      <c r="O354" s="200"/>
      <c r="P354" s="200"/>
      <c r="Q354" s="200"/>
      <c r="R354" s="200"/>
      <c r="S354" s="200">
        <v>352</v>
      </c>
      <c r="T354" s="200">
        <v>150</v>
      </c>
      <c r="U354" s="200"/>
      <c r="V354" s="200"/>
      <c r="W354" s="274"/>
      <c r="X354" s="274"/>
      <c r="Y354" s="274"/>
    </row>
    <row r="355" spans="12:25" x14ac:dyDescent="0.35">
      <c r="L355" s="200"/>
      <c r="M355" s="200"/>
      <c r="N355" s="200"/>
      <c r="O355" s="200"/>
      <c r="P355" s="200"/>
      <c r="Q355" s="200"/>
      <c r="R355" s="200"/>
      <c r="S355" s="200">
        <v>353</v>
      </c>
      <c r="T355" s="200">
        <v>150</v>
      </c>
      <c r="U355" s="200"/>
      <c r="V355" s="200"/>
      <c r="W355" s="274"/>
      <c r="X355" s="274"/>
      <c r="Y355" s="274"/>
    </row>
    <row r="356" spans="12:25" x14ac:dyDescent="0.35">
      <c r="L356" s="200"/>
      <c r="M356" s="200"/>
      <c r="N356" s="200"/>
      <c r="O356" s="200"/>
      <c r="P356" s="200"/>
      <c r="Q356" s="200"/>
      <c r="R356" s="200"/>
      <c r="S356" s="200">
        <v>354</v>
      </c>
      <c r="T356" s="200">
        <v>150</v>
      </c>
      <c r="U356" s="200"/>
      <c r="V356" s="200"/>
      <c r="W356" s="274"/>
      <c r="X356" s="274"/>
      <c r="Y356" s="274"/>
    </row>
    <row r="357" spans="12:25" x14ac:dyDescent="0.35">
      <c r="L357" s="200"/>
      <c r="M357" s="200"/>
      <c r="N357" s="200"/>
      <c r="O357" s="200"/>
      <c r="P357" s="200"/>
      <c r="Q357" s="200"/>
      <c r="R357" s="200"/>
      <c r="S357" s="200">
        <v>355</v>
      </c>
      <c r="T357" s="200">
        <v>150</v>
      </c>
      <c r="U357" s="200"/>
      <c r="V357" s="200"/>
      <c r="W357" s="274"/>
      <c r="X357" s="274"/>
      <c r="Y357" s="274"/>
    </row>
    <row r="358" spans="12:25" x14ac:dyDescent="0.35">
      <c r="L358" s="200"/>
      <c r="M358" s="200"/>
      <c r="N358" s="200"/>
      <c r="O358" s="200"/>
      <c r="P358" s="200"/>
      <c r="Q358" s="200"/>
      <c r="R358" s="200"/>
      <c r="S358" s="200">
        <v>356</v>
      </c>
      <c r="T358" s="200">
        <v>150</v>
      </c>
      <c r="U358" s="200"/>
      <c r="V358" s="200"/>
      <c r="W358" s="274"/>
      <c r="X358" s="274"/>
      <c r="Y358" s="274"/>
    </row>
    <row r="359" spans="12:25" x14ac:dyDescent="0.35">
      <c r="L359" s="200"/>
      <c r="M359" s="200"/>
      <c r="N359" s="200"/>
      <c r="O359" s="200"/>
      <c r="P359" s="200"/>
      <c r="Q359" s="200"/>
      <c r="R359" s="200"/>
      <c r="S359" s="200">
        <v>357</v>
      </c>
      <c r="T359" s="200">
        <v>150</v>
      </c>
      <c r="U359" s="200"/>
      <c r="V359" s="200"/>
      <c r="W359" s="274"/>
      <c r="X359" s="274"/>
      <c r="Y359" s="274"/>
    </row>
    <row r="360" spans="12:25" x14ac:dyDescent="0.35">
      <c r="L360" s="200"/>
      <c r="M360" s="200"/>
      <c r="N360" s="200"/>
      <c r="O360" s="200"/>
      <c r="P360" s="200"/>
      <c r="Q360" s="200"/>
      <c r="R360" s="200"/>
      <c r="S360" s="200">
        <v>358</v>
      </c>
      <c r="T360" s="200">
        <v>150</v>
      </c>
      <c r="U360" s="200"/>
      <c r="V360" s="200"/>
      <c r="W360" s="274"/>
      <c r="X360" s="274"/>
      <c r="Y360" s="274"/>
    </row>
    <row r="361" spans="12:25" x14ac:dyDescent="0.35">
      <c r="L361" s="200"/>
      <c r="M361" s="200"/>
      <c r="N361" s="200"/>
      <c r="O361" s="200"/>
      <c r="P361" s="200"/>
      <c r="Q361" s="200"/>
      <c r="R361" s="200"/>
      <c r="S361" s="200">
        <v>359</v>
      </c>
      <c r="T361" s="200">
        <v>150</v>
      </c>
      <c r="U361" s="200"/>
      <c r="V361" s="200"/>
      <c r="W361" s="274"/>
      <c r="X361" s="274"/>
      <c r="Y361" s="274"/>
    </row>
    <row r="362" spans="12:25" x14ac:dyDescent="0.35">
      <c r="L362" s="200"/>
      <c r="M362" s="200"/>
      <c r="N362" s="200"/>
      <c r="O362" s="200"/>
      <c r="P362" s="200"/>
      <c r="Q362" s="200"/>
      <c r="R362" s="200"/>
      <c r="S362" s="200">
        <v>360</v>
      </c>
      <c r="T362" s="200">
        <v>150</v>
      </c>
      <c r="U362" s="200">
        <v>360</v>
      </c>
      <c r="V362" s="200"/>
      <c r="W362" s="274"/>
      <c r="X362" s="274"/>
      <c r="Y362" s="274"/>
    </row>
    <row r="363" spans="12:25" x14ac:dyDescent="0.35">
      <c r="L363" s="200"/>
      <c r="M363" s="200"/>
      <c r="N363" s="200"/>
      <c r="O363" s="200"/>
      <c r="P363" s="200"/>
      <c r="Q363" s="200"/>
      <c r="R363" s="200"/>
      <c r="S363" s="200"/>
      <c r="T363" s="200"/>
      <c r="U363" s="200"/>
      <c r="V363" s="200"/>
      <c r="W363" s="274"/>
      <c r="X363" s="274"/>
      <c r="Y363" s="274"/>
    </row>
    <row r="364" spans="12:25" x14ac:dyDescent="0.35">
      <c r="L364" s="200"/>
      <c r="M364" s="200"/>
      <c r="N364" s="200"/>
      <c r="O364" s="200"/>
      <c r="P364" s="200"/>
      <c r="Q364" s="200"/>
      <c r="R364" s="200"/>
      <c r="S364" s="200"/>
      <c r="T364" s="200"/>
      <c r="U364" s="200"/>
      <c r="V364" s="200"/>
      <c r="W364" s="274"/>
      <c r="X364" s="274"/>
      <c r="Y364" s="274"/>
    </row>
    <row r="365" spans="12:25" x14ac:dyDescent="0.35">
      <c r="L365" s="200"/>
      <c r="M365" s="200"/>
      <c r="N365" s="200"/>
      <c r="O365" s="200"/>
      <c r="P365" s="200"/>
      <c r="Q365" s="200"/>
      <c r="R365" s="200"/>
      <c r="S365" s="200"/>
      <c r="T365" s="200"/>
      <c r="U365" s="200"/>
      <c r="V365" s="200"/>
      <c r="W365" s="274"/>
      <c r="X365" s="274"/>
      <c r="Y365" s="274"/>
    </row>
    <row r="366" spans="12:25" x14ac:dyDescent="0.35">
      <c r="L366" s="200"/>
      <c r="M366" s="200"/>
      <c r="N366" s="200"/>
      <c r="O366" s="200"/>
      <c r="P366" s="200"/>
      <c r="Q366" s="200"/>
      <c r="R366" s="200"/>
      <c r="S366" s="200"/>
      <c r="T366" s="200"/>
      <c r="U366" s="200"/>
      <c r="V366" s="200"/>
      <c r="W366" s="274"/>
      <c r="X366" s="274"/>
      <c r="Y366" s="274"/>
    </row>
    <row r="367" spans="12:25" x14ac:dyDescent="0.35">
      <c r="L367" s="200"/>
      <c r="M367" s="200"/>
      <c r="N367" s="200"/>
      <c r="O367" s="200"/>
      <c r="P367" s="200"/>
      <c r="Q367" s="200"/>
      <c r="R367" s="200"/>
      <c r="S367" s="200"/>
      <c r="T367" s="200"/>
      <c r="U367" s="200"/>
      <c r="V367" s="200"/>
      <c r="W367" s="274"/>
      <c r="X367" s="274"/>
      <c r="Y367" s="274"/>
    </row>
    <row r="368" spans="12:25" x14ac:dyDescent="0.35">
      <c r="L368" s="200"/>
      <c r="M368" s="200"/>
      <c r="N368" s="200"/>
      <c r="O368" s="200"/>
      <c r="P368" s="200"/>
      <c r="Q368" s="200"/>
      <c r="R368" s="200"/>
      <c r="S368" s="200"/>
      <c r="T368" s="200"/>
      <c r="U368" s="200"/>
      <c r="V368" s="200"/>
      <c r="W368" s="274"/>
      <c r="X368" s="274"/>
      <c r="Y368" s="274"/>
    </row>
    <row r="369" spans="12:25" x14ac:dyDescent="0.35">
      <c r="L369" s="200"/>
      <c r="M369" s="200"/>
      <c r="N369" s="200"/>
      <c r="O369" s="200"/>
      <c r="P369" s="200"/>
      <c r="Q369" s="200"/>
      <c r="R369" s="200"/>
      <c r="S369" s="200"/>
      <c r="T369" s="200"/>
      <c r="U369" s="200"/>
      <c r="V369" s="200"/>
      <c r="W369" s="274"/>
      <c r="X369" s="274"/>
      <c r="Y369" s="274"/>
    </row>
    <row r="370" spans="12:25" x14ac:dyDescent="0.35">
      <c r="L370" s="200"/>
      <c r="M370" s="200"/>
      <c r="N370" s="200"/>
      <c r="O370" s="200"/>
      <c r="P370" s="200"/>
      <c r="Q370" s="200"/>
      <c r="R370" s="200"/>
      <c r="S370" s="200"/>
      <c r="T370" s="200"/>
      <c r="U370" s="200"/>
      <c r="V370" s="200"/>
      <c r="W370" s="274"/>
      <c r="X370" s="274"/>
      <c r="Y370" s="274"/>
    </row>
    <row r="371" spans="12:25" x14ac:dyDescent="0.35">
      <c r="L371" s="200"/>
      <c r="M371" s="200"/>
      <c r="N371" s="200"/>
      <c r="O371" s="200"/>
      <c r="P371" s="200"/>
      <c r="Q371" s="200"/>
      <c r="R371" s="200"/>
      <c r="S371" s="200"/>
      <c r="T371" s="200"/>
      <c r="U371" s="200"/>
      <c r="V371" s="200"/>
      <c r="W371" s="274"/>
      <c r="X371" s="274"/>
      <c r="Y371" s="274"/>
    </row>
    <row r="372" spans="12:25" x14ac:dyDescent="0.35">
      <c r="L372" s="200"/>
      <c r="M372" s="200"/>
      <c r="N372" s="200"/>
      <c r="O372" s="200"/>
      <c r="P372" s="200"/>
      <c r="Q372" s="200"/>
      <c r="R372" s="200"/>
      <c r="S372" s="200"/>
      <c r="T372" s="200"/>
      <c r="U372" s="200"/>
      <c r="V372" s="200"/>
      <c r="W372" s="274"/>
      <c r="X372" s="274"/>
      <c r="Y372" s="274"/>
    </row>
    <row r="373" spans="12:25" x14ac:dyDescent="0.35">
      <c r="L373" s="200"/>
      <c r="M373" s="200"/>
      <c r="N373" s="200"/>
      <c r="O373" s="200"/>
      <c r="P373" s="200"/>
      <c r="Q373" s="200"/>
      <c r="R373" s="200"/>
      <c r="S373" s="200"/>
      <c r="T373" s="200"/>
      <c r="U373" s="200"/>
      <c r="V373" s="200"/>
      <c r="W373" s="274"/>
      <c r="X373" s="274"/>
      <c r="Y373" s="274"/>
    </row>
    <row r="374" spans="12:25" x14ac:dyDescent="0.35">
      <c r="L374" s="200"/>
      <c r="M374" s="200"/>
      <c r="N374" s="200"/>
      <c r="O374" s="200"/>
      <c r="P374" s="200"/>
      <c r="Q374" s="200"/>
      <c r="R374" s="200"/>
      <c r="S374" s="200"/>
      <c r="T374" s="200"/>
      <c r="U374" s="200"/>
      <c r="V374" s="200"/>
      <c r="W374" s="274"/>
      <c r="X374" s="274"/>
      <c r="Y374" s="274"/>
    </row>
    <row r="375" spans="12:25" x14ac:dyDescent="0.35">
      <c r="L375" s="200"/>
      <c r="M375" s="200"/>
      <c r="N375" s="200"/>
      <c r="O375" s="200"/>
      <c r="P375" s="200"/>
      <c r="Q375" s="200"/>
      <c r="R375" s="200"/>
      <c r="S375" s="200"/>
      <c r="T375" s="200"/>
      <c r="U375" s="200"/>
      <c r="V375" s="200"/>
      <c r="W375" s="274"/>
      <c r="X375" s="274"/>
      <c r="Y375" s="274"/>
    </row>
    <row r="376" spans="12:25" x14ac:dyDescent="0.35">
      <c r="L376" s="200"/>
      <c r="M376" s="200"/>
      <c r="N376" s="200"/>
      <c r="O376" s="200"/>
      <c r="P376" s="200"/>
      <c r="Q376" s="200"/>
      <c r="R376" s="200"/>
      <c r="S376" s="200"/>
      <c r="T376" s="200"/>
      <c r="U376" s="200"/>
      <c r="V376" s="200"/>
      <c r="W376" s="274"/>
      <c r="X376" s="274"/>
      <c r="Y376" s="274"/>
    </row>
    <row r="377" spans="12:25" x14ac:dyDescent="0.35">
      <c r="L377" s="200"/>
      <c r="M377" s="200"/>
      <c r="N377" s="200"/>
      <c r="O377" s="200"/>
      <c r="P377" s="200"/>
      <c r="Q377" s="200"/>
      <c r="R377" s="200"/>
      <c r="S377" s="200"/>
      <c r="T377" s="200"/>
      <c r="U377" s="200"/>
      <c r="V377" s="200"/>
      <c r="W377" s="274"/>
      <c r="X377" s="274"/>
      <c r="Y377" s="274"/>
    </row>
    <row r="378" spans="12:25" x14ac:dyDescent="0.35">
      <c r="L378" s="200"/>
      <c r="M378" s="200"/>
      <c r="N378" s="200"/>
      <c r="O378" s="200"/>
      <c r="P378" s="200"/>
      <c r="Q378" s="200"/>
      <c r="R378" s="200"/>
      <c r="S378" s="200"/>
      <c r="T378" s="200"/>
      <c r="U378" s="200"/>
      <c r="V378" s="200"/>
      <c r="W378" s="274"/>
      <c r="X378" s="274"/>
      <c r="Y378" s="274"/>
    </row>
    <row r="379" spans="12:25" x14ac:dyDescent="0.35">
      <c r="L379" s="200"/>
      <c r="M379" s="200"/>
      <c r="N379" s="200"/>
      <c r="O379" s="200"/>
      <c r="P379" s="200"/>
      <c r="Q379" s="200"/>
      <c r="R379" s="200"/>
      <c r="S379" s="200"/>
      <c r="T379" s="200"/>
      <c r="U379" s="200"/>
      <c r="V379" s="200"/>
      <c r="W379" s="274"/>
      <c r="X379" s="274"/>
      <c r="Y379" s="274"/>
    </row>
    <row r="380" spans="12:25" x14ac:dyDescent="0.35">
      <c r="L380" s="200"/>
      <c r="M380" s="200"/>
      <c r="N380" s="200"/>
      <c r="O380" s="200"/>
      <c r="P380" s="200"/>
      <c r="Q380" s="200"/>
      <c r="R380" s="200"/>
      <c r="S380" s="200"/>
      <c r="T380" s="200"/>
      <c r="U380" s="200"/>
      <c r="V380" s="200"/>
      <c r="W380" s="274"/>
      <c r="X380" s="274"/>
      <c r="Y380" s="274"/>
    </row>
    <row r="381" spans="12:25" x14ac:dyDescent="0.35">
      <c r="L381" s="200"/>
      <c r="M381" s="200"/>
      <c r="N381" s="200"/>
      <c r="O381" s="200"/>
      <c r="P381" s="200"/>
      <c r="Q381" s="200"/>
      <c r="R381" s="200"/>
      <c r="S381" s="200"/>
      <c r="T381" s="200"/>
      <c r="U381" s="200"/>
      <c r="V381" s="200"/>
      <c r="W381" s="274"/>
      <c r="X381" s="274"/>
      <c r="Y381" s="274"/>
    </row>
    <row r="382" spans="12:25" x14ac:dyDescent="0.35">
      <c r="L382" s="200"/>
      <c r="M382" s="200"/>
      <c r="N382" s="200"/>
      <c r="O382" s="200"/>
      <c r="P382" s="200"/>
      <c r="Q382" s="200"/>
      <c r="R382" s="200"/>
      <c r="S382" s="200"/>
      <c r="T382" s="200"/>
      <c r="U382" s="200"/>
      <c r="V382" s="200"/>
      <c r="W382" s="274"/>
      <c r="X382" s="274"/>
      <c r="Y382" s="274"/>
    </row>
    <row r="383" spans="12:25" x14ac:dyDescent="0.35">
      <c r="L383" s="200"/>
      <c r="M383" s="200"/>
      <c r="N383" s="200"/>
      <c r="O383" s="200"/>
      <c r="P383" s="200"/>
      <c r="Q383" s="200"/>
      <c r="R383" s="200"/>
      <c r="S383" s="200"/>
      <c r="T383" s="200"/>
      <c r="U383" s="200"/>
      <c r="V383" s="200"/>
      <c r="W383" s="274"/>
      <c r="X383" s="274"/>
      <c r="Y383" s="274"/>
    </row>
    <row r="384" spans="12:25" x14ac:dyDescent="0.35">
      <c r="L384" s="200"/>
      <c r="M384" s="200"/>
      <c r="N384" s="200"/>
      <c r="O384" s="200"/>
      <c r="P384" s="200"/>
      <c r="Q384" s="200"/>
      <c r="R384" s="200"/>
      <c r="S384" s="200"/>
      <c r="T384" s="200"/>
      <c r="U384" s="200"/>
      <c r="V384" s="200"/>
      <c r="W384" s="274"/>
      <c r="X384" s="274"/>
      <c r="Y384" s="274"/>
    </row>
    <row r="385" spans="12:25" x14ac:dyDescent="0.35">
      <c r="L385" s="200"/>
      <c r="M385" s="200"/>
      <c r="N385" s="200"/>
      <c r="O385" s="200"/>
      <c r="P385" s="200"/>
      <c r="Q385" s="200"/>
      <c r="R385" s="200"/>
      <c r="S385" s="200"/>
      <c r="T385" s="200"/>
      <c r="U385" s="200"/>
      <c r="V385" s="200"/>
      <c r="W385" s="274"/>
      <c r="X385" s="274"/>
      <c r="Y385" s="274"/>
    </row>
    <row r="386" spans="12:25" x14ac:dyDescent="0.35">
      <c r="L386" s="200"/>
      <c r="M386" s="200"/>
      <c r="N386" s="200"/>
      <c r="O386" s="200"/>
      <c r="P386" s="200"/>
      <c r="Q386" s="200"/>
      <c r="R386" s="200"/>
      <c r="S386" s="200"/>
      <c r="T386" s="200"/>
      <c r="U386" s="200"/>
      <c r="V386" s="200"/>
      <c r="W386" s="274"/>
      <c r="X386" s="274"/>
      <c r="Y386" s="274"/>
    </row>
    <row r="387" spans="12:25" x14ac:dyDescent="0.35">
      <c r="L387" s="200"/>
      <c r="M387" s="200"/>
      <c r="N387" s="200"/>
      <c r="O387" s="200"/>
      <c r="P387" s="200"/>
      <c r="Q387" s="200"/>
      <c r="R387" s="200"/>
      <c r="S387" s="200"/>
      <c r="T387" s="200"/>
      <c r="U387" s="200"/>
      <c r="V387" s="200"/>
      <c r="W387" s="274"/>
      <c r="X387" s="274"/>
      <c r="Y387" s="274"/>
    </row>
    <row r="388" spans="12:25" x14ac:dyDescent="0.35">
      <c r="L388" s="200"/>
      <c r="M388" s="200"/>
      <c r="N388" s="200"/>
      <c r="O388" s="200"/>
      <c r="P388" s="200"/>
      <c r="Q388" s="200"/>
      <c r="R388" s="200"/>
      <c r="S388" s="200"/>
      <c r="T388" s="200"/>
      <c r="U388" s="200"/>
      <c r="V388" s="200"/>
      <c r="W388" s="274"/>
      <c r="X388" s="274"/>
      <c r="Y388" s="274"/>
    </row>
    <row r="389" spans="12:25" x14ac:dyDescent="0.35">
      <c r="L389" s="200"/>
      <c r="M389" s="200"/>
      <c r="N389" s="200"/>
      <c r="O389" s="200"/>
      <c r="P389" s="200"/>
      <c r="Q389" s="200"/>
      <c r="R389" s="200"/>
      <c r="S389" s="200"/>
      <c r="T389" s="200"/>
      <c r="U389" s="200"/>
      <c r="V389" s="200"/>
      <c r="W389" s="274"/>
      <c r="X389" s="274"/>
      <c r="Y389" s="274"/>
    </row>
    <row r="390" spans="12:25" x14ac:dyDescent="0.35">
      <c r="L390" s="274"/>
      <c r="M390" s="274"/>
      <c r="N390" s="274"/>
      <c r="O390" s="274"/>
      <c r="P390" s="274"/>
      <c r="Q390" s="274"/>
      <c r="R390" s="274"/>
      <c r="S390" s="274"/>
      <c r="T390" s="274"/>
      <c r="U390" s="274"/>
      <c r="V390" s="274"/>
      <c r="W390" s="274"/>
      <c r="X390" s="274"/>
      <c r="Y390" s="274"/>
    </row>
    <row r="391" spans="12:25" x14ac:dyDescent="0.35">
      <c r="L391" s="274"/>
      <c r="M391" s="274"/>
      <c r="N391" s="274"/>
      <c r="O391" s="274"/>
      <c r="P391" s="274"/>
      <c r="Q391" s="274"/>
      <c r="R391" s="274"/>
      <c r="S391" s="274"/>
      <c r="T391" s="274"/>
      <c r="U391" s="274"/>
      <c r="V391" s="274"/>
      <c r="W391" s="274"/>
      <c r="X391" s="274"/>
      <c r="Y391" s="274"/>
    </row>
    <row r="392" spans="12:25" x14ac:dyDescent="0.35">
      <c r="L392" s="274"/>
      <c r="M392" s="274"/>
      <c r="N392" s="274"/>
      <c r="O392" s="274"/>
      <c r="P392" s="274"/>
      <c r="Q392" s="274"/>
      <c r="R392" s="274"/>
      <c r="S392" s="274"/>
      <c r="T392" s="274"/>
      <c r="U392" s="274"/>
      <c r="V392" s="274"/>
      <c r="W392" s="274"/>
      <c r="X392" s="274"/>
      <c r="Y392" s="274"/>
    </row>
    <row r="393" spans="12:25" x14ac:dyDescent="0.35">
      <c r="L393" s="274"/>
      <c r="M393" s="274"/>
      <c r="N393" s="274"/>
      <c r="O393" s="274"/>
      <c r="P393" s="274"/>
      <c r="Q393" s="274"/>
      <c r="R393" s="274"/>
      <c r="S393" s="274"/>
      <c r="T393" s="274"/>
      <c r="U393" s="274"/>
      <c r="V393" s="274"/>
      <c r="W393" s="274"/>
      <c r="X393" s="274"/>
      <c r="Y393" s="274"/>
    </row>
    <row r="394" spans="12:25" x14ac:dyDescent="0.35">
      <c r="L394" s="274"/>
      <c r="M394" s="274"/>
      <c r="N394" s="274"/>
      <c r="O394" s="274"/>
      <c r="P394" s="274"/>
      <c r="Q394" s="274"/>
      <c r="R394" s="274"/>
      <c r="S394" s="274"/>
      <c r="T394" s="274"/>
      <c r="U394" s="274"/>
      <c r="V394" s="274"/>
      <c r="W394" s="274"/>
      <c r="X394" s="274"/>
      <c r="Y394" s="274"/>
    </row>
    <row r="395" spans="12:25" x14ac:dyDescent="0.35">
      <c r="L395" s="274"/>
      <c r="M395" s="274"/>
      <c r="N395" s="274"/>
      <c r="O395" s="274"/>
      <c r="P395" s="274"/>
      <c r="Q395" s="274"/>
      <c r="R395" s="274"/>
      <c r="S395" s="274"/>
      <c r="T395" s="274"/>
      <c r="U395" s="274"/>
      <c r="V395" s="274"/>
      <c r="W395" s="274"/>
      <c r="X395" s="274"/>
      <c r="Y395" s="274"/>
    </row>
    <row r="396" spans="12:25" x14ac:dyDescent="0.35">
      <c r="L396" s="274"/>
      <c r="M396" s="274"/>
      <c r="N396" s="274"/>
      <c r="O396" s="274"/>
      <c r="P396" s="274"/>
      <c r="Q396" s="274"/>
      <c r="R396" s="274"/>
      <c r="S396" s="274"/>
      <c r="T396" s="274"/>
      <c r="U396" s="274"/>
      <c r="V396" s="274"/>
      <c r="W396" s="274"/>
      <c r="X396" s="274"/>
      <c r="Y396" s="274"/>
    </row>
    <row r="397" spans="12:25" x14ac:dyDescent="0.35">
      <c r="L397" s="274"/>
      <c r="M397" s="274"/>
      <c r="N397" s="274"/>
      <c r="O397" s="274"/>
      <c r="P397" s="274"/>
      <c r="Q397" s="274"/>
      <c r="R397" s="274"/>
      <c r="S397" s="274"/>
      <c r="T397" s="274"/>
      <c r="U397" s="274"/>
      <c r="V397" s="274"/>
      <c r="W397" s="274"/>
      <c r="X397" s="274"/>
      <c r="Y397" s="274"/>
    </row>
    <row r="398" spans="12:25" x14ac:dyDescent="0.35">
      <c r="L398" s="274"/>
      <c r="M398" s="274"/>
      <c r="N398" s="274"/>
      <c r="O398" s="274"/>
      <c r="P398" s="274"/>
      <c r="Q398" s="274"/>
      <c r="R398" s="274"/>
      <c r="S398" s="274"/>
      <c r="T398" s="274"/>
      <c r="U398" s="274"/>
      <c r="V398" s="274"/>
      <c r="W398" s="274"/>
      <c r="X398" s="274"/>
      <c r="Y398" s="274"/>
    </row>
    <row r="399" spans="12:25" x14ac:dyDescent="0.35">
      <c r="L399" s="274"/>
      <c r="M399" s="274"/>
      <c r="N399" s="274"/>
      <c r="O399" s="274"/>
      <c r="P399" s="274"/>
      <c r="Q399" s="274"/>
      <c r="R399" s="274"/>
      <c r="S399" s="274"/>
      <c r="T399" s="274"/>
      <c r="U399" s="274"/>
      <c r="V399" s="274"/>
      <c r="W399" s="274"/>
      <c r="X399" s="274"/>
      <c r="Y399" s="274"/>
    </row>
    <row r="400" spans="12:25" x14ac:dyDescent="0.35">
      <c r="L400" s="274"/>
      <c r="M400" s="274"/>
      <c r="N400" s="274"/>
      <c r="O400" s="274"/>
      <c r="P400" s="274"/>
      <c r="Q400" s="274"/>
      <c r="R400" s="274"/>
      <c r="S400" s="274"/>
      <c r="T400" s="274"/>
      <c r="U400" s="274"/>
      <c r="V400" s="274"/>
      <c r="W400" s="274"/>
      <c r="X400" s="274"/>
      <c r="Y400" s="274"/>
    </row>
    <row r="401" spans="12:25" x14ac:dyDescent="0.35">
      <c r="L401" s="274"/>
      <c r="M401" s="274"/>
      <c r="N401" s="274"/>
      <c r="O401" s="274"/>
      <c r="P401" s="274"/>
      <c r="Q401" s="274"/>
      <c r="R401" s="274"/>
      <c r="S401" s="274"/>
      <c r="T401" s="274"/>
      <c r="U401" s="274"/>
      <c r="V401" s="274"/>
      <c r="W401" s="274"/>
      <c r="X401" s="274"/>
      <c r="Y401" s="274"/>
    </row>
    <row r="402" spans="12:25" x14ac:dyDescent="0.35">
      <c r="L402" s="274"/>
      <c r="M402" s="274"/>
      <c r="N402" s="274"/>
      <c r="O402" s="274"/>
      <c r="P402" s="274"/>
      <c r="Q402" s="274"/>
      <c r="R402" s="274"/>
      <c r="S402" s="274"/>
      <c r="T402" s="274"/>
      <c r="U402" s="274"/>
      <c r="V402" s="274"/>
      <c r="W402" s="274"/>
      <c r="X402" s="274"/>
      <c r="Y402" s="274"/>
    </row>
    <row r="403" spans="12:25" x14ac:dyDescent="0.35">
      <c r="L403" s="274"/>
      <c r="M403" s="274"/>
      <c r="N403" s="274"/>
      <c r="O403" s="274"/>
      <c r="P403" s="274"/>
      <c r="Q403" s="274"/>
      <c r="R403" s="274"/>
      <c r="S403" s="274"/>
      <c r="T403" s="274"/>
      <c r="U403" s="274"/>
      <c r="V403" s="274"/>
      <c r="W403" s="274"/>
      <c r="X403" s="274"/>
      <c r="Y403" s="274"/>
    </row>
    <row r="404" spans="12:25" x14ac:dyDescent="0.35">
      <c r="L404" s="274"/>
      <c r="M404" s="274"/>
      <c r="N404" s="274"/>
      <c r="O404" s="274"/>
      <c r="P404" s="274"/>
      <c r="Q404" s="274"/>
      <c r="R404" s="274"/>
      <c r="S404" s="274"/>
      <c r="T404" s="274"/>
      <c r="U404" s="274"/>
      <c r="V404" s="274"/>
      <c r="W404" s="274"/>
      <c r="X404" s="274"/>
      <c r="Y404" s="274"/>
    </row>
    <row r="405" spans="12:25" x14ac:dyDescent="0.35">
      <c r="L405" s="274"/>
      <c r="M405" s="274"/>
      <c r="N405" s="274"/>
      <c r="O405" s="274"/>
      <c r="P405" s="274"/>
      <c r="Q405" s="274"/>
      <c r="R405" s="274"/>
      <c r="S405" s="274"/>
      <c r="T405" s="274"/>
      <c r="U405" s="274"/>
      <c r="V405" s="274"/>
      <c r="W405" s="274"/>
      <c r="X405" s="274"/>
      <c r="Y405" s="274"/>
    </row>
    <row r="406" spans="12:25" x14ac:dyDescent="0.35">
      <c r="L406" s="274"/>
      <c r="M406" s="274"/>
      <c r="N406" s="274"/>
      <c r="O406" s="274"/>
      <c r="P406" s="274"/>
      <c r="Q406" s="274"/>
      <c r="R406" s="274"/>
      <c r="S406" s="274"/>
      <c r="T406" s="274"/>
      <c r="U406" s="274"/>
      <c r="V406" s="274"/>
      <c r="W406" s="274"/>
      <c r="X406" s="274"/>
      <c r="Y406" s="274"/>
    </row>
    <row r="407" spans="12:25" x14ac:dyDescent="0.35">
      <c r="L407" s="274"/>
      <c r="M407" s="274"/>
      <c r="N407" s="274"/>
      <c r="O407" s="274"/>
      <c r="P407" s="274"/>
      <c r="Q407" s="274"/>
      <c r="R407" s="274"/>
      <c r="S407" s="274"/>
      <c r="T407" s="274"/>
      <c r="U407" s="274"/>
      <c r="V407" s="274"/>
      <c r="W407" s="274"/>
      <c r="X407" s="274"/>
      <c r="Y407" s="274"/>
    </row>
    <row r="408" spans="12:25" x14ac:dyDescent="0.35">
      <c r="L408" s="274"/>
      <c r="M408" s="274"/>
      <c r="N408" s="274"/>
      <c r="O408" s="274"/>
      <c r="P408" s="274"/>
      <c r="Q408" s="274"/>
      <c r="R408" s="274"/>
      <c r="S408" s="274"/>
      <c r="T408" s="274"/>
      <c r="U408" s="274"/>
      <c r="V408" s="274"/>
      <c r="W408" s="274"/>
      <c r="X408" s="274"/>
      <c r="Y408" s="274"/>
    </row>
    <row r="409" spans="12:25" x14ac:dyDescent="0.35">
      <c r="L409" s="274"/>
      <c r="M409" s="274"/>
      <c r="N409" s="274"/>
      <c r="O409" s="274"/>
      <c r="P409" s="274"/>
      <c r="Q409" s="274"/>
      <c r="R409" s="274"/>
      <c r="S409" s="274"/>
      <c r="T409" s="274"/>
      <c r="U409" s="274"/>
      <c r="V409" s="274"/>
      <c r="W409" s="274"/>
      <c r="X409" s="274"/>
      <c r="Y409" s="274"/>
    </row>
    <row r="410" spans="12:25" x14ac:dyDescent="0.35">
      <c r="L410" s="274"/>
      <c r="M410" s="274"/>
      <c r="N410" s="274"/>
      <c r="O410" s="274"/>
      <c r="P410" s="274"/>
      <c r="Q410" s="274"/>
      <c r="R410" s="274"/>
      <c r="S410" s="274"/>
      <c r="T410" s="274"/>
      <c r="U410" s="274"/>
      <c r="V410" s="274"/>
      <c r="W410" s="274"/>
      <c r="X410" s="274"/>
      <c r="Y410" s="274"/>
    </row>
    <row r="411" spans="12:25" x14ac:dyDescent="0.35">
      <c r="L411" s="274"/>
      <c r="M411" s="274"/>
      <c r="N411" s="274"/>
      <c r="O411" s="274"/>
      <c r="P411" s="274"/>
      <c r="Q411" s="274"/>
      <c r="R411" s="274"/>
      <c r="S411" s="274"/>
      <c r="T411" s="274"/>
      <c r="U411" s="274"/>
      <c r="V411" s="274"/>
      <c r="W411" s="274"/>
      <c r="X411" s="274"/>
      <c r="Y411" s="274"/>
    </row>
    <row r="412" spans="12:25" x14ac:dyDescent="0.35">
      <c r="L412" s="274"/>
      <c r="M412" s="274"/>
      <c r="N412" s="274"/>
      <c r="O412" s="274"/>
      <c r="P412" s="274"/>
      <c r="Q412" s="274"/>
      <c r="R412" s="274"/>
      <c r="S412" s="274"/>
      <c r="T412" s="274"/>
      <c r="U412" s="274"/>
      <c r="V412" s="274"/>
      <c r="W412" s="274"/>
      <c r="X412" s="274"/>
      <c r="Y412" s="274"/>
    </row>
    <row r="413" spans="12:25" x14ac:dyDescent="0.35">
      <c r="L413" s="274"/>
      <c r="M413" s="274"/>
      <c r="N413" s="274"/>
      <c r="O413" s="274"/>
      <c r="P413" s="274"/>
      <c r="Q413" s="274"/>
      <c r="R413" s="274"/>
      <c r="S413" s="274"/>
      <c r="T413" s="274"/>
      <c r="U413" s="274"/>
      <c r="V413" s="274"/>
      <c r="W413" s="274"/>
      <c r="X413" s="274"/>
      <c r="Y413" s="274"/>
    </row>
    <row r="414" spans="12:25" x14ac:dyDescent="0.35">
      <c r="L414" s="274"/>
      <c r="M414" s="274"/>
      <c r="N414" s="274"/>
      <c r="O414" s="274"/>
      <c r="P414" s="274"/>
      <c r="Q414" s="274"/>
      <c r="R414" s="274"/>
      <c r="S414" s="274"/>
      <c r="T414" s="274"/>
      <c r="U414" s="274"/>
      <c r="V414" s="274"/>
      <c r="W414" s="274"/>
      <c r="X414" s="274"/>
      <c r="Y414" s="274"/>
    </row>
    <row r="415" spans="12:25" x14ac:dyDescent="0.35">
      <c r="L415" s="274"/>
      <c r="M415" s="274"/>
      <c r="N415" s="274"/>
      <c r="O415" s="274"/>
      <c r="P415" s="274"/>
      <c r="Q415" s="274"/>
      <c r="R415" s="274"/>
      <c r="S415" s="274"/>
      <c r="T415" s="274"/>
      <c r="U415" s="274"/>
      <c r="V415" s="274"/>
      <c r="W415" s="274"/>
      <c r="X415" s="274"/>
      <c r="Y415" s="274"/>
    </row>
    <row r="416" spans="12:25" x14ac:dyDescent="0.35">
      <c r="L416" s="274"/>
      <c r="M416" s="274"/>
      <c r="N416" s="274"/>
      <c r="O416" s="274"/>
      <c r="P416" s="274"/>
      <c r="Q416" s="274"/>
      <c r="R416" s="274"/>
      <c r="S416" s="274"/>
      <c r="T416" s="274"/>
      <c r="U416" s="274"/>
      <c r="V416" s="274"/>
      <c r="W416" s="274"/>
      <c r="X416" s="274"/>
      <c r="Y416" s="274"/>
    </row>
    <row r="417" spans="12:25" x14ac:dyDescent="0.35">
      <c r="L417" s="274"/>
      <c r="M417" s="274"/>
      <c r="N417" s="274"/>
      <c r="O417" s="274"/>
      <c r="P417" s="274"/>
      <c r="Q417" s="274"/>
      <c r="R417" s="274"/>
      <c r="S417" s="274"/>
      <c r="T417" s="274"/>
      <c r="U417" s="274"/>
      <c r="V417" s="274"/>
      <c r="W417" s="274"/>
      <c r="X417" s="274"/>
      <c r="Y417" s="274"/>
    </row>
    <row r="418" spans="12:25" x14ac:dyDescent="0.35">
      <c r="L418" s="274"/>
      <c r="M418" s="274"/>
      <c r="N418" s="274"/>
      <c r="O418" s="274"/>
      <c r="P418" s="274"/>
      <c r="Q418" s="274"/>
      <c r="R418" s="274"/>
      <c r="S418" s="274"/>
      <c r="T418" s="274"/>
      <c r="U418" s="274"/>
      <c r="V418" s="274"/>
      <c r="W418" s="274"/>
      <c r="X418" s="274"/>
      <c r="Y418" s="274"/>
    </row>
    <row r="419" spans="12:25" x14ac:dyDescent="0.35">
      <c r="L419" s="274"/>
      <c r="M419" s="274"/>
      <c r="N419" s="274"/>
      <c r="O419" s="274"/>
      <c r="P419" s="274"/>
      <c r="Q419" s="274"/>
      <c r="R419" s="274"/>
      <c r="S419" s="274"/>
      <c r="T419" s="274"/>
      <c r="U419" s="274"/>
      <c r="V419" s="274"/>
      <c r="W419" s="274"/>
      <c r="X419" s="274"/>
      <c r="Y419" s="274"/>
    </row>
    <row r="420" spans="12:25" x14ac:dyDescent="0.35">
      <c r="L420" s="274"/>
      <c r="M420" s="274"/>
      <c r="N420" s="274"/>
      <c r="O420" s="274"/>
      <c r="P420" s="274"/>
      <c r="Q420" s="274"/>
      <c r="R420" s="274"/>
      <c r="S420" s="274"/>
      <c r="T420" s="274"/>
      <c r="U420" s="274"/>
      <c r="V420" s="274"/>
      <c r="W420" s="274"/>
      <c r="X420" s="274"/>
      <c r="Y420" s="274"/>
    </row>
    <row r="421" spans="12:25" x14ac:dyDescent="0.35">
      <c r="L421" s="274"/>
      <c r="M421" s="274"/>
      <c r="N421" s="274"/>
      <c r="O421" s="274"/>
      <c r="P421" s="274"/>
      <c r="Q421" s="274"/>
      <c r="R421" s="274"/>
      <c r="S421" s="274"/>
      <c r="T421" s="274"/>
      <c r="U421" s="274"/>
      <c r="V421" s="274"/>
      <c r="W421" s="274"/>
      <c r="X421" s="274"/>
      <c r="Y421" s="274"/>
    </row>
    <row r="422" spans="12:25" x14ac:dyDescent="0.35">
      <c r="L422" s="274"/>
      <c r="M422" s="274"/>
      <c r="N422" s="274"/>
      <c r="O422" s="274"/>
      <c r="P422" s="274"/>
      <c r="Q422" s="274"/>
      <c r="R422" s="274"/>
      <c r="S422" s="274"/>
      <c r="T422" s="274"/>
      <c r="U422" s="274"/>
      <c r="V422" s="274"/>
      <c r="W422" s="274"/>
      <c r="X422" s="274"/>
      <c r="Y422" s="274"/>
    </row>
    <row r="423" spans="12:25" x14ac:dyDescent="0.35">
      <c r="L423" s="274"/>
      <c r="M423" s="274"/>
      <c r="N423" s="274"/>
      <c r="O423" s="274"/>
      <c r="P423" s="274"/>
      <c r="Q423" s="274"/>
      <c r="R423" s="274"/>
      <c r="S423" s="274"/>
      <c r="T423" s="274"/>
      <c r="U423" s="274"/>
      <c r="V423" s="274"/>
      <c r="W423" s="274"/>
      <c r="X423" s="274"/>
      <c r="Y423" s="274"/>
    </row>
    <row r="424" spans="12:25" x14ac:dyDescent="0.35">
      <c r="L424" s="274"/>
      <c r="M424" s="274"/>
      <c r="N424" s="274"/>
      <c r="O424" s="274"/>
      <c r="P424" s="274"/>
      <c r="Q424" s="274"/>
      <c r="R424" s="274"/>
      <c r="S424" s="274"/>
      <c r="T424" s="274"/>
      <c r="U424" s="274"/>
      <c r="V424" s="274"/>
      <c r="W424" s="274"/>
      <c r="X424" s="274"/>
      <c r="Y424" s="274"/>
    </row>
    <row r="425" spans="12:25" x14ac:dyDescent="0.35">
      <c r="L425" s="274"/>
      <c r="M425" s="274"/>
      <c r="N425" s="274"/>
      <c r="O425" s="274"/>
      <c r="P425" s="274"/>
      <c r="Q425" s="274"/>
      <c r="R425" s="274"/>
      <c r="S425" s="274"/>
      <c r="T425" s="274"/>
      <c r="U425" s="274"/>
      <c r="V425" s="274"/>
      <c r="W425" s="274"/>
      <c r="X425" s="274"/>
      <c r="Y425" s="274"/>
    </row>
    <row r="426" spans="12:25" x14ac:dyDescent="0.35">
      <c r="L426" s="274"/>
      <c r="M426" s="274"/>
      <c r="N426" s="274"/>
      <c r="O426" s="274"/>
      <c r="P426" s="274"/>
      <c r="Q426" s="274"/>
      <c r="R426" s="274"/>
      <c r="S426" s="274"/>
      <c r="T426" s="274"/>
      <c r="U426" s="274"/>
      <c r="V426" s="274"/>
      <c r="W426" s="274"/>
      <c r="X426" s="274"/>
      <c r="Y426" s="274"/>
    </row>
    <row r="427" spans="12:25" x14ac:dyDescent="0.35">
      <c r="L427" s="274"/>
      <c r="M427" s="274"/>
      <c r="N427" s="274"/>
      <c r="O427" s="274"/>
      <c r="P427" s="274"/>
      <c r="Q427" s="274"/>
      <c r="R427" s="274"/>
      <c r="S427" s="274"/>
      <c r="T427" s="274"/>
      <c r="U427" s="274"/>
      <c r="V427" s="274"/>
      <c r="W427" s="274"/>
      <c r="X427" s="274"/>
      <c r="Y427" s="274"/>
    </row>
    <row r="428" spans="12:25" x14ac:dyDescent="0.35">
      <c r="L428" s="274"/>
      <c r="M428" s="274"/>
      <c r="N428" s="274"/>
      <c r="O428" s="274"/>
      <c r="P428" s="274"/>
      <c r="Q428" s="274"/>
      <c r="R428" s="274"/>
      <c r="S428" s="274"/>
      <c r="T428" s="274"/>
      <c r="U428" s="274"/>
      <c r="V428" s="274"/>
      <c r="W428" s="274"/>
      <c r="X428" s="274"/>
      <c r="Y428" s="274"/>
    </row>
    <row r="429" spans="12:25" x14ac:dyDescent="0.35">
      <c r="L429" s="274"/>
      <c r="M429" s="274"/>
      <c r="N429" s="274"/>
      <c r="O429" s="274"/>
      <c r="P429" s="274"/>
      <c r="Q429" s="274"/>
      <c r="R429" s="274"/>
      <c r="S429" s="274"/>
      <c r="T429" s="274"/>
      <c r="U429" s="274"/>
      <c r="V429" s="274"/>
      <c r="W429" s="274"/>
      <c r="X429" s="274"/>
      <c r="Y429" s="274"/>
    </row>
    <row r="430" spans="12:25" x14ac:dyDescent="0.35">
      <c r="L430" s="274"/>
      <c r="M430" s="274"/>
      <c r="N430" s="274"/>
      <c r="O430" s="274"/>
      <c r="P430" s="274"/>
      <c r="Q430" s="274"/>
      <c r="R430" s="274"/>
      <c r="S430" s="274"/>
      <c r="T430" s="274"/>
      <c r="U430" s="274"/>
      <c r="V430" s="274"/>
      <c r="W430" s="274"/>
      <c r="X430" s="274"/>
      <c r="Y430" s="274"/>
    </row>
    <row r="431" spans="12:25" x14ac:dyDescent="0.35">
      <c r="L431" s="274"/>
      <c r="M431" s="274"/>
      <c r="N431" s="274"/>
      <c r="O431" s="274"/>
      <c r="P431" s="274"/>
      <c r="Q431" s="274"/>
      <c r="R431" s="274"/>
      <c r="S431" s="274"/>
      <c r="T431" s="274"/>
      <c r="U431" s="274"/>
      <c r="V431" s="274"/>
      <c r="W431" s="274"/>
      <c r="X431" s="274"/>
      <c r="Y431" s="274"/>
    </row>
    <row r="432" spans="12:25" x14ac:dyDescent="0.35">
      <c r="L432" s="274"/>
      <c r="M432" s="274"/>
      <c r="N432" s="274"/>
      <c r="O432" s="274"/>
      <c r="P432" s="274"/>
      <c r="Q432" s="274"/>
      <c r="R432" s="274"/>
      <c r="S432" s="274"/>
      <c r="T432" s="274"/>
      <c r="U432" s="274"/>
      <c r="V432" s="274"/>
      <c r="W432" s="274"/>
      <c r="X432" s="274"/>
      <c r="Y432" s="274"/>
    </row>
    <row r="433" spans="12:25" x14ac:dyDescent="0.35">
      <c r="L433" s="274"/>
      <c r="M433" s="274"/>
      <c r="N433" s="274"/>
      <c r="O433" s="274"/>
      <c r="P433" s="274"/>
      <c r="Q433" s="274"/>
      <c r="R433" s="274"/>
      <c r="S433" s="274"/>
      <c r="T433" s="274"/>
      <c r="U433" s="274"/>
      <c r="V433" s="274"/>
      <c r="W433" s="274"/>
      <c r="X433" s="274"/>
      <c r="Y433" s="274"/>
    </row>
    <row r="434" spans="12:25" x14ac:dyDescent="0.35">
      <c r="L434" s="274"/>
      <c r="M434" s="274"/>
      <c r="N434" s="274"/>
      <c r="O434" s="274"/>
      <c r="P434" s="274"/>
      <c r="Q434" s="274"/>
      <c r="R434" s="274"/>
      <c r="S434" s="274"/>
      <c r="T434" s="274"/>
      <c r="U434" s="274"/>
      <c r="V434" s="274"/>
      <c r="W434" s="274"/>
      <c r="X434" s="274"/>
      <c r="Y434" s="274"/>
    </row>
    <row r="435" spans="12:25" x14ac:dyDescent="0.35">
      <c r="L435" s="274"/>
      <c r="M435" s="274"/>
      <c r="N435" s="274"/>
      <c r="O435" s="274"/>
      <c r="P435" s="274"/>
      <c r="Q435" s="274"/>
      <c r="R435" s="274"/>
      <c r="S435" s="274"/>
      <c r="T435" s="274"/>
      <c r="U435" s="274"/>
      <c r="V435" s="274"/>
      <c r="W435" s="274"/>
      <c r="X435" s="274"/>
      <c r="Y435" s="274"/>
    </row>
    <row r="436" spans="12:25" x14ac:dyDescent="0.35">
      <c r="L436" s="274"/>
      <c r="M436" s="274"/>
      <c r="N436" s="274"/>
      <c r="O436" s="274"/>
      <c r="P436" s="274"/>
      <c r="Q436" s="274"/>
      <c r="R436" s="274"/>
      <c r="S436" s="274"/>
      <c r="T436" s="274"/>
      <c r="U436" s="274"/>
      <c r="V436" s="274"/>
      <c r="W436" s="274"/>
      <c r="X436" s="274"/>
      <c r="Y436" s="274"/>
    </row>
    <row r="437" spans="12:25" x14ac:dyDescent="0.35">
      <c r="L437" s="274"/>
      <c r="M437" s="274"/>
      <c r="N437" s="274"/>
      <c r="O437" s="274"/>
      <c r="P437" s="274"/>
      <c r="Q437" s="274"/>
      <c r="R437" s="274"/>
      <c r="S437" s="274"/>
      <c r="T437" s="274"/>
      <c r="U437" s="274"/>
      <c r="V437" s="274"/>
      <c r="W437" s="274"/>
      <c r="X437" s="274"/>
      <c r="Y437" s="274"/>
    </row>
    <row r="438" spans="12:25" x14ac:dyDescent="0.35">
      <c r="L438" s="274"/>
      <c r="M438" s="274"/>
      <c r="N438" s="274"/>
      <c r="O438" s="274"/>
      <c r="P438" s="274"/>
      <c r="Q438" s="274"/>
      <c r="R438" s="274"/>
      <c r="S438" s="274"/>
      <c r="T438" s="274"/>
      <c r="U438" s="274"/>
      <c r="V438" s="274"/>
      <c r="W438" s="274"/>
      <c r="X438" s="274"/>
      <c r="Y438" s="274"/>
    </row>
    <row r="439" spans="12:25" x14ac:dyDescent="0.35">
      <c r="L439" s="274"/>
      <c r="M439" s="274"/>
      <c r="N439" s="274"/>
      <c r="O439" s="274"/>
      <c r="P439" s="274"/>
      <c r="Q439" s="274"/>
      <c r="R439" s="274"/>
      <c r="S439" s="274"/>
      <c r="T439" s="274"/>
      <c r="U439" s="274"/>
      <c r="V439" s="274"/>
      <c r="W439" s="274"/>
      <c r="X439" s="274"/>
      <c r="Y439" s="274"/>
    </row>
    <row r="440" spans="12:25" x14ac:dyDescent="0.35">
      <c r="L440" s="274"/>
      <c r="M440" s="274"/>
      <c r="N440" s="274"/>
      <c r="O440" s="274"/>
      <c r="P440" s="274"/>
      <c r="Q440" s="274"/>
      <c r="R440" s="274"/>
      <c r="S440" s="274"/>
      <c r="T440" s="274"/>
      <c r="U440" s="274"/>
      <c r="V440" s="274"/>
      <c r="W440" s="274"/>
      <c r="X440" s="274"/>
      <c r="Y440" s="274"/>
    </row>
    <row r="441" spans="12:25" x14ac:dyDescent="0.35">
      <c r="L441" s="274"/>
      <c r="M441" s="274"/>
      <c r="N441" s="274"/>
      <c r="O441" s="274"/>
      <c r="P441" s="274"/>
      <c r="Q441" s="274"/>
      <c r="R441" s="274"/>
      <c r="S441" s="274"/>
      <c r="T441" s="274"/>
      <c r="U441" s="274"/>
      <c r="V441" s="274"/>
      <c r="W441" s="274"/>
      <c r="X441" s="274"/>
      <c r="Y441" s="274"/>
    </row>
    <row r="442" spans="12:25" x14ac:dyDescent="0.35">
      <c r="L442" s="274"/>
      <c r="M442" s="274"/>
      <c r="N442" s="274"/>
      <c r="O442" s="274"/>
      <c r="P442" s="274"/>
      <c r="Q442" s="274"/>
      <c r="R442" s="274"/>
      <c r="S442" s="274"/>
      <c r="T442" s="274"/>
      <c r="U442" s="274"/>
      <c r="V442" s="274"/>
      <c r="W442" s="274"/>
      <c r="X442" s="274"/>
      <c r="Y442" s="274"/>
    </row>
    <row r="443" spans="12:25" x14ac:dyDescent="0.35">
      <c r="L443" s="274"/>
      <c r="M443" s="274"/>
      <c r="N443" s="274"/>
      <c r="O443" s="274"/>
      <c r="P443" s="274"/>
      <c r="Q443" s="274"/>
      <c r="R443" s="274"/>
      <c r="S443" s="274"/>
      <c r="T443" s="274"/>
      <c r="U443" s="274"/>
      <c r="V443" s="274"/>
      <c r="W443" s="274"/>
      <c r="X443" s="274"/>
      <c r="Y443" s="274"/>
    </row>
    <row r="444" spans="12:25" x14ac:dyDescent="0.35">
      <c r="L444" s="274"/>
      <c r="M444" s="274"/>
      <c r="N444" s="274"/>
      <c r="O444" s="274"/>
      <c r="P444" s="274"/>
      <c r="Q444" s="274"/>
      <c r="R444" s="274"/>
      <c r="S444" s="274"/>
      <c r="T444" s="274"/>
      <c r="U444" s="274"/>
      <c r="V444" s="274"/>
      <c r="W444" s="274"/>
      <c r="X444" s="274"/>
      <c r="Y444" s="274"/>
    </row>
    <row r="445" spans="12:25" x14ac:dyDescent="0.35">
      <c r="L445" s="274"/>
      <c r="M445" s="274"/>
      <c r="N445" s="274"/>
      <c r="O445" s="274"/>
      <c r="P445" s="274"/>
      <c r="Q445" s="274"/>
      <c r="R445" s="274"/>
      <c r="S445" s="274"/>
      <c r="T445" s="274"/>
      <c r="U445" s="274"/>
      <c r="V445" s="274"/>
      <c r="W445" s="274"/>
      <c r="X445" s="274"/>
      <c r="Y445" s="274"/>
    </row>
    <row r="446" spans="12:25" x14ac:dyDescent="0.35">
      <c r="L446" s="274"/>
      <c r="M446" s="274"/>
      <c r="N446" s="274"/>
      <c r="O446" s="274"/>
      <c r="P446" s="274"/>
      <c r="Q446" s="274"/>
      <c r="R446" s="274"/>
      <c r="S446" s="274"/>
      <c r="T446" s="274"/>
      <c r="U446" s="274"/>
      <c r="V446" s="274"/>
      <c r="W446" s="274"/>
      <c r="X446" s="274"/>
      <c r="Y446" s="274"/>
    </row>
    <row r="447" spans="12:25" x14ac:dyDescent="0.35">
      <c r="L447" s="274"/>
      <c r="M447" s="274"/>
      <c r="N447" s="274"/>
      <c r="O447" s="274"/>
      <c r="P447" s="274"/>
      <c r="Q447" s="274"/>
      <c r="R447" s="274"/>
      <c r="S447" s="274"/>
      <c r="T447" s="274"/>
      <c r="U447" s="274"/>
      <c r="V447" s="274"/>
      <c r="W447" s="274"/>
      <c r="X447" s="274"/>
      <c r="Y447" s="274"/>
    </row>
    <row r="448" spans="12:25" x14ac:dyDescent="0.35">
      <c r="L448" s="274"/>
      <c r="M448" s="274"/>
      <c r="N448" s="274"/>
      <c r="O448" s="274"/>
      <c r="P448" s="274"/>
      <c r="Q448" s="274"/>
      <c r="R448" s="274"/>
      <c r="S448" s="274"/>
      <c r="T448" s="274"/>
      <c r="U448" s="274"/>
      <c r="V448" s="274"/>
      <c r="W448" s="274"/>
      <c r="X448" s="274"/>
      <c r="Y448" s="274"/>
    </row>
    <row r="449" spans="12:25" x14ac:dyDescent="0.35">
      <c r="L449" s="274"/>
      <c r="M449" s="274"/>
      <c r="N449" s="274"/>
      <c r="O449" s="274"/>
      <c r="P449" s="274"/>
      <c r="Q449" s="274"/>
      <c r="R449" s="274"/>
      <c r="S449" s="274"/>
      <c r="T449" s="274"/>
      <c r="U449" s="274"/>
      <c r="V449" s="274"/>
      <c r="W449" s="274"/>
      <c r="X449" s="274"/>
      <c r="Y449" s="274"/>
    </row>
    <row r="450" spans="12:25" x14ac:dyDescent="0.35">
      <c r="L450" s="274"/>
      <c r="M450" s="274"/>
      <c r="N450" s="274"/>
      <c r="O450" s="274"/>
      <c r="P450" s="274"/>
      <c r="Q450" s="274"/>
      <c r="R450" s="274"/>
      <c r="S450" s="274"/>
      <c r="T450" s="274"/>
      <c r="U450" s="274"/>
      <c r="V450" s="274"/>
      <c r="W450" s="274"/>
      <c r="X450" s="274"/>
      <c r="Y450" s="274"/>
    </row>
    <row r="451" spans="12:25" x14ac:dyDescent="0.35">
      <c r="Y451" s="274"/>
    </row>
    <row r="452" spans="12:25" x14ac:dyDescent="0.35">
      <c r="Y452" s="274"/>
    </row>
  </sheetData>
  <sheetProtection algorithmName="SHA-512" hashValue="BUGsmOuxBR8TC+wwzu0ymmX897+m1RdKcFTTZPeEiom8JqEbGMNdeysltVyCOE5cMU9EvC44maJ+jaEN1frqBA==" saltValue="3sP93kKn1c9gQeDX/+7Tlg==" spinCount="100000" sheet="1" objects="1" scenarios="1" selectLockedCells="1" selectUnlockedCells="1"/>
  <mergeCells count="5">
    <mergeCell ref="B30:B31"/>
    <mergeCell ref="B27:B28"/>
    <mergeCell ref="E16:F17"/>
    <mergeCell ref="E20:F21"/>
    <mergeCell ref="E31:F32"/>
  </mergeCells>
  <phoneticPr fontId="26" type="noConversion"/>
  <pageMargins left="0.26" right="0.16" top="0.35" bottom="0.19" header="0.17" footer="0.19"/>
  <pageSetup paperSize="9" scale="98" orientation="portrait" r:id="rId1"/>
  <headerFooter alignWithMargins="0">
    <oddHeader>&amp;L&amp;8&amp;F&amp;R&amp;8Datum en tijd; &amp;D  &amp;T&amp;CBed 0</oddHeader>
  </headerFooter>
  <colBreaks count="1" manualBreakCount="1">
    <brk id="7" max="1048575"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Opm"/>
  <dimension ref="A1:C35"/>
  <sheetViews>
    <sheetView workbookViewId="0">
      <selection activeCell="C10" sqref="C10"/>
    </sheetView>
  </sheetViews>
  <sheetFormatPr defaultRowHeight="12.85" x14ac:dyDescent="0.35"/>
  <cols>
    <col min="1" max="1" width="11.265625" customWidth="1"/>
    <col min="2" max="2" width="37.73046875" customWidth="1"/>
    <col min="3" max="3" width="13.265625" customWidth="1"/>
  </cols>
  <sheetData>
    <row r="1" spans="1:3" x14ac:dyDescent="0.35">
      <c r="A1" t="s">
        <v>2427</v>
      </c>
      <c r="B1" t="s">
        <v>978</v>
      </c>
      <c r="C1" t="s">
        <v>2428</v>
      </c>
    </row>
    <row r="2" spans="1:3" x14ac:dyDescent="0.35">
      <c r="A2" t="s">
        <v>2429</v>
      </c>
      <c r="B2" t="s">
        <v>1169</v>
      </c>
    </row>
    <row r="3" spans="1:3" x14ac:dyDescent="0.35">
      <c r="A3" t="s">
        <v>2429</v>
      </c>
      <c r="B3" t="s">
        <v>1215</v>
      </c>
    </row>
    <row r="4" spans="1:3" x14ac:dyDescent="0.35">
      <c r="A4" t="s">
        <v>2429</v>
      </c>
      <c r="B4" t="s">
        <v>710</v>
      </c>
    </row>
    <row r="5" spans="1:3" x14ac:dyDescent="0.35">
      <c r="A5" t="s">
        <v>2429</v>
      </c>
      <c r="B5" t="s">
        <v>711</v>
      </c>
    </row>
    <row r="6" spans="1:3" x14ac:dyDescent="0.35">
      <c r="A6" t="s">
        <v>2429</v>
      </c>
      <c r="B6" t="s">
        <v>712</v>
      </c>
    </row>
    <row r="7" spans="1:3" x14ac:dyDescent="0.35">
      <c r="A7" t="s">
        <v>2429</v>
      </c>
      <c r="B7" t="s">
        <v>713</v>
      </c>
    </row>
    <row r="8" spans="1:3" x14ac:dyDescent="0.35">
      <c r="A8" t="s">
        <v>2429</v>
      </c>
      <c r="B8" t="s">
        <v>714</v>
      </c>
    </row>
    <row r="9" spans="1:3" x14ac:dyDescent="0.35">
      <c r="A9" t="s">
        <v>2429</v>
      </c>
      <c r="B9" t="s">
        <v>715</v>
      </c>
    </row>
    <row r="10" spans="1:3" x14ac:dyDescent="0.35">
      <c r="A10" t="s">
        <v>2429</v>
      </c>
      <c r="B10" t="s">
        <v>1277</v>
      </c>
      <c r="C10" s="37"/>
    </row>
    <row r="11" spans="1:3" x14ac:dyDescent="0.35">
      <c r="A11" t="s">
        <v>2429</v>
      </c>
      <c r="B11" t="s">
        <v>1589</v>
      </c>
      <c r="C11" s="37"/>
    </row>
    <row r="12" spans="1:3" x14ac:dyDescent="0.35">
      <c r="A12" t="s">
        <v>2429</v>
      </c>
      <c r="B12" t="s">
        <v>1590</v>
      </c>
    </row>
    <row r="13" spans="1:3" x14ac:dyDescent="0.35">
      <c r="A13" t="s">
        <v>2429</v>
      </c>
      <c r="B13" t="s">
        <v>1591</v>
      </c>
    </row>
    <row r="14" spans="1:3" x14ac:dyDescent="0.35">
      <c r="A14" t="s">
        <v>2429</v>
      </c>
      <c r="B14" t="s">
        <v>1592</v>
      </c>
    </row>
    <row r="15" spans="1:3" x14ac:dyDescent="0.35">
      <c r="A15" t="s">
        <v>2429</v>
      </c>
      <c r="B15" t="s">
        <v>1593</v>
      </c>
    </row>
    <row r="16" spans="1:3" x14ac:dyDescent="0.35">
      <c r="A16" t="s">
        <v>1244</v>
      </c>
      <c r="B16" t="s">
        <v>1245</v>
      </c>
    </row>
    <row r="17" spans="1:2" x14ac:dyDescent="0.35">
      <c r="A17" t="s">
        <v>1244</v>
      </c>
      <c r="B17" t="s">
        <v>1245</v>
      </c>
    </row>
    <row r="18" spans="1:2" x14ac:dyDescent="0.35">
      <c r="A18" t="s">
        <v>1244</v>
      </c>
      <c r="B18" t="s">
        <v>1245</v>
      </c>
    </row>
    <row r="19" spans="1:2" x14ac:dyDescent="0.35">
      <c r="A19" t="s">
        <v>1244</v>
      </c>
      <c r="B19" t="s">
        <v>1245</v>
      </c>
    </row>
    <row r="20" spans="1:2" x14ac:dyDescent="0.35">
      <c r="A20" t="s">
        <v>1244</v>
      </c>
      <c r="B20" t="s">
        <v>1245</v>
      </c>
    </row>
    <row r="21" spans="1:2" x14ac:dyDescent="0.35">
      <c r="A21" t="s">
        <v>1244</v>
      </c>
      <c r="B21" t="s">
        <v>1245</v>
      </c>
    </row>
    <row r="22" spans="1:2" x14ac:dyDescent="0.35">
      <c r="A22" t="s">
        <v>1244</v>
      </c>
      <c r="B22" t="s">
        <v>1245</v>
      </c>
    </row>
    <row r="23" spans="1:2" x14ac:dyDescent="0.35">
      <c r="A23" t="s">
        <v>1244</v>
      </c>
      <c r="B23" t="s">
        <v>1245</v>
      </c>
    </row>
    <row r="24" spans="1:2" x14ac:dyDescent="0.35">
      <c r="A24" t="s">
        <v>1244</v>
      </c>
      <c r="B24" t="s">
        <v>1245</v>
      </c>
    </row>
    <row r="25" spans="1:2" x14ac:dyDescent="0.35">
      <c r="A25" t="s">
        <v>1244</v>
      </c>
      <c r="B25" t="s">
        <v>1245</v>
      </c>
    </row>
    <row r="26" spans="1:2" x14ac:dyDescent="0.35">
      <c r="A26" t="s">
        <v>1244</v>
      </c>
      <c r="B26" t="s">
        <v>1245</v>
      </c>
    </row>
    <row r="27" spans="1:2" x14ac:dyDescent="0.35">
      <c r="A27" t="s">
        <v>1244</v>
      </c>
      <c r="B27" t="s">
        <v>1245</v>
      </c>
    </row>
    <row r="28" spans="1:2" x14ac:dyDescent="0.35">
      <c r="A28" t="s">
        <v>1244</v>
      </c>
      <c r="B28" t="s">
        <v>1245</v>
      </c>
    </row>
    <row r="29" spans="1:2" x14ac:dyDescent="0.35">
      <c r="A29" t="s">
        <v>1244</v>
      </c>
      <c r="B29" t="s">
        <v>1245</v>
      </c>
    </row>
    <row r="30" spans="1:2" x14ac:dyDescent="0.35">
      <c r="A30" t="s">
        <v>1244</v>
      </c>
      <c r="B30" t="s">
        <v>1245</v>
      </c>
    </row>
    <row r="31" spans="1:2" x14ac:dyDescent="0.35">
      <c r="A31" t="s">
        <v>1244</v>
      </c>
      <c r="B31" t="s">
        <v>1245</v>
      </c>
    </row>
    <row r="32" spans="1:2" x14ac:dyDescent="0.35">
      <c r="A32" t="s">
        <v>1244</v>
      </c>
      <c r="B32" t="s">
        <v>1245</v>
      </c>
    </row>
    <row r="33" spans="1:2" x14ac:dyDescent="0.35">
      <c r="A33" t="s">
        <v>1244</v>
      </c>
      <c r="B33" t="s">
        <v>1245</v>
      </c>
    </row>
    <row r="34" spans="1:2" x14ac:dyDescent="0.35">
      <c r="A34" t="s">
        <v>1244</v>
      </c>
      <c r="B34" t="s">
        <v>1245</v>
      </c>
    </row>
    <row r="35" spans="1:2" x14ac:dyDescent="0.35">
      <c r="A35" t="s">
        <v>1244</v>
      </c>
      <c r="B35" t="s">
        <v>1245</v>
      </c>
    </row>
  </sheetData>
  <phoneticPr fontId="26" type="noConversion"/>
  <pageMargins left="0.75" right="0.75" top="1" bottom="1" header="0.5" footer="0.5"/>
  <pageSetup paperSize="9" orientation="portrait" horizont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CMV">
    <pageSetUpPr autoPageBreaks="0"/>
  </sheetPr>
  <dimension ref="A2:S234"/>
  <sheetViews>
    <sheetView zoomScaleNormal="100" workbookViewId="0">
      <selection activeCell="E105" sqref="E105"/>
    </sheetView>
  </sheetViews>
  <sheetFormatPr defaultColWidth="10.73046875" defaultRowHeight="12.65" customHeight="1" x14ac:dyDescent="0.35"/>
  <cols>
    <col min="1" max="1" width="2.73046875" style="58" customWidth="1"/>
    <col min="2" max="2" width="2.59765625" style="61" customWidth="1"/>
    <col min="3" max="3" width="14" style="58" customWidth="1"/>
    <col min="4" max="4" width="11.265625" style="58" customWidth="1"/>
    <col min="5" max="5" width="12.73046875" style="58" customWidth="1"/>
    <col min="6" max="6" width="10.73046875" style="58" customWidth="1"/>
    <col min="7" max="10" width="11.265625" style="58" customWidth="1"/>
    <col min="11" max="11" width="10.73046875" style="58" customWidth="1"/>
    <col min="12" max="12" width="10.73046875" style="105" customWidth="1"/>
    <col min="13" max="16384" width="10.73046875" style="58"/>
  </cols>
  <sheetData>
    <row r="2" spans="1:19" ht="12.65" customHeight="1" x14ac:dyDescent="0.35">
      <c r="B2" s="86"/>
      <c r="C2" s="87" t="e">
        <f>#REF!</f>
        <v>#REF!</v>
      </c>
      <c r="D2" s="56" t="e">
        <f>#REF!</f>
        <v>#REF!</v>
      </c>
      <c r="E2" s="87" t="e">
        <f>#REF!</f>
        <v>#REF!</v>
      </c>
      <c r="F2" s="375" t="e">
        <f>#REF!</f>
        <v>#REF!</v>
      </c>
      <c r="G2" s="375"/>
      <c r="H2" s="88" t="s">
        <v>2745</v>
      </c>
      <c r="I2" s="58" t="str">
        <f>Gewicht/10&amp;" kg"</f>
        <v>10 kg</v>
      </c>
      <c r="J2" s="57"/>
      <c r="L2" s="104"/>
    </row>
    <row r="3" spans="1:19" ht="12.65" customHeight="1" x14ac:dyDescent="0.35">
      <c r="B3" s="86"/>
      <c r="C3" s="87" t="s">
        <v>2113</v>
      </c>
      <c r="D3" s="59" t="e">
        <f ca="1">AfspraakDatum-OpnDatum+1</f>
        <v>#NAME?</v>
      </c>
      <c r="E3" s="87" t="e">
        <f>#REF!</f>
        <v>#REF!</v>
      </c>
      <c r="F3" s="60" t="e">
        <f>#REF!</f>
        <v>#REF!</v>
      </c>
      <c r="G3" s="57"/>
      <c r="H3" s="88" t="s">
        <v>1341</v>
      </c>
      <c r="I3" s="58" t="str">
        <f>Lengte&amp;" cm"</f>
        <v>80 cm</v>
      </c>
      <c r="J3" s="57"/>
      <c r="L3" s="104"/>
    </row>
    <row r="4" spans="1:19" ht="12" customHeight="1" x14ac:dyDescent="0.35">
      <c r="D4" s="57"/>
      <c r="F4" s="57"/>
      <c r="H4" s="88" t="s">
        <v>1353</v>
      </c>
      <c r="I4" s="58" t="str">
        <f>ROUND(POWER(Gewicht/10,0.425)*POWER(((Lengte/100)*100),0.725)*0.007184,2)&amp;" m2"</f>
        <v>0.46 m2</v>
      </c>
      <c r="L4" s="104"/>
    </row>
    <row r="5" spans="1:19" ht="12.65" customHeight="1" x14ac:dyDescent="0.35">
      <c r="A5" s="66"/>
      <c r="B5" s="71" t="e">
        <f>#REF!</f>
        <v>#REF!</v>
      </c>
      <c r="C5" s="68"/>
      <c r="D5" s="66"/>
      <c r="E5" s="66"/>
      <c r="F5" s="66"/>
      <c r="G5" s="66"/>
      <c r="H5" s="66"/>
      <c r="I5" s="66"/>
      <c r="J5" s="69"/>
      <c r="K5" s="62"/>
      <c r="L5" s="104"/>
      <c r="M5" s="62"/>
      <c r="N5" s="62"/>
      <c r="O5" s="62"/>
      <c r="Q5" s="62"/>
      <c r="R5" s="62"/>
      <c r="S5" s="62"/>
    </row>
    <row r="6" spans="1:19" ht="12.65" customHeight="1" x14ac:dyDescent="0.35">
      <c r="B6" s="86"/>
      <c r="C6" s="88" t="str">
        <f>IF(E6&lt;&gt;"",#REF!,"")</f>
        <v/>
      </c>
      <c r="D6" s="88"/>
      <c r="E6" s="58" t="str">
        <f>IF(Toegang&lt;&gt;1,INDEX(tblToegang,Toegang,1),IF(Zuurstof&lt;&gt;1,INDEX(tblZuurstof,Zuurstof,1)&amp;" met "&amp;#REF!,""))</f>
        <v/>
      </c>
      <c r="G6" s="88" t="e">
        <f>IF(I6&lt;&gt;"",#REF!,)</f>
        <v>#REF!</v>
      </c>
      <c r="H6" s="88"/>
      <c r="I6" s="57" t="e">
        <f>#REF!</f>
        <v>#REF!</v>
      </c>
      <c r="L6" s="104"/>
      <c r="Q6" s="62"/>
      <c r="R6" s="62"/>
      <c r="S6" s="62"/>
    </row>
    <row r="7" spans="1:19" ht="12.65" customHeight="1" x14ac:dyDescent="0.35">
      <c r="B7" s="86"/>
      <c r="C7" s="88">
        <f>IF(E7&lt;&gt;"",#REF!,)</f>
        <v>0</v>
      </c>
      <c r="D7" s="88"/>
      <c r="E7" s="58" t="str">
        <f>IF(Toegang&gt;2,INDEX(tblDruppelen,dbBead!L2,1),"")</f>
        <v/>
      </c>
      <c r="G7" s="88" t="e">
        <f>IF(I7&lt;&gt;"",#REF!,)</f>
        <v>#REF!</v>
      </c>
      <c r="H7" s="88"/>
      <c r="I7" s="58" t="e">
        <f>#REF!</f>
        <v>#REF!</v>
      </c>
      <c r="L7" s="104"/>
      <c r="Q7" s="62"/>
      <c r="R7" s="62"/>
      <c r="S7" s="62"/>
    </row>
    <row r="8" spans="1:19" ht="12.65" customHeight="1" x14ac:dyDescent="0.35">
      <c r="B8" s="86"/>
      <c r="C8" s="88" t="e">
        <f>IF(E8&lt;&gt;"",#REF!,)</f>
        <v>#REF!</v>
      </c>
      <c r="D8" s="88"/>
      <c r="E8" s="58" t="e">
        <f>#REF!</f>
        <v>#REF!</v>
      </c>
      <c r="G8" s="88" t="e">
        <f>IF(I8&lt;&gt;"",#REF!,)</f>
        <v>#REF!</v>
      </c>
      <c r="H8" s="88"/>
      <c r="I8" s="58" t="e">
        <f>#REF!</f>
        <v>#REF!</v>
      </c>
      <c r="L8" s="104"/>
      <c r="Q8" s="62"/>
      <c r="R8" s="62"/>
      <c r="S8" s="62"/>
    </row>
    <row r="9" spans="1:19" ht="6.05" customHeight="1" x14ac:dyDescent="0.35">
      <c r="G9" s="62"/>
      <c r="H9" s="62"/>
      <c r="K9" s="62"/>
      <c r="L9" s="104"/>
      <c r="M9" s="62"/>
      <c r="N9" s="62"/>
      <c r="O9" s="62"/>
      <c r="Q9" s="62"/>
      <c r="R9" s="62"/>
      <c r="S9" s="62"/>
    </row>
    <row r="10" spans="1:19" ht="12.65" customHeight="1" x14ac:dyDescent="0.35">
      <c r="B10" s="86"/>
      <c r="C10" s="88" t="e">
        <f>IF(E10&lt;&gt;"",#REF!,)</f>
        <v>#REF!</v>
      </c>
      <c r="D10" s="88"/>
      <c r="E10" s="58" t="str">
        <f>IF(Zuurstof=2,ber_bead!B3&amp;" met "&amp;#REF!,INDEX(tblApparaat,dbBead!R2,1))</f>
        <v>geen</v>
      </c>
      <c r="G10" s="88">
        <f>IF(AND(dbBead!R2&lt;&gt;1,I10&lt;&gt;""),#REF!,)</f>
        <v>0</v>
      </c>
      <c r="H10" s="88"/>
      <c r="I10" s="58" t="str">
        <f>IF(dbBead!R2&lt;&gt;1,INDEX(tblMode,dbBead!U2,1),"")</f>
        <v/>
      </c>
      <c r="K10" s="62"/>
      <c r="L10" s="104"/>
      <c r="M10" s="62"/>
      <c r="N10" s="62"/>
      <c r="O10" s="62"/>
      <c r="Q10" s="62"/>
      <c r="R10" s="62"/>
      <c r="S10" s="62"/>
    </row>
    <row r="11" spans="1:19" ht="12.65" customHeight="1" x14ac:dyDescent="0.35">
      <c r="B11" s="86"/>
      <c r="C11" s="88" t="e">
        <f>IF(E11&lt;&gt;"",#REF!,)</f>
        <v>#REF!</v>
      </c>
      <c r="D11" s="88"/>
      <c r="E11" s="58" t="e">
        <f>#REF!</f>
        <v>#REF!</v>
      </c>
      <c r="G11" s="88" t="str">
        <f>IF(OR(ModeCV=1,ModeCV=3,ModeCV=5),"AMV:",IF(OR(ModeCV=2,ModeCV=4),"Pressure boven PEEP:",""))</f>
        <v/>
      </c>
      <c r="H11" s="88"/>
      <c r="I11" s="58" t="str">
        <f>IF(OR(ModeCV=1,ModeCV=3,ModeCV=5),#REF!,IF(ModeCV=2,#REF!,IF(ModeCV=4,#REF!,"")))</f>
        <v/>
      </c>
      <c r="K11" s="62"/>
      <c r="L11" s="104"/>
      <c r="M11" s="62"/>
      <c r="N11" s="62"/>
      <c r="O11" s="62"/>
      <c r="Q11" s="62"/>
      <c r="R11" s="62"/>
      <c r="S11" s="62"/>
    </row>
    <row r="12" spans="1:19" ht="12.65" customHeight="1" x14ac:dyDescent="0.35">
      <c r="B12" s="86"/>
      <c r="C12" s="88" t="e">
        <f>IF(E12&lt;&gt;"",#REF!,)</f>
        <v>#REF!</v>
      </c>
      <c r="D12" s="88"/>
      <c r="E12" s="58" t="e">
        <f>#REF!</f>
        <v>#REF!</v>
      </c>
      <c r="G12" s="88" t="e">
        <f>IF(I12&lt;&gt;"",#REF!,)</f>
        <v>#REF!</v>
      </c>
      <c r="H12" s="88"/>
      <c r="I12" s="58" t="e">
        <f>#REF!</f>
        <v>#REF!</v>
      </c>
      <c r="L12" s="104"/>
      <c r="M12" s="62"/>
      <c r="N12" s="62"/>
      <c r="O12" s="62"/>
      <c r="Q12" s="62"/>
      <c r="R12" s="62"/>
      <c r="S12" s="62"/>
    </row>
    <row r="13" spans="1:19" ht="12.65" customHeight="1" x14ac:dyDescent="0.35">
      <c r="B13" s="86"/>
      <c r="C13" s="88" t="e">
        <f>IF(E13&lt;&gt;"",#REF!,)</f>
        <v>#REF!</v>
      </c>
      <c r="D13" s="88"/>
      <c r="E13" s="58" t="e">
        <f>#REF!</f>
        <v>#REF!</v>
      </c>
      <c r="G13" s="88" t="e">
        <f>IF(I13&lt;&gt;"",#REF!,)</f>
        <v>#REF!</v>
      </c>
      <c r="H13" s="88"/>
      <c r="I13" s="58" t="e">
        <f>#REF!</f>
        <v>#REF!</v>
      </c>
      <c r="K13" s="62"/>
      <c r="L13" s="104"/>
      <c r="M13" s="62"/>
      <c r="N13" s="62"/>
      <c r="O13" s="62"/>
      <c r="Q13" s="62"/>
      <c r="R13" s="62"/>
      <c r="S13" s="62"/>
    </row>
    <row r="14" spans="1:19" ht="12.65" customHeight="1" x14ac:dyDescent="0.35">
      <c r="B14" s="86"/>
      <c r="C14" s="88" t="e">
        <f>IF(E14&lt;&gt;"",#REF!,)</f>
        <v>#REF!</v>
      </c>
      <c r="D14" s="88"/>
      <c r="E14" s="58" t="e">
        <f>#REF!</f>
        <v>#REF!</v>
      </c>
      <c r="G14" s="88" t="e">
        <f>IF(I14&lt;&gt;"",#REF!,)</f>
        <v>#REF!</v>
      </c>
      <c r="H14" s="88"/>
      <c r="I14" s="58" t="e">
        <f>#REF!</f>
        <v>#REF!</v>
      </c>
      <c r="L14" s="104"/>
    </row>
    <row r="15" spans="1:19" ht="12.65" customHeight="1" x14ac:dyDescent="0.35">
      <c r="B15" s="86"/>
      <c r="C15" s="88" t="e">
        <f>IF(E15&lt;&gt;"","Automode",)</f>
        <v>#REF!</v>
      </c>
      <c r="D15" s="88"/>
      <c r="E15" s="58" t="e">
        <f>#REF!</f>
        <v>#REF!</v>
      </c>
      <c r="G15" s="88" t="e">
        <f>IF(I15&lt;&gt;"","Trigger Time Out","")</f>
        <v>#REF!</v>
      </c>
      <c r="H15" s="88"/>
      <c r="I15" s="58" t="e">
        <f>IF(E15="Ja",#REF!,"")</f>
        <v>#REF!</v>
      </c>
      <c r="L15" s="104"/>
    </row>
    <row r="16" spans="1:19" ht="12.65" customHeight="1" x14ac:dyDescent="0.35">
      <c r="B16" s="86"/>
      <c r="C16" s="88" t="e">
        <f>IF(E16&lt;&gt;"",#REF!,"")</f>
        <v>#REF!</v>
      </c>
      <c r="D16" s="88"/>
      <c r="E16" s="58" t="e">
        <f>IF(E15="Ja",#REF!,"")</f>
        <v>#REF!</v>
      </c>
      <c r="G16" s="88" t="e">
        <f>IF(E15&lt;&gt;"Nee","Eind Insp. Cyclus","")</f>
        <v>#REF!</v>
      </c>
      <c r="H16" s="88"/>
      <c r="I16" s="157" t="e">
        <f>IF(E15="Ja",#REF!,"")</f>
        <v>#REF!</v>
      </c>
      <c r="K16" s="64"/>
      <c r="L16" s="104"/>
    </row>
    <row r="17" spans="1:12" ht="6.05" customHeight="1" x14ac:dyDescent="0.35">
      <c r="F17" s="63"/>
      <c r="G17" s="62"/>
      <c r="H17" s="62"/>
      <c r="I17" s="158"/>
      <c r="K17" s="64"/>
      <c r="L17" s="104"/>
    </row>
    <row r="18" spans="1:12" ht="12.65" customHeight="1" x14ac:dyDescent="0.35">
      <c r="B18" s="86"/>
      <c r="C18" s="88" t="s">
        <v>2864</v>
      </c>
      <c r="D18" s="382">
        <f>ber_Opm!C2</f>
        <v>0</v>
      </c>
      <c r="E18" s="383"/>
      <c r="F18" s="383"/>
      <c r="G18" s="383"/>
      <c r="H18" s="383"/>
      <c r="I18" s="383"/>
      <c r="J18" s="383"/>
      <c r="K18" s="61"/>
      <c r="L18" s="104"/>
    </row>
    <row r="19" spans="1:12" ht="12.65" customHeight="1" x14ac:dyDescent="0.35">
      <c r="B19" s="86"/>
      <c r="C19" s="88"/>
      <c r="D19" s="383"/>
      <c r="E19" s="383"/>
      <c r="F19" s="383"/>
      <c r="G19" s="383"/>
      <c r="H19" s="383"/>
      <c r="I19" s="383"/>
      <c r="J19" s="383"/>
      <c r="K19" s="61"/>
      <c r="L19" s="104"/>
    </row>
    <row r="20" spans="1:12" ht="9.0500000000000007" customHeight="1" x14ac:dyDescent="0.35">
      <c r="F20" s="61"/>
      <c r="G20" s="61"/>
      <c r="H20" s="62"/>
      <c r="I20" s="62"/>
      <c r="J20" s="62"/>
      <c r="K20" s="61"/>
      <c r="L20" s="104"/>
    </row>
    <row r="21" spans="1:12" ht="14.15" customHeight="1" x14ac:dyDescent="0.4">
      <c r="C21" s="147" t="s">
        <v>2330</v>
      </c>
      <c r="D21" s="148" t="s">
        <v>2497</v>
      </c>
      <c r="E21" s="149"/>
      <c r="F21" s="150" t="s">
        <v>2420</v>
      </c>
      <c r="G21" s="150" t="s">
        <v>2330</v>
      </c>
      <c r="H21" s="151" t="s">
        <v>2497</v>
      </c>
      <c r="I21" s="152"/>
      <c r="J21" s="155" t="s">
        <v>2420</v>
      </c>
      <c r="K21" s="61"/>
      <c r="L21" s="104"/>
    </row>
    <row r="22" spans="1:12" ht="14.15" customHeight="1" x14ac:dyDescent="0.35">
      <c r="C22" s="147"/>
      <c r="D22" s="148"/>
      <c r="E22" s="149"/>
      <c r="F22" s="150"/>
      <c r="G22" s="150"/>
      <c r="H22" s="153"/>
      <c r="I22" s="154"/>
      <c r="J22" s="156"/>
      <c r="K22" s="61"/>
      <c r="L22" s="104"/>
    </row>
    <row r="23" spans="1:12" ht="14.15" customHeight="1" x14ac:dyDescent="0.35">
      <c r="C23" s="147"/>
      <c r="D23" s="148"/>
      <c r="E23" s="149"/>
      <c r="F23" s="150"/>
      <c r="G23" s="150"/>
      <c r="H23" s="153"/>
      <c r="I23" s="154"/>
      <c r="J23" s="156"/>
      <c r="K23" s="61"/>
      <c r="L23" s="104"/>
    </row>
    <row r="24" spans="1:12" ht="14.15" customHeight="1" x14ac:dyDescent="0.35">
      <c r="C24" s="147"/>
      <c r="D24" s="148"/>
      <c r="E24" s="149"/>
      <c r="F24" s="150"/>
      <c r="G24" s="150"/>
      <c r="H24" s="153"/>
      <c r="I24" s="154"/>
      <c r="J24" s="156"/>
      <c r="K24" s="61"/>
      <c r="L24" s="104"/>
    </row>
    <row r="25" spans="1:12" ht="14.15" customHeight="1" x14ac:dyDescent="0.35">
      <c r="C25" s="147"/>
      <c r="D25" s="148"/>
      <c r="E25" s="149"/>
      <c r="F25" s="150"/>
      <c r="G25" s="150"/>
      <c r="H25" s="153"/>
      <c r="I25" s="154"/>
      <c r="J25" s="156"/>
      <c r="K25" s="61"/>
      <c r="L25" s="104"/>
    </row>
    <row r="26" spans="1:12" ht="14.15" customHeight="1" x14ac:dyDescent="0.35">
      <c r="C26" s="147"/>
      <c r="D26" s="148"/>
      <c r="E26" s="149"/>
      <c r="F26" s="150"/>
      <c r="G26" s="150"/>
      <c r="H26" s="153"/>
      <c r="I26" s="154"/>
      <c r="J26" s="156"/>
      <c r="K26" s="61"/>
      <c r="L26" s="104"/>
    </row>
    <row r="27" spans="1:12" ht="14.15" customHeight="1" x14ac:dyDescent="0.35">
      <c r="C27" s="147"/>
      <c r="D27" s="148"/>
      <c r="E27" s="149"/>
      <c r="F27" s="150"/>
      <c r="G27" s="150"/>
      <c r="H27" s="153"/>
      <c r="I27" s="154"/>
      <c r="J27" s="156"/>
      <c r="K27" s="61"/>
      <c r="L27" s="104"/>
    </row>
    <row r="28" spans="1:12" ht="14.15" customHeight="1" x14ac:dyDescent="0.35">
      <c r="C28" s="147"/>
      <c r="D28" s="148"/>
      <c r="E28" s="149"/>
      <c r="F28" s="150"/>
      <c r="G28" s="150"/>
      <c r="H28" s="153"/>
      <c r="I28" s="154"/>
      <c r="J28" s="156"/>
      <c r="K28" s="61"/>
      <c r="L28" s="104"/>
    </row>
    <row r="29" spans="1:12" ht="14.15" customHeight="1" x14ac:dyDescent="0.35">
      <c r="C29" s="147"/>
      <c r="D29" s="148"/>
      <c r="E29" s="149"/>
      <c r="F29" s="150"/>
      <c r="G29" s="150"/>
      <c r="H29" s="153"/>
      <c r="I29" s="154"/>
      <c r="J29" s="156"/>
      <c r="K29" s="61"/>
      <c r="L29" s="104"/>
    </row>
    <row r="30" spans="1:12" ht="14.15" customHeight="1" x14ac:dyDescent="0.35">
      <c r="H30" s="62"/>
      <c r="I30" s="62"/>
      <c r="J30" s="62"/>
      <c r="K30" s="61"/>
      <c r="L30" s="104"/>
    </row>
    <row r="31" spans="1:12" ht="14.15" customHeight="1" x14ac:dyDescent="0.35">
      <c r="A31" s="66"/>
      <c r="B31" s="71" t="str">
        <f>Intake!C7</f>
        <v>Voeding</v>
      </c>
      <c r="C31" s="66"/>
      <c r="D31" s="66"/>
      <c r="E31" s="66"/>
      <c r="F31" s="66"/>
      <c r="G31" s="66"/>
      <c r="H31" s="66"/>
      <c r="I31" s="66"/>
      <c r="J31" s="66"/>
      <c r="K31" s="61"/>
      <c r="L31" s="104"/>
    </row>
    <row r="32" spans="1:12" ht="14.15" customHeight="1" x14ac:dyDescent="0.35">
      <c r="B32" s="86"/>
      <c r="C32" s="88" t="s">
        <v>2319</v>
      </c>
      <c r="D32" s="88"/>
      <c r="E32" s="58" t="str">
        <f>INDEX(tblSonde,ber_PO!A1,1)</f>
        <v>Geen sonde</v>
      </c>
      <c r="K32" s="61"/>
      <c r="L32" s="104"/>
    </row>
    <row r="33" spans="1:12" ht="14.15" customHeight="1" x14ac:dyDescent="0.35">
      <c r="C33" s="58">
        <f>IF(E33&lt;&gt;"",INDEX(tblVoedingPO,KeuzePO_1,1),)</f>
        <v>0</v>
      </c>
      <c r="D33" s="58" t="str">
        <f>Intake!G8</f>
        <v/>
      </c>
      <c r="E33" s="58" t="str">
        <f>Intake!C8&amp;" "&amp;Intake!D8</f>
        <v xml:space="preserve"> </v>
      </c>
      <c r="F33" s="65" t="str">
        <f>IF(KeuzePO_2&gt;1,"met "&amp;Intake!C9&amp;" "&amp;Intake!D9&amp;" "&amp;INDEX(ber_PO!B22:B39,KeuzePO_2,1),"")</f>
        <v/>
      </c>
      <c r="I33" s="58" t="str">
        <f>Intake!I9</f>
        <v/>
      </c>
      <c r="K33" s="61"/>
      <c r="L33" s="104"/>
    </row>
    <row r="34" spans="1:12" ht="12.65" customHeight="1" x14ac:dyDescent="0.35">
      <c r="B34" s="86"/>
      <c r="C34" s="88"/>
      <c r="D34" s="88"/>
      <c r="F34" s="65" t="str">
        <f>IF(ber_PO!P24&gt;1,"met "&amp;Intake!C10&amp;" "&amp;Intake!D10&amp;" "&amp;INDEX(ber_PO!B22:B33,KeuzePO_3,1),"")</f>
        <v/>
      </c>
      <c r="I34" s="58" t="str">
        <f>Intake!I10</f>
        <v/>
      </c>
      <c r="K34" s="61"/>
      <c r="L34" s="104"/>
    </row>
    <row r="35" spans="1:12" ht="12.65" customHeight="1" x14ac:dyDescent="0.35">
      <c r="B35" s="86"/>
      <c r="C35" s="88"/>
      <c r="D35" s="88"/>
      <c r="F35" s="65" t="str">
        <f>IF(ber_PO!P25&gt;1,"met "&amp;Intake!C11&amp;" "&amp;Intake!D11&amp;" "&amp;INDEX(ber_PO!B22:B33,KeuzePO_4,1),"")</f>
        <v/>
      </c>
      <c r="I35" s="58" t="str">
        <f>Intake!I11</f>
        <v/>
      </c>
      <c r="K35" s="64"/>
      <c r="L35" s="104"/>
    </row>
    <row r="36" spans="1:12" ht="12.65" customHeight="1" x14ac:dyDescent="0.35">
      <c r="K36" s="64"/>
      <c r="L36" s="104"/>
    </row>
    <row r="37" spans="1:12" ht="12.65" customHeight="1" x14ac:dyDescent="0.35">
      <c r="A37" s="66"/>
      <c r="B37" s="89"/>
      <c r="C37" s="90" t="s">
        <v>2864</v>
      </c>
      <c r="D37" s="378">
        <f>ber_Opm!C15</f>
        <v>0</v>
      </c>
      <c r="E37" s="379"/>
      <c r="F37" s="379"/>
      <c r="G37" s="379"/>
      <c r="H37" s="379"/>
      <c r="I37" s="379"/>
      <c r="J37" s="379"/>
      <c r="K37" s="64"/>
      <c r="L37" s="104"/>
    </row>
    <row r="38" spans="1:12" ht="12.65" customHeight="1" x14ac:dyDescent="0.35">
      <c r="L38" s="104"/>
    </row>
    <row r="39" spans="1:12" ht="12.65" customHeight="1" x14ac:dyDescent="0.35">
      <c r="A39" s="66"/>
      <c r="B39" s="71" t="s">
        <v>1277</v>
      </c>
      <c r="C39" s="66"/>
      <c r="D39" s="66"/>
      <c r="E39" s="66"/>
      <c r="F39" s="66"/>
      <c r="G39" s="66"/>
      <c r="H39" s="66"/>
      <c r="I39" s="66"/>
      <c r="J39" s="66"/>
      <c r="L39" s="104"/>
    </row>
    <row r="40" spans="1:12" ht="12.65" customHeight="1" x14ac:dyDescent="0.35">
      <c r="B40" s="88"/>
      <c r="C40" s="88" t="s">
        <v>3784</v>
      </c>
      <c r="D40" s="384"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385"/>
      <c r="F40" s="385"/>
      <c r="G40" s="385"/>
      <c r="H40" s="385"/>
      <c r="I40" s="385"/>
      <c r="J40" s="385"/>
      <c r="L40" s="104"/>
    </row>
    <row r="41" spans="1:12" ht="12.65" customHeight="1" x14ac:dyDescent="0.35">
      <c r="B41" s="88"/>
      <c r="C41" s="88" t="s">
        <v>5066</v>
      </c>
      <c r="D41" s="376"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377"/>
      <c r="F41" s="377"/>
      <c r="G41" s="377"/>
      <c r="H41" s="377"/>
      <c r="I41" s="377"/>
      <c r="J41" s="377"/>
      <c r="L41" s="104"/>
    </row>
    <row r="42" spans="1:12" ht="12.65" customHeight="1" x14ac:dyDescent="0.35">
      <c r="B42" s="88"/>
      <c r="C42" s="88" t="s">
        <v>5067</v>
      </c>
      <c r="D42" s="376"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386"/>
      <c r="F42" s="386"/>
      <c r="G42" s="386"/>
      <c r="H42" s="386"/>
      <c r="I42" s="386"/>
      <c r="J42" s="386"/>
      <c r="L42" s="104"/>
    </row>
    <row r="43" spans="1:12" ht="12.65" customHeight="1" x14ac:dyDescent="0.35">
      <c r="B43" s="88"/>
      <c r="C43" s="88" t="s">
        <v>1557</v>
      </c>
      <c r="D43" s="376"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386"/>
      <c r="F43" s="386"/>
      <c r="G43" s="386"/>
      <c r="H43" s="386"/>
      <c r="I43" s="386"/>
      <c r="J43" s="386"/>
      <c r="L43" s="104"/>
    </row>
    <row r="44" spans="1:12" ht="12.65" customHeight="1" x14ac:dyDescent="0.35">
      <c r="B44" s="88"/>
      <c r="C44" s="93" t="s">
        <v>130</v>
      </c>
      <c r="D44" s="376"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387"/>
      <c r="F44" s="387"/>
      <c r="G44" s="387"/>
      <c r="H44" s="387"/>
      <c r="I44" s="387"/>
      <c r="J44" s="387"/>
      <c r="L44" s="104"/>
    </row>
    <row r="45" spans="1:12" ht="12.65" customHeight="1" x14ac:dyDescent="0.35">
      <c r="B45" s="88"/>
      <c r="C45" s="93" t="s">
        <v>2864</v>
      </c>
      <c r="D45" s="370">
        <f>ber_Opm!C10</f>
        <v>0</v>
      </c>
      <c r="E45" s="371"/>
      <c r="F45" s="371"/>
      <c r="G45" s="371"/>
      <c r="H45" s="371"/>
      <c r="I45" s="371"/>
      <c r="J45" s="371"/>
      <c r="L45" s="104"/>
    </row>
    <row r="46" spans="1:12" ht="12.65" customHeight="1" x14ac:dyDescent="0.35">
      <c r="A46" s="66"/>
      <c r="B46" s="90"/>
      <c r="C46" s="92"/>
      <c r="D46" s="372"/>
      <c r="E46" s="372"/>
      <c r="F46" s="372"/>
      <c r="G46" s="372"/>
      <c r="H46" s="372"/>
      <c r="I46" s="372"/>
      <c r="J46" s="372"/>
      <c r="L46" s="104"/>
    </row>
    <row r="47" spans="1:12" ht="12.65" customHeight="1" x14ac:dyDescent="0.35">
      <c r="L47" s="104"/>
    </row>
    <row r="48" spans="1:12" ht="12.65" customHeight="1" x14ac:dyDescent="0.35">
      <c r="A48" s="66"/>
      <c r="B48" s="71" t="s">
        <v>834</v>
      </c>
      <c r="C48" s="68"/>
      <c r="D48" s="66"/>
      <c r="E48" s="66"/>
      <c r="F48" s="66"/>
      <c r="G48" s="66"/>
      <c r="H48" s="66"/>
      <c r="I48" s="66"/>
      <c r="J48" s="66"/>
      <c r="L48" s="104"/>
    </row>
    <row r="49" spans="2:12" ht="12.65" customHeight="1" x14ac:dyDescent="0.35">
      <c r="B49" s="61" t="s">
        <v>2783</v>
      </c>
      <c r="C49" s="58">
        <f>INDEX(tblAanvAfspr,ber_Infusen!M1,1)</f>
        <v>0</v>
      </c>
      <c r="L49" s="104"/>
    </row>
    <row r="50" spans="2:12" ht="12.65" customHeight="1" x14ac:dyDescent="0.35">
      <c r="B50" s="61" t="s">
        <v>2784</v>
      </c>
      <c r="C50" s="58">
        <f>INDEX(tblAanvAfspr,ber_Infusen!M2,1)</f>
        <v>0</v>
      </c>
      <c r="L50" s="104"/>
    </row>
    <row r="51" spans="2:12" ht="12.65" customHeight="1" x14ac:dyDescent="0.35">
      <c r="B51" s="61" t="s">
        <v>2785</v>
      </c>
      <c r="C51" s="58">
        <f>INDEX(tblAanvAfspr,ber_Infusen!M3,1)</f>
        <v>0</v>
      </c>
      <c r="L51" s="104"/>
    </row>
    <row r="52" spans="2:12" ht="12.65" customHeight="1" x14ac:dyDescent="0.35">
      <c r="B52" s="61" t="s">
        <v>2786</v>
      </c>
      <c r="C52" s="58">
        <f>INDEX(tblAanvAfspr,ber_Infusen!M4,1)</f>
        <v>0</v>
      </c>
      <c r="L52" s="104"/>
    </row>
    <row r="53" spans="2:12" ht="12.65" customHeight="1" x14ac:dyDescent="0.35">
      <c r="B53" s="61" t="s">
        <v>2787</v>
      </c>
      <c r="C53" s="58" t="str">
        <f>IF(Controle_3&gt;0,Infusen!B23&amp;" "&amp;Infusen!C23&amp;", ","")&amp;IF(Controle_8&gt;0,Infusen!E24&amp;" "&amp;Infusen!F24&amp;", ","")&amp;IF(Controle_2&gt;0,Infusen!E23&amp;" "&amp;Infusen!F23&amp;", ","")&amp;IF(Controle_6&gt;0,Infusen!B24&amp;" "&amp;Infusen!C24&amp;", ","")</f>
        <v/>
      </c>
      <c r="L53" s="104"/>
    </row>
    <row r="54" spans="2:12" ht="12.65" customHeight="1" x14ac:dyDescent="0.35">
      <c r="B54" s="61" t="s">
        <v>835</v>
      </c>
      <c r="C54" s="374"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374"/>
      <c r="E54" s="374"/>
      <c r="F54" s="374"/>
      <c r="G54" s="374"/>
      <c r="H54" s="374"/>
      <c r="I54" s="374"/>
      <c r="J54" s="374"/>
      <c r="L54" s="104"/>
    </row>
    <row r="55" spans="2:12" ht="12.65" customHeight="1" x14ac:dyDescent="0.35">
      <c r="C55" s="374"/>
      <c r="D55" s="374"/>
      <c r="E55" s="374"/>
      <c r="F55" s="374"/>
      <c r="G55" s="374"/>
      <c r="H55" s="374"/>
      <c r="I55" s="374"/>
      <c r="J55" s="374"/>
      <c r="L55" s="104"/>
    </row>
    <row r="56" spans="2:12" ht="12.65" customHeight="1" x14ac:dyDescent="0.35">
      <c r="B56" s="61" t="s">
        <v>836</v>
      </c>
      <c r="C56" s="380">
        <f>ber_Opm!C11</f>
        <v>0</v>
      </c>
      <c r="D56" s="380"/>
      <c r="E56" s="380"/>
      <c r="F56" s="380"/>
      <c r="G56" s="380"/>
      <c r="H56" s="380"/>
      <c r="I56" s="380"/>
      <c r="J56" s="380"/>
      <c r="L56" s="104"/>
    </row>
    <row r="57" spans="2:12" ht="7" customHeight="1" x14ac:dyDescent="0.35">
      <c r="C57" s="381"/>
      <c r="D57" s="381"/>
      <c r="E57" s="381"/>
      <c r="F57" s="381"/>
      <c r="G57" s="381"/>
      <c r="H57" s="381"/>
      <c r="I57" s="381"/>
      <c r="J57" s="381"/>
      <c r="L57" s="104"/>
    </row>
    <row r="58" spans="2:12" ht="7" customHeight="1" x14ac:dyDescent="0.35">
      <c r="C58" s="381"/>
      <c r="D58" s="381"/>
      <c r="E58" s="381"/>
      <c r="F58" s="381"/>
      <c r="G58" s="381"/>
      <c r="H58" s="381"/>
      <c r="I58" s="381"/>
      <c r="J58" s="381"/>
      <c r="L58" s="104"/>
    </row>
    <row r="59" spans="2:12" ht="7" customHeight="1" x14ac:dyDescent="0.35">
      <c r="C59" s="381"/>
      <c r="D59" s="381"/>
      <c r="E59" s="381"/>
      <c r="F59" s="381"/>
      <c r="G59" s="381"/>
      <c r="H59" s="381"/>
      <c r="I59" s="381"/>
      <c r="J59" s="381"/>
      <c r="L59" s="104"/>
    </row>
    <row r="60" spans="2:12" ht="12.65" customHeight="1" x14ac:dyDescent="0.35">
      <c r="B60" s="61">
        <v>8</v>
      </c>
      <c r="C60" s="337" t="s">
        <v>802</v>
      </c>
      <c r="D60" s="336"/>
      <c r="E60" s="336"/>
      <c r="F60" s="336"/>
      <c r="G60" s="336"/>
      <c r="H60" s="336"/>
      <c r="I60" s="336"/>
      <c r="J60" s="336"/>
      <c r="L60" s="104"/>
    </row>
    <row r="61" spans="2:12" ht="12.65" customHeight="1" x14ac:dyDescent="0.35">
      <c r="C61" s="337"/>
      <c r="D61" s="336"/>
      <c r="E61" s="336"/>
      <c r="F61" s="336"/>
      <c r="G61" s="336"/>
      <c r="H61" s="336"/>
      <c r="I61" s="336"/>
      <c r="J61" s="336"/>
      <c r="L61" s="104"/>
    </row>
    <row r="62" spans="2:12" ht="12.65" customHeight="1" x14ac:dyDescent="0.35">
      <c r="C62" s="337"/>
      <c r="D62" s="336"/>
      <c r="E62" s="336"/>
      <c r="F62" s="336"/>
      <c r="G62" s="336"/>
      <c r="H62" s="336"/>
      <c r="I62" s="336"/>
      <c r="J62" s="336"/>
      <c r="L62" s="104"/>
    </row>
    <row r="63" spans="2:12" ht="12.65" customHeight="1" x14ac:dyDescent="0.35">
      <c r="C63" s="337"/>
      <c r="D63" s="336"/>
      <c r="E63" s="336"/>
      <c r="F63" s="336"/>
      <c r="G63" s="336"/>
      <c r="H63" s="336"/>
      <c r="I63" s="336"/>
      <c r="J63" s="336"/>
      <c r="L63" s="104"/>
    </row>
    <row r="64" spans="2:12" ht="12.65" customHeight="1" x14ac:dyDescent="0.35">
      <c r="C64" s="337"/>
      <c r="D64" s="336"/>
      <c r="E64" s="336"/>
      <c r="F64" s="336"/>
      <c r="G64" s="336"/>
      <c r="H64" s="336"/>
      <c r="I64" s="336"/>
      <c r="J64" s="336"/>
      <c r="L64" s="104"/>
    </row>
    <row r="65" spans="1:12" ht="12.65" customHeight="1" x14ac:dyDescent="0.35">
      <c r="B65" s="72" t="s">
        <v>918</v>
      </c>
      <c r="C65" s="66"/>
      <c r="D65" s="66"/>
      <c r="F65" s="66" t="s">
        <v>5064</v>
      </c>
      <c r="G65" s="66"/>
      <c r="H65" s="66"/>
      <c r="I65" s="66"/>
      <c r="L65" s="104"/>
    </row>
    <row r="66" spans="1:12" ht="12.65" customHeight="1" x14ac:dyDescent="0.35">
      <c r="L66" s="104"/>
    </row>
    <row r="67" spans="1:12" ht="12.65" customHeight="1" x14ac:dyDescent="0.35">
      <c r="B67" s="86"/>
      <c r="C67" s="87" t="e">
        <f>#REF!</f>
        <v>#REF!</v>
      </c>
      <c r="D67" s="56" t="e">
        <f>#REF!</f>
        <v>#REF!</v>
      </c>
      <c r="E67" s="87" t="e">
        <f>#REF!</f>
        <v>#REF!</v>
      </c>
      <c r="F67" s="375" t="e">
        <f>#REF!</f>
        <v>#REF!</v>
      </c>
      <c r="G67" s="375"/>
      <c r="H67" s="88" t="s">
        <v>2745</v>
      </c>
      <c r="I67" s="58" t="str">
        <f>Gewicht/10&amp;" kg"</f>
        <v>10 kg</v>
      </c>
      <c r="J67" s="57"/>
      <c r="L67" s="104"/>
    </row>
    <row r="68" spans="1:12" ht="12.65" customHeight="1" x14ac:dyDescent="0.35">
      <c r="B68" s="86"/>
      <c r="C68" s="87" t="e">
        <f>#REF!</f>
        <v>#REF!</v>
      </c>
      <c r="D68" s="59" t="e">
        <f ca="1">AfspraakDatum-OpnDatum+1</f>
        <v>#NAME?</v>
      </c>
      <c r="E68" s="87" t="e">
        <f>#REF!</f>
        <v>#REF!</v>
      </c>
      <c r="F68" s="60" t="e">
        <f>#REF!</f>
        <v>#REF!</v>
      </c>
      <c r="G68" s="57"/>
      <c r="H68" s="88" t="s">
        <v>1341</v>
      </c>
      <c r="I68" s="58" t="str">
        <f>Lengte&amp;" cm"</f>
        <v>80 cm</v>
      </c>
      <c r="J68" s="57"/>
      <c r="L68" s="104"/>
    </row>
    <row r="69" spans="1:12" ht="12.65" customHeight="1" x14ac:dyDescent="0.35">
      <c r="D69" s="57"/>
      <c r="F69" s="57"/>
      <c r="H69" s="88" t="s">
        <v>1353</v>
      </c>
      <c r="I69" s="58" t="str">
        <f>ROUND(POWER(Gewicht/10,0.425)*POWER(((Lengte/100)*100),0.725)*0.007184,2)&amp;" m2"</f>
        <v>0.46 m2</v>
      </c>
      <c r="L69" s="104"/>
    </row>
    <row r="70" spans="1:12" ht="12.65" customHeight="1" x14ac:dyDescent="0.35">
      <c r="D70" s="57"/>
      <c r="F70" s="57"/>
      <c r="L70" s="104"/>
    </row>
    <row r="71" spans="1:12" ht="12.65" customHeight="1" x14ac:dyDescent="0.35">
      <c r="A71" s="66"/>
      <c r="B71" s="71" t="s">
        <v>212</v>
      </c>
      <c r="C71" s="68"/>
      <c r="D71" s="66"/>
      <c r="E71" s="66"/>
      <c r="F71" s="66"/>
      <c r="G71" s="66"/>
      <c r="H71" s="69"/>
      <c r="I71" s="69"/>
      <c r="J71" s="69"/>
      <c r="L71" s="104"/>
    </row>
    <row r="72" spans="1:12" ht="12.65" customHeight="1" x14ac:dyDescent="0.35">
      <c r="B72" s="61">
        <v>1</v>
      </c>
      <c r="C72" s="58">
        <f>INDEX(tblInfusen,ber_Infusen!E2,1)</f>
        <v>0</v>
      </c>
      <c r="H72" s="62"/>
      <c r="I72" s="62"/>
      <c r="J72" s="62"/>
      <c r="L72" s="104" t="str">
        <f t="shared" ref="L72:L77" si="0">IF(C72=0,"D","")</f>
        <v>D</v>
      </c>
    </row>
    <row r="73" spans="1:12" ht="12.65" customHeight="1" x14ac:dyDescent="0.35">
      <c r="B73" s="61">
        <v>2</v>
      </c>
      <c r="C73" s="58">
        <f>INDEX(tblInfusen,ber_Infusen!E3,1)</f>
        <v>0</v>
      </c>
      <c r="H73" s="62"/>
      <c r="I73" s="62"/>
      <c r="J73" s="62"/>
      <c r="L73" s="104" t="str">
        <f t="shared" si="0"/>
        <v>D</v>
      </c>
    </row>
    <row r="74" spans="1:12" ht="12.65" customHeight="1" x14ac:dyDescent="0.35">
      <c r="B74" s="61">
        <v>3</v>
      </c>
      <c r="C74" s="58">
        <f>INDEX(tblInfusen,ber_Infusen!E4,1)</f>
        <v>0</v>
      </c>
      <c r="H74" s="62"/>
      <c r="I74" s="62"/>
      <c r="J74" s="62"/>
      <c r="L74" s="104" t="str">
        <f t="shared" si="0"/>
        <v>D</v>
      </c>
    </row>
    <row r="75" spans="1:12" ht="12.65" customHeight="1" x14ac:dyDescent="0.35">
      <c r="B75" s="61">
        <v>4</v>
      </c>
      <c r="C75" s="58">
        <f>INDEX(tblInfusen,ber_Infusen!E5,1)</f>
        <v>0</v>
      </c>
      <c r="H75" s="62"/>
      <c r="I75" s="62"/>
      <c r="J75" s="62"/>
      <c r="L75" s="104" t="str">
        <f t="shared" si="0"/>
        <v>D</v>
      </c>
    </row>
    <row r="76" spans="1:12" ht="12.65" customHeight="1" x14ac:dyDescent="0.35">
      <c r="B76" s="61">
        <v>5</v>
      </c>
      <c r="C76" s="58">
        <f>INDEX(tblInfusen,ber_Infusen!E6,1)</f>
        <v>0</v>
      </c>
      <c r="H76" s="62"/>
      <c r="I76" s="62"/>
      <c r="J76" s="62"/>
      <c r="L76" s="104" t="str">
        <f t="shared" si="0"/>
        <v>D</v>
      </c>
    </row>
    <row r="77" spans="1:12" ht="12.65" customHeight="1" x14ac:dyDescent="0.35">
      <c r="B77" s="61">
        <v>6</v>
      </c>
      <c r="C77" s="58">
        <f>INDEX(tblInfusen,ber_Infusen!E7,1)</f>
        <v>0</v>
      </c>
      <c r="H77" s="62"/>
      <c r="I77" s="62"/>
      <c r="J77" s="62"/>
      <c r="L77" s="104" t="str">
        <f t="shared" si="0"/>
        <v>D</v>
      </c>
    </row>
    <row r="78" spans="1:12" ht="12.65" customHeight="1" x14ac:dyDescent="0.35">
      <c r="H78" s="62"/>
      <c r="I78" s="62"/>
      <c r="J78" s="62"/>
      <c r="L78" s="104"/>
    </row>
    <row r="79" spans="1:12" ht="12.65" customHeight="1" x14ac:dyDescent="0.35">
      <c r="A79" s="66"/>
      <c r="B79" s="89"/>
      <c r="C79" s="90" t="s">
        <v>2864</v>
      </c>
      <c r="D79" s="378">
        <f>ber_Opm!C3</f>
        <v>0</v>
      </c>
      <c r="E79" s="379"/>
      <c r="F79" s="379"/>
      <c r="G79" s="379"/>
      <c r="H79" s="379"/>
      <c r="I79" s="379"/>
      <c r="J79" s="379"/>
      <c r="L79" s="104"/>
    </row>
    <row r="80" spans="1:12" ht="12.65" customHeight="1" x14ac:dyDescent="0.35">
      <c r="L80" s="104"/>
    </row>
    <row r="81" spans="1:12" ht="12.65" customHeight="1" x14ac:dyDescent="0.35">
      <c r="L81" s="104"/>
    </row>
    <row r="82" spans="1:12" ht="12.65" customHeight="1" x14ac:dyDescent="0.35">
      <c r="A82" s="66"/>
      <c r="B82" s="71" t="s">
        <v>2865</v>
      </c>
      <c r="C82" s="66"/>
      <c r="D82" s="66"/>
      <c r="E82" s="66"/>
      <c r="F82" s="66"/>
      <c r="G82" s="66"/>
      <c r="H82" s="66"/>
      <c r="I82" s="66"/>
      <c r="J82" s="66"/>
      <c r="L82" s="104"/>
    </row>
    <row r="83" spans="1:12" ht="12.65" customHeight="1" x14ac:dyDescent="0.35">
      <c r="B83" s="86"/>
      <c r="C83" s="88" t="s">
        <v>2960</v>
      </c>
      <c r="D83" s="88"/>
      <c r="E83" s="88" t="s">
        <v>995</v>
      </c>
      <c r="F83" s="88"/>
      <c r="G83" s="88" t="s">
        <v>2963</v>
      </c>
      <c r="H83" s="88"/>
      <c r="I83" s="88"/>
      <c r="J83" s="88" t="s">
        <v>1984</v>
      </c>
      <c r="L83" s="104"/>
    </row>
    <row r="84" spans="1:12" ht="12.65" customHeight="1" x14ac:dyDescent="0.35">
      <c r="B84" s="61">
        <v>1</v>
      </c>
      <c r="C84" s="58">
        <f>MedicatieIV!C8</f>
        <v>0</v>
      </c>
      <c r="E84" s="58" t="str">
        <f>IF(C84&lt;&gt;0,MedicatieIV!D8&amp;" in "&amp;MedicatieIV!E8&amp;IF(AND(ber_IVmed!D5&lt;&gt;4,MedicatieIV!F8&lt;&gt;0)," "&amp;MedicatieIV!F8,""),"")</f>
        <v/>
      </c>
      <c r="G84" s="58" t="str">
        <f>IF(C84&lt;&gt;0,MedicatieIV!G8&amp;" (="&amp;MedicatieIV!H8&amp;")","")</f>
        <v/>
      </c>
      <c r="J84" s="58" t="str">
        <f>MedicatieIV!I8</f>
        <v/>
      </c>
      <c r="L84" s="104" t="str">
        <f t="shared" ref="L84:L98" si="1">IF(C84=0,"D","")</f>
        <v>D</v>
      </c>
    </row>
    <row r="85" spans="1:12" ht="12.65" customHeight="1" x14ac:dyDescent="0.35">
      <c r="B85" s="61">
        <v>2</v>
      </c>
      <c r="C85" s="58">
        <f>MedicatieIV!C9</f>
        <v>0</v>
      </c>
      <c r="E85" s="58" t="str">
        <f>IF(C85&lt;&gt;0,MedicatieIV!D9&amp;" in "&amp;MedicatieIV!E9&amp;IF(AND(ber_IVmed!D6&lt;&gt;4,MedicatieIV!F9&lt;&gt;0)," "&amp;MedicatieIV!F9,""),"")</f>
        <v/>
      </c>
      <c r="G85" s="58" t="str">
        <f>IF(C85&lt;&gt;0,MedicatieIV!G9&amp;" (="&amp;MedicatieIV!H9&amp;")","")</f>
        <v/>
      </c>
      <c r="J85" s="58" t="str">
        <f>MedicatieIV!I9</f>
        <v/>
      </c>
      <c r="L85" s="104" t="str">
        <f t="shared" si="1"/>
        <v>D</v>
      </c>
    </row>
    <row r="86" spans="1:12" ht="12.65" customHeight="1" x14ac:dyDescent="0.35">
      <c r="B86" s="61">
        <v>3</v>
      </c>
      <c r="C86" s="58">
        <f>MedicatieIV!C10</f>
        <v>0</v>
      </c>
      <c r="E86" s="58" t="str">
        <f>IF(C86&lt;&gt;0,MedicatieIV!D10&amp;" in "&amp;MedicatieIV!E10&amp;IF(AND(ber_IVmed!D7&lt;&gt;4,MedicatieIV!F10&lt;&gt;0)," "&amp;MedicatieIV!F10,""),"")</f>
        <v/>
      </c>
      <c r="G86" s="58" t="str">
        <f>IF(C86&lt;&gt;0,MedicatieIV!G10&amp;" (="&amp;MedicatieIV!H10&amp;")","")</f>
        <v/>
      </c>
      <c r="J86" s="58" t="str">
        <f>MedicatieIV!I10</f>
        <v/>
      </c>
      <c r="L86" s="104" t="str">
        <f t="shared" si="1"/>
        <v>D</v>
      </c>
    </row>
    <row r="87" spans="1:12" ht="12.65" customHeight="1" x14ac:dyDescent="0.35">
      <c r="B87" s="61">
        <v>4</v>
      </c>
      <c r="C87" s="58">
        <f>MedicatieIV!C11</f>
        <v>0</v>
      </c>
      <c r="E87" s="58" t="str">
        <f>IF(C87&lt;&gt;0,MedicatieIV!D11&amp;" in "&amp;MedicatieIV!E11&amp;IF(AND(ber_IVmed!D8&lt;&gt;4,MedicatieIV!F11&lt;&gt;0)," "&amp;MedicatieIV!F11,""),"")</f>
        <v/>
      </c>
      <c r="G87" s="58" t="str">
        <f>IF(C87&lt;&gt;0,MedicatieIV!G11&amp;" (="&amp;MedicatieIV!H11&amp;")","")</f>
        <v/>
      </c>
      <c r="J87" s="58" t="str">
        <f>MedicatieIV!I11</f>
        <v/>
      </c>
      <c r="L87" s="104" t="str">
        <f t="shared" si="1"/>
        <v>D</v>
      </c>
    </row>
    <row r="88" spans="1:12" ht="12.65" customHeight="1" x14ac:dyDescent="0.35">
      <c r="B88" s="61">
        <v>5</v>
      </c>
      <c r="C88" s="58">
        <f>MedicatieIV!C12</f>
        <v>0</v>
      </c>
      <c r="E88" s="58" t="str">
        <f>IF(C88&lt;&gt;0,MedicatieIV!D12&amp;" in "&amp;MedicatieIV!E12&amp;IF(AND(ber_IVmed!D10&lt;&gt;4,MedicatieIV!F12&lt;&gt;0)," "&amp;MedicatieIV!F12,""),"")</f>
        <v/>
      </c>
      <c r="G88" s="58" t="str">
        <f>IF(C88&lt;&gt;0,MedicatieIV!G12&amp;" (="&amp;MedicatieIV!H12&amp;")","")</f>
        <v/>
      </c>
      <c r="J88" s="58" t="str">
        <f>MedicatieIV!I12</f>
        <v/>
      </c>
      <c r="L88" s="104" t="str">
        <f t="shared" si="1"/>
        <v>D</v>
      </c>
    </row>
    <row r="89" spans="1:12" ht="12.65" customHeight="1" x14ac:dyDescent="0.35">
      <c r="B89" s="61">
        <v>6</v>
      </c>
      <c r="C89" s="58">
        <f>MedicatieIV!C13</f>
        <v>0</v>
      </c>
      <c r="E89" s="58" t="str">
        <f>IF(C89&lt;&gt;0,MedicatieIV!D13&amp;" in "&amp;MedicatieIV!E13&amp;IF(AND(ber_IVmed!D11&lt;&gt;4,MedicatieIV!F13&lt;&gt;0)," "&amp;MedicatieIV!F13,""),"")</f>
        <v/>
      </c>
      <c r="G89" s="58" t="str">
        <f>IF(C89&lt;&gt;0,MedicatieIV!G13&amp;" (="&amp;MedicatieIV!H13&amp;")","")</f>
        <v/>
      </c>
      <c r="J89" s="58" t="str">
        <f>MedicatieIV!I13</f>
        <v/>
      </c>
      <c r="L89" s="104" t="str">
        <f t="shared" si="1"/>
        <v>D</v>
      </c>
    </row>
    <row r="90" spans="1:12" ht="12.65" customHeight="1" x14ac:dyDescent="0.35">
      <c r="B90" s="61">
        <v>7</v>
      </c>
      <c r="C90" s="58">
        <f>MedicatieIV!C14</f>
        <v>0</v>
      </c>
      <c r="E90" s="58" t="str">
        <f>IF(C90&lt;&gt;0,MedicatieIV!D14&amp;" in "&amp;MedicatieIV!E14&amp;IF(AND(ber_IVmed!D12&lt;&gt;4,MedicatieIV!F14&lt;&gt;0)," "&amp;MedicatieIV!F14,""),"")</f>
        <v/>
      </c>
      <c r="G90" s="58" t="str">
        <f>IF(C90&lt;&gt;0,MedicatieIV!G14&amp;" (="&amp;MedicatieIV!H14&amp;")","")</f>
        <v/>
      </c>
      <c r="J90" s="58" t="str">
        <f>MedicatieIV!I14</f>
        <v/>
      </c>
      <c r="L90" s="104" t="str">
        <f t="shared" si="1"/>
        <v>D</v>
      </c>
    </row>
    <row r="91" spans="1:12" ht="12.65" customHeight="1" x14ac:dyDescent="0.35">
      <c r="B91" s="61">
        <v>8</v>
      </c>
      <c r="C91" s="58">
        <f>MedicatieIV!C15</f>
        <v>0</v>
      </c>
      <c r="E91" s="58" t="str">
        <f>IF(C91&lt;&gt;0,MedicatieIV!D15&amp;" in "&amp;MedicatieIV!E15&amp;IF(AND(ber_IVmed!D13&lt;&gt;4,MedicatieIV!F15&lt;&gt;0)," "&amp;MedicatieIV!F15,""),"")</f>
        <v/>
      </c>
      <c r="G91" s="58" t="str">
        <f>IF(C91&lt;&gt;0,MedicatieIV!G15&amp;" (="&amp;MedicatieIV!H15&amp;")","")</f>
        <v/>
      </c>
      <c r="J91" s="58" t="str">
        <f>MedicatieIV!I15</f>
        <v/>
      </c>
      <c r="L91" s="104" t="str">
        <f t="shared" si="1"/>
        <v>D</v>
      </c>
    </row>
    <row r="92" spans="1:12" ht="12.65" customHeight="1" x14ac:dyDescent="0.35">
      <c r="B92" s="61">
        <v>9</v>
      </c>
      <c r="C92" s="58">
        <f>MedicatieIV!C16</f>
        <v>0</v>
      </c>
      <c r="E92" s="58" t="str">
        <f>IF(C92&lt;&gt;0,MedicatieIV!D16&amp;" in "&amp;MedicatieIV!E16&amp;IF(AND(ber_IVmed!D14&lt;&gt;4,MedicatieIV!F16&lt;&gt;0)," "&amp;MedicatieIV!F16,""),"")</f>
        <v/>
      </c>
      <c r="G92" s="58" t="str">
        <f>IF(C92&lt;&gt;0,MedicatieIV!G16&amp;" (="&amp;MedicatieIV!H16&amp;")","")</f>
        <v/>
      </c>
      <c r="J92" s="58" t="str">
        <f>MedicatieIV!I16</f>
        <v/>
      </c>
      <c r="L92" s="104" t="str">
        <f t="shared" si="1"/>
        <v>D</v>
      </c>
    </row>
    <row r="93" spans="1:12" ht="12.65" customHeight="1" x14ac:dyDescent="0.35">
      <c r="B93" s="61">
        <v>10</v>
      </c>
      <c r="C93" s="58">
        <f>MedicatieIV!C17</f>
        <v>0</v>
      </c>
      <c r="E93" s="58" t="str">
        <f>IF(C93&lt;&gt;0,MedicatieIV!D17&amp;" in "&amp;MedicatieIV!E17&amp;IF(AND(ber_IVmed!D15&lt;&gt;4,MedicatieIV!F17&lt;&gt;0)," "&amp;MedicatieIV!F17,""),"")</f>
        <v/>
      </c>
      <c r="G93" s="58" t="str">
        <f>IF(C93&lt;&gt;0,MedicatieIV!G17&amp;" (="&amp;MedicatieIV!H17&amp;")","")</f>
        <v/>
      </c>
      <c r="J93" s="58" t="str">
        <f>MedicatieIV!I17</f>
        <v/>
      </c>
      <c r="L93" s="104" t="str">
        <f t="shared" si="1"/>
        <v>D</v>
      </c>
    </row>
    <row r="94" spans="1:12" ht="12.65" customHeight="1" x14ac:dyDescent="0.35">
      <c r="B94" s="61">
        <v>11</v>
      </c>
      <c r="C94" s="58">
        <f>MedicatieIV!C19</f>
        <v>0</v>
      </c>
      <c r="E94" s="58" t="str">
        <f>IF(C94&lt;&gt;0,MedicatieIV!D19&amp;" in "&amp;MedicatieIV!E19&amp;IF(AND(ber_IVmed!D27&lt;&gt;4,MedicatieIV!F19&lt;&gt;0)," "&amp;MedicatieIV!F19,""),"")</f>
        <v/>
      </c>
      <c r="G94" s="58">
        <f>MedicatieIV!G19</f>
        <v>0</v>
      </c>
      <c r="J94" s="58" t="str">
        <f>MedicatieIV!I19</f>
        <v/>
      </c>
      <c r="L94" s="104" t="str">
        <f t="shared" si="1"/>
        <v>D</v>
      </c>
    </row>
    <row r="95" spans="1:12" ht="12.65" customHeight="1" x14ac:dyDescent="0.35">
      <c r="B95" s="61">
        <v>12</v>
      </c>
      <c r="C95" s="58">
        <f>MedicatieIV!C20</f>
        <v>0</v>
      </c>
      <c r="E95" s="58" t="str">
        <f>IF(C95&lt;&gt;0,MedicatieIV!D20&amp;" in "&amp;MedicatieIV!E20&amp;IF(AND(ber_IVmed!D28&lt;&gt;4,MedicatieIV!F20&lt;&gt;0)," "&amp;MedicatieIV!F20,""),"")</f>
        <v/>
      </c>
      <c r="G95" s="58">
        <f>MedicatieIV!G20</f>
        <v>0</v>
      </c>
      <c r="J95" s="58" t="str">
        <f>MedicatieIV!I20</f>
        <v/>
      </c>
      <c r="L95" s="104" t="str">
        <f t="shared" si="1"/>
        <v>D</v>
      </c>
    </row>
    <row r="96" spans="1:12" ht="12.65" customHeight="1" x14ac:dyDescent="0.35">
      <c r="B96" s="61">
        <v>13</v>
      </c>
      <c r="C96" s="58">
        <f>MedicatieIV!C21</f>
        <v>0</v>
      </c>
      <c r="E96" s="58" t="str">
        <f>IF(C96&lt;&gt;0,MedicatieIV!D21&amp;" in "&amp;MedicatieIV!E21&amp;IF(AND(ber_IVmed!D29&lt;&gt;4,MedicatieIV!F21&lt;&gt;0)," "&amp;MedicatieIV!F21,""),"")</f>
        <v/>
      </c>
      <c r="G96" s="58">
        <f>MedicatieIV!G21</f>
        <v>0</v>
      </c>
      <c r="J96" s="58" t="str">
        <f>MedicatieIV!I21</f>
        <v/>
      </c>
      <c r="L96" s="104" t="str">
        <f t="shared" si="1"/>
        <v>D</v>
      </c>
    </row>
    <row r="97" spans="1:12" ht="12.65" customHeight="1" x14ac:dyDescent="0.35">
      <c r="B97" s="61">
        <v>14</v>
      </c>
      <c r="C97" s="58">
        <f>MedicatieIV!C22</f>
        <v>0</v>
      </c>
      <c r="E97" s="58" t="str">
        <f>IF(C97&lt;&gt;0,MedicatieIV!D22&amp;" in "&amp;MedicatieIV!E22&amp;IF(AND(ber_IVmed!D30&lt;&gt;4,MedicatieIV!F22&lt;&gt;0)," "&amp;MedicatieIV!F22,""),"")</f>
        <v/>
      </c>
      <c r="G97" s="58">
        <f>MedicatieIV!G22</f>
        <v>0</v>
      </c>
      <c r="J97" s="58" t="str">
        <f>MedicatieIV!I22</f>
        <v/>
      </c>
      <c r="L97" s="104" t="str">
        <f t="shared" si="1"/>
        <v>D</v>
      </c>
    </row>
    <row r="98" spans="1:12" ht="12.65" customHeight="1" x14ac:dyDescent="0.35">
      <c r="B98" s="61">
        <v>15</v>
      </c>
      <c r="C98" s="58">
        <f>MedicatieIV!C23</f>
        <v>0</v>
      </c>
      <c r="E98" s="58" t="str">
        <f>IF(C98&lt;&gt;0,MedicatieIV!D23&amp;" in "&amp;MedicatieIV!E23&amp;IF(AND(ber_IVmed!D31&lt;&gt;4,MedicatieIV!F23&lt;&gt;0)," "&amp;MedicatieIV!F23,""),"")</f>
        <v/>
      </c>
      <c r="G98" s="58">
        <f>MedicatieIV!G23</f>
        <v>0</v>
      </c>
      <c r="J98" s="58" t="str">
        <f>MedicatieIV!I23</f>
        <v/>
      </c>
      <c r="L98" s="104" t="str">
        <f t="shared" si="1"/>
        <v>D</v>
      </c>
    </row>
    <row r="99" spans="1:12" ht="12.65" customHeight="1" x14ac:dyDescent="0.35">
      <c r="L99" s="104"/>
    </row>
    <row r="100" spans="1:12" ht="12.65" customHeight="1" x14ac:dyDescent="0.35">
      <c r="B100" s="86"/>
      <c r="C100" s="88" t="s">
        <v>2864</v>
      </c>
      <c r="D100" s="370">
        <f>ber_Opm!C4</f>
        <v>0</v>
      </c>
      <c r="E100" s="370"/>
      <c r="F100" s="370"/>
      <c r="G100" s="370"/>
      <c r="H100" s="370"/>
      <c r="I100" s="370"/>
      <c r="J100" s="370"/>
      <c r="L100" s="104"/>
    </row>
    <row r="101" spans="1:12" ht="12.65" customHeight="1" x14ac:dyDescent="0.35">
      <c r="D101" s="373"/>
      <c r="E101" s="373"/>
      <c r="F101" s="373"/>
      <c r="G101" s="373"/>
      <c r="H101" s="373"/>
      <c r="I101" s="373"/>
      <c r="J101" s="373"/>
      <c r="L101" s="104"/>
    </row>
    <row r="102" spans="1:12" ht="12.65" customHeight="1" x14ac:dyDescent="0.35">
      <c r="A102" s="66"/>
      <c r="B102" s="71" t="str">
        <f>Intake!C14</f>
        <v>Infuus</v>
      </c>
      <c r="C102" s="68"/>
      <c r="D102" s="66"/>
      <c r="E102" s="66"/>
      <c r="F102" s="66"/>
      <c r="G102" s="66"/>
      <c r="H102" s="66"/>
      <c r="I102" s="66"/>
      <c r="J102" s="66"/>
      <c r="L102" s="104"/>
    </row>
    <row r="103" spans="1:12" ht="12.65" customHeight="1" x14ac:dyDescent="0.35">
      <c r="B103" s="86"/>
      <c r="C103" s="88"/>
      <c r="D103" s="118">
        <f>IF(E103&lt;&gt;"",Intake!C15,)</f>
        <v>0</v>
      </c>
      <c r="E103" s="67" t="str">
        <f>IF(TPN2tot6kg!G21&lt;&gt;0,TPN2tot6kg!A14&amp;" ml","")</f>
        <v/>
      </c>
      <c r="F103" s="67" t="str">
        <f>IF(TPN2tot6kg!G21&lt;&gt;0,TPN2tot6kg!G21&amp;" ml","")</f>
        <v/>
      </c>
      <c r="G103" s="124"/>
      <c r="H103" s="118">
        <f>IF(I103&lt;&gt;"",Intake!H15,)</f>
        <v>0</v>
      </c>
      <c r="I103" s="67" t="str">
        <f>Intake!I15</f>
        <v/>
      </c>
      <c r="J103" s="67" t="str">
        <f>Intake!J15</f>
        <v/>
      </c>
      <c r="L103" s="104"/>
    </row>
    <row r="104" spans="1:12" ht="12.65" customHeight="1" x14ac:dyDescent="0.35">
      <c r="B104" s="86"/>
      <c r="C104" s="88"/>
      <c r="D104" s="87" t="str">
        <f>IF(F104&lt;&gt;"",ber_TPN!A27,"")</f>
        <v/>
      </c>
      <c r="E104" s="58" t="str">
        <f>IF(ber_TPN!B4=4,ROUND(ber_TPN!D4,1)&amp;" ml/uur","")</f>
        <v/>
      </c>
      <c r="F104" s="58" t="str">
        <f>Intake!E16</f>
        <v/>
      </c>
      <c r="G104" s="88"/>
      <c r="H104" s="87">
        <f>IF(J104&lt;&gt;"",INDEX(tblSSTGlucose,SSTGlucose_2,1),)</f>
        <v>0</v>
      </c>
      <c r="J104" s="58" t="str">
        <f>Intake!J17</f>
        <v/>
      </c>
      <c r="L104" s="104" t="str">
        <f>IF(AND(D104="",H104=0),"D","")</f>
        <v>D</v>
      </c>
    </row>
    <row r="105" spans="1:12" ht="12.65" customHeight="1" x14ac:dyDescent="0.35">
      <c r="B105" s="86"/>
      <c r="C105" s="88"/>
      <c r="D105" s="87" t="str">
        <f>IF(Intake!G16&lt;&gt;"","Peditrace","")</f>
        <v/>
      </c>
      <c r="E105" s="165" t="str">
        <f>IF(Intake!G16&lt;&gt;"",Intake!G16&amp;" "&amp;Intake!F17,"")</f>
        <v/>
      </c>
      <c r="F105" s="166"/>
      <c r="G105" s="88"/>
      <c r="H105" s="87">
        <f>IF(J105&lt;&gt;"",Intake!H18,)</f>
        <v>0</v>
      </c>
      <c r="J105" s="58" t="str">
        <f>Intake!J18</f>
        <v/>
      </c>
      <c r="L105" s="104" t="str">
        <f>IF(AND(D105="",H105=0),"D","")</f>
        <v>D</v>
      </c>
    </row>
    <row r="106" spans="1:12" ht="12.65" customHeight="1" x14ac:dyDescent="0.35">
      <c r="B106" s="86"/>
      <c r="C106" s="88"/>
      <c r="D106" s="87">
        <f>IF(F106&lt;&gt;"",INDEX(tblSSTGlucose,SSTglucose,1),)</f>
        <v>0</v>
      </c>
      <c r="F106" s="58" t="str">
        <f>IF(AND(TPN=2,SSTglucose&lt;11,Gewicht/10&lt;=50),ROUND(ber_TPN!F6,0)&amp;" ml","")</f>
        <v/>
      </c>
      <c r="G106" s="88"/>
      <c r="H106" s="87">
        <f>IF(J106&lt;&gt;"",Intake!H19,)</f>
        <v>0</v>
      </c>
      <c r="J106" s="58" t="str">
        <f>Intake!J19</f>
        <v/>
      </c>
      <c r="L106" s="104" t="str">
        <f>IF(AND(D106="",H106=0),"D","")</f>
        <v/>
      </c>
    </row>
    <row r="107" spans="1:12" ht="12.65" customHeight="1" x14ac:dyDescent="0.35">
      <c r="B107" s="86"/>
      <c r="C107" s="88"/>
      <c r="D107" s="87">
        <f>IF(F107&lt;&gt;"",Intake!C18,)</f>
        <v>0</v>
      </c>
      <c r="F107" s="58" t="str">
        <f>IF(AND(TPN2tot6kg!G14&lt;&gt;"",ber_TPN!$F$4&gt;0),TPN2tot6kg!G14&amp;" ml","")</f>
        <v/>
      </c>
      <c r="L107" s="104" t="str">
        <f>IF(D107=0,"D","")</f>
        <v>D</v>
      </c>
    </row>
    <row r="108" spans="1:12" ht="12.65" customHeight="1" x14ac:dyDescent="0.35">
      <c r="B108" s="86"/>
      <c r="C108" s="88"/>
      <c r="D108" s="87">
        <f>IF(F108&lt;&gt;"",Intake!C19,)</f>
        <v>0</v>
      </c>
      <c r="F108" s="58" t="str">
        <f>IF(AND(TPN2tot6kg!G15&lt;&gt;"",ber_TPN!$F$4&gt;0),TPN2tot6kg!G15&amp;" ml","")</f>
        <v/>
      </c>
      <c r="L108" s="104" t="str">
        <f>IF(D108=0,"D","")</f>
        <v>D</v>
      </c>
    </row>
    <row r="109" spans="1:12" ht="12.65" customHeight="1" x14ac:dyDescent="0.35">
      <c r="D109" s="70"/>
      <c r="H109" s="70"/>
      <c r="L109" s="104"/>
    </row>
    <row r="110" spans="1:12" ht="12.65" customHeight="1" x14ac:dyDescent="0.35">
      <c r="B110" s="86"/>
      <c r="C110" s="88"/>
      <c r="D110" s="119" t="str">
        <f>IF(F110&lt;&gt;"","Electrolyt/Glucose mengsel","")</f>
        <v/>
      </c>
      <c r="E110" s="66" t="str">
        <f>IF(AND(Gewicht/10&gt;50,TPNboven50kg!A27&lt;&gt;""),TPNboven50kg!A27,TPN2tot6kg!A29)</f>
        <v/>
      </c>
      <c r="F110" s="66" t="str">
        <f>IF(AND(Gewicht/10&gt;50,TPNboven50kg!G35&lt;&gt;0),TPNboven50kg!G35&amp;" ml",IF(TPN2tot6kg!G36&lt;&gt;0,TPN2tot6kg!G36&amp;" ml",""))</f>
        <v/>
      </c>
      <c r="G110" s="66"/>
      <c r="H110" s="121"/>
      <c r="I110" s="66"/>
      <c r="J110" s="66"/>
      <c r="L110" s="104"/>
    </row>
    <row r="111" spans="1:12" ht="12.65" customHeight="1" x14ac:dyDescent="0.35">
      <c r="B111" s="86"/>
      <c r="C111" s="88"/>
      <c r="D111" s="87">
        <f>IF(F111&lt;&gt;"",INDEX(tblSSTGlucose,SSTglucose,1),)</f>
        <v>0</v>
      </c>
      <c r="E111" s="117"/>
      <c r="F111" s="58" t="str">
        <f>IF(AND(OR(TPN=1,AND(TPN=2,SSTglucose&gt;10),Gewicht/10&gt;50),ROUND(ber_TPN!F6,0)&lt;&gt;0,SSTglucose&lt;&gt;2),ROUND(ber_TPN!F6,0)&amp;" ml","")</f>
        <v/>
      </c>
      <c r="L111" s="104" t="str">
        <f>IF(D111=0,"D","")</f>
        <v>D</v>
      </c>
    </row>
    <row r="112" spans="1:12" ht="12.65" customHeight="1" x14ac:dyDescent="0.35">
      <c r="B112" s="86"/>
      <c r="C112" s="88"/>
      <c r="D112" s="87">
        <f>IF(F112&lt;&gt;"","CaGluc 10%",)</f>
        <v>0</v>
      </c>
      <c r="F112" s="58" t="str">
        <f>Intake!E21</f>
        <v/>
      </c>
      <c r="L112" s="104" t="str">
        <f t="shared" ref="L112:L118" si="2">IF(D112=0,"D","")</f>
        <v>D</v>
      </c>
    </row>
    <row r="113" spans="1:12" ht="12.65" customHeight="1" x14ac:dyDescent="0.35">
      <c r="B113" s="86"/>
      <c r="C113" s="88"/>
      <c r="D113" s="87">
        <f>IF(F113&lt;&gt;"","MgCl 10%",)</f>
        <v>0</v>
      </c>
      <c r="F113" s="58" t="str">
        <f>Intake!E22</f>
        <v/>
      </c>
      <c r="L113" s="104" t="str">
        <f t="shared" si="2"/>
        <v>D</v>
      </c>
    </row>
    <row r="114" spans="1:12" ht="12.65" customHeight="1" x14ac:dyDescent="0.35">
      <c r="B114" s="86"/>
      <c r="C114" s="88"/>
      <c r="D114" s="87">
        <f>IF(F114&lt;&gt;"",Intake!C18,)</f>
        <v>0</v>
      </c>
      <c r="F114" s="58" t="str">
        <f>IF(AND(Gewicht/10&gt;50,TPNboven50kg!G27&lt;&gt;0),TPNboven50kg!G27&amp;" ml",IF(OR(AND(TPN2tot6kg!G29&lt;&gt;0,ber_TPN!$F$4=0),AND(TPN2tot6kg!G29&lt;&gt;0,Gewicht/10&gt;50)),TPN2tot6kg!G29&amp;" ml",""))</f>
        <v/>
      </c>
      <c r="H114" s="70"/>
      <c r="L114" s="104" t="str">
        <f t="shared" si="2"/>
        <v>D</v>
      </c>
    </row>
    <row r="115" spans="1:12" ht="12.65" customHeight="1" x14ac:dyDescent="0.35">
      <c r="B115" s="86"/>
      <c r="C115" s="88"/>
      <c r="D115" s="87">
        <f>IF(F115&lt;&gt;"",Intake!C19,)</f>
        <v>0</v>
      </c>
      <c r="F115" s="58" t="str">
        <f>IF(AND(Gewicht/10&gt;51,TPNboven50kg!G28&lt;&gt;0),TPNboven50kg!G28&amp;" ml",IF(OR(AND(TPN2tot6kg!G30&lt;&gt;0,ber_TPN!$F$4=0),AND(TPN2tot6kg!G30&lt;&gt;0,Gewicht/10&gt;50)),TPN2tot6kg!G30&amp;" ml",""))</f>
        <v/>
      </c>
      <c r="H115" s="70"/>
      <c r="L115" s="104" t="str">
        <f t="shared" si="2"/>
        <v>D</v>
      </c>
    </row>
    <row r="116" spans="1:12" ht="12.65" customHeight="1" x14ac:dyDescent="0.35">
      <c r="B116" s="86"/>
      <c r="C116" s="88"/>
      <c r="D116" s="87" t="str">
        <f>IF(F116&lt;&gt;"","Glucose 10%","")</f>
        <v/>
      </c>
      <c r="F116" s="58" t="str">
        <f>IF(AND(Gewicht/10&gt;51,TPNboven50kg!G31&lt;&gt;0),TPNboven50kg!G31&amp;" ml",IF(AND(TPN2tot6kg!G33&lt;&gt;0,Gewicht/10&lt;=50),TPN2tot6kg!G33&amp;" ml",""))</f>
        <v/>
      </c>
      <c r="H116" s="70"/>
      <c r="L116" s="104" t="str">
        <f t="shared" si="2"/>
        <v/>
      </c>
    </row>
    <row r="117" spans="1:12" ht="12.65" customHeight="1" x14ac:dyDescent="0.35">
      <c r="L117" s="104"/>
    </row>
    <row r="118" spans="1:12" ht="12.65" customHeight="1" x14ac:dyDescent="0.35">
      <c r="B118" s="86"/>
      <c r="C118" s="88"/>
      <c r="D118" s="125">
        <f>IF(E118&lt;&gt;" ","KNaFosfaat",)</f>
        <v>0</v>
      </c>
      <c r="E118" s="66" t="str">
        <f>Intake!E23&amp;" "&amp;Intake!H23</f>
        <v xml:space="preserve"> </v>
      </c>
      <c r="F118" s="66"/>
      <c r="L118" s="104" t="str">
        <f t="shared" si="2"/>
        <v>D</v>
      </c>
    </row>
    <row r="119" spans="1:12" ht="12.65" customHeight="1" x14ac:dyDescent="0.35">
      <c r="L119" s="104"/>
    </row>
    <row r="120" spans="1:12" ht="12.65" customHeight="1" x14ac:dyDescent="0.35">
      <c r="B120" s="86"/>
      <c r="C120" s="88"/>
      <c r="D120" s="120">
        <f>IF(E120&lt;&gt;"",Intake!C24,)</f>
        <v>0</v>
      </c>
      <c r="E120" s="66" t="str">
        <f>Intake!D24</f>
        <v/>
      </c>
      <c r="F120" s="66" t="str">
        <f>IF(ROUND(ber_TPN!F12,0)&gt;0,ROUND(ber_TPN!F12,0)&amp;" ml","")</f>
        <v/>
      </c>
      <c r="H120" s="57"/>
      <c r="L120" s="104"/>
    </row>
    <row r="121" spans="1:12" ht="12.65" customHeight="1" x14ac:dyDescent="0.35">
      <c r="B121" s="86"/>
      <c r="C121" s="88"/>
      <c r="D121" s="87">
        <f>IF(F121&lt;&gt;"","Intralipid 20%",)</f>
        <v>0</v>
      </c>
      <c r="F121" s="58" t="str">
        <f>Intake!E25</f>
        <v/>
      </c>
      <c r="H121" s="70"/>
      <c r="L121" s="104" t="str">
        <f>IF(D121=0,"D","")</f>
        <v>D</v>
      </c>
    </row>
    <row r="122" spans="1:12" ht="12.65" customHeight="1" x14ac:dyDescent="0.35">
      <c r="B122" s="86"/>
      <c r="C122" s="88"/>
      <c r="D122" s="87">
        <f>IF(F122&lt;&gt;"","Vitintra Infant",)</f>
        <v>0</v>
      </c>
      <c r="F122" s="58" t="str">
        <f>Intake!E26</f>
        <v/>
      </c>
      <c r="H122" s="70"/>
      <c r="L122" s="104" t="str">
        <f>IF(D122=0,"D","")</f>
        <v>D</v>
      </c>
    </row>
    <row r="123" spans="1:12" ht="12.65" customHeight="1" x14ac:dyDescent="0.35">
      <c r="B123" s="86"/>
      <c r="C123" s="88"/>
      <c r="D123" s="87">
        <f>IF(F123&lt;&gt;"","Soluvit",)</f>
        <v>0</v>
      </c>
      <c r="F123" s="58" t="str">
        <f>Intake!E27</f>
        <v/>
      </c>
      <c r="H123" s="70"/>
      <c r="L123" s="104" t="str">
        <f>IF(D123=0,"D","")</f>
        <v>D</v>
      </c>
    </row>
    <row r="124" spans="1:12" ht="12.65" customHeight="1" x14ac:dyDescent="0.35">
      <c r="C124" s="70"/>
      <c r="L124" s="104"/>
    </row>
    <row r="125" spans="1:12" ht="12.65" customHeight="1" x14ac:dyDescent="0.35">
      <c r="A125" s="66"/>
      <c r="B125" s="89"/>
      <c r="C125" s="90" t="s">
        <v>2864</v>
      </c>
      <c r="D125" s="378">
        <f>ber_Opm!C9</f>
        <v>0</v>
      </c>
      <c r="E125" s="379"/>
      <c r="F125" s="379"/>
      <c r="G125" s="379"/>
      <c r="H125" s="379"/>
      <c r="I125" s="379"/>
      <c r="J125" s="379"/>
      <c r="L125" s="104"/>
    </row>
    <row r="126" spans="1:12" ht="12.65" customHeight="1" x14ac:dyDescent="0.35">
      <c r="L126" s="104"/>
    </row>
    <row r="127" spans="1:12" ht="12.65" customHeight="1" x14ac:dyDescent="0.35">
      <c r="L127" s="104"/>
    </row>
    <row r="128" spans="1:12" ht="12.65" customHeight="1" x14ac:dyDescent="0.35">
      <c r="A128" s="66"/>
      <c r="B128" s="71" t="s">
        <v>3501</v>
      </c>
      <c r="C128" s="68"/>
      <c r="D128" s="66"/>
      <c r="E128" s="66"/>
      <c r="F128" s="66"/>
      <c r="G128" s="66"/>
      <c r="H128" s="66"/>
      <c r="I128" s="66"/>
      <c r="J128" s="66"/>
      <c r="L128" s="104"/>
    </row>
    <row r="129" spans="1:12" ht="12.65" customHeight="1" x14ac:dyDescent="0.35">
      <c r="B129" s="86"/>
      <c r="C129" s="87" t="str">
        <f>Intake!B31</f>
        <v>Vocht</v>
      </c>
      <c r="D129" s="58" t="str">
        <f>Intake!D31</f>
        <v>0 ml/kg</v>
      </c>
      <c r="E129" s="87" t="str">
        <f>Intake!B32</f>
        <v>Calorieen</v>
      </c>
      <c r="F129" s="58" t="str">
        <f>Intake!D32</f>
        <v>0 kCal/kg</v>
      </c>
      <c r="G129" s="87" t="str">
        <f>Intake!B35</f>
        <v>Kalium</v>
      </c>
      <c r="H129" s="58" t="str">
        <f>Intake!D35</f>
        <v>0 mmol/kg</v>
      </c>
      <c r="I129" s="87" t="str">
        <f>Intake!B34</f>
        <v xml:space="preserve">Natrium </v>
      </c>
      <c r="J129" s="58" t="str">
        <f>Intake!D34</f>
        <v>0 mmol/kg</v>
      </c>
      <c r="L129" s="104"/>
    </row>
    <row r="130" spans="1:12" ht="12.65" customHeight="1" x14ac:dyDescent="0.35">
      <c r="B130" s="86"/>
      <c r="C130" s="87" t="str">
        <f>Intake!H31</f>
        <v>Eiwit</v>
      </c>
      <c r="D130" s="58" t="str">
        <f>Intake!I31</f>
        <v>0  gram/kg</v>
      </c>
      <c r="E130" s="87" t="str">
        <f>Intake!H32</f>
        <v>Vet</v>
      </c>
      <c r="F130" s="58" t="str">
        <f>Intake!I32</f>
        <v>0 gram/kg</v>
      </c>
      <c r="G130" s="87" t="str">
        <f>Intake!H33</f>
        <v>Calcium</v>
      </c>
      <c r="H130" s="58" t="str">
        <f>Intake!I33</f>
        <v>0 mmol/kg</v>
      </c>
      <c r="I130" s="87" t="str">
        <f>Intake!H35</f>
        <v>Fosfaat</v>
      </c>
      <c r="J130" s="58" t="str">
        <f>Intake!I35</f>
        <v>0 mmol/kg</v>
      </c>
      <c r="L130" s="104"/>
    </row>
    <row r="131" spans="1:12" ht="12.65" customHeight="1" x14ac:dyDescent="0.35">
      <c r="A131" s="66"/>
      <c r="B131" s="89"/>
      <c r="C131" s="91" t="str">
        <f>Intake!B33</f>
        <v>Glucose/KH</v>
      </c>
      <c r="D131" s="66" t="str">
        <f>Intake!D33</f>
        <v>0 g/kg</v>
      </c>
      <c r="E131" s="90"/>
      <c r="F131" s="66"/>
      <c r="G131" s="91" t="s">
        <v>3094</v>
      </c>
      <c r="H131" s="66" t="str">
        <f>Intake!I34</f>
        <v>0 mmol/kg</v>
      </c>
      <c r="I131" s="90"/>
      <c r="J131" s="66"/>
      <c r="L131" s="104"/>
    </row>
    <row r="132" spans="1:12" ht="12.65" customHeight="1" x14ac:dyDescent="0.35">
      <c r="B132" s="86"/>
      <c r="C132" s="87" t="e">
        <f>#REF!</f>
        <v>#REF!</v>
      </c>
      <c r="D132" s="56" t="e">
        <f>#REF!</f>
        <v>#REF!</v>
      </c>
      <c r="E132" s="87" t="e">
        <f>#REF!</f>
        <v>#REF!</v>
      </c>
      <c r="F132" s="375" t="e">
        <f>#REF!</f>
        <v>#REF!</v>
      </c>
      <c r="G132" s="375"/>
      <c r="H132" s="88" t="s">
        <v>2745</v>
      </c>
      <c r="I132" s="58" t="str">
        <f>Gewicht/10&amp;" kg"</f>
        <v>10 kg</v>
      </c>
      <c r="J132" s="57"/>
      <c r="L132" s="104"/>
    </row>
    <row r="133" spans="1:12" ht="12.65" customHeight="1" x14ac:dyDescent="0.35">
      <c r="B133" s="86"/>
      <c r="C133" s="87" t="e">
        <f>#REF!</f>
        <v>#REF!</v>
      </c>
      <c r="D133" s="59" t="e">
        <f ca="1">AfspraakDatum-OpnDatum+1</f>
        <v>#NAME?</v>
      </c>
      <c r="E133" s="87" t="e">
        <f>#REF!</f>
        <v>#REF!</v>
      </c>
      <c r="F133" s="60" t="e">
        <f>#REF!</f>
        <v>#REF!</v>
      </c>
      <c r="G133" s="57"/>
      <c r="H133" s="88" t="s">
        <v>1341</v>
      </c>
      <c r="I133" s="58" t="str">
        <f>Lengte&amp;" cm"</f>
        <v>80 cm</v>
      </c>
      <c r="J133" s="57"/>
      <c r="L133" s="104"/>
    </row>
    <row r="134" spans="1:12" ht="12.65" customHeight="1" x14ac:dyDescent="0.35">
      <c r="D134" s="57"/>
      <c r="F134" s="57"/>
      <c r="H134" s="88" t="s">
        <v>1353</v>
      </c>
      <c r="I134" s="58" t="str">
        <f>ROUND(POWER(Gewicht/10,0.425)*POWER(((Lengte/100)*100),0.725)*0.007184,2)&amp;" m2"</f>
        <v>0.46 m2</v>
      </c>
      <c r="L134" s="104"/>
    </row>
    <row r="135" spans="1:12" ht="12.65" customHeight="1" x14ac:dyDescent="0.35">
      <c r="D135" s="57"/>
      <c r="F135" s="57"/>
      <c r="L135" s="104"/>
    </row>
    <row r="136" spans="1:12" ht="12.65" customHeight="1" x14ac:dyDescent="0.35">
      <c r="D136" s="57"/>
      <c r="F136" s="57"/>
      <c r="L136" s="104"/>
    </row>
    <row r="137" spans="1:12" ht="12.65" customHeight="1" x14ac:dyDescent="0.35">
      <c r="D137" s="57"/>
      <c r="F137" s="57"/>
      <c r="L137" s="104"/>
    </row>
    <row r="138" spans="1:12" ht="12.65" customHeight="1" x14ac:dyDescent="0.35">
      <c r="B138" s="71" t="s">
        <v>344</v>
      </c>
      <c r="C138" s="66"/>
      <c r="D138" s="72"/>
      <c r="E138" s="66"/>
      <c r="F138" s="71" t="str">
        <f>IF(Comfort,"Ja","Nee")</f>
        <v>Ja</v>
      </c>
      <c r="L138" s="104"/>
    </row>
    <row r="139" spans="1:12" ht="12.65" customHeight="1" x14ac:dyDescent="0.35">
      <c r="L139" s="104"/>
    </row>
    <row r="140" spans="1:12" ht="12.65" customHeight="1" x14ac:dyDescent="0.35">
      <c r="D140" s="326" t="s">
        <v>2680</v>
      </c>
      <c r="G140" s="326" t="s">
        <v>1328</v>
      </c>
      <c r="L140" s="104"/>
    </row>
    <row r="141" spans="1:12" ht="25" customHeight="1" x14ac:dyDescent="0.4">
      <c r="A141" s="388" t="s">
        <v>1326</v>
      </c>
      <c r="B141" s="389"/>
      <c r="C141" s="147" t="s">
        <v>1327</v>
      </c>
      <c r="D141" s="147" t="s">
        <v>1329</v>
      </c>
      <c r="E141" s="388" t="s">
        <v>1331</v>
      </c>
      <c r="F141" s="389"/>
      <c r="G141" s="155" t="s">
        <v>1329</v>
      </c>
      <c r="H141" s="388" t="s">
        <v>1330</v>
      </c>
      <c r="I141" s="389"/>
      <c r="J141" s="155" t="s">
        <v>2420</v>
      </c>
      <c r="K141" s="61"/>
      <c r="L141" s="104"/>
    </row>
    <row r="142" spans="1:12" ht="20.100000000000001" customHeight="1" x14ac:dyDescent="0.35">
      <c r="A142" s="148"/>
      <c r="B142" s="328"/>
      <c r="C142" s="147"/>
      <c r="D142" s="147"/>
      <c r="E142" s="148"/>
      <c r="F142" s="328"/>
      <c r="G142" s="150"/>
      <c r="H142" s="153"/>
      <c r="I142" s="154"/>
      <c r="J142" s="156"/>
      <c r="K142" s="61"/>
      <c r="L142" s="104"/>
    </row>
    <row r="143" spans="1:12" ht="20.100000000000001" customHeight="1" x14ac:dyDescent="0.35">
      <c r="A143" s="148"/>
      <c r="B143" s="328"/>
      <c r="C143" s="147"/>
      <c r="D143" s="147"/>
      <c r="E143" s="148"/>
      <c r="F143" s="328"/>
      <c r="G143" s="150"/>
      <c r="H143" s="153"/>
      <c r="I143" s="154"/>
      <c r="J143" s="156"/>
      <c r="K143" s="61"/>
      <c r="L143" s="104"/>
    </row>
    <row r="144" spans="1:12" ht="20.100000000000001" customHeight="1" x14ac:dyDescent="0.35">
      <c r="A144" s="148"/>
      <c r="B144" s="328"/>
      <c r="C144" s="147"/>
      <c r="D144" s="147"/>
      <c r="E144" s="148"/>
      <c r="F144" s="328"/>
      <c r="G144" s="150"/>
      <c r="H144" s="153"/>
      <c r="I144" s="154"/>
      <c r="J144" s="156"/>
      <c r="K144" s="61"/>
      <c r="L144" s="104"/>
    </row>
    <row r="145" spans="1:13" ht="20.100000000000001" customHeight="1" x14ac:dyDescent="0.35">
      <c r="A145" s="148"/>
      <c r="B145" s="328"/>
      <c r="C145" s="147"/>
      <c r="D145" s="147"/>
      <c r="E145" s="148"/>
      <c r="F145" s="328"/>
      <c r="G145" s="150"/>
      <c r="H145" s="153"/>
      <c r="I145" s="154"/>
      <c r="J145" s="156"/>
      <c r="K145" s="61"/>
      <c r="L145" s="104"/>
    </row>
    <row r="146" spans="1:13" ht="20.100000000000001" customHeight="1" x14ac:dyDescent="0.35">
      <c r="A146" s="148"/>
      <c r="B146" s="328"/>
      <c r="C146" s="147"/>
      <c r="D146" s="147"/>
      <c r="E146" s="148"/>
      <c r="F146" s="328"/>
      <c r="G146" s="150"/>
      <c r="H146" s="153"/>
      <c r="I146" s="154"/>
      <c r="J146" s="156"/>
      <c r="K146" s="61"/>
      <c r="L146" s="104"/>
    </row>
    <row r="147" spans="1:13" ht="20.100000000000001" customHeight="1" x14ac:dyDescent="0.35">
      <c r="A147" s="148"/>
      <c r="B147" s="328"/>
      <c r="C147" s="147"/>
      <c r="D147" s="147"/>
      <c r="E147" s="148"/>
      <c r="F147" s="328"/>
      <c r="G147" s="150"/>
      <c r="H147" s="153"/>
      <c r="I147" s="154"/>
      <c r="J147" s="156"/>
      <c r="K147" s="61"/>
      <c r="L147" s="104"/>
    </row>
    <row r="148" spans="1:13" ht="20.100000000000001" customHeight="1" x14ac:dyDescent="0.35">
      <c r="A148" s="148"/>
      <c r="B148" s="328"/>
      <c r="C148" s="147"/>
      <c r="D148" s="147"/>
      <c r="E148" s="148"/>
      <c r="F148" s="328"/>
      <c r="G148" s="150"/>
      <c r="H148" s="153"/>
      <c r="I148" s="154"/>
      <c r="J148" s="156"/>
      <c r="K148" s="61"/>
      <c r="L148" s="104"/>
    </row>
    <row r="149" spans="1:13" ht="20.100000000000001" customHeight="1" x14ac:dyDescent="0.35">
      <c r="A149" s="148"/>
      <c r="B149" s="328"/>
      <c r="C149" s="147"/>
      <c r="D149" s="147"/>
      <c r="E149" s="148"/>
      <c r="F149" s="328"/>
      <c r="G149" s="150"/>
      <c r="H149" s="153"/>
      <c r="I149" s="154"/>
      <c r="J149" s="156"/>
      <c r="K149" s="61"/>
      <c r="L149" s="104"/>
    </row>
    <row r="150" spans="1:13" ht="20.100000000000001" customHeight="1" x14ac:dyDescent="0.35">
      <c r="A150" s="148"/>
      <c r="B150" s="328"/>
      <c r="C150" s="147"/>
      <c r="D150" s="147"/>
      <c r="E150" s="148"/>
      <c r="F150" s="328"/>
      <c r="G150" s="150"/>
      <c r="H150" s="153"/>
      <c r="I150" s="154"/>
      <c r="J150" s="156"/>
      <c r="K150" s="61"/>
      <c r="L150" s="104"/>
    </row>
    <row r="151" spans="1:13" ht="20.100000000000001" customHeight="1" x14ac:dyDescent="0.35">
      <c r="A151" s="148"/>
      <c r="B151" s="328"/>
      <c r="C151" s="147"/>
      <c r="D151" s="147"/>
      <c r="E151" s="148"/>
      <c r="F151" s="328"/>
      <c r="G151" s="150"/>
      <c r="H151" s="153"/>
      <c r="I151" s="154"/>
      <c r="J151" s="156"/>
      <c r="K151"/>
      <c r="L151" s="104"/>
      <c r="M151" s="105"/>
    </row>
    <row r="152" spans="1:13" ht="20.100000000000001" customHeight="1" x14ac:dyDescent="0.35">
      <c r="A152" s="148"/>
      <c r="B152" s="328"/>
      <c r="C152" s="147"/>
      <c r="D152" s="147"/>
      <c r="E152" s="148"/>
      <c r="F152" s="328"/>
      <c r="G152" s="150"/>
      <c r="H152" s="153"/>
      <c r="I152" s="154"/>
      <c r="J152" s="156"/>
      <c r="K152"/>
      <c r="L152" s="104"/>
      <c r="M152" s="105"/>
    </row>
    <row r="153" spans="1:13" ht="20.100000000000001" customHeight="1" x14ac:dyDescent="0.35">
      <c r="A153" s="148"/>
      <c r="B153" s="328"/>
      <c r="C153" s="147"/>
      <c r="D153" s="147"/>
      <c r="E153" s="148"/>
      <c r="F153" s="328"/>
      <c r="G153" s="150"/>
      <c r="H153" s="153"/>
      <c r="I153" s="154"/>
      <c r="J153" s="156"/>
      <c r="K153"/>
      <c r="L153" s="104"/>
      <c r="M153" s="105"/>
    </row>
    <row r="154" spans="1:13" ht="20.100000000000001" customHeight="1" x14ac:dyDescent="0.35">
      <c r="A154" s="148"/>
      <c r="B154" s="328"/>
      <c r="C154" s="147"/>
      <c r="D154" s="147"/>
      <c r="E154" s="148"/>
      <c r="F154" s="328"/>
      <c r="G154" s="150"/>
      <c r="H154" s="153"/>
      <c r="I154" s="154"/>
      <c r="J154" s="156"/>
      <c r="K154"/>
      <c r="L154" s="104"/>
      <c r="M154" s="105"/>
    </row>
    <row r="155" spans="1:13" ht="20.100000000000001" customHeight="1" x14ac:dyDescent="0.35">
      <c r="A155" s="148"/>
      <c r="B155" s="328"/>
      <c r="C155" s="147"/>
      <c r="D155" s="147"/>
      <c r="E155" s="148"/>
      <c r="F155" s="328"/>
      <c r="G155" s="150"/>
      <c r="H155" s="153"/>
      <c r="I155" s="154"/>
      <c r="J155" s="156"/>
      <c r="K155"/>
      <c r="L155" s="104"/>
      <c r="M155" s="105"/>
    </row>
    <row r="156" spans="1:13" ht="20.100000000000001" customHeight="1" x14ac:dyDescent="0.35">
      <c r="A156" s="148"/>
      <c r="B156" s="328"/>
      <c r="C156" s="147"/>
      <c r="D156" s="147"/>
      <c r="E156" s="148"/>
      <c r="F156" s="328"/>
      <c r="G156" s="150"/>
      <c r="H156" s="153"/>
      <c r="I156" s="154"/>
      <c r="J156" s="156"/>
      <c r="K156"/>
      <c r="L156" s="104"/>
      <c r="M156" s="105"/>
    </row>
    <row r="157" spans="1:13" ht="20.100000000000001" customHeight="1" x14ac:dyDescent="0.35">
      <c r="A157" s="148"/>
      <c r="B157" s="328"/>
      <c r="C157" s="147"/>
      <c r="D157" s="147"/>
      <c r="E157" s="148"/>
      <c r="F157" s="328"/>
      <c r="G157" s="150"/>
      <c r="H157" s="153"/>
      <c r="I157" s="154"/>
      <c r="J157" s="156"/>
      <c r="K157"/>
      <c r="L157" s="104"/>
      <c r="M157" s="105"/>
    </row>
    <row r="158" spans="1:13" ht="20.100000000000001" customHeight="1" x14ac:dyDescent="0.35">
      <c r="A158" s="148"/>
      <c r="B158" s="328"/>
      <c r="C158" s="147"/>
      <c r="D158" s="147"/>
      <c r="E158" s="148"/>
      <c r="F158" s="328"/>
      <c r="G158" s="150"/>
      <c r="H158" s="153"/>
      <c r="I158" s="154"/>
      <c r="J158" s="156"/>
      <c r="K158"/>
      <c r="L158" s="104"/>
      <c r="M158" s="105"/>
    </row>
    <row r="159" spans="1:13" ht="30" customHeight="1" x14ac:dyDescent="0.4">
      <c r="A159" s="332" t="s">
        <v>1332</v>
      </c>
      <c r="B159" s="330"/>
      <c r="C159" s="329"/>
      <c r="D159" s="329"/>
      <c r="E159" s="329"/>
      <c r="F159" s="330"/>
      <c r="G159" s="330"/>
      <c r="H159" s="331"/>
      <c r="I159" s="331"/>
      <c r="J159" s="331"/>
      <c r="K159"/>
      <c r="L159" s="104"/>
      <c r="M159" s="105"/>
    </row>
    <row r="160" spans="1:13" ht="30" customHeight="1" x14ac:dyDescent="0.35">
      <c r="A160"/>
      <c r="B160"/>
      <c r="C160"/>
      <c r="D160"/>
      <c r="E160"/>
      <c r="F160"/>
      <c r="G160"/>
      <c r="H160"/>
      <c r="I160"/>
      <c r="J160"/>
      <c r="K160"/>
      <c r="L160"/>
      <c r="M160" s="105"/>
    </row>
    <row r="161" spans="1:13" ht="30" customHeight="1" x14ac:dyDescent="0.35">
      <c r="A161"/>
      <c r="B161"/>
      <c r="C161"/>
      <c r="D161"/>
      <c r="E161"/>
      <c r="F161"/>
      <c r="G161"/>
      <c r="H161"/>
      <c r="I161"/>
      <c r="J161"/>
      <c r="K161"/>
      <c r="L161"/>
      <c r="M161" s="105"/>
    </row>
    <row r="162" spans="1:13" ht="30" customHeight="1" x14ac:dyDescent="0.35">
      <c r="A162"/>
      <c r="B162"/>
      <c r="C162"/>
      <c r="D162"/>
      <c r="E162"/>
      <c r="F162"/>
      <c r="G162"/>
      <c r="H162"/>
      <c r="I162"/>
      <c r="J162"/>
      <c r="K162"/>
      <c r="L162"/>
      <c r="M162" s="105"/>
    </row>
    <row r="163" spans="1:13" ht="30" customHeight="1" x14ac:dyDescent="0.35">
      <c r="A163"/>
      <c r="B163"/>
      <c r="C163"/>
      <c r="D163"/>
      <c r="E163"/>
      <c r="F163"/>
      <c r="G163"/>
      <c r="H163"/>
      <c r="I163"/>
      <c r="J163"/>
      <c r="K163"/>
      <c r="L163"/>
      <c r="M163" s="105"/>
    </row>
    <row r="164" spans="1:13" ht="30" customHeight="1" x14ac:dyDescent="0.35">
      <c r="A164"/>
      <c r="B164"/>
      <c r="C164"/>
      <c r="D164"/>
      <c r="E164"/>
      <c r="F164"/>
      <c r="G164"/>
      <c r="H164"/>
      <c r="I164"/>
      <c r="J164"/>
      <c r="K164"/>
      <c r="L164"/>
      <c r="M164" s="105"/>
    </row>
    <row r="165" spans="1:13" ht="30" customHeight="1" x14ac:dyDescent="0.35">
      <c r="A165"/>
      <c r="B165"/>
      <c r="C165"/>
      <c r="D165"/>
      <c r="E165"/>
      <c r="F165"/>
      <c r="G165"/>
      <c r="H165"/>
      <c r="I165"/>
      <c r="J165"/>
      <c r="K165"/>
      <c r="L165"/>
      <c r="M165" s="105"/>
    </row>
    <row r="166" spans="1:13" ht="30" customHeight="1" x14ac:dyDescent="0.35">
      <c r="A166"/>
      <c r="B166"/>
      <c r="C166"/>
      <c r="D166"/>
      <c r="E166"/>
      <c r="F166"/>
      <c r="G166"/>
      <c r="H166"/>
      <c r="I166"/>
      <c r="J166"/>
      <c r="K166"/>
      <c r="L166"/>
      <c r="M166" s="105"/>
    </row>
    <row r="167" spans="1:13" ht="30" customHeight="1" x14ac:dyDescent="0.35">
      <c r="A167"/>
      <c r="B167"/>
      <c r="C167"/>
      <c r="D167"/>
      <c r="E167"/>
      <c r="F167"/>
      <c r="G167"/>
      <c r="H167"/>
      <c r="I167"/>
      <c r="J167"/>
      <c r="K167"/>
      <c r="L167"/>
    </row>
    <row r="168" spans="1:13" ht="30" customHeight="1" x14ac:dyDescent="0.35">
      <c r="A168"/>
      <c r="B168"/>
      <c r="C168"/>
      <c r="D168"/>
      <c r="E168"/>
      <c r="F168"/>
      <c r="G168"/>
      <c r="H168"/>
      <c r="I168"/>
      <c r="J168"/>
      <c r="K168"/>
      <c r="L168"/>
    </row>
    <row r="169" spans="1:13" ht="30" customHeight="1" x14ac:dyDescent="0.35">
      <c r="A169"/>
      <c r="B169"/>
      <c r="C169"/>
      <c r="D169"/>
      <c r="E169"/>
      <c r="F169"/>
      <c r="G169"/>
      <c r="H169"/>
      <c r="I169"/>
      <c r="J169"/>
      <c r="K169"/>
      <c r="L169"/>
    </row>
    <row r="170" spans="1:13" ht="30" customHeight="1" x14ac:dyDescent="0.35">
      <c r="A170"/>
      <c r="B170"/>
      <c r="C170"/>
      <c r="D170"/>
      <c r="E170"/>
      <c r="F170"/>
      <c r="G170"/>
      <c r="H170"/>
      <c r="I170"/>
      <c r="J170"/>
      <c r="K170"/>
      <c r="L170"/>
    </row>
    <row r="171" spans="1:13" ht="30" customHeight="1" x14ac:dyDescent="0.35">
      <c r="A171"/>
      <c r="B171"/>
      <c r="C171"/>
      <c r="D171"/>
      <c r="E171"/>
      <c r="F171"/>
      <c r="G171"/>
      <c r="H171"/>
      <c r="I171"/>
      <c r="J171"/>
      <c r="K171"/>
      <c r="L171"/>
    </row>
    <row r="172" spans="1:13" ht="30" customHeight="1" x14ac:dyDescent="0.35">
      <c r="A172"/>
      <c r="B172"/>
      <c r="C172"/>
      <c r="D172"/>
      <c r="E172"/>
      <c r="F172"/>
      <c r="G172"/>
      <c r="H172"/>
      <c r="I172"/>
      <c r="J172"/>
      <c r="K172"/>
      <c r="L172"/>
    </row>
    <row r="173" spans="1:13" ht="30" customHeight="1" x14ac:dyDescent="0.35">
      <c r="B173" s="58"/>
      <c r="L173" s="104"/>
    </row>
    <row r="174" spans="1:13" ht="30" customHeight="1" x14ac:dyDescent="0.35">
      <c r="B174" s="58"/>
      <c r="L174" s="104"/>
    </row>
    <row r="175" spans="1:13" ht="30" customHeight="1" x14ac:dyDescent="0.35">
      <c r="B175" s="58"/>
      <c r="L175" s="104"/>
    </row>
    <row r="176" spans="1:13" ht="30" customHeight="1" x14ac:dyDescent="0.35">
      <c r="B176" s="58"/>
      <c r="L176" s="104"/>
    </row>
    <row r="177" spans="2:12" ht="30" customHeight="1" x14ac:dyDescent="0.35">
      <c r="B177" s="58"/>
      <c r="L177" s="104"/>
    </row>
    <row r="178" spans="2:12" ht="30" customHeight="1" x14ac:dyDescent="0.35">
      <c r="B178" s="58"/>
      <c r="L178" s="104"/>
    </row>
    <row r="179" spans="2:12" ht="30" customHeight="1" x14ac:dyDescent="0.35">
      <c r="B179" s="58"/>
      <c r="L179" s="104"/>
    </row>
    <row r="180" spans="2:12" ht="30" customHeight="1" x14ac:dyDescent="0.35">
      <c r="B180" s="58"/>
      <c r="L180" s="104"/>
    </row>
    <row r="181" spans="2:12" ht="30" customHeight="1" x14ac:dyDescent="0.35">
      <c r="B181" s="58"/>
      <c r="L181" s="104"/>
    </row>
    <row r="182" spans="2:12" ht="30" customHeight="1" x14ac:dyDescent="0.35">
      <c r="B182" s="58"/>
      <c r="L182" s="104"/>
    </row>
    <row r="183" spans="2:12" ht="11.7" x14ac:dyDescent="0.35">
      <c r="B183" s="58"/>
      <c r="L183" s="104"/>
    </row>
    <row r="184" spans="2:12" ht="11.7" x14ac:dyDescent="0.35">
      <c r="B184" s="58"/>
      <c r="L184" s="104"/>
    </row>
    <row r="185" spans="2:12" ht="11.7" x14ac:dyDescent="0.35">
      <c r="B185" s="58"/>
      <c r="L185" s="104"/>
    </row>
    <row r="186" spans="2:12" ht="11.7" x14ac:dyDescent="0.35">
      <c r="B186" s="58"/>
      <c r="L186" s="104"/>
    </row>
    <row r="187" spans="2:12" ht="11.7" x14ac:dyDescent="0.35">
      <c r="B187" s="58"/>
      <c r="L187" s="104"/>
    </row>
    <row r="188" spans="2:12" ht="12.65" customHeight="1" x14ac:dyDescent="0.35">
      <c r="B188" s="58"/>
      <c r="L188" s="104"/>
    </row>
    <row r="189" spans="2:12" ht="12.65" customHeight="1" x14ac:dyDescent="0.35">
      <c r="B189" s="58"/>
      <c r="L189" s="104"/>
    </row>
    <row r="190" spans="2:12" ht="12.65" customHeight="1" x14ac:dyDescent="0.35">
      <c r="B190" s="58"/>
      <c r="L190" s="104" t="str">
        <f t="shared" ref="L190:L195" si="3">IF(C49=0,"D","")</f>
        <v>D</v>
      </c>
    </row>
    <row r="191" spans="2:12" ht="12.65" customHeight="1" x14ac:dyDescent="0.35">
      <c r="B191" s="58"/>
      <c r="L191" s="104" t="str">
        <f t="shared" si="3"/>
        <v>D</v>
      </c>
    </row>
    <row r="192" spans="2:12" ht="12.65" customHeight="1" x14ac:dyDescent="0.35">
      <c r="B192" s="58"/>
      <c r="L192" s="104" t="str">
        <f t="shared" si="3"/>
        <v>D</v>
      </c>
    </row>
    <row r="193" spans="2:12" ht="12.65" customHeight="1" x14ac:dyDescent="0.35">
      <c r="B193" s="58"/>
      <c r="L193" s="104" t="str">
        <f t="shared" si="3"/>
        <v>D</v>
      </c>
    </row>
    <row r="194" spans="2:12" ht="12.65" customHeight="1" x14ac:dyDescent="0.35">
      <c r="B194" s="58"/>
      <c r="L194" s="104" t="str">
        <f t="shared" si="3"/>
        <v/>
      </c>
    </row>
    <row r="195" spans="2:12" ht="12.65" customHeight="1" x14ac:dyDescent="0.35">
      <c r="B195" s="58"/>
      <c r="L195" s="104" t="str">
        <f t="shared" si="3"/>
        <v/>
      </c>
    </row>
    <row r="196" spans="2:12" ht="12.65" customHeight="1" x14ac:dyDescent="0.35">
      <c r="B196" s="58"/>
      <c r="L196" s="104"/>
    </row>
    <row r="197" spans="2:12" ht="12.65" customHeight="1" x14ac:dyDescent="0.35">
      <c r="B197" s="58"/>
      <c r="L197" s="104"/>
    </row>
    <row r="198" spans="2:12" ht="12.65" customHeight="1" x14ac:dyDescent="0.35">
      <c r="B198" s="58"/>
      <c r="L198" s="104"/>
    </row>
    <row r="199" spans="2:12" ht="12.65" customHeight="1" x14ac:dyDescent="0.35">
      <c r="L199" s="104"/>
    </row>
    <row r="200" spans="2:12" ht="12.65" customHeight="1" x14ac:dyDescent="0.35">
      <c r="L200" s="104"/>
    </row>
    <row r="201" spans="2:12" ht="12.65" customHeight="1" x14ac:dyDescent="0.35">
      <c r="L201" s="104"/>
    </row>
    <row r="202" spans="2:12" ht="12.65" customHeight="1" x14ac:dyDescent="0.35">
      <c r="L202" s="104"/>
    </row>
    <row r="209" ht="30" customHeight="1" x14ac:dyDescent="0.35"/>
    <row r="210" ht="30" customHeight="1" x14ac:dyDescent="0.35"/>
    <row r="211" ht="30" customHeight="1" x14ac:dyDescent="0.35"/>
    <row r="212" ht="30" customHeight="1" x14ac:dyDescent="0.35"/>
    <row r="213" ht="30" customHeight="1" x14ac:dyDescent="0.35"/>
    <row r="214" ht="30" customHeight="1" x14ac:dyDescent="0.35"/>
    <row r="215" ht="30" customHeight="1" x14ac:dyDescent="0.35"/>
    <row r="216" ht="30" customHeight="1" x14ac:dyDescent="0.35"/>
    <row r="217" ht="30" customHeight="1" x14ac:dyDescent="0.35"/>
    <row r="218" ht="30" customHeight="1" x14ac:dyDescent="0.35"/>
    <row r="219" ht="30" customHeight="1" x14ac:dyDescent="0.35"/>
    <row r="220" ht="30" customHeight="1" x14ac:dyDescent="0.35"/>
    <row r="221" ht="30" customHeight="1" x14ac:dyDescent="0.35"/>
    <row r="222" ht="30" customHeight="1" x14ac:dyDescent="0.35"/>
    <row r="223" ht="30" customHeight="1" x14ac:dyDescent="0.35"/>
    <row r="224" ht="30" customHeight="1" x14ac:dyDescent="0.35"/>
    <row r="225" ht="30" customHeight="1" x14ac:dyDescent="0.35"/>
    <row r="226" ht="30" customHeight="1" x14ac:dyDescent="0.35"/>
    <row r="227" ht="30" customHeight="1" x14ac:dyDescent="0.35"/>
    <row r="228" ht="30" customHeight="1" x14ac:dyDescent="0.35"/>
    <row r="229" ht="30" customHeight="1" x14ac:dyDescent="0.35"/>
    <row r="230" ht="30" customHeight="1" x14ac:dyDescent="0.35"/>
    <row r="231" ht="30" customHeight="1" x14ac:dyDescent="0.35"/>
    <row r="232" ht="30" customHeight="1" x14ac:dyDescent="0.35"/>
    <row r="233" ht="30" customHeight="1" x14ac:dyDescent="0.35"/>
    <row r="234" ht="30" customHeight="1" x14ac:dyDescent="0.35"/>
  </sheetData>
  <sheetProtection password="CC20" sheet="1" objects="1" scenarios="1" selectLockedCells="1" selectUnlockedCells="1"/>
  <mergeCells count="19">
    <mergeCell ref="E141:F141"/>
    <mergeCell ref="H141:I141"/>
    <mergeCell ref="A141:B141"/>
    <mergeCell ref="F132:G132"/>
    <mergeCell ref="D125:J125"/>
    <mergeCell ref="D45:J46"/>
    <mergeCell ref="D100:J101"/>
    <mergeCell ref="C54:J55"/>
    <mergeCell ref="F2:G2"/>
    <mergeCell ref="F67:G67"/>
    <mergeCell ref="D41:J41"/>
    <mergeCell ref="D37:J37"/>
    <mergeCell ref="C56:J59"/>
    <mergeCell ref="D79:J79"/>
    <mergeCell ref="D18:J19"/>
    <mergeCell ref="D40:J40"/>
    <mergeCell ref="D42:J42"/>
    <mergeCell ref="D43:J43"/>
    <mergeCell ref="D44:J44"/>
  </mergeCells>
  <phoneticPr fontId="26" type="noConversion"/>
  <pageMargins left="0.31" right="0.19" top="0.44" bottom="0.17" header="0.25" footer="0.17"/>
  <pageSetup paperSize="9" orientation="portrait" r:id="rId1"/>
  <headerFooter alignWithMargins="0">
    <oddHeader>&amp;L&amp;"Arial,Cursief"&amp;9&amp;P&amp;R&amp;"  ,Cursief"&amp;9Datum en tijd:  &amp;D, &amp;T&amp;CBed 2.4</oddHeader>
    <oddFooter xml:space="preserve">&amp;R      </oddFooter>
  </headerFooter>
  <rowBreaks count="2" manualBreakCount="2">
    <brk id="66" max="9" man="1"/>
    <brk id="131" max="9"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PLV"/>
  <dimension ref="A1:U160"/>
  <sheetViews>
    <sheetView showGridLines="0" showRowColHeaders="0" showZeros="0" zoomScaleNormal="100" workbookViewId="0">
      <selection activeCell="B81" sqref="B81"/>
    </sheetView>
  </sheetViews>
  <sheetFormatPr defaultRowHeight="12.85" x14ac:dyDescent="0.35"/>
  <cols>
    <col min="1" max="2" width="2.73046875" customWidth="1"/>
    <col min="3" max="3" width="13.3984375" customWidth="1"/>
    <col min="4" max="4" width="10.73046875" customWidth="1"/>
    <col min="5" max="5" width="12.3984375" customWidth="1"/>
    <col min="6" max="10" width="10.73046875" customWidth="1"/>
  </cols>
  <sheetData>
    <row r="1" spans="1:10" ht="7.55" customHeight="1" x14ac:dyDescent="0.35">
      <c r="A1" s="58"/>
      <c r="B1" s="61"/>
      <c r="C1" s="58"/>
      <c r="D1" s="58"/>
      <c r="E1" s="58"/>
      <c r="F1" s="58"/>
      <c r="G1" s="58"/>
      <c r="H1" s="58"/>
      <c r="I1" s="58"/>
      <c r="J1" s="58"/>
    </row>
    <row r="2" spans="1:10" x14ac:dyDescent="0.35">
      <c r="A2" s="58"/>
      <c r="B2" s="86"/>
      <c r="C2" s="87" t="e">
        <f>#REF!</f>
        <v>#REF!</v>
      </c>
      <c r="D2" s="56" t="e">
        <f>#REF!</f>
        <v>#REF!</v>
      </c>
      <c r="E2" s="87" t="e">
        <f>#REF!</f>
        <v>#REF!</v>
      </c>
      <c r="F2" s="375" t="e">
        <f>#REF!</f>
        <v>#REF!</v>
      </c>
      <c r="G2" s="375"/>
      <c r="H2" s="88" t="s">
        <v>2745</v>
      </c>
      <c r="I2" s="58" t="str">
        <f>Gewicht/10&amp;" kg"</f>
        <v>10 kg</v>
      </c>
      <c r="J2" s="57"/>
    </row>
    <row r="3" spans="1:10" x14ac:dyDescent="0.35">
      <c r="A3" s="58"/>
      <c r="B3" s="86"/>
      <c r="C3" s="87" t="s">
        <v>2113</v>
      </c>
      <c r="D3" s="59" t="e">
        <f ca="1">AfspraakDatum-OpnDatum+1</f>
        <v>#NAME?</v>
      </c>
      <c r="E3" s="87" t="e">
        <f>#REF!</f>
        <v>#REF!</v>
      </c>
      <c r="F3" s="60" t="e">
        <f>#REF!</f>
        <v>#REF!</v>
      </c>
      <c r="G3" s="57"/>
      <c r="H3" s="88" t="s">
        <v>1341</v>
      </c>
      <c r="I3" s="58" t="str">
        <f>Lengte&amp;" cm"</f>
        <v>80 cm</v>
      </c>
      <c r="J3" s="57"/>
    </row>
    <row r="4" spans="1:10" x14ac:dyDescent="0.35">
      <c r="A4" s="58"/>
      <c r="B4" s="61"/>
      <c r="C4" s="58"/>
      <c r="D4" s="57"/>
      <c r="E4" s="58"/>
      <c r="F4" s="57"/>
      <c r="G4" s="58"/>
      <c r="H4" s="88" t="s">
        <v>1353</v>
      </c>
      <c r="I4" s="58" t="str">
        <f>ROUND(POWER(Gewicht/10,0.425)*POWER(((Lengte/100)*100),0.725)*0.007184,2)&amp;" m2"</f>
        <v>0.46 m2</v>
      </c>
      <c r="J4" s="58"/>
    </row>
    <row r="5" spans="1:10" ht="13.6" x14ac:dyDescent="0.35">
      <c r="A5" s="66"/>
      <c r="B5" s="71" t="e">
        <f>#REF!</f>
        <v>#REF!</v>
      </c>
      <c r="C5" s="68"/>
      <c r="D5" s="66"/>
      <c r="E5" s="66"/>
      <c r="F5" s="66"/>
      <c r="G5" s="66"/>
      <c r="H5" s="66"/>
      <c r="I5" s="66"/>
      <c r="J5" s="76"/>
    </row>
    <row r="6" spans="1:10" x14ac:dyDescent="0.35">
      <c r="A6" s="58"/>
      <c r="B6" s="86"/>
      <c r="C6" s="88" t="e">
        <f>#REF!</f>
        <v>#REF!</v>
      </c>
      <c r="D6" s="88"/>
      <c r="E6" s="58" t="str">
        <f>IF(Toegang&lt;&gt;1,INDEX(tblToegang,Toegang,1),IF(Zuurstof&lt;&gt;1,INDEX(tblZuurstof,Zuurstof,1)&amp;" met "&amp;#REF!,""))</f>
        <v/>
      </c>
      <c r="F6" s="58"/>
      <c r="G6" s="58"/>
      <c r="H6" s="88" t="e">
        <f>#REF!</f>
        <v>#REF!</v>
      </c>
      <c r="I6" s="88"/>
      <c r="J6" s="57" t="e">
        <f>#REF!</f>
        <v>#REF!</v>
      </c>
    </row>
    <row r="7" spans="1:10" x14ac:dyDescent="0.35">
      <c r="A7" s="58"/>
      <c r="B7" s="86"/>
      <c r="C7" s="88" t="e">
        <f>#REF!</f>
        <v>#REF!</v>
      </c>
      <c r="D7" s="88"/>
      <c r="E7" s="58">
        <f>INDEX(tblDruppelen,dbBead!L2,1)</f>
        <v>0</v>
      </c>
      <c r="F7" s="58"/>
      <c r="G7" s="58"/>
      <c r="H7" s="88" t="e">
        <f>#REF!</f>
        <v>#REF!</v>
      </c>
      <c r="I7" s="88"/>
      <c r="J7" s="58" t="e">
        <f>#REF!</f>
        <v>#REF!</v>
      </c>
    </row>
    <row r="8" spans="1:10" x14ac:dyDescent="0.35">
      <c r="A8" s="58"/>
      <c r="B8" s="86"/>
      <c r="C8" s="88" t="e">
        <f>#REF!</f>
        <v>#REF!</v>
      </c>
      <c r="D8" s="88"/>
      <c r="E8" s="58" t="e">
        <f>#REF!</f>
        <v>#REF!</v>
      </c>
      <c r="F8" s="58"/>
      <c r="G8" s="58"/>
      <c r="H8" s="88" t="e">
        <f>#REF!</f>
        <v>#REF!</v>
      </c>
      <c r="I8" s="88"/>
      <c r="J8" s="58" t="e">
        <f>#REF!</f>
        <v>#REF!</v>
      </c>
    </row>
    <row r="9" spans="1:10" ht="6.8" customHeight="1" x14ac:dyDescent="0.35">
      <c r="A9" s="58"/>
      <c r="B9" s="61"/>
      <c r="C9" s="58"/>
      <c r="D9" s="58"/>
      <c r="E9" s="58"/>
      <c r="F9" s="58"/>
      <c r="G9" s="58"/>
      <c r="H9" s="58"/>
      <c r="I9" s="75"/>
      <c r="J9" s="75"/>
    </row>
    <row r="10" spans="1:10" x14ac:dyDescent="0.35">
      <c r="A10" s="58"/>
      <c r="B10" s="86"/>
      <c r="C10" s="88" t="e">
        <f>#REF!</f>
        <v>#REF!</v>
      </c>
      <c r="D10" s="88"/>
      <c r="E10" s="58">
        <f>INDEX(tblPLV,dbBead!R2,1)</f>
        <v>0</v>
      </c>
      <c r="F10" s="58"/>
      <c r="G10" s="58"/>
      <c r="H10" s="88" t="s">
        <v>3165</v>
      </c>
      <c r="I10" s="88"/>
      <c r="J10" s="58">
        <f>IF(E10&lt;&gt;0,#REF!,)</f>
        <v>0</v>
      </c>
    </row>
    <row r="11" spans="1:10" x14ac:dyDescent="0.35">
      <c r="A11" s="58"/>
      <c r="B11" s="86"/>
      <c r="C11" s="88" t="s">
        <v>3736</v>
      </c>
      <c r="D11" s="88"/>
      <c r="E11" s="58" t="str">
        <f>IF(E10&lt;&gt;0,#REF!,"")</f>
        <v/>
      </c>
      <c r="F11" s="58"/>
      <c r="G11" s="58"/>
      <c r="H11" s="88" t="s">
        <v>2877</v>
      </c>
      <c r="I11" s="88"/>
      <c r="J11" s="57">
        <f>IF(E10&lt;&gt;0,#REF!,)</f>
        <v>0</v>
      </c>
    </row>
    <row r="12" spans="1:10" x14ac:dyDescent="0.35">
      <c r="A12" s="58"/>
      <c r="B12" s="86"/>
      <c r="C12" s="88" t="s">
        <v>3737</v>
      </c>
      <c r="D12" s="88"/>
      <c r="E12" s="58">
        <f>IF(E10&lt;&gt;0,#REF!,)</f>
        <v>0</v>
      </c>
      <c r="F12" s="58"/>
      <c r="G12" s="58"/>
      <c r="H12" s="88" t="s">
        <v>2122</v>
      </c>
      <c r="I12" s="88"/>
      <c r="J12" s="57">
        <f>IF(E10&lt;&gt;0,#REF!,)</f>
        <v>0</v>
      </c>
    </row>
    <row r="13" spans="1:10" x14ac:dyDescent="0.35">
      <c r="A13" s="58"/>
      <c r="B13" s="86"/>
      <c r="C13" s="88" t="s">
        <v>3738</v>
      </c>
      <c r="D13" s="88"/>
      <c r="E13" s="58">
        <f>IF(E10&lt;&gt;0,#REF!,)</f>
        <v>0</v>
      </c>
      <c r="F13" s="58"/>
      <c r="G13" s="58"/>
      <c r="H13" s="58"/>
    </row>
    <row r="14" spans="1:10" x14ac:dyDescent="0.35">
      <c r="A14" s="58"/>
      <c r="B14" s="86"/>
      <c r="C14" s="88" t="s">
        <v>3739</v>
      </c>
      <c r="D14" s="88"/>
      <c r="E14" s="58">
        <f>IF(E10&lt;&gt;0,#REF!,)</f>
        <v>0</v>
      </c>
      <c r="F14" s="58"/>
      <c r="G14" s="58"/>
    </row>
    <row r="15" spans="1:10" x14ac:dyDescent="0.35">
      <c r="A15" s="58"/>
      <c r="B15" s="86"/>
      <c r="C15" s="88" t="e">
        <f>#REF!</f>
        <v>#REF!</v>
      </c>
      <c r="D15" s="88"/>
      <c r="E15" s="58">
        <f>IF(E10&lt;&gt;0,#REF!,)</f>
        <v>0</v>
      </c>
      <c r="F15" s="63"/>
      <c r="G15" s="63"/>
      <c r="H15" s="75"/>
      <c r="I15" s="75"/>
      <c r="J15" s="75"/>
    </row>
    <row r="16" spans="1:10" ht="6.8" customHeight="1" x14ac:dyDescent="0.35">
      <c r="A16" s="58"/>
      <c r="B16" s="61"/>
      <c r="C16" s="58"/>
      <c r="D16" s="58"/>
      <c r="E16" s="58"/>
      <c r="F16" s="63"/>
      <c r="G16" s="63"/>
      <c r="H16" s="75"/>
      <c r="I16" s="75"/>
      <c r="J16" s="75"/>
    </row>
    <row r="17" spans="1:12" x14ac:dyDescent="0.35">
      <c r="A17" s="58"/>
      <c r="B17" s="86"/>
      <c r="C17" s="88" t="s">
        <v>2864</v>
      </c>
      <c r="D17" s="382">
        <f>ber_Opm!C2</f>
        <v>0</v>
      </c>
      <c r="E17" s="383"/>
      <c r="F17" s="383"/>
      <c r="G17" s="383"/>
      <c r="H17" s="383"/>
      <c r="I17" s="383"/>
      <c r="J17" s="383"/>
    </row>
    <row r="18" spans="1:12" x14ac:dyDescent="0.35">
      <c r="A18" s="58"/>
      <c r="B18" s="86"/>
      <c r="C18" s="88"/>
      <c r="D18" s="383"/>
      <c r="E18" s="383"/>
      <c r="F18" s="383"/>
      <c r="G18" s="383"/>
      <c r="H18" s="383"/>
      <c r="I18" s="383"/>
      <c r="J18" s="383"/>
    </row>
    <row r="19" spans="1:12" ht="7.55" customHeight="1" x14ac:dyDescent="0.35">
      <c r="A19" s="58"/>
      <c r="B19" s="61"/>
      <c r="C19" s="58"/>
      <c r="D19" s="58"/>
      <c r="E19" s="58"/>
      <c r="F19" s="61"/>
      <c r="G19" s="61"/>
      <c r="H19" s="62"/>
      <c r="I19" s="62"/>
      <c r="J19" s="62"/>
    </row>
    <row r="20" spans="1:12" ht="13.2" x14ac:dyDescent="0.4">
      <c r="A20" s="58"/>
      <c r="B20" s="61"/>
      <c r="C20" s="147" t="s">
        <v>2330</v>
      </c>
      <c r="D20" s="148" t="s">
        <v>2497</v>
      </c>
      <c r="E20" s="149"/>
      <c r="F20" s="150" t="s">
        <v>2420</v>
      </c>
      <c r="G20" s="150" t="s">
        <v>2330</v>
      </c>
      <c r="H20" s="151" t="s">
        <v>2497</v>
      </c>
      <c r="I20" s="152"/>
      <c r="J20" s="155" t="s">
        <v>2420</v>
      </c>
      <c r="K20" s="61"/>
      <c r="L20" s="104"/>
    </row>
    <row r="21" spans="1:12" x14ac:dyDescent="0.35">
      <c r="A21" s="58"/>
      <c r="B21" s="61"/>
      <c r="C21" s="147"/>
      <c r="D21" s="148"/>
      <c r="E21" s="149"/>
      <c r="F21" s="150"/>
      <c r="G21" s="150"/>
      <c r="H21" s="153"/>
      <c r="I21" s="154"/>
      <c r="J21" s="156"/>
      <c r="K21" s="61"/>
      <c r="L21" s="104"/>
    </row>
    <row r="22" spans="1:12" x14ac:dyDescent="0.35">
      <c r="A22" s="58"/>
      <c r="B22" s="61"/>
      <c r="C22" s="147"/>
      <c r="D22" s="148"/>
      <c r="E22" s="149"/>
      <c r="F22" s="150"/>
      <c r="G22" s="150"/>
      <c r="H22" s="153"/>
      <c r="I22" s="154"/>
      <c r="J22" s="156"/>
      <c r="K22" s="61"/>
      <c r="L22" s="104"/>
    </row>
    <row r="23" spans="1:12" x14ac:dyDescent="0.35">
      <c r="A23" s="58"/>
      <c r="B23" s="61"/>
      <c r="C23" s="147"/>
      <c r="D23" s="148"/>
      <c r="E23" s="149"/>
      <c r="F23" s="150"/>
      <c r="G23" s="150"/>
      <c r="H23" s="153"/>
      <c r="I23" s="154"/>
      <c r="J23" s="156"/>
      <c r="K23" s="61"/>
      <c r="L23" s="104"/>
    </row>
    <row r="24" spans="1:12" x14ac:dyDescent="0.35">
      <c r="A24" s="58"/>
      <c r="B24" s="61"/>
      <c r="C24" s="147"/>
      <c r="D24" s="148"/>
      <c r="E24" s="149"/>
      <c r="F24" s="150"/>
      <c r="G24" s="150"/>
      <c r="H24" s="153"/>
      <c r="I24" s="154"/>
      <c r="J24" s="156"/>
      <c r="K24" s="61"/>
      <c r="L24" s="104"/>
    </row>
    <row r="25" spans="1:12" x14ac:dyDescent="0.35">
      <c r="A25" s="58"/>
      <c r="B25" s="61"/>
      <c r="C25" s="147"/>
      <c r="D25" s="148"/>
      <c r="E25" s="149"/>
      <c r="F25" s="150"/>
      <c r="G25" s="150"/>
      <c r="H25" s="153"/>
      <c r="I25" s="154"/>
      <c r="J25" s="156"/>
      <c r="K25" s="61"/>
      <c r="L25" s="104"/>
    </row>
    <row r="26" spans="1:12" x14ac:dyDescent="0.35">
      <c r="A26" s="58"/>
      <c r="B26" s="61"/>
      <c r="C26" s="147"/>
      <c r="D26" s="148"/>
      <c r="E26" s="149"/>
      <c r="F26" s="150"/>
      <c r="G26" s="150"/>
      <c r="H26" s="153"/>
      <c r="I26" s="154"/>
      <c r="J26" s="156"/>
      <c r="K26" s="61"/>
      <c r="L26" s="104"/>
    </row>
    <row r="27" spans="1:12" x14ac:dyDescent="0.35">
      <c r="A27" s="58"/>
      <c r="B27" s="61"/>
      <c r="C27" s="147"/>
      <c r="D27" s="148"/>
      <c r="E27" s="149"/>
      <c r="F27" s="150"/>
      <c r="G27" s="150"/>
      <c r="H27" s="153"/>
      <c r="I27" s="154"/>
      <c r="J27" s="156"/>
      <c r="K27" s="61"/>
      <c r="L27" s="104"/>
    </row>
    <row r="28" spans="1:12" x14ac:dyDescent="0.35">
      <c r="A28" s="58"/>
      <c r="B28" s="61"/>
      <c r="C28" s="147"/>
      <c r="D28" s="148"/>
      <c r="E28" s="149"/>
      <c r="F28" s="150"/>
      <c r="G28" s="150"/>
      <c r="H28" s="153"/>
      <c r="I28" s="154"/>
      <c r="J28" s="156"/>
      <c r="K28" s="61"/>
      <c r="L28" s="104"/>
    </row>
    <row r="29" spans="1:12" x14ac:dyDescent="0.35">
      <c r="A29" s="58"/>
      <c r="B29" s="61"/>
      <c r="C29" s="147"/>
      <c r="D29" s="148"/>
      <c r="E29" s="149"/>
      <c r="F29" s="150"/>
      <c r="G29" s="150"/>
      <c r="H29" s="153"/>
      <c r="I29" s="154"/>
      <c r="J29" s="156"/>
      <c r="K29" s="61"/>
      <c r="L29" s="104"/>
    </row>
    <row r="30" spans="1:12" x14ac:dyDescent="0.35">
      <c r="A30" s="58"/>
      <c r="B30" s="61"/>
      <c r="C30" s="58"/>
      <c r="D30" s="58"/>
      <c r="E30" s="58"/>
      <c r="F30" s="58"/>
      <c r="G30" s="58"/>
      <c r="H30" s="62"/>
      <c r="I30" s="62"/>
      <c r="J30" s="62"/>
      <c r="K30" s="61"/>
      <c r="L30" s="104"/>
    </row>
    <row r="31" spans="1:12" ht="13.6" x14ac:dyDescent="0.35">
      <c r="A31" s="66"/>
      <c r="B31" s="71" t="str">
        <f>Intake!C7</f>
        <v>Voeding</v>
      </c>
      <c r="C31" s="66"/>
      <c r="D31" s="66"/>
      <c r="E31" s="66"/>
      <c r="F31" s="66"/>
      <c r="G31" s="66"/>
      <c r="H31" s="66"/>
      <c r="I31" s="66"/>
      <c r="J31" s="66"/>
      <c r="K31" s="61"/>
      <c r="L31" s="104"/>
    </row>
    <row r="32" spans="1:12" x14ac:dyDescent="0.35">
      <c r="A32" s="58"/>
      <c r="B32" s="86"/>
      <c r="C32" s="88" t="s">
        <v>2319</v>
      </c>
      <c r="D32" s="88"/>
      <c r="E32" s="58" t="str">
        <f>INDEX(tblSonde,ber_PO!A1,1)</f>
        <v>Geen sonde</v>
      </c>
      <c r="F32" s="58"/>
      <c r="G32" s="58"/>
      <c r="H32" s="58"/>
      <c r="I32" s="58"/>
      <c r="J32" s="58"/>
      <c r="K32" s="61"/>
      <c r="L32" s="104"/>
    </row>
    <row r="33" spans="1:12" x14ac:dyDescent="0.35">
      <c r="A33" s="58"/>
      <c r="B33" s="61"/>
      <c r="C33" s="58">
        <f>IF(E33&lt;&gt;"",INDEX(tblVoedingPO,KeuzePO_1,1),)</f>
        <v>0</v>
      </c>
      <c r="D33" s="58" t="str">
        <f>Intake!G8</f>
        <v/>
      </c>
      <c r="E33" s="58" t="str">
        <f>Intake!C8&amp;" "&amp;Intake!D8</f>
        <v xml:space="preserve"> </v>
      </c>
      <c r="F33" s="65" t="str">
        <f>IF(KeuzePO_2&gt;1,"met "&amp;Intake!C9&amp;" "&amp;Intake!D9&amp;" "&amp;INDEX(ber_PO!B22:B39,KeuzePO_2,1),"")</f>
        <v/>
      </c>
      <c r="G33" s="58"/>
      <c r="H33" s="58"/>
      <c r="I33" s="58" t="str">
        <f>Intake!I9</f>
        <v/>
      </c>
      <c r="J33" s="58"/>
      <c r="K33" s="61"/>
      <c r="L33" s="104"/>
    </row>
    <row r="34" spans="1:12" x14ac:dyDescent="0.35">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35">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35">
      <c r="A36" s="58"/>
      <c r="B36" s="61"/>
      <c r="C36" s="58"/>
      <c r="D36" s="58"/>
      <c r="E36" s="58"/>
      <c r="F36" s="58"/>
      <c r="G36" s="58"/>
      <c r="H36" s="58"/>
      <c r="I36" s="58"/>
      <c r="J36" s="58"/>
      <c r="K36" s="64"/>
      <c r="L36" s="104"/>
    </row>
    <row r="37" spans="1:12" x14ac:dyDescent="0.35">
      <c r="A37" s="66"/>
      <c r="B37" s="89"/>
      <c r="C37" s="90" t="s">
        <v>2864</v>
      </c>
      <c r="D37" s="378">
        <f>ber_Opm!C15</f>
        <v>0</v>
      </c>
      <c r="E37" s="379"/>
      <c r="F37" s="379"/>
      <c r="G37" s="379"/>
      <c r="H37" s="379"/>
      <c r="I37" s="379"/>
      <c r="J37" s="379"/>
      <c r="K37" s="64"/>
      <c r="L37" s="104"/>
    </row>
    <row r="38" spans="1:12" x14ac:dyDescent="0.35">
      <c r="A38" s="58"/>
      <c r="B38" s="61"/>
      <c r="C38" s="58"/>
      <c r="D38" s="58"/>
      <c r="E38" s="58"/>
      <c r="F38" s="58"/>
      <c r="G38" s="58"/>
      <c r="H38" s="58"/>
      <c r="I38" s="58"/>
      <c r="J38" s="58"/>
      <c r="K38" s="58"/>
      <c r="L38" s="104"/>
    </row>
    <row r="39" spans="1:12" ht="13.6" x14ac:dyDescent="0.35">
      <c r="A39" s="66"/>
      <c r="B39" s="71" t="s">
        <v>1277</v>
      </c>
      <c r="C39" s="66"/>
      <c r="D39" s="66"/>
      <c r="E39" s="66"/>
      <c r="F39" s="66"/>
      <c r="G39" s="66"/>
      <c r="H39" s="66"/>
      <c r="I39" s="66"/>
      <c r="J39" s="66"/>
      <c r="K39" s="58"/>
      <c r="L39" s="104"/>
    </row>
    <row r="40" spans="1:12" x14ac:dyDescent="0.35">
      <c r="A40" s="58"/>
      <c r="B40" s="88"/>
      <c r="C40" s="88" t="s">
        <v>3784</v>
      </c>
      <c r="D40" s="393"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394"/>
      <c r="F40" s="394"/>
      <c r="G40" s="394"/>
      <c r="H40" s="394"/>
      <c r="I40" s="394"/>
      <c r="J40" s="394"/>
      <c r="K40" s="58"/>
      <c r="L40" s="104"/>
    </row>
    <row r="41" spans="1:12" x14ac:dyDescent="0.35">
      <c r="A41" s="58"/>
      <c r="B41" s="88"/>
      <c r="C41" s="88" t="s">
        <v>5066</v>
      </c>
      <c r="D41" s="390"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395"/>
      <c r="F41" s="395"/>
      <c r="G41" s="395"/>
      <c r="H41" s="395"/>
      <c r="I41" s="395"/>
      <c r="J41" s="395"/>
      <c r="K41" s="58"/>
      <c r="L41" s="104"/>
    </row>
    <row r="42" spans="1:12" x14ac:dyDescent="0.35">
      <c r="A42" s="58"/>
      <c r="B42" s="88"/>
      <c r="C42" s="88" t="s">
        <v>5067</v>
      </c>
      <c r="D42" s="390"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392"/>
      <c r="F42" s="392"/>
      <c r="G42" s="392"/>
      <c r="H42" s="392"/>
      <c r="I42" s="392"/>
      <c r="J42" s="392"/>
      <c r="K42" s="58"/>
      <c r="L42" s="104"/>
    </row>
    <row r="43" spans="1:12" x14ac:dyDescent="0.35">
      <c r="A43" s="58"/>
      <c r="B43" s="88"/>
      <c r="C43" s="88" t="s">
        <v>1557</v>
      </c>
      <c r="D43" s="390"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392"/>
      <c r="F43" s="392"/>
      <c r="G43" s="392"/>
      <c r="H43" s="392"/>
      <c r="I43" s="392"/>
      <c r="J43" s="392"/>
      <c r="K43" s="58"/>
      <c r="L43" s="104"/>
    </row>
    <row r="44" spans="1:12" x14ac:dyDescent="0.35">
      <c r="A44" s="58"/>
      <c r="B44" s="88"/>
      <c r="C44" s="93" t="s">
        <v>130</v>
      </c>
      <c r="D44" s="390"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391"/>
      <c r="F44" s="391"/>
      <c r="G44" s="391"/>
      <c r="H44" s="391"/>
      <c r="I44" s="391"/>
      <c r="J44" s="391"/>
      <c r="K44" s="58"/>
      <c r="L44" s="104"/>
    </row>
    <row r="45" spans="1:12" x14ac:dyDescent="0.35">
      <c r="A45" s="58"/>
      <c r="B45" s="88"/>
      <c r="C45" s="93" t="s">
        <v>2864</v>
      </c>
      <c r="D45" s="370">
        <f>ber_Opm!C10</f>
        <v>0</v>
      </c>
      <c r="E45" s="371"/>
      <c r="F45" s="371"/>
      <c r="G45" s="371"/>
      <c r="H45" s="371"/>
      <c r="I45" s="371"/>
      <c r="J45" s="371"/>
      <c r="K45" s="58"/>
      <c r="L45" s="104"/>
    </row>
    <row r="46" spans="1:12" x14ac:dyDescent="0.35">
      <c r="A46" s="66"/>
      <c r="B46" s="90"/>
      <c r="C46" s="92"/>
      <c r="D46" s="372"/>
      <c r="E46" s="372"/>
      <c r="F46" s="372"/>
      <c r="G46" s="372"/>
      <c r="H46" s="372"/>
      <c r="I46" s="372"/>
      <c r="J46" s="372"/>
      <c r="K46" s="58"/>
      <c r="L46" s="104"/>
    </row>
    <row r="47" spans="1:12" x14ac:dyDescent="0.35">
      <c r="A47" s="58"/>
      <c r="B47" s="61"/>
      <c r="C47" s="58"/>
      <c r="D47" s="58"/>
      <c r="E47" s="58"/>
      <c r="F47" s="58"/>
      <c r="G47" s="58"/>
      <c r="H47" s="58"/>
      <c r="I47" s="58"/>
      <c r="J47" s="58"/>
      <c r="K47" s="58"/>
      <c r="L47" s="104"/>
    </row>
    <row r="48" spans="1:12" ht="13.6" x14ac:dyDescent="0.35">
      <c r="A48" s="66"/>
      <c r="B48" s="71" t="s">
        <v>834</v>
      </c>
      <c r="C48" s="68"/>
      <c r="D48" s="66"/>
      <c r="E48" s="66"/>
      <c r="F48" s="66"/>
      <c r="G48" s="66"/>
      <c r="H48" s="66"/>
      <c r="I48" s="66"/>
      <c r="J48" s="66"/>
      <c r="K48" s="58"/>
      <c r="L48" s="104"/>
    </row>
    <row r="49" spans="1:12" x14ac:dyDescent="0.35">
      <c r="A49" s="58"/>
      <c r="B49" s="61" t="s">
        <v>2783</v>
      </c>
      <c r="C49" s="58">
        <f>INDEX(tblAanvAfspr,ber_Infusen!M1,1)</f>
        <v>0</v>
      </c>
      <c r="D49" s="58"/>
      <c r="E49" s="58"/>
      <c r="F49" s="58"/>
      <c r="G49" s="58"/>
      <c r="H49" s="58"/>
      <c r="I49" s="58"/>
      <c r="J49" s="58"/>
      <c r="K49" s="58"/>
      <c r="L49" s="104"/>
    </row>
    <row r="50" spans="1:12" x14ac:dyDescent="0.35">
      <c r="A50" s="58"/>
      <c r="B50" s="61" t="s">
        <v>2784</v>
      </c>
      <c r="C50" s="58">
        <f>INDEX(tblAanvAfspr,ber_Infusen!M2,1)</f>
        <v>0</v>
      </c>
      <c r="D50" s="58"/>
      <c r="E50" s="58"/>
      <c r="F50" s="58"/>
      <c r="G50" s="58"/>
      <c r="H50" s="58"/>
      <c r="I50" s="58"/>
      <c r="J50" s="58"/>
      <c r="K50" s="58"/>
      <c r="L50" s="104"/>
    </row>
    <row r="51" spans="1:12" x14ac:dyDescent="0.35">
      <c r="A51" s="58"/>
      <c r="B51" s="61" t="s">
        <v>2785</v>
      </c>
      <c r="C51" s="58">
        <f>INDEX(tblAanvAfspr,ber_Infusen!M3,1)</f>
        <v>0</v>
      </c>
      <c r="D51" s="58"/>
      <c r="E51" s="58"/>
      <c r="F51" s="58"/>
      <c r="G51" s="58"/>
      <c r="H51" s="58"/>
      <c r="I51" s="58"/>
      <c r="J51" s="58"/>
      <c r="K51" s="58"/>
      <c r="L51" s="104"/>
    </row>
    <row r="52" spans="1:12" x14ac:dyDescent="0.35">
      <c r="A52" s="58"/>
      <c r="B52" s="61" t="s">
        <v>2786</v>
      </c>
      <c r="C52" s="58">
        <f>INDEX(tblAanvAfspr,ber_Infusen!M4,1)</f>
        <v>0</v>
      </c>
      <c r="D52" s="58"/>
      <c r="E52" s="58"/>
      <c r="F52" s="58"/>
      <c r="G52" s="58"/>
      <c r="H52" s="58"/>
      <c r="I52" s="58"/>
      <c r="J52" s="58"/>
      <c r="K52" s="58"/>
      <c r="L52" s="104"/>
    </row>
    <row r="53" spans="1:12" x14ac:dyDescent="0.35">
      <c r="A53" s="58"/>
      <c r="B53" s="61" t="s">
        <v>2787</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35">
      <c r="A54" s="58"/>
      <c r="B54" s="61" t="s">
        <v>835</v>
      </c>
      <c r="C54" s="374"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374"/>
      <c r="E54" s="374"/>
      <c r="F54" s="374"/>
      <c r="G54" s="374"/>
      <c r="H54" s="374"/>
      <c r="I54" s="374"/>
      <c r="J54" s="374"/>
      <c r="K54" s="58"/>
      <c r="L54" s="104"/>
    </row>
    <row r="55" spans="1:12" x14ac:dyDescent="0.35">
      <c r="A55" s="58"/>
      <c r="B55" s="61"/>
      <c r="C55" s="374"/>
      <c r="D55" s="374"/>
      <c r="E55" s="374"/>
      <c r="F55" s="374"/>
      <c r="G55" s="374"/>
      <c r="H55" s="374"/>
      <c r="I55" s="374"/>
      <c r="J55" s="374"/>
      <c r="K55" s="58"/>
      <c r="L55" s="104"/>
    </row>
    <row r="56" spans="1:12" ht="12.65" customHeight="1" x14ac:dyDescent="0.35">
      <c r="A56" s="58"/>
      <c r="B56" s="61" t="s">
        <v>836</v>
      </c>
      <c r="C56" s="380">
        <f>ber_Opm!C11</f>
        <v>0</v>
      </c>
      <c r="D56" s="380"/>
      <c r="E56" s="380"/>
      <c r="F56" s="380"/>
      <c r="G56" s="380"/>
      <c r="H56" s="380"/>
      <c r="I56" s="380"/>
      <c r="J56" s="380"/>
      <c r="K56" s="58"/>
      <c r="L56" s="104"/>
    </row>
    <row r="57" spans="1:12" ht="7" customHeight="1" x14ac:dyDescent="0.35">
      <c r="A57" s="58"/>
      <c r="B57" s="61"/>
      <c r="C57" s="381"/>
      <c r="D57" s="381"/>
      <c r="E57" s="381"/>
      <c r="F57" s="381"/>
      <c r="G57" s="381"/>
      <c r="H57" s="381"/>
      <c r="I57" s="381"/>
      <c r="J57" s="381"/>
      <c r="K57" s="58"/>
      <c r="L57" s="104"/>
    </row>
    <row r="58" spans="1:12" ht="7" customHeight="1" x14ac:dyDescent="0.35">
      <c r="A58" s="58"/>
      <c r="B58" s="61"/>
      <c r="C58" s="381"/>
      <c r="D58" s="381"/>
      <c r="E58" s="381"/>
      <c r="F58" s="381"/>
      <c r="G58" s="381"/>
      <c r="H58" s="381"/>
      <c r="I58" s="381"/>
      <c r="J58" s="381"/>
      <c r="K58" s="58"/>
      <c r="L58" s="104"/>
    </row>
    <row r="59" spans="1:12" ht="7" customHeight="1" x14ac:dyDescent="0.35">
      <c r="A59" s="58"/>
      <c r="B59" s="61"/>
      <c r="C59" s="381"/>
      <c r="D59" s="381"/>
      <c r="E59" s="381"/>
      <c r="F59" s="381"/>
      <c r="G59" s="381"/>
      <c r="H59" s="381"/>
      <c r="I59" s="381"/>
      <c r="J59" s="381"/>
      <c r="K59" s="58"/>
      <c r="L59" s="104"/>
    </row>
    <row r="60" spans="1:12" x14ac:dyDescent="0.35">
      <c r="A60" s="58"/>
      <c r="B60" s="61">
        <v>8</v>
      </c>
      <c r="C60" s="337" t="s">
        <v>802</v>
      </c>
      <c r="D60" s="336"/>
      <c r="E60" s="336"/>
      <c r="F60" s="336"/>
      <c r="G60" s="336"/>
      <c r="H60" s="336"/>
      <c r="I60" s="336"/>
      <c r="J60" s="336"/>
      <c r="K60" s="58"/>
      <c r="L60" s="104"/>
    </row>
    <row r="61" spans="1:12" x14ac:dyDescent="0.35">
      <c r="A61" s="58"/>
      <c r="B61" s="61"/>
      <c r="C61" s="337"/>
      <c r="D61" s="336"/>
      <c r="E61" s="336"/>
      <c r="F61" s="336"/>
      <c r="G61" s="336"/>
      <c r="H61" s="336"/>
      <c r="I61" s="336"/>
      <c r="J61" s="336"/>
      <c r="K61" s="58"/>
      <c r="L61" s="104"/>
    </row>
    <row r="62" spans="1:12" x14ac:dyDescent="0.35">
      <c r="A62" s="58"/>
      <c r="B62" s="61"/>
      <c r="C62" s="337"/>
      <c r="D62" s="336"/>
      <c r="E62" s="336"/>
      <c r="F62" s="336"/>
      <c r="G62" s="336"/>
      <c r="H62" s="336"/>
      <c r="I62" s="336"/>
      <c r="J62" s="336"/>
      <c r="K62" s="58"/>
      <c r="L62" s="104"/>
    </row>
    <row r="63" spans="1:12" x14ac:dyDescent="0.35">
      <c r="A63" s="58"/>
      <c r="B63" s="61"/>
      <c r="C63" s="337"/>
      <c r="D63" s="336"/>
      <c r="E63" s="336"/>
      <c r="F63" s="336"/>
      <c r="G63" s="336"/>
      <c r="H63" s="336"/>
      <c r="I63" s="336"/>
      <c r="J63" s="336"/>
      <c r="K63" s="58"/>
      <c r="L63" s="104"/>
    </row>
    <row r="64" spans="1:12" x14ac:dyDescent="0.35">
      <c r="A64" s="58"/>
      <c r="B64" s="72" t="s">
        <v>918</v>
      </c>
      <c r="C64" s="66"/>
      <c r="D64" s="66"/>
      <c r="E64" s="58"/>
      <c r="F64" s="58"/>
      <c r="G64" s="66" t="s">
        <v>2985</v>
      </c>
      <c r="H64" s="66"/>
      <c r="I64" s="66"/>
      <c r="J64" s="58"/>
      <c r="K64" s="58"/>
      <c r="L64" s="104"/>
    </row>
    <row r="65" spans="1:21" x14ac:dyDescent="0.35">
      <c r="A65" s="58"/>
      <c r="B65" s="61"/>
      <c r="C65" s="58"/>
      <c r="D65" s="58"/>
      <c r="E65" s="58"/>
      <c r="F65" s="58"/>
      <c r="G65" s="58"/>
      <c r="H65" s="58"/>
      <c r="I65" s="58"/>
      <c r="J65" s="58"/>
      <c r="K65" s="58"/>
      <c r="L65" s="104"/>
    </row>
    <row r="66" spans="1:21" x14ac:dyDescent="0.35">
      <c r="A66" s="58"/>
      <c r="B66" s="86"/>
      <c r="C66" s="87" t="e">
        <f>#REF!</f>
        <v>#REF!</v>
      </c>
      <c r="D66" s="56" t="e">
        <f>#REF!</f>
        <v>#REF!</v>
      </c>
      <c r="E66" s="87" t="e">
        <f>#REF!</f>
        <v>#REF!</v>
      </c>
      <c r="F66" s="375" t="e">
        <f>#REF!</f>
        <v>#REF!</v>
      </c>
      <c r="G66" s="375"/>
      <c r="H66" s="88" t="s">
        <v>2745</v>
      </c>
      <c r="I66" s="58" t="str">
        <f>Gewicht/10&amp;" kg"</f>
        <v>10 kg</v>
      </c>
      <c r="J66" s="57"/>
      <c r="K66" s="58"/>
      <c r="L66" s="104"/>
      <c r="M66" s="58"/>
      <c r="N66" s="58"/>
      <c r="O66" s="58"/>
      <c r="P66" s="58"/>
      <c r="Q66" s="58"/>
      <c r="R66" s="58"/>
      <c r="S66" s="58"/>
      <c r="T66" s="58"/>
      <c r="U66" s="58"/>
    </row>
    <row r="67" spans="1:21" x14ac:dyDescent="0.35">
      <c r="A67" s="58"/>
      <c r="B67" s="86"/>
      <c r="C67" s="87" t="e">
        <f>#REF!</f>
        <v>#REF!</v>
      </c>
      <c r="D67" s="59" t="e">
        <f ca="1">AfspraakDatum-OpnDatum+1</f>
        <v>#NAME?</v>
      </c>
      <c r="E67" s="87" t="e">
        <f>#REF!</f>
        <v>#REF!</v>
      </c>
      <c r="F67" s="60" t="e">
        <f>#REF!</f>
        <v>#REF!</v>
      </c>
      <c r="G67" s="57"/>
      <c r="H67" s="88" t="s">
        <v>1341</v>
      </c>
      <c r="I67" s="58" t="str">
        <f>Lengte&amp;" cm"</f>
        <v>80 cm</v>
      </c>
      <c r="J67" s="57"/>
      <c r="K67" s="58"/>
      <c r="L67" s="104"/>
      <c r="M67" s="58"/>
      <c r="N67" s="58"/>
      <c r="O67" s="58"/>
      <c r="P67" s="58"/>
      <c r="Q67" s="58"/>
      <c r="R67" s="58"/>
      <c r="S67" s="58"/>
      <c r="T67" s="58"/>
      <c r="U67" s="58"/>
    </row>
    <row r="68" spans="1:21" x14ac:dyDescent="0.35">
      <c r="A68" s="58"/>
      <c r="B68" s="61"/>
      <c r="C68" s="58"/>
      <c r="D68" s="57"/>
      <c r="E68" s="58"/>
      <c r="F68" s="57"/>
      <c r="G68" s="58"/>
      <c r="H68" s="88" t="s">
        <v>1353</v>
      </c>
      <c r="I68" s="58" t="str">
        <f>ROUND(POWER(Gewicht/10,0.425)*POWER(((Lengte/100)*100),0.725)*0.007184,2)&amp;" m2"</f>
        <v>0.46 m2</v>
      </c>
      <c r="J68" s="58"/>
      <c r="K68" s="58"/>
      <c r="L68" s="104"/>
      <c r="M68" s="58"/>
      <c r="N68" s="58"/>
      <c r="O68" s="58"/>
      <c r="P68" s="58"/>
      <c r="Q68" s="58"/>
      <c r="R68" s="58"/>
      <c r="S68" s="58"/>
      <c r="T68" s="58"/>
      <c r="U68" s="58"/>
    </row>
    <row r="69" spans="1:21" x14ac:dyDescent="0.35">
      <c r="A69" s="58"/>
      <c r="B69" s="61"/>
      <c r="C69" s="58"/>
      <c r="D69" s="57"/>
      <c r="E69" s="58"/>
      <c r="F69" s="57"/>
      <c r="G69" s="58"/>
      <c r="H69" s="58"/>
      <c r="I69" s="58"/>
      <c r="J69" s="58"/>
      <c r="K69" s="58"/>
      <c r="L69" s="104"/>
      <c r="M69" s="58"/>
      <c r="N69" s="58"/>
      <c r="O69" s="58"/>
      <c r="P69" s="58"/>
      <c r="Q69" s="58"/>
      <c r="R69" s="58"/>
      <c r="S69" s="58"/>
      <c r="T69" s="58"/>
      <c r="U69" s="58"/>
    </row>
    <row r="70" spans="1:21" ht="13.6" x14ac:dyDescent="0.35">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35">
      <c r="A71" s="58"/>
      <c r="B71" s="61">
        <v>1</v>
      </c>
      <c r="C71" s="58">
        <f>INDEX(tblInfusen,ber_Infusen!E2,1)</f>
        <v>0</v>
      </c>
      <c r="D71" s="58"/>
      <c r="E71" s="58"/>
      <c r="F71" s="58"/>
      <c r="G71" s="58"/>
      <c r="H71" s="62"/>
      <c r="I71" s="62"/>
      <c r="J71" s="62"/>
      <c r="K71" s="58"/>
      <c r="L71" s="104" t="str">
        <f t="shared" ref="L71:L76" si="0">IF(C71=0,"D","")</f>
        <v>D</v>
      </c>
      <c r="M71" s="58"/>
      <c r="N71" s="58"/>
      <c r="O71" s="58"/>
      <c r="P71" s="58"/>
      <c r="Q71" s="58"/>
      <c r="R71" s="58"/>
      <c r="S71" s="58"/>
      <c r="T71" s="58"/>
      <c r="U71" s="58"/>
    </row>
    <row r="72" spans="1:21" x14ac:dyDescent="0.35">
      <c r="A72" s="58"/>
      <c r="B72" s="61">
        <v>2</v>
      </c>
      <c r="C72" s="58">
        <f>INDEX(tblInfusen,ber_Infusen!E3,1)</f>
        <v>0</v>
      </c>
      <c r="D72" s="58"/>
      <c r="E72" s="58"/>
      <c r="F72" s="58"/>
      <c r="G72" s="58"/>
      <c r="H72" s="62"/>
      <c r="I72" s="62"/>
      <c r="J72" s="62"/>
      <c r="K72" s="58"/>
      <c r="L72" s="104" t="str">
        <f t="shared" si="0"/>
        <v>D</v>
      </c>
      <c r="M72" s="58"/>
      <c r="N72" s="58"/>
      <c r="O72" s="58"/>
      <c r="P72" s="58"/>
      <c r="Q72" s="58"/>
      <c r="R72" s="58"/>
      <c r="S72" s="58"/>
      <c r="T72" s="58"/>
      <c r="U72" s="58"/>
    </row>
    <row r="73" spans="1:21" x14ac:dyDescent="0.35">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35">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35">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35">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35">
      <c r="A77" s="58"/>
      <c r="B77" s="61"/>
      <c r="C77" s="58"/>
      <c r="D77" s="58"/>
      <c r="E77" s="58"/>
      <c r="F77" s="58"/>
      <c r="G77" s="58"/>
      <c r="H77" s="62"/>
      <c r="I77" s="62"/>
      <c r="J77" s="62"/>
      <c r="K77" s="58"/>
      <c r="L77" s="104"/>
      <c r="M77" s="58"/>
      <c r="N77" s="58"/>
      <c r="O77" s="58"/>
      <c r="P77" s="58"/>
      <c r="Q77" s="58"/>
      <c r="R77" s="58"/>
      <c r="S77" s="58"/>
      <c r="T77" s="58"/>
      <c r="U77" s="58"/>
    </row>
    <row r="78" spans="1:21" x14ac:dyDescent="0.35">
      <c r="A78" s="66"/>
      <c r="B78" s="89"/>
      <c r="C78" s="90" t="s">
        <v>2864</v>
      </c>
      <c r="D78" s="378">
        <f>ber_Opm!C3</f>
        <v>0</v>
      </c>
      <c r="E78" s="379"/>
      <c r="F78" s="379"/>
      <c r="G78" s="379"/>
      <c r="H78" s="379"/>
      <c r="I78" s="379"/>
      <c r="J78" s="379"/>
      <c r="K78" s="58"/>
      <c r="L78" s="104"/>
      <c r="M78" s="58"/>
      <c r="N78" s="58"/>
      <c r="O78" s="58"/>
      <c r="P78" s="58"/>
      <c r="Q78" s="58"/>
      <c r="R78" s="58"/>
      <c r="S78" s="58"/>
      <c r="T78" s="58"/>
      <c r="U78" s="58"/>
    </row>
    <row r="79" spans="1:21" x14ac:dyDescent="0.35">
      <c r="A79" s="58"/>
      <c r="B79" s="61"/>
      <c r="C79" s="58"/>
      <c r="D79" s="58"/>
      <c r="E79" s="58"/>
      <c r="F79" s="58"/>
      <c r="G79" s="58"/>
      <c r="H79" s="58"/>
      <c r="I79" s="58"/>
      <c r="J79" s="58"/>
      <c r="K79" s="58"/>
      <c r="L79" s="104"/>
      <c r="M79" s="58"/>
      <c r="N79" s="58"/>
      <c r="O79" s="58"/>
      <c r="P79" s="58"/>
      <c r="Q79" s="58"/>
      <c r="R79" s="58"/>
      <c r="S79" s="58"/>
      <c r="T79" s="58"/>
      <c r="U79" s="58"/>
    </row>
    <row r="80" spans="1:21" x14ac:dyDescent="0.35">
      <c r="A80" s="58"/>
      <c r="B80" s="61"/>
      <c r="C80" s="58"/>
      <c r="D80" s="58"/>
      <c r="E80" s="58"/>
      <c r="F80" s="58"/>
      <c r="G80" s="58"/>
      <c r="H80" s="58"/>
      <c r="I80" s="58"/>
      <c r="J80" s="58"/>
      <c r="K80" s="58"/>
      <c r="L80" s="104"/>
      <c r="M80" s="58"/>
      <c r="N80" s="58"/>
      <c r="O80" s="58"/>
      <c r="P80" s="58"/>
      <c r="Q80" s="58"/>
      <c r="R80" s="58"/>
      <c r="S80" s="58"/>
      <c r="T80" s="58"/>
      <c r="U80" s="58"/>
    </row>
    <row r="81" spans="1:21" ht="13.6" x14ac:dyDescent="0.35">
      <c r="A81" s="66"/>
      <c r="B81" s="71" t="s">
        <v>2865</v>
      </c>
      <c r="C81" s="66"/>
      <c r="D81" s="66"/>
      <c r="E81" s="66"/>
      <c r="F81" s="66"/>
      <c r="G81" s="66"/>
      <c r="H81" s="66"/>
      <c r="I81" s="66"/>
      <c r="J81" s="66"/>
      <c r="K81" s="58"/>
      <c r="L81" s="104"/>
      <c r="M81" s="58"/>
      <c r="N81" s="58"/>
      <c r="O81" s="58"/>
      <c r="P81" s="58"/>
      <c r="Q81" s="58"/>
      <c r="R81" s="58"/>
      <c r="S81" s="58"/>
      <c r="T81" s="58"/>
      <c r="U81" s="58"/>
    </row>
    <row r="82" spans="1:21" x14ac:dyDescent="0.35">
      <c r="A82" s="58"/>
      <c r="B82" s="86"/>
      <c r="C82" s="88" t="s">
        <v>2960</v>
      </c>
      <c r="D82" s="88"/>
      <c r="E82" s="88" t="s">
        <v>995</v>
      </c>
      <c r="F82" s="88"/>
      <c r="G82" s="88" t="s">
        <v>2963</v>
      </c>
      <c r="H82" s="88"/>
      <c r="I82" s="88"/>
      <c r="J82" s="88" t="s">
        <v>1984</v>
      </c>
      <c r="K82" s="58"/>
      <c r="L82" s="104"/>
      <c r="M82" s="58"/>
      <c r="N82" s="58"/>
      <c r="O82" s="58"/>
      <c r="P82" s="58"/>
      <c r="Q82" s="58"/>
      <c r="R82" s="58"/>
      <c r="S82" s="58"/>
      <c r="T82" s="58"/>
      <c r="U82" s="58"/>
    </row>
    <row r="83" spans="1:21" x14ac:dyDescent="0.35">
      <c r="A83" s="58"/>
      <c r="B83" s="61">
        <v>1</v>
      </c>
      <c r="C83" s="58">
        <f>MedicatieIV!C8</f>
        <v>0</v>
      </c>
      <c r="D83" s="58"/>
      <c r="E83" s="58" t="str">
        <f>IF(C83&lt;&gt;0,MedicatieIV!D8&amp;" in "&amp;MedicatieIV!E8&amp;IF(AND(ber_IVmed!D5&lt;&gt;4,MedicatieIV!F8&lt;&gt;0)," "&amp;MedicatieIV!F8,""),"")</f>
        <v/>
      </c>
      <c r="F83" s="58"/>
      <c r="G83" s="58" t="str">
        <f>IF(C83&lt;&gt;0,MedicatieIV!G8&amp;" (="&amp;MedicatieIV!H8&amp;")","")</f>
        <v/>
      </c>
      <c r="H83" s="58"/>
      <c r="I83" s="58"/>
      <c r="J83" s="58" t="str">
        <f>MedicatieIV!I8</f>
        <v/>
      </c>
      <c r="K83" s="58"/>
      <c r="L83" s="104" t="str">
        <f t="shared" ref="L83:L97" si="1">IF(C83=0,"D","")</f>
        <v>D</v>
      </c>
      <c r="M83" s="58"/>
      <c r="N83" s="58"/>
      <c r="O83" s="58"/>
      <c r="P83" s="58"/>
      <c r="Q83" s="58"/>
      <c r="R83" s="58"/>
      <c r="S83" s="58"/>
      <c r="T83" s="58"/>
      <c r="U83" s="58"/>
    </row>
    <row r="84" spans="1:21" x14ac:dyDescent="0.35">
      <c r="A84" s="58"/>
      <c r="B84" s="61">
        <v>2</v>
      </c>
      <c r="C84" s="58">
        <f>MedicatieIV!C9</f>
        <v>0</v>
      </c>
      <c r="D84" s="58"/>
      <c r="E84" s="58" t="str">
        <f>IF(C84&lt;&gt;0,MedicatieIV!D9&amp;" in "&amp;MedicatieIV!E9&amp;IF(AND(ber_IVmed!D6&lt;&gt;4,MedicatieIV!F9&lt;&gt;0)," "&amp;MedicatieIV!F9,""),"")</f>
        <v/>
      </c>
      <c r="F84" s="58"/>
      <c r="G84" s="58" t="str">
        <f>IF(C84&lt;&gt;0,MedicatieIV!G9&amp;" (="&amp;MedicatieIV!H9&amp;")","")</f>
        <v/>
      </c>
      <c r="H84" s="58"/>
      <c r="I84" s="58"/>
      <c r="J84" s="58" t="str">
        <f>MedicatieIV!I9</f>
        <v/>
      </c>
      <c r="K84" s="58"/>
      <c r="L84" s="104" t="str">
        <f t="shared" si="1"/>
        <v>D</v>
      </c>
      <c r="M84" s="58"/>
      <c r="N84" s="58"/>
      <c r="O84" s="58"/>
      <c r="P84" s="58"/>
      <c r="Q84" s="58"/>
      <c r="R84" s="58"/>
      <c r="S84" s="58"/>
      <c r="T84" s="58"/>
      <c r="U84" s="58"/>
    </row>
    <row r="85" spans="1:21" x14ac:dyDescent="0.35">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35">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35">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35">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35">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35">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35">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35">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35">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35">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35">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35">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35">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35">
      <c r="A98" s="58"/>
      <c r="B98" s="61"/>
      <c r="C98" s="58"/>
      <c r="D98" s="58"/>
      <c r="E98" s="58"/>
      <c r="F98" s="58"/>
      <c r="G98" s="58"/>
      <c r="H98" s="58"/>
      <c r="I98" s="58"/>
      <c r="J98" s="58"/>
      <c r="K98" s="58"/>
      <c r="L98" s="104"/>
      <c r="M98" s="58"/>
      <c r="N98" s="58"/>
      <c r="O98" s="58"/>
      <c r="P98" s="58"/>
      <c r="Q98" s="58"/>
      <c r="R98" s="58"/>
      <c r="S98" s="58"/>
      <c r="T98" s="58"/>
      <c r="U98" s="58"/>
    </row>
    <row r="99" spans="1:21" x14ac:dyDescent="0.35">
      <c r="A99" s="58"/>
      <c r="B99" s="86"/>
      <c r="C99" s="88" t="s">
        <v>2864</v>
      </c>
      <c r="D99" s="370">
        <f>ber_Opm!C4</f>
        <v>0</v>
      </c>
      <c r="E99" s="370"/>
      <c r="F99" s="370"/>
      <c r="G99" s="370"/>
      <c r="H99" s="370"/>
      <c r="I99" s="370"/>
      <c r="J99" s="370"/>
      <c r="K99" s="58"/>
      <c r="L99" s="104"/>
      <c r="M99" s="58"/>
      <c r="N99" s="58"/>
      <c r="O99" s="58"/>
      <c r="P99" s="58"/>
      <c r="Q99" s="58"/>
      <c r="R99" s="58"/>
      <c r="S99" s="58"/>
      <c r="T99" s="58"/>
      <c r="U99" s="58"/>
    </row>
    <row r="100" spans="1:21" x14ac:dyDescent="0.35">
      <c r="A100" s="58"/>
      <c r="B100" s="61"/>
      <c r="C100" s="58"/>
      <c r="D100" s="373"/>
      <c r="E100" s="373"/>
      <c r="F100" s="373"/>
      <c r="G100" s="373"/>
      <c r="H100" s="373"/>
      <c r="I100" s="373"/>
      <c r="J100" s="373"/>
      <c r="K100" s="58"/>
      <c r="L100" s="104"/>
      <c r="M100" s="58"/>
      <c r="N100" s="58"/>
      <c r="O100" s="58"/>
      <c r="P100" s="58"/>
      <c r="Q100" s="58"/>
      <c r="R100" s="58"/>
      <c r="S100" s="58"/>
      <c r="T100" s="58"/>
      <c r="U100" s="58"/>
    </row>
    <row r="101" spans="1:21" ht="13.6" x14ac:dyDescent="0.35">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35">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35">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35">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35">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35">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35">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35">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35">
      <c r="A109" s="58"/>
      <c r="B109" s="86"/>
      <c r="C109" s="88"/>
      <c r="D109" s="119" t="str">
        <f>IF(F109&lt;&gt;"","Electrolyt/Glucose mengsel","")</f>
        <v/>
      </c>
      <c r="E109" s="66" t="str">
        <f>IF(AND(Gewicht/10&gt;50,TPNboven50kg!A27&lt;&gt;""),TPNboven50kg!A27,TPN2tot6kg!A29)</f>
        <v/>
      </c>
      <c r="F109" s="66" t="str">
        <f>IF(AND(Gewicht/10&gt;50,TPNboven50kg!G35&lt;&gt;0),TPNboven50kg!G35&amp;" ml",IF(TPN2tot6kg!G36&lt;&gt;0,TPN2tot6kg!G36&amp;" ml",""))</f>
        <v/>
      </c>
      <c r="G109" s="66"/>
      <c r="H109" s="121"/>
      <c r="I109" s="66"/>
      <c r="J109" s="66"/>
      <c r="K109" s="58"/>
      <c r="L109" s="104"/>
      <c r="M109" s="58"/>
      <c r="N109" s="58"/>
      <c r="O109" s="58"/>
      <c r="P109" s="58"/>
      <c r="Q109" s="58"/>
      <c r="R109" s="58"/>
      <c r="S109" s="58"/>
      <c r="T109" s="58"/>
      <c r="U109" s="58"/>
    </row>
    <row r="110" spans="1:21" x14ac:dyDescent="0.35">
      <c r="A110" s="58"/>
      <c r="B110" s="86"/>
      <c r="C110" s="88"/>
      <c r="D110" s="87">
        <f>IF(F110&lt;&gt;"",INDEX(tblSSTGlucose,SSTglucose,1),)</f>
        <v>0</v>
      </c>
      <c r="E110" s="117"/>
      <c r="F110" s="58" t="str">
        <f>IF(AND(OR(TPN=1,AND(TPN=2,SSTglucose&gt;10),Gewicht/10&gt;50),ROUND(ber_TPN!F6,0)&lt;&gt;0,SSTglucose&lt;&gt;2),ROUND(ber_TPN!F6,0)&amp;" ml","")</f>
        <v/>
      </c>
      <c r="G110" s="58"/>
      <c r="H110" s="58"/>
      <c r="I110" s="58"/>
      <c r="J110" s="58"/>
      <c r="K110" s="58"/>
      <c r="L110" s="104" t="str">
        <f>IF(D110=0,"D","")</f>
        <v>D</v>
      </c>
      <c r="M110" s="58"/>
      <c r="N110" s="58"/>
      <c r="O110" s="58"/>
      <c r="P110" s="58"/>
      <c r="Q110" s="58"/>
      <c r="R110" s="58"/>
      <c r="S110" s="58"/>
      <c r="T110" s="58"/>
      <c r="U110" s="58"/>
    </row>
    <row r="111" spans="1:21" x14ac:dyDescent="0.35">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35">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35">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35">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35">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35">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35">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35">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35">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35">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35">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35">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35">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35">
      <c r="A124" s="66"/>
      <c r="B124" s="89"/>
      <c r="C124" s="90" t="s">
        <v>2864</v>
      </c>
      <c r="D124" s="378">
        <f>ber_Opm!C9</f>
        <v>0</v>
      </c>
      <c r="E124" s="379"/>
      <c r="F124" s="379"/>
      <c r="G124" s="379"/>
      <c r="H124" s="379"/>
      <c r="I124" s="379"/>
      <c r="J124" s="379"/>
      <c r="K124" s="58"/>
      <c r="L124" s="104"/>
      <c r="M124" s="58"/>
      <c r="N124" s="58"/>
      <c r="O124" s="58"/>
      <c r="P124" s="58"/>
      <c r="Q124" s="58"/>
      <c r="R124" s="58"/>
      <c r="S124" s="58"/>
      <c r="T124" s="58"/>
      <c r="U124" s="58"/>
    </row>
    <row r="125" spans="1:21" x14ac:dyDescent="0.35">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35">
      <c r="A126" s="58"/>
      <c r="B126" s="61"/>
      <c r="C126" s="58"/>
      <c r="D126" s="58"/>
      <c r="E126" s="58"/>
      <c r="F126" s="58"/>
      <c r="G126" s="58"/>
      <c r="H126" s="58"/>
      <c r="I126" s="58"/>
      <c r="J126" s="58"/>
      <c r="K126" s="58"/>
      <c r="L126" s="104"/>
      <c r="M126" s="58"/>
      <c r="N126" s="58"/>
      <c r="O126" s="58"/>
      <c r="P126" s="58"/>
      <c r="Q126" s="58"/>
      <c r="R126" s="58"/>
      <c r="S126" s="58"/>
      <c r="T126" s="58"/>
      <c r="U126" s="58"/>
    </row>
    <row r="127" spans="1:21" ht="13.6" x14ac:dyDescent="0.35">
      <c r="A127" s="66"/>
      <c r="B127" s="71" t="s">
        <v>3501</v>
      </c>
      <c r="C127" s="68"/>
      <c r="D127" s="66"/>
      <c r="E127" s="66"/>
      <c r="F127" s="66"/>
      <c r="G127" s="66"/>
      <c r="H127" s="66"/>
      <c r="I127" s="66"/>
      <c r="J127" s="66"/>
      <c r="K127" s="58"/>
      <c r="L127" s="104"/>
      <c r="M127" s="58"/>
      <c r="N127" s="58"/>
      <c r="O127" s="58"/>
      <c r="P127" s="58"/>
      <c r="Q127" s="58"/>
      <c r="R127" s="58"/>
      <c r="S127" s="58"/>
      <c r="T127" s="58"/>
      <c r="U127" s="58"/>
    </row>
    <row r="128" spans="1:21" x14ac:dyDescent="0.35">
      <c r="A128" s="58"/>
      <c r="B128" s="86"/>
      <c r="C128" s="87" t="str">
        <f>Intake!B31</f>
        <v>Vocht</v>
      </c>
      <c r="D128" s="58" t="str">
        <f>Intake!D31</f>
        <v>0 ml/kg</v>
      </c>
      <c r="E128" s="87" t="str">
        <f>Intake!B32</f>
        <v>Calorieen</v>
      </c>
      <c r="F128" s="58" t="str">
        <f>Intake!D32</f>
        <v>0 kCal/kg</v>
      </c>
      <c r="G128" s="87" t="str">
        <f>Intake!B35</f>
        <v>Kalium</v>
      </c>
      <c r="H128" s="58" t="str">
        <f>Intake!D35</f>
        <v>0 mmol/kg</v>
      </c>
      <c r="I128" s="87" t="str">
        <f>Intake!B34</f>
        <v xml:space="preserve">Natrium </v>
      </c>
      <c r="J128" s="58" t="str">
        <f>Intake!D34</f>
        <v>0 mmol/kg</v>
      </c>
      <c r="K128" s="58"/>
      <c r="L128" s="104"/>
      <c r="M128" s="58"/>
      <c r="N128" s="58"/>
      <c r="O128" s="58"/>
      <c r="P128" s="58"/>
      <c r="Q128" s="58"/>
      <c r="R128" s="58"/>
      <c r="S128" s="58"/>
      <c r="T128" s="58"/>
      <c r="U128" s="58"/>
    </row>
    <row r="129" spans="1:21" x14ac:dyDescent="0.35">
      <c r="A129" s="58"/>
      <c r="B129" s="86"/>
      <c r="C129" s="87" t="str">
        <f>Intake!H31</f>
        <v>Eiwit</v>
      </c>
      <c r="D129" s="58" t="str">
        <f>Intake!I31</f>
        <v>0  gram/kg</v>
      </c>
      <c r="E129" s="87" t="str">
        <f>Intake!H32</f>
        <v>Vet</v>
      </c>
      <c r="F129" s="58" t="str">
        <f>Intake!I32</f>
        <v>0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35">
      <c r="A130" s="66"/>
      <c r="B130" s="89"/>
      <c r="C130" s="91" t="str">
        <f>Intake!B33</f>
        <v>Glucose/KH</v>
      </c>
      <c r="D130" s="66" t="str">
        <f>Intake!D33</f>
        <v>0 g/kg</v>
      </c>
      <c r="E130" s="90"/>
      <c r="F130" s="66"/>
      <c r="G130" s="91" t="s">
        <v>3094</v>
      </c>
      <c r="H130" s="66" t="str">
        <f>Intake!I34</f>
        <v>0 mmol/kg</v>
      </c>
      <c r="I130" s="90"/>
      <c r="J130" s="66"/>
      <c r="K130" s="58"/>
      <c r="L130" s="104"/>
      <c r="M130" s="58"/>
      <c r="N130" s="58"/>
      <c r="O130" s="58"/>
      <c r="P130" s="58"/>
      <c r="Q130" s="58"/>
      <c r="R130" s="58"/>
      <c r="S130" s="58"/>
      <c r="T130" s="58"/>
      <c r="U130" s="58"/>
    </row>
    <row r="131" spans="1:21" x14ac:dyDescent="0.35">
      <c r="A131" s="58"/>
      <c r="B131" s="86"/>
      <c r="C131" s="87" t="e">
        <f>#REF!</f>
        <v>#REF!</v>
      </c>
      <c r="D131" s="56" t="e">
        <f>#REF!</f>
        <v>#REF!</v>
      </c>
      <c r="E131" s="87" t="e">
        <f>#REF!</f>
        <v>#REF!</v>
      </c>
      <c r="F131" s="375" t="e">
        <f>#REF!</f>
        <v>#REF!</v>
      </c>
      <c r="G131" s="375"/>
      <c r="H131" s="88" t="s">
        <v>2745</v>
      </c>
      <c r="I131" s="58" t="str">
        <f>Gewicht/10&amp;" kg"</f>
        <v>10 kg</v>
      </c>
      <c r="J131" s="57"/>
      <c r="K131" s="58"/>
      <c r="L131" s="104"/>
      <c r="M131" s="58"/>
      <c r="N131" s="58"/>
      <c r="O131" s="58"/>
      <c r="P131" s="58"/>
      <c r="Q131" s="58"/>
      <c r="R131" s="58"/>
      <c r="S131" s="58"/>
      <c r="T131" s="58"/>
      <c r="U131" s="58"/>
    </row>
    <row r="132" spans="1:21" x14ac:dyDescent="0.35">
      <c r="A132" s="58"/>
      <c r="B132" s="86"/>
      <c r="C132" s="87" t="e">
        <f>#REF!</f>
        <v>#REF!</v>
      </c>
      <c r="D132" s="59" t="e">
        <f ca="1">AfspraakDatum-OpnDatum+1</f>
        <v>#NAME?</v>
      </c>
      <c r="E132" s="87" t="e">
        <f>#REF!</f>
        <v>#REF!</v>
      </c>
      <c r="F132" s="60" t="e">
        <f>#REF!</f>
        <v>#REF!</v>
      </c>
      <c r="G132" s="57"/>
      <c r="H132" s="88" t="s">
        <v>1341</v>
      </c>
      <c r="I132" s="58" t="str">
        <f>Lengte&amp;" cm"</f>
        <v>80 cm</v>
      </c>
      <c r="J132" s="57"/>
      <c r="K132" s="58"/>
      <c r="L132" s="104"/>
      <c r="M132" s="58"/>
      <c r="N132" s="58"/>
      <c r="O132" s="58"/>
      <c r="P132" s="58"/>
      <c r="Q132" s="58"/>
      <c r="R132" s="58"/>
      <c r="S132" s="58"/>
      <c r="T132" s="58"/>
      <c r="U132" s="58"/>
    </row>
    <row r="133" spans="1:21" x14ac:dyDescent="0.35">
      <c r="A133" s="58"/>
      <c r="B133" s="61"/>
      <c r="C133" s="58"/>
      <c r="D133" s="57"/>
      <c r="E133" s="58"/>
      <c r="F133" s="57"/>
      <c r="G133" s="58"/>
      <c r="H133" s="88" t="s">
        <v>1353</v>
      </c>
      <c r="I133" s="58" t="str">
        <f>ROUND(POWER(Gewicht/10,0.425)*POWER(((Lengte/100)*100),0.725)*0.007184,2)&amp;" m2"</f>
        <v>0.46 m2</v>
      </c>
      <c r="J133" s="58"/>
      <c r="K133" s="58"/>
      <c r="L133" s="104"/>
      <c r="M133" s="58"/>
      <c r="N133" s="58"/>
      <c r="O133" s="58"/>
      <c r="P133" s="58"/>
      <c r="Q133" s="58"/>
      <c r="R133" s="58"/>
      <c r="S133" s="58"/>
      <c r="T133" s="58"/>
      <c r="U133" s="58"/>
    </row>
    <row r="134" spans="1:21" x14ac:dyDescent="0.35">
      <c r="A134" s="58"/>
      <c r="B134" s="61"/>
      <c r="C134" s="58"/>
      <c r="D134" s="57"/>
      <c r="E134" s="58"/>
      <c r="F134" s="57"/>
      <c r="G134" s="58"/>
      <c r="H134" s="58"/>
      <c r="I134" s="58"/>
      <c r="J134" s="58"/>
      <c r="K134" s="58"/>
      <c r="L134" s="104"/>
      <c r="M134" s="58"/>
    </row>
    <row r="135" spans="1:21" x14ac:dyDescent="0.35">
      <c r="A135" s="58"/>
      <c r="B135" s="61"/>
      <c r="C135" s="58"/>
      <c r="D135" s="57"/>
      <c r="E135" s="58"/>
      <c r="F135" s="57"/>
      <c r="G135" s="58"/>
      <c r="H135" s="58"/>
      <c r="I135" s="58"/>
      <c r="J135" s="58"/>
      <c r="K135" s="58"/>
      <c r="L135" s="104"/>
      <c r="M135" s="58"/>
    </row>
    <row r="136" spans="1:21" x14ac:dyDescent="0.35">
      <c r="A136" s="58"/>
      <c r="B136" s="61"/>
      <c r="C136" s="58"/>
      <c r="D136" s="57"/>
      <c r="E136" s="58"/>
      <c r="F136" s="57"/>
      <c r="G136" s="58"/>
      <c r="H136" s="58"/>
      <c r="I136" s="58"/>
      <c r="J136" s="58"/>
      <c r="K136" s="58"/>
      <c r="L136" s="104"/>
      <c r="M136" s="58"/>
    </row>
    <row r="137" spans="1:21" ht="13.6" x14ac:dyDescent="0.35">
      <c r="A137" s="58"/>
      <c r="B137" s="71" t="s">
        <v>344</v>
      </c>
      <c r="C137" s="66"/>
      <c r="D137" s="72"/>
      <c r="E137" s="66"/>
      <c r="F137" s="71" t="str">
        <f>IF(Comfort,"Ja","Nee")</f>
        <v>Ja</v>
      </c>
      <c r="G137" s="58"/>
      <c r="H137" s="58"/>
      <c r="I137" s="58"/>
      <c r="J137" s="58"/>
      <c r="K137" s="58"/>
      <c r="L137" s="104"/>
      <c r="M137" s="58"/>
    </row>
    <row r="138" spans="1:21" x14ac:dyDescent="0.35">
      <c r="A138" s="58"/>
      <c r="B138" s="61"/>
      <c r="C138" s="58"/>
      <c r="D138" s="58"/>
      <c r="E138" s="58"/>
      <c r="F138" s="58"/>
      <c r="G138" s="58"/>
      <c r="H138" s="58"/>
      <c r="I138" s="58"/>
      <c r="J138" s="58"/>
      <c r="K138" s="58"/>
      <c r="L138" s="104"/>
      <c r="M138" s="58"/>
    </row>
    <row r="139" spans="1:21" x14ac:dyDescent="0.35">
      <c r="A139" s="58"/>
      <c r="B139" s="61"/>
      <c r="C139" s="58"/>
      <c r="D139" s="326" t="s">
        <v>2680</v>
      </c>
      <c r="E139" s="58"/>
      <c r="F139" s="58"/>
      <c r="G139" s="326" t="s">
        <v>1328</v>
      </c>
      <c r="H139" s="58"/>
      <c r="I139" s="58"/>
      <c r="J139" s="58"/>
      <c r="K139" s="58"/>
      <c r="L139" s="104"/>
      <c r="M139" s="58"/>
    </row>
    <row r="140" spans="1:21" ht="25" customHeight="1" x14ac:dyDescent="0.4">
      <c r="A140" s="388" t="s">
        <v>1326</v>
      </c>
      <c r="B140" s="389"/>
      <c r="C140" s="147" t="s">
        <v>1327</v>
      </c>
      <c r="D140" s="147" t="s">
        <v>1329</v>
      </c>
      <c r="E140" s="388" t="s">
        <v>1331</v>
      </c>
      <c r="F140" s="389"/>
      <c r="G140" s="155" t="s">
        <v>1329</v>
      </c>
      <c r="H140" s="388" t="s">
        <v>1330</v>
      </c>
      <c r="I140" s="389"/>
      <c r="J140" s="155" t="s">
        <v>2420</v>
      </c>
      <c r="K140" s="61"/>
      <c r="L140" s="104"/>
      <c r="M140" s="58"/>
    </row>
    <row r="141" spans="1:21" ht="25" customHeight="1" x14ac:dyDescent="0.35">
      <c r="A141" s="148"/>
      <c r="B141" s="328"/>
      <c r="C141" s="147"/>
      <c r="D141" s="147"/>
      <c r="E141" s="148"/>
      <c r="F141" s="328"/>
      <c r="G141" s="150"/>
      <c r="H141" s="153"/>
      <c r="I141" s="154"/>
      <c r="J141" s="156"/>
      <c r="K141" s="61"/>
      <c r="L141" s="104"/>
      <c r="M141" s="58"/>
    </row>
    <row r="142" spans="1:21" ht="25" customHeight="1" x14ac:dyDescent="0.35">
      <c r="A142" s="148"/>
      <c r="B142" s="328"/>
      <c r="C142" s="147"/>
      <c r="D142" s="147"/>
      <c r="E142" s="148"/>
      <c r="F142" s="328"/>
      <c r="G142" s="150"/>
      <c r="H142" s="153"/>
      <c r="I142" s="154"/>
      <c r="J142" s="156"/>
      <c r="K142" s="61"/>
      <c r="L142" s="104"/>
      <c r="M142" s="58"/>
    </row>
    <row r="143" spans="1:21" ht="25" customHeight="1" x14ac:dyDescent="0.35">
      <c r="A143" s="148"/>
      <c r="B143" s="328"/>
      <c r="C143" s="147"/>
      <c r="D143" s="147"/>
      <c r="E143" s="148"/>
      <c r="F143" s="328"/>
      <c r="G143" s="150"/>
      <c r="H143" s="153"/>
      <c r="I143" s="154"/>
      <c r="J143" s="156"/>
      <c r="K143" s="61"/>
      <c r="L143" s="104"/>
      <c r="M143" s="58"/>
    </row>
    <row r="144" spans="1:21" ht="25" customHeight="1" x14ac:dyDescent="0.35">
      <c r="A144" s="148"/>
      <c r="B144" s="328"/>
      <c r="C144" s="147"/>
      <c r="D144" s="147"/>
      <c r="E144" s="148"/>
      <c r="F144" s="328"/>
      <c r="G144" s="150"/>
      <c r="H144" s="153"/>
      <c r="I144" s="154"/>
      <c r="J144" s="156"/>
      <c r="K144" s="61"/>
      <c r="L144" s="104"/>
      <c r="M144" s="58"/>
    </row>
    <row r="145" spans="1:13" ht="25" customHeight="1" x14ac:dyDescent="0.35">
      <c r="A145" s="148"/>
      <c r="B145" s="328"/>
      <c r="C145" s="147"/>
      <c r="D145" s="147"/>
      <c r="E145" s="148"/>
      <c r="F145" s="328"/>
      <c r="G145" s="150"/>
      <c r="H145" s="153"/>
      <c r="I145" s="154"/>
      <c r="J145" s="156"/>
      <c r="K145" s="61"/>
      <c r="L145" s="104"/>
      <c r="M145" s="58"/>
    </row>
    <row r="146" spans="1:13" ht="25" customHeight="1" x14ac:dyDescent="0.35">
      <c r="A146" s="148"/>
      <c r="B146" s="328"/>
      <c r="C146" s="147"/>
      <c r="D146" s="147"/>
      <c r="E146" s="148"/>
      <c r="F146" s="328"/>
      <c r="G146" s="150"/>
      <c r="H146" s="153"/>
      <c r="I146" s="154"/>
      <c r="J146" s="156"/>
      <c r="K146" s="61"/>
      <c r="L146" s="104"/>
      <c r="M146" s="58"/>
    </row>
    <row r="147" spans="1:13" ht="25" customHeight="1" x14ac:dyDescent="0.35">
      <c r="A147" s="148"/>
      <c r="B147" s="328"/>
      <c r="C147" s="147"/>
      <c r="D147" s="147"/>
      <c r="E147" s="148"/>
      <c r="F147" s="328"/>
      <c r="G147" s="150"/>
      <c r="H147" s="153"/>
      <c r="I147" s="154"/>
      <c r="J147" s="156"/>
      <c r="K147" s="61"/>
      <c r="L147" s="104"/>
      <c r="M147" s="58"/>
    </row>
    <row r="148" spans="1:13" ht="25" customHeight="1" x14ac:dyDescent="0.35">
      <c r="A148" s="148"/>
      <c r="B148" s="328"/>
      <c r="C148" s="147"/>
      <c r="D148" s="147"/>
      <c r="E148" s="148"/>
      <c r="F148" s="328"/>
      <c r="G148" s="150"/>
      <c r="H148" s="153"/>
      <c r="I148" s="154"/>
      <c r="J148" s="156"/>
      <c r="K148" s="61"/>
      <c r="L148" s="104"/>
      <c r="M148" s="58"/>
    </row>
    <row r="149" spans="1:13" ht="25" customHeight="1" x14ac:dyDescent="0.35">
      <c r="A149" s="148"/>
      <c r="B149" s="328"/>
      <c r="C149" s="147"/>
      <c r="D149" s="147"/>
      <c r="E149" s="148"/>
      <c r="F149" s="328"/>
      <c r="G149" s="150"/>
      <c r="H149" s="153"/>
      <c r="I149" s="154"/>
      <c r="J149" s="156"/>
      <c r="K149" s="61"/>
      <c r="L149" s="104"/>
      <c r="M149" s="58"/>
    </row>
    <row r="150" spans="1:13" ht="25" customHeight="1" x14ac:dyDescent="0.35">
      <c r="A150" s="148"/>
      <c r="B150" s="328"/>
      <c r="C150" s="147"/>
      <c r="D150" s="147"/>
      <c r="E150" s="148"/>
      <c r="F150" s="328"/>
      <c r="G150" s="150"/>
      <c r="H150" s="153"/>
      <c r="I150" s="154"/>
      <c r="J150" s="156"/>
      <c r="L150" s="104"/>
      <c r="M150" s="105"/>
    </row>
    <row r="151" spans="1:13" ht="25" customHeight="1" x14ac:dyDescent="0.35">
      <c r="A151" s="148"/>
      <c r="B151" s="328"/>
      <c r="C151" s="147"/>
      <c r="D151" s="147"/>
      <c r="E151" s="148"/>
      <c r="F151" s="328"/>
      <c r="G151" s="150"/>
      <c r="H151" s="153"/>
      <c r="I151" s="154"/>
      <c r="J151" s="156"/>
      <c r="L151" s="104"/>
      <c r="M151" s="105"/>
    </row>
    <row r="152" spans="1:13" ht="25" customHeight="1" x14ac:dyDescent="0.35">
      <c r="A152" s="148"/>
      <c r="B152" s="328"/>
      <c r="C152" s="147"/>
      <c r="D152" s="147"/>
      <c r="E152" s="148"/>
      <c r="F152" s="328"/>
      <c r="G152" s="150"/>
      <c r="H152" s="153"/>
      <c r="I152" s="154"/>
      <c r="J152" s="156"/>
      <c r="L152" s="104"/>
      <c r="M152" s="105"/>
    </row>
    <row r="153" spans="1:13" ht="25" customHeight="1" x14ac:dyDescent="0.35">
      <c r="A153" s="148"/>
      <c r="B153" s="328"/>
      <c r="C153" s="147"/>
      <c r="D153" s="147"/>
      <c r="E153" s="148"/>
      <c r="F153" s="328"/>
      <c r="G153" s="150"/>
      <c r="H153" s="153"/>
      <c r="I153" s="154"/>
      <c r="J153" s="156"/>
      <c r="L153" s="104"/>
      <c r="M153" s="105"/>
    </row>
    <row r="154" spans="1:13" ht="25" customHeight="1" x14ac:dyDescent="0.35">
      <c r="A154" s="148"/>
      <c r="B154" s="328"/>
      <c r="C154" s="147"/>
      <c r="D154" s="147"/>
      <c r="E154" s="148"/>
      <c r="F154" s="328"/>
      <c r="G154" s="150"/>
      <c r="H154" s="153"/>
      <c r="I154" s="154"/>
      <c r="J154" s="156"/>
      <c r="L154" s="104"/>
      <c r="M154" s="105"/>
    </row>
    <row r="155" spans="1:13" ht="25" customHeight="1" x14ac:dyDescent="0.35">
      <c r="A155" s="148"/>
      <c r="B155" s="328"/>
      <c r="C155" s="147"/>
      <c r="D155" s="147"/>
      <c r="E155" s="148"/>
      <c r="F155" s="328"/>
      <c r="G155" s="150"/>
      <c r="H155" s="153"/>
      <c r="I155" s="154"/>
      <c r="J155" s="156"/>
      <c r="L155" s="104"/>
      <c r="M155" s="105"/>
    </row>
    <row r="156" spans="1:13" ht="25" customHeight="1" x14ac:dyDescent="0.35">
      <c r="A156" s="148"/>
      <c r="B156" s="328"/>
      <c r="C156" s="147"/>
      <c r="D156" s="147"/>
      <c r="E156" s="148"/>
      <c r="F156" s="328"/>
      <c r="G156" s="150"/>
      <c r="H156" s="153"/>
      <c r="I156" s="154"/>
      <c r="J156" s="156"/>
      <c r="L156" s="104"/>
      <c r="M156" s="105"/>
    </row>
    <row r="157" spans="1:13" ht="25" customHeight="1" x14ac:dyDescent="0.35">
      <c r="A157" s="148"/>
      <c r="B157" s="328"/>
      <c r="C157" s="147"/>
      <c r="D157" s="147"/>
      <c r="E157" s="148"/>
      <c r="F157" s="328"/>
      <c r="G157" s="150"/>
      <c r="H157" s="153"/>
      <c r="I157" s="154"/>
      <c r="J157" s="156"/>
      <c r="L157" s="104"/>
      <c r="M157" s="105"/>
    </row>
    <row r="158" spans="1:13" ht="25" customHeight="1" x14ac:dyDescent="0.4">
      <c r="A158" s="332" t="s">
        <v>1332</v>
      </c>
      <c r="B158" s="330"/>
      <c r="C158" s="329"/>
      <c r="D158" s="329"/>
      <c r="E158" s="329"/>
      <c r="F158" s="330"/>
      <c r="G158" s="330"/>
      <c r="H158" s="331"/>
      <c r="I158" s="331"/>
      <c r="J158" s="331"/>
      <c r="L158" s="104"/>
      <c r="M158" s="105"/>
    </row>
    <row r="159" spans="1:13" ht="25" customHeight="1" x14ac:dyDescent="0.35">
      <c r="M159" s="105"/>
    </row>
    <row r="160" spans="1:13" ht="25" customHeight="1" x14ac:dyDescent="0.35"/>
  </sheetData>
  <sheetProtection password="CC20" sheet="1" objects="1" scenarios="1" selectLockedCells="1" selectUnlockedCells="1"/>
  <mergeCells count="19">
    <mergeCell ref="F2:G2"/>
    <mergeCell ref="D17:J18"/>
    <mergeCell ref="D42:J42"/>
    <mergeCell ref="D43:J43"/>
    <mergeCell ref="D124:J124"/>
    <mergeCell ref="D37:J37"/>
    <mergeCell ref="D40:J40"/>
    <mergeCell ref="D41:J41"/>
    <mergeCell ref="F131:G131"/>
    <mergeCell ref="A140:B140"/>
    <mergeCell ref="E140:F140"/>
    <mergeCell ref="H140:I140"/>
    <mergeCell ref="D44:J44"/>
    <mergeCell ref="D78:J78"/>
    <mergeCell ref="D99:J100"/>
    <mergeCell ref="D45:J46"/>
    <mergeCell ref="C56:J59"/>
    <mergeCell ref="F66:G66"/>
    <mergeCell ref="C54:J55"/>
  </mergeCells>
  <phoneticPr fontId="26" type="noConversion"/>
  <pageMargins left="0.55000000000000004" right="0.19" top="0.37" bottom="0.67" header="0.25" footer="0.67"/>
  <pageSetup paperSize="9" scale="94" orientation="portrait" r:id="rId1"/>
  <headerFooter alignWithMargins="0">
    <oddHeader>&amp;CBed 0&amp;R&amp;"Arial,Cursief"&amp;9Datum en tijd: &amp;D,  &amp;T</oddHeader>
  </headerFooter>
  <rowBreaks count="2" manualBreakCount="2">
    <brk id="65" max="9" man="1"/>
    <brk id="130" max="9"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HFO">
    <pageSetUpPr autoPageBreaks="0"/>
  </sheetPr>
  <dimension ref="A1:U159"/>
  <sheetViews>
    <sheetView showGridLines="0" showRowColHeaders="0" showZeros="0" zoomScaleNormal="100" workbookViewId="0">
      <selection activeCell="D103" sqref="D103"/>
    </sheetView>
  </sheetViews>
  <sheetFormatPr defaultRowHeight="12.85" x14ac:dyDescent="0.35"/>
  <cols>
    <col min="1" max="2" width="2.73046875" customWidth="1"/>
    <col min="3" max="3" width="13.3984375" customWidth="1"/>
    <col min="4" max="4" width="10.73046875" customWidth="1"/>
    <col min="5" max="5" width="12.3984375" customWidth="1"/>
    <col min="6" max="10" width="10.73046875" customWidth="1"/>
  </cols>
  <sheetData>
    <row r="1" spans="1:11" x14ac:dyDescent="0.35">
      <c r="A1" s="58"/>
      <c r="B1" s="61"/>
      <c r="C1" s="58"/>
      <c r="D1" s="58"/>
      <c r="E1" s="58"/>
      <c r="F1" s="58"/>
      <c r="G1" s="58"/>
      <c r="H1" s="58"/>
      <c r="I1" s="58"/>
      <c r="J1" s="58"/>
      <c r="K1" s="58"/>
    </row>
    <row r="2" spans="1:11" x14ac:dyDescent="0.35">
      <c r="A2" s="58"/>
      <c r="B2" s="86"/>
      <c r="C2" s="87" t="e">
        <f>#REF!</f>
        <v>#REF!</v>
      </c>
      <c r="D2" s="56" t="e">
        <f>#REF!</f>
        <v>#REF!</v>
      </c>
      <c r="E2" s="87" t="e">
        <f>#REF!</f>
        <v>#REF!</v>
      </c>
      <c r="F2" s="375" t="e">
        <f>#REF!</f>
        <v>#REF!</v>
      </c>
      <c r="G2" s="375"/>
      <c r="H2" s="88" t="s">
        <v>2745</v>
      </c>
      <c r="I2" s="58" t="str">
        <f>Gewicht/10&amp;" kg"</f>
        <v>10 kg</v>
      </c>
      <c r="J2" s="57"/>
      <c r="K2" s="58"/>
    </row>
    <row r="3" spans="1:11" x14ac:dyDescent="0.35">
      <c r="A3" s="58"/>
      <c r="B3" s="86"/>
      <c r="C3" s="87" t="s">
        <v>2113</v>
      </c>
      <c r="D3" s="59" t="e">
        <f ca="1">AfspraakDatum-OpnDatum+1</f>
        <v>#NAME?</v>
      </c>
      <c r="E3" s="87" t="e">
        <f>#REF!</f>
        <v>#REF!</v>
      </c>
      <c r="F3" s="60" t="e">
        <f>#REF!</f>
        <v>#REF!</v>
      </c>
      <c r="G3" s="57"/>
      <c r="H3" s="88" t="s">
        <v>1341</v>
      </c>
      <c r="I3" s="58" t="str">
        <f>Lengte&amp;" cm"</f>
        <v>80 cm</v>
      </c>
      <c r="J3" s="57"/>
      <c r="K3" s="58"/>
    </row>
    <row r="4" spans="1:11" x14ac:dyDescent="0.35">
      <c r="A4" s="58"/>
      <c r="B4" s="61"/>
      <c r="C4" s="58"/>
      <c r="D4" s="57"/>
      <c r="E4" s="58"/>
      <c r="F4" s="57"/>
      <c r="G4" s="58"/>
      <c r="H4" s="88" t="s">
        <v>1353</v>
      </c>
      <c r="I4" s="58" t="str">
        <f>ROUND(POWER(Gewicht/10,0.425)*POWER(((Lengte/100)*100),0.725)*0.007184,2)&amp;" m2"</f>
        <v>0.46 m2</v>
      </c>
      <c r="J4" s="58"/>
      <c r="K4" s="58"/>
    </row>
    <row r="5" spans="1:11" ht="13.6" x14ac:dyDescent="0.35">
      <c r="A5" s="66"/>
      <c r="B5" s="71" t="e">
        <f>#REF!</f>
        <v>#REF!</v>
      </c>
      <c r="C5" s="68"/>
      <c r="D5" s="66"/>
      <c r="E5" s="66"/>
      <c r="F5" s="66"/>
      <c r="G5" s="66"/>
      <c r="H5" s="66"/>
      <c r="I5" s="66"/>
      <c r="J5" s="76"/>
      <c r="K5" s="75"/>
    </row>
    <row r="6" spans="1:11" x14ac:dyDescent="0.35">
      <c r="A6" s="58"/>
      <c r="B6" s="86"/>
      <c r="C6" s="88" t="e">
        <f>#REF!</f>
        <v>#REF!</v>
      </c>
      <c r="D6" s="88"/>
      <c r="E6" s="58" t="str">
        <f>IF(Toegang&lt;&gt;1,INDEX(tblToegang,Toegang,1),IF(Zuurstof&lt;&gt;1,INDEX(tblZuurstof,Zuurstof,1)&amp;" met "&amp;#REF!,""))</f>
        <v/>
      </c>
      <c r="F6" s="58"/>
      <c r="G6" s="58"/>
      <c r="H6" s="88" t="e">
        <f>#REF!</f>
        <v>#REF!</v>
      </c>
      <c r="I6" s="88"/>
      <c r="J6" s="57" t="e">
        <f>#REF!</f>
        <v>#REF!</v>
      </c>
      <c r="K6" s="58"/>
    </row>
    <row r="7" spans="1:11" x14ac:dyDescent="0.35">
      <c r="A7" s="58"/>
      <c r="B7" s="86"/>
      <c r="C7" s="88" t="e">
        <f>#REF!</f>
        <v>#REF!</v>
      </c>
      <c r="D7" s="88"/>
      <c r="E7" s="58">
        <f>INDEX(tblDruppelen,dbBead!L2,1)</f>
        <v>0</v>
      </c>
      <c r="F7" s="58"/>
      <c r="G7" s="58"/>
      <c r="H7" s="88" t="e">
        <f>#REF!</f>
        <v>#REF!</v>
      </c>
      <c r="I7" s="88"/>
      <c r="J7" s="57" t="e">
        <f>#REF!</f>
        <v>#REF!</v>
      </c>
      <c r="K7" s="58"/>
    </row>
    <row r="8" spans="1:11" x14ac:dyDescent="0.35">
      <c r="A8" s="58"/>
      <c r="B8" s="86"/>
      <c r="C8" s="88" t="e">
        <f>#REF!</f>
        <v>#REF!</v>
      </c>
      <c r="D8" s="88"/>
      <c r="E8" s="58" t="e">
        <f>#REF!</f>
        <v>#REF!</v>
      </c>
      <c r="F8" s="58"/>
      <c r="G8" s="58"/>
      <c r="H8" s="88" t="e">
        <f>#REF!</f>
        <v>#REF!</v>
      </c>
      <c r="I8" s="88"/>
      <c r="J8" s="58" t="e">
        <f>#REF!</f>
        <v>#REF!</v>
      </c>
      <c r="K8" s="58"/>
    </row>
    <row r="9" spans="1:11" x14ac:dyDescent="0.35">
      <c r="K9" s="75"/>
    </row>
    <row r="10" spans="1:11" x14ac:dyDescent="0.35">
      <c r="A10" s="58"/>
      <c r="B10" s="86"/>
      <c r="C10" s="88" t="e">
        <f>#REF!</f>
        <v>#REF!</v>
      </c>
      <c r="D10" s="88"/>
      <c r="E10" s="58">
        <f>INDEX(tblHFO,dbBead!R2,1)</f>
        <v>0</v>
      </c>
      <c r="F10" s="58"/>
    </row>
    <row r="11" spans="1:11" x14ac:dyDescent="0.35">
      <c r="A11" s="58"/>
      <c r="B11" s="86"/>
      <c r="C11" s="88" t="e">
        <f>#REF!</f>
        <v>#REF!</v>
      </c>
      <c r="D11" s="88"/>
      <c r="E11" s="58" t="e">
        <f>#REF!</f>
        <v>#REF!</v>
      </c>
      <c r="F11" s="58"/>
    </row>
    <row r="12" spans="1:11" x14ac:dyDescent="0.35">
      <c r="A12" s="58"/>
      <c r="B12" s="86"/>
      <c r="C12" s="88" t="s">
        <v>2877</v>
      </c>
      <c r="D12" s="88"/>
      <c r="E12" s="58" t="e">
        <f>#REF!</f>
        <v>#REF!</v>
      </c>
      <c r="F12" s="58"/>
    </row>
    <row r="13" spans="1:11" x14ac:dyDescent="0.35">
      <c r="A13" s="58"/>
      <c r="B13" s="86"/>
      <c r="C13" s="88" t="s">
        <v>3735</v>
      </c>
      <c r="D13" s="88"/>
      <c r="E13" s="58" t="e">
        <f>#REF!</f>
        <v>#REF!</v>
      </c>
      <c r="F13" s="58"/>
    </row>
    <row r="14" spans="1:11" x14ac:dyDescent="0.35">
      <c r="A14" s="58"/>
      <c r="B14" s="86"/>
      <c r="C14" s="88" t="s">
        <v>2120</v>
      </c>
      <c r="D14" s="88"/>
      <c r="E14" s="58" t="e">
        <f>#REF!</f>
        <v>#REF!</v>
      </c>
      <c r="F14" s="58"/>
    </row>
    <row r="15" spans="1:11" x14ac:dyDescent="0.35">
      <c r="A15" s="58"/>
      <c r="B15" s="86"/>
      <c r="C15" s="88" t="s">
        <v>3166</v>
      </c>
      <c r="D15" s="88"/>
      <c r="E15" s="58" t="e">
        <f>#REF!</f>
        <v>#REF!</v>
      </c>
      <c r="F15" s="63"/>
    </row>
    <row r="16" spans="1:11" x14ac:dyDescent="0.35">
      <c r="A16" s="58"/>
      <c r="B16" s="61"/>
      <c r="C16" s="58"/>
      <c r="D16" s="58"/>
      <c r="E16" s="58"/>
      <c r="F16" s="63"/>
      <c r="G16" s="63"/>
      <c r="H16" s="75"/>
      <c r="I16" s="75"/>
      <c r="J16" s="75"/>
      <c r="K16" s="77"/>
    </row>
    <row r="17" spans="1:12" x14ac:dyDescent="0.35">
      <c r="A17" s="58"/>
      <c r="B17" s="86"/>
      <c r="C17" s="88" t="s">
        <v>2864</v>
      </c>
      <c r="D17" s="382">
        <f>ber_Opm!C2</f>
        <v>0</v>
      </c>
      <c r="E17" s="383"/>
      <c r="F17" s="383"/>
      <c r="G17" s="383"/>
      <c r="H17" s="383"/>
      <c r="I17" s="383"/>
      <c r="J17" s="383"/>
      <c r="K17" s="61"/>
    </row>
    <row r="18" spans="1:12" x14ac:dyDescent="0.35">
      <c r="A18" s="58"/>
      <c r="B18" s="86"/>
      <c r="C18" s="88"/>
      <c r="D18" s="383"/>
      <c r="E18" s="383"/>
      <c r="F18" s="383"/>
      <c r="G18" s="383"/>
      <c r="H18" s="383"/>
      <c r="I18" s="383"/>
      <c r="J18" s="383"/>
      <c r="K18" s="61"/>
    </row>
    <row r="19" spans="1:12" x14ac:dyDescent="0.35">
      <c r="A19" s="58"/>
      <c r="B19" s="61"/>
      <c r="C19" s="58"/>
      <c r="D19" s="58"/>
      <c r="E19" s="58"/>
      <c r="F19" s="61"/>
      <c r="G19" s="61"/>
      <c r="H19" s="62"/>
      <c r="I19" s="62"/>
      <c r="J19" s="62"/>
    </row>
    <row r="20" spans="1:12" ht="13.2" x14ac:dyDescent="0.4">
      <c r="A20" s="58"/>
      <c r="B20" s="61"/>
      <c r="C20" s="147" t="s">
        <v>2330</v>
      </c>
      <c r="D20" s="148" t="s">
        <v>2497</v>
      </c>
      <c r="E20" s="149"/>
      <c r="F20" s="150" t="s">
        <v>2420</v>
      </c>
      <c r="G20" s="150" t="s">
        <v>2330</v>
      </c>
      <c r="H20" s="151" t="s">
        <v>2497</v>
      </c>
      <c r="I20" s="152"/>
      <c r="J20" s="155" t="s">
        <v>2420</v>
      </c>
      <c r="K20" s="61"/>
      <c r="L20" s="104"/>
    </row>
    <row r="21" spans="1:12" x14ac:dyDescent="0.35">
      <c r="A21" s="58"/>
      <c r="B21" s="61"/>
      <c r="C21" s="147"/>
      <c r="D21" s="148"/>
      <c r="E21" s="149"/>
      <c r="F21" s="150"/>
      <c r="G21" s="150"/>
      <c r="H21" s="153"/>
      <c r="I21" s="154"/>
      <c r="J21" s="156"/>
      <c r="K21" s="61"/>
      <c r="L21" s="104"/>
    </row>
    <row r="22" spans="1:12" x14ac:dyDescent="0.35">
      <c r="A22" s="58"/>
      <c r="B22" s="61"/>
      <c r="C22" s="147"/>
      <c r="D22" s="148"/>
      <c r="E22" s="149"/>
      <c r="F22" s="150"/>
      <c r="G22" s="150"/>
      <c r="H22" s="153"/>
      <c r="I22" s="154"/>
      <c r="J22" s="156"/>
      <c r="K22" s="61"/>
      <c r="L22" s="104"/>
    </row>
    <row r="23" spans="1:12" x14ac:dyDescent="0.35">
      <c r="A23" s="58"/>
      <c r="B23" s="61"/>
      <c r="C23" s="147"/>
      <c r="D23" s="148"/>
      <c r="E23" s="149"/>
      <c r="F23" s="150"/>
      <c r="G23" s="150"/>
      <c r="H23" s="153"/>
      <c r="I23" s="154"/>
      <c r="J23" s="156"/>
      <c r="K23" s="61"/>
      <c r="L23" s="104"/>
    </row>
    <row r="24" spans="1:12" x14ac:dyDescent="0.35">
      <c r="A24" s="58"/>
      <c r="B24" s="61"/>
      <c r="C24" s="147"/>
      <c r="D24" s="148"/>
      <c r="E24" s="149"/>
      <c r="F24" s="150"/>
      <c r="G24" s="150"/>
      <c r="H24" s="153"/>
      <c r="I24" s="154"/>
      <c r="J24" s="156"/>
      <c r="K24" s="61"/>
      <c r="L24" s="104"/>
    </row>
    <row r="25" spans="1:12" x14ac:dyDescent="0.35">
      <c r="A25" s="58"/>
      <c r="B25" s="61"/>
      <c r="C25" s="147"/>
      <c r="D25" s="148"/>
      <c r="E25" s="149"/>
      <c r="F25" s="150"/>
      <c r="G25" s="150"/>
      <c r="H25" s="153"/>
      <c r="I25" s="154"/>
      <c r="J25" s="156"/>
      <c r="K25" s="61"/>
      <c r="L25" s="104"/>
    </row>
    <row r="26" spans="1:12" x14ac:dyDescent="0.35">
      <c r="A26" s="58"/>
      <c r="B26" s="61"/>
      <c r="C26" s="147"/>
      <c r="D26" s="148"/>
      <c r="E26" s="149"/>
      <c r="F26" s="150"/>
      <c r="G26" s="150"/>
      <c r="H26" s="153"/>
      <c r="I26" s="154"/>
      <c r="J26" s="156"/>
      <c r="K26" s="61"/>
      <c r="L26" s="104"/>
    </row>
    <row r="27" spans="1:12" x14ac:dyDescent="0.35">
      <c r="A27" s="58"/>
      <c r="B27" s="61"/>
      <c r="C27" s="147"/>
      <c r="D27" s="148"/>
      <c r="E27" s="149"/>
      <c r="F27" s="150"/>
      <c r="G27" s="150"/>
      <c r="H27" s="153"/>
      <c r="I27" s="154"/>
      <c r="J27" s="156"/>
      <c r="K27" s="61"/>
      <c r="L27" s="104"/>
    </row>
    <row r="28" spans="1:12" x14ac:dyDescent="0.35">
      <c r="A28" s="58"/>
      <c r="B28" s="61"/>
      <c r="C28" s="147"/>
      <c r="D28" s="148"/>
      <c r="E28" s="149"/>
      <c r="F28" s="150"/>
      <c r="G28" s="150"/>
      <c r="H28" s="153"/>
      <c r="I28" s="154"/>
      <c r="J28" s="156"/>
      <c r="K28" s="61"/>
      <c r="L28" s="104"/>
    </row>
    <row r="29" spans="1:12" x14ac:dyDescent="0.35">
      <c r="A29" s="58"/>
      <c r="B29" s="61"/>
      <c r="C29" s="147"/>
      <c r="D29" s="148"/>
      <c r="E29" s="149"/>
      <c r="F29" s="150"/>
      <c r="G29" s="150"/>
      <c r="H29" s="153"/>
      <c r="I29" s="154"/>
      <c r="J29" s="156"/>
      <c r="K29" s="61"/>
      <c r="L29" s="104"/>
    </row>
    <row r="30" spans="1:12" x14ac:dyDescent="0.35">
      <c r="A30" s="58"/>
      <c r="B30" s="61"/>
      <c r="C30" s="58"/>
      <c r="D30" s="58"/>
      <c r="E30" s="58"/>
      <c r="F30" s="58"/>
      <c r="G30" s="58"/>
      <c r="H30" s="62"/>
      <c r="I30" s="62"/>
      <c r="J30" s="62"/>
      <c r="K30" s="61"/>
      <c r="L30" s="104"/>
    </row>
    <row r="31" spans="1:12" ht="13.6" x14ac:dyDescent="0.35">
      <c r="A31" s="66"/>
      <c r="B31" s="71" t="str">
        <f>Intake!C7</f>
        <v>Voeding</v>
      </c>
      <c r="C31" s="66"/>
      <c r="D31" s="66"/>
      <c r="E31" s="66"/>
      <c r="F31" s="66"/>
      <c r="G31" s="66"/>
      <c r="H31" s="66"/>
      <c r="I31" s="66"/>
      <c r="J31" s="66"/>
      <c r="K31" s="61"/>
      <c r="L31" s="104"/>
    </row>
    <row r="32" spans="1:12" x14ac:dyDescent="0.35">
      <c r="A32" s="58"/>
      <c r="B32" s="86"/>
      <c r="C32" s="88" t="s">
        <v>2319</v>
      </c>
      <c r="D32" s="88"/>
      <c r="E32" s="58" t="str">
        <f>INDEX(tblSonde,ber_PO!A1,1)</f>
        <v>Geen sonde</v>
      </c>
      <c r="F32" s="58"/>
      <c r="G32" s="58"/>
      <c r="H32" s="58"/>
      <c r="I32" s="58"/>
      <c r="J32" s="58"/>
      <c r="K32" s="61"/>
      <c r="L32" s="104"/>
    </row>
    <row r="33" spans="1:12" x14ac:dyDescent="0.35">
      <c r="A33" s="58"/>
      <c r="B33" s="61"/>
      <c r="C33" s="58">
        <f>IF(E33&lt;&gt;"",INDEX(tblVoedingPO,KeuzePO_1,1),)</f>
        <v>0</v>
      </c>
      <c r="D33" s="58" t="str">
        <f>Intake!G8</f>
        <v/>
      </c>
      <c r="E33" s="58" t="str">
        <f>Intake!C8&amp;" "&amp;Intake!D8</f>
        <v xml:space="preserve"> </v>
      </c>
      <c r="F33" s="65" t="str">
        <f>IF(KeuzePO_2&gt;1,"met "&amp;Intake!C9&amp;" "&amp;Intake!D9&amp;" "&amp;INDEX(ber_PO!B22:B39,KeuzePO_2,1),"")</f>
        <v/>
      </c>
      <c r="G33" s="58"/>
      <c r="H33" s="58"/>
      <c r="I33" s="58" t="str">
        <f>Intake!I9</f>
        <v/>
      </c>
      <c r="J33" s="58"/>
      <c r="K33" s="61"/>
      <c r="L33" s="104"/>
    </row>
    <row r="34" spans="1:12" x14ac:dyDescent="0.35">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35">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35">
      <c r="A36" s="58"/>
      <c r="B36" s="61"/>
      <c r="C36" s="58"/>
      <c r="D36" s="58"/>
      <c r="E36" s="58"/>
      <c r="F36" s="58"/>
      <c r="G36" s="58"/>
      <c r="H36" s="58"/>
      <c r="I36" s="58"/>
      <c r="J36" s="58"/>
      <c r="K36" s="64"/>
      <c r="L36" s="104"/>
    </row>
    <row r="37" spans="1:12" x14ac:dyDescent="0.35">
      <c r="A37" s="66"/>
      <c r="B37" s="89"/>
      <c r="C37" s="90" t="s">
        <v>2864</v>
      </c>
      <c r="D37" s="378">
        <f>ber_Opm!C15</f>
        <v>0</v>
      </c>
      <c r="E37" s="379"/>
      <c r="F37" s="379"/>
      <c r="G37" s="379"/>
      <c r="H37" s="379"/>
      <c r="I37" s="379"/>
      <c r="J37" s="379"/>
      <c r="K37" s="64"/>
      <c r="L37" s="104"/>
    </row>
    <row r="38" spans="1:12" x14ac:dyDescent="0.35">
      <c r="A38" s="58"/>
      <c r="B38" s="61"/>
      <c r="C38" s="58"/>
      <c r="D38" s="58"/>
      <c r="E38" s="58"/>
      <c r="F38" s="58"/>
      <c r="G38" s="58"/>
      <c r="H38" s="58"/>
      <c r="I38" s="58"/>
      <c r="J38" s="58"/>
      <c r="K38" s="58"/>
      <c r="L38" s="104"/>
    </row>
    <row r="39" spans="1:12" ht="13.6" x14ac:dyDescent="0.35">
      <c r="A39" s="66"/>
      <c r="B39" s="71" t="s">
        <v>1277</v>
      </c>
      <c r="C39" s="66"/>
      <c r="D39" s="66"/>
      <c r="E39" s="66"/>
      <c r="F39" s="66"/>
      <c r="G39" s="66"/>
      <c r="H39" s="66"/>
      <c r="I39" s="66"/>
      <c r="J39" s="66"/>
      <c r="K39" s="58"/>
      <c r="L39" s="104"/>
    </row>
    <row r="40" spans="1:12" x14ac:dyDescent="0.35">
      <c r="A40" s="58"/>
      <c r="B40" s="88"/>
      <c r="C40" s="88" t="s">
        <v>3784</v>
      </c>
      <c r="D40" s="393"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394"/>
      <c r="F40" s="394"/>
      <c r="G40" s="394"/>
      <c r="H40" s="394"/>
      <c r="I40" s="394"/>
      <c r="J40" s="394"/>
      <c r="K40" s="58"/>
      <c r="L40" s="104"/>
    </row>
    <row r="41" spans="1:12" x14ac:dyDescent="0.35">
      <c r="A41" s="58"/>
      <c r="B41" s="88"/>
      <c r="C41" s="88" t="s">
        <v>5066</v>
      </c>
      <c r="D41" s="390"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395"/>
      <c r="F41" s="395"/>
      <c r="G41" s="395"/>
      <c r="H41" s="395"/>
      <c r="I41" s="395"/>
      <c r="J41" s="395"/>
      <c r="K41" s="58"/>
      <c r="L41" s="104"/>
    </row>
    <row r="42" spans="1:12" x14ac:dyDescent="0.35">
      <c r="A42" s="58"/>
      <c r="B42" s="88"/>
      <c r="C42" s="88" t="s">
        <v>5067</v>
      </c>
      <c r="D42" s="390"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392"/>
      <c r="F42" s="392"/>
      <c r="G42" s="392"/>
      <c r="H42" s="392"/>
      <c r="I42" s="392"/>
      <c r="J42" s="392"/>
      <c r="K42" s="58"/>
      <c r="L42" s="104"/>
    </row>
    <row r="43" spans="1:12" x14ac:dyDescent="0.35">
      <c r="A43" s="58"/>
      <c r="B43" s="88"/>
      <c r="C43" s="88" t="s">
        <v>1557</v>
      </c>
      <c r="D43" s="390"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392"/>
      <c r="F43" s="392"/>
      <c r="G43" s="392"/>
      <c r="H43" s="392"/>
      <c r="I43" s="392"/>
      <c r="J43" s="392"/>
      <c r="K43" s="58"/>
      <c r="L43" s="104"/>
    </row>
    <row r="44" spans="1:12" x14ac:dyDescent="0.35">
      <c r="A44" s="58"/>
      <c r="B44" s="88"/>
      <c r="C44" s="93" t="s">
        <v>130</v>
      </c>
      <c r="D44" s="390"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391"/>
      <c r="F44" s="391"/>
      <c r="G44" s="391"/>
      <c r="H44" s="391"/>
      <c r="I44" s="391"/>
      <c r="J44" s="391"/>
      <c r="K44" s="58"/>
      <c r="L44" s="104"/>
    </row>
    <row r="45" spans="1:12" x14ac:dyDescent="0.35">
      <c r="A45" s="58"/>
      <c r="B45" s="88"/>
      <c r="C45" s="93" t="s">
        <v>2864</v>
      </c>
      <c r="D45" s="370">
        <f>ber_Opm!C10</f>
        <v>0</v>
      </c>
      <c r="E45" s="371"/>
      <c r="F45" s="371"/>
      <c r="G45" s="371"/>
      <c r="H45" s="371"/>
      <c r="I45" s="371"/>
      <c r="J45" s="371"/>
      <c r="K45" s="58"/>
      <c r="L45" s="104"/>
    </row>
    <row r="46" spans="1:12" x14ac:dyDescent="0.35">
      <c r="A46" s="66"/>
      <c r="B46" s="90"/>
      <c r="C46" s="92"/>
      <c r="D46" s="372"/>
      <c r="E46" s="372"/>
      <c r="F46" s="372"/>
      <c r="G46" s="372"/>
      <c r="H46" s="372"/>
      <c r="I46" s="372"/>
      <c r="J46" s="372"/>
      <c r="K46" s="58"/>
      <c r="L46" s="104"/>
    </row>
    <row r="47" spans="1:12" x14ac:dyDescent="0.35">
      <c r="A47" s="58"/>
      <c r="B47" s="61"/>
      <c r="C47" s="58"/>
      <c r="D47" s="58"/>
      <c r="E47" s="58"/>
      <c r="F47" s="58"/>
      <c r="G47" s="58"/>
      <c r="H47" s="58"/>
      <c r="I47" s="58"/>
      <c r="J47" s="58"/>
      <c r="K47" s="58"/>
      <c r="L47" s="104"/>
    </row>
    <row r="48" spans="1:12" ht="13.6" x14ac:dyDescent="0.35">
      <c r="A48" s="66"/>
      <c r="B48" s="71" t="s">
        <v>834</v>
      </c>
      <c r="C48" s="68"/>
      <c r="D48" s="66"/>
      <c r="E48" s="66"/>
      <c r="F48" s="66"/>
      <c r="G48" s="66"/>
      <c r="H48" s="66"/>
      <c r="I48" s="66"/>
      <c r="J48" s="66"/>
      <c r="K48" s="58"/>
      <c r="L48" s="104"/>
    </row>
    <row r="49" spans="1:12" x14ac:dyDescent="0.35">
      <c r="A49" s="58"/>
      <c r="B49" s="61" t="s">
        <v>2783</v>
      </c>
      <c r="C49" s="58">
        <f>INDEX(tblAanvAfspr,ber_Infusen!M1,1)</f>
        <v>0</v>
      </c>
      <c r="D49" s="58"/>
      <c r="E49" s="58"/>
      <c r="F49" s="58"/>
      <c r="G49" s="58"/>
      <c r="H49" s="58"/>
      <c r="I49" s="58"/>
      <c r="J49" s="58"/>
      <c r="K49" s="58"/>
      <c r="L49" s="104"/>
    </row>
    <row r="50" spans="1:12" x14ac:dyDescent="0.35">
      <c r="A50" s="58"/>
      <c r="B50" s="61" t="s">
        <v>2784</v>
      </c>
      <c r="C50" s="58">
        <f>INDEX(tblAanvAfspr,ber_Infusen!M2,1)</f>
        <v>0</v>
      </c>
      <c r="D50" s="58"/>
      <c r="E50" s="58"/>
      <c r="F50" s="58"/>
      <c r="G50" s="58"/>
      <c r="H50" s="58"/>
      <c r="I50" s="58"/>
      <c r="J50" s="58"/>
      <c r="K50" s="58"/>
      <c r="L50" s="104"/>
    </row>
    <row r="51" spans="1:12" x14ac:dyDescent="0.35">
      <c r="A51" s="58"/>
      <c r="B51" s="61" t="s">
        <v>2785</v>
      </c>
      <c r="C51" s="58">
        <f>INDEX(tblAanvAfspr,ber_Infusen!M3,1)</f>
        <v>0</v>
      </c>
      <c r="D51" s="58"/>
      <c r="E51" s="58"/>
      <c r="F51" s="58"/>
      <c r="G51" s="58"/>
      <c r="H51" s="58"/>
      <c r="I51" s="58"/>
      <c r="J51" s="58"/>
      <c r="K51" s="58"/>
      <c r="L51" s="104"/>
    </row>
    <row r="52" spans="1:12" x14ac:dyDescent="0.35">
      <c r="A52" s="58"/>
      <c r="B52" s="61" t="s">
        <v>2786</v>
      </c>
      <c r="C52" s="58">
        <f>INDEX(tblAanvAfspr,ber_Infusen!M4,1)</f>
        <v>0</v>
      </c>
      <c r="D52" s="58"/>
      <c r="E52" s="58"/>
      <c r="F52" s="58"/>
      <c r="G52" s="58"/>
      <c r="H52" s="58"/>
      <c r="I52" s="58"/>
      <c r="J52" s="58"/>
      <c r="K52" s="58"/>
      <c r="L52" s="104"/>
    </row>
    <row r="53" spans="1:12" x14ac:dyDescent="0.35">
      <c r="A53" s="58"/>
      <c r="B53" s="61" t="s">
        <v>2787</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35">
      <c r="A54" s="58"/>
      <c r="B54" s="61" t="s">
        <v>835</v>
      </c>
      <c r="C54" s="374"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374"/>
      <c r="E54" s="374"/>
      <c r="F54" s="374"/>
      <c r="G54" s="374"/>
      <c r="H54" s="374"/>
      <c r="I54" s="374"/>
      <c r="J54" s="374"/>
      <c r="K54" s="58"/>
      <c r="L54" s="104"/>
    </row>
    <row r="55" spans="1:12" x14ac:dyDescent="0.35">
      <c r="A55" s="58"/>
      <c r="B55" s="61"/>
      <c r="C55" s="374"/>
      <c r="D55" s="374"/>
      <c r="E55" s="374"/>
      <c r="F55" s="374"/>
      <c r="G55" s="374"/>
      <c r="H55" s="374"/>
      <c r="I55" s="374"/>
      <c r="J55" s="374"/>
      <c r="K55" s="58"/>
      <c r="L55" s="104"/>
    </row>
    <row r="56" spans="1:12" ht="12.65" customHeight="1" x14ac:dyDescent="0.35">
      <c r="A56" s="58"/>
      <c r="B56" s="61" t="s">
        <v>836</v>
      </c>
      <c r="C56" s="380">
        <f>ber_Opm!C11</f>
        <v>0</v>
      </c>
      <c r="D56" s="380"/>
      <c r="E56" s="380"/>
      <c r="F56" s="380"/>
      <c r="G56" s="380"/>
      <c r="H56" s="380"/>
      <c r="I56" s="380"/>
      <c r="J56" s="380"/>
      <c r="K56" s="58"/>
      <c r="L56" s="104"/>
    </row>
    <row r="57" spans="1:12" ht="7" customHeight="1" x14ac:dyDescent="0.35">
      <c r="A57" s="58"/>
      <c r="B57" s="61"/>
      <c r="C57" s="381"/>
      <c r="D57" s="381"/>
      <c r="E57" s="381"/>
      <c r="F57" s="381"/>
      <c r="G57" s="381"/>
      <c r="H57" s="381"/>
      <c r="I57" s="381"/>
      <c r="J57" s="381"/>
      <c r="K57" s="58"/>
      <c r="L57" s="104"/>
    </row>
    <row r="58" spans="1:12" ht="7" customHeight="1" x14ac:dyDescent="0.35">
      <c r="A58" s="58"/>
      <c r="B58" s="61"/>
      <c r="C58" s="381"/>
      <c r="D58" s="381"/>
      <c r="E58" s="381"/>
      <c r="F58" s="381"/>
      <c r="G58" s="381"/>
      <c r="H58" s="381"/>
      <c r="I58" s="381"/>
      <c r="J58" s="381"/>
      <c r="K58" s="58"/>
      <c r="L58" s="104"/>
    </row>
    <row r="59" spans="1:12" ht="7" customHeight="1" x14ac:dyDescent="0.35">
      <c r="A59" s="58"/>
      <c r="B59" s="61"/>
      <c r="C59" s="381"/>
      <c r="D59" s="381"/>
      <c r="E59" s="381"/>
      <c r="F59" s="381"/>
      <c r="G59" s="381"/>
      <c r="H59" s="381"/>
      <c r="I59" s="381"/>
      <c r="J59" s="381"/>
      <c r="K59" s="58"/>
      <c r="L59" s="104"/>
    </row>
    <row r="60" spans="1:12" x14ac:dyDescent="0.35">
      <c r="A60" s="58"/>
      <c r="B60" s="61" t="s">
        <v>327</v>
      </c>
      <c r="C60" s="337" t="s">
        <v>802</v>
      </c>
      <c r="D60" s="336"/>
      <c r="E60" s="336"/>
      <c r="F60" s="336"/>
      <c r="G60" s="336"/>
      <c r="H60" s="336"/>
      <c r="I60" s="336"/>
      <c r="J60" s="336"/>
      <c r="K60" s="58"/>
      <c r="L60" s="104"/>
    </row>
    <row r="61" spans="1:12" x14ac:dyDescent="0.35">
      <c r="A61" s="58"/>
      <c r="B61" s="61"/>
      <c r="C61" s="337"/>
      <c r="D61" s="336"/>
      <c r="E61" s="336"/>
      <c r="F61" s="336"/>
      <c r="G61" s="336"/>
      <c r="H61" s="336"/>
      <c r="I61" s="336"/>
      <c r="J61" s="336"/>
      <c r="K61" s="58"/>
      <c r="L61" s="104"/>
    </row>
    <row r="62" spans="1:12" x14ac:dyDescent="0.35">
      <c r="A62" s="58"/>
      <c r="B62" s="61"/>
      <c r="C62" s="337"/>
      <c r="D62" s="336"/>
      <c r="E62" s="336"/>
      <c r="F62" s="336"/>
      <c r="G62" s="336"/>
      <c r="H62" s="336"/>
      <c r="I62" s="336"/>
      <c r="J62" s="336"/>
      <c r="K62" s="58"/>
      <c r="L62" s="104"/>
    </row>
    <row r="63" spans="1:12" x14ac:dyDescent="0.35">
      <c r="A63" s="58"/>
      <c r="B63" s="61"/>
      <c r="C63" s="337"/>
      <c r="D63" s="336"/>
      <c r="E63" s="336"/>
      <c r="F63" s="336"/>
      <c r="G63" s="336"/>
      <c r="H63" s="336"/>
      <c r="I63" s="336"/>
      <c r="J63" s="336"/>
      <c r="K63" s="58"/>
      <c r="L63" s="104"/>
    </row>
    <row r="64" spans="1:12" x14ac:dyDescent="0.35">
      <c r="A64" s="58"/>
      <c r="B64" s="72" t="s">
        <v>918</v>
      </c>
      <c r="C64" s="66"/>
      <c r="D64" s="66"/>
      <c r="E64" s="58"/>
      <c r="F64" s="58"/>
      <c r="G64" s="66" t="s">
        <v>2985</v>
      </c>
      <c r="H64" s="66"/>
      <c r="I64" s="66"/>
      <c r="J64" s="58"/>
      <c r="K64" s="58"/>
      <c r="L64" s="104"/>
    </row>
    <row r="65" spans="1:21" x14ac:dyDescent="0.35">
      <c r="A65" s="58"/>
      <c r="B65" s="61"/>
      <c r="C65" s="58"/>
      <c r="D65" s="58"/>
      <c r="E65" s="58"/>
      <c r="F65" s="58"/>
      <c r="G65" s="58"/>
      <c r="H65" s="58"/>
      <c r="I65" s="58"/>
      <c r="J65" s="58"/>
      <c r="K65" s="58"/>
      <c r="L65" s="104"/>
    </row>
    <row r="66" spans="1:21" x14ac:dyDescent="0.35">
      <c r="A66" s="58"/>
      <c r="B66" s="86"/>
      <c r="C66" s="87" t="e">
        <f>#REF!</f>
        <v>#REF!</v>
      </c>
      <c r="D66" s="56" t="e">
        <f>#REF!</f>
        <v>#REF!</v>
      </c>
      <c r="E66" s="87" t="e">
        <f>#REF!</f>
        <v>#REF!</v>
      </c>
      <c r="F66" s="375" t="e">
        <f>#REF!</f>
        <v>#REF!</v>
      </c>
      <c r="G66" s="375"/>
      <c r="H66" s="88" t="s">
        <v>2745</v>
      </c>
      <c r="I66" s="58" t="str">
        <f>Gewicht/10&amp;" kg"</f>
        <v>10 kg</v>
      </c>
      <c r="J66" s="57"/>
      <c r="K66" s="58"/>
      <c r="L66" s="104"/>
      <c r="M66" s="58"/>
      <c r="N66" s="58"/>
      <c r="O66" s="58"/>
      <c r="P66" s="58"/>
      <c r="Q66" s="58"/>
      <c r="R66" s="58"/>
      <c r="S66" s="58"/>
      <c r="T66" s="58"/>
      <c r="U66" s="58"/>
    </row>
    <row r="67" spans="1:21" x14ac:dyDescent="0.35">
      <c r="A67" s="58"/>
      <c r="B67" s="86"/>
      <c r="C67" s="87" t="e">
        <f>#REF!</f>
        <v>#REF!</v>
      </c>
      <c r="D67" s="59" t="e">
        <f ca="1">AfspraakDatum-OpnDatum+1</f>
        <v>#NAME?</v>
      </c>
      <c r="E67" s="87" t="e">
        <f>#REF!</f>
        <v>#REF!</v>
      </c>
      <c r="F67" s="60" t="e">
        <f>#REF!</f>
        <v>#REF!</v>
      </c>
      <c r="G67" s="57"/>
      <c r="H67" s="88" t="s">
        <v>1341</v>
      </c>
      <c r="I67" s="58" t="str">
        <f>Lengte&amp;" cm"</f>
        <v>80 cm</v>
      </c>
      <c r="J67" s="57"/>
      <c r="K67" s="58"/>
      <c r="L67" s="104"/>
      <c r="M67" s="58"/>
      <c r="N67" s="58"/>
      <c r="O67" s="58"/>
      <c r="P67" s="58"/>
      <c r="Q67" s="58"/>
      <c r="R67" s="58"/>
      <c r="S67" s="58"/>
      <c r="T67" s="58"/>
      <c r="U67" s="58"/>
    </row>
    <row r="68" spans="1:21" x14ac:dyDescent="0.35">
      <c r="A68" s="58"/>
      <c r="B68" s="61"/>
      <c r="C68" s="58"/>
      <c r="D68" s="57"/>
      <c r="E68" s="58"/>
      <c r="F68" s="57"/>
      <c r="G68" s="58"/>
      <c r="H68" s="88" t="s">
        <v>1353</v>
      </c>
      <c r="I68" s="58" t="str">
        <f>ROUND(POWER(Gewicht/10,0.425)*POWER(((Lengte/100)*100),0.725)*0.007184,2)&amp;" m2"</f>
        <v>0.46 m2</v>
      </c>
      <c r="J68" s="58"/>
      <c r="K68" s="58"/>
      <c r="L68" s="104"/>
      <c r="M68" s="58"/>
      <c r="N68" s="58"/>
      <c r="O68" s="58"/>
      <c r="P68" s="58"/>
      <c r="Q68" s="58"/>
      <c r="R68" s="58"/>
      <c r="S68" s="58"/>
      <c r="T68" s="58"/>
      <c r="U68" s="58"/>
    </row>
    <row r="69" spans="1:21" x14ac:dyDescent="0.35">
      <c r="A69" s="58"/>
      <c r="B69" s="61"/>
      <c r="C69" s="58"/>
      <c r="D69" s="57"/>
      <c r="E69" s="58"/>
      <c r="F69" s="57"/>
      <c r="G69" s="58"/>
      <c r="H69" s="58"/>
      <c r="I69" s="58"/>
      <c r="J69" s="58"/>
      <c r="K69" s="58"/>
      <c r="L69" s="104"/>
      <c r="M69" s="58"/>
      <c r="N69" s="58"/>
      <c r="O69" s="58"/>
      <c r="P69" s="58"/>
      <c r="Q69" s="58"/>
      <c r="R69" s="58"/>
      <c r="S69" s="58"/>
      <c r="T69" s="58"/>
      <c r="U69" s="58"/>
    </row>
    <row r="70" spans="1:21" ht="13.6" x14ac:dyDescent="0.35">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35">
      <c r="A71" s="58"/>
      <c r="B71" s="61">
        <v>1</v>
      </c>
      <c r="C71" s="58">
        <f>INDEX(tblInfusen,ber_Infusen!E2,1)</f>
        <v>0</v>
      </c>
      <c r="D71" s="58"/>
      <c r="E71" s="58"/>
      <c r="F71" s="58"/>
      <c r="G71" s="58"/>
      <c r="H71" s="62"/>
      <c r="I71" s="62"/>
      <c r="J71" s="62"/>
      <c r="K71" s="58"/>
      <c r="L71" s="104" t="str">
        <f t="shared" ref="L71:L76" si="0">IF(C71=0,"D","")</f>
        <v>D</v>
      </c>
      <c r="M71" s="58"/>
      <c r="N71" s="58"/>
      <c r="O71" s="58"/>
      <c r="P71" s="58"/>
      <c r="Q71" s="58"/>
      <c r="R71" s="58"/>
      <c r="S71" s="58"/>
      <c r="T71" s="58"/>
      <c r="U71" s="58"/>
    </row>
    <row r="72" spans="1:21" x14ac:dyDescent="0.35">
      <c r="A72" s="58"/>
      <c r="B72" s="61">
        <v>2</v>
      </c>
      <c r="C72" s="58">
        <f>INDEX(tblInfusen,ber_Infusen!E3,1)</f>
        <v>0</v>
      </c>
      <c r="D72" s="58"/>
      <c r="E72" s="58"/>
      <c r="F72" s="58"/>
      <c r="G72" s="58"/>
      <c r="H72" s="62"/>
      <c r="I72" s="62"/>
      <c r="J72" s="62"/>
      <c r="K72" s="58"/>
      <c r="L72" s="104" t="str">
        <f t="shared" si="0"/>
        <v>D</v>
      </c>
      <c r="M72" s="58"/>
      <c r="N72" s="58"/>
      <c r="O72" s="58"/>
      <c r="P72" s="58"/>
      <c r="Q72" s="58"/>
      <c r="R72" s="58"/>
      <c r="S72" s="58"/>
      <c r="T72" s="58"/>
      <c r="U72" s="58"/>
    </row>
    <row r="73" spans="1:21" x14ac:dyDescent="0.35">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35">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35">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35">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35">
      <c r="A77" s="58"/>
      <c r="B77" s="61"/>
      <c r="C77" s="58"/>
      <c r="D77" s="58"/>
      <c r="E77" s="58"/>
      <c r="F77" s="58"/>
      <c r="G77" s="58"/>
      <c r="H77" s="62"/>
      <c r="I77" s="62"/>
      <c r="J77" s="62"/>
      <c r="K77" s="58"/>
      <c r="L77" s="104"/>
      <c r="M77" s="58"/>
      <c r="N77" s="58"/>
      <c r="O77" s="58"/>
      <c r="P77" s="58"/>
      <c r="Q77" s="58"/>
      <c r="R77" s="58"/>
      <c r="S77" s="58"/>
      <c r="T77" s="58"/>
      <c r="U77" s="58"/>
    </row>
    <row r="78" spans="1:21" x14ac:dyDescent="0.35">
      <c r="A78" s="66"/>
      <c r="B78" s="89"/>
      <c r="C78" s="90" t="s">
        <v>2864</v>
      </c>
      <c r="D78" s="378">
        <f>ber_Opm!C3</f>
        <v>0</v>
      </c>
      <c r="E78" s="379"/>
      <c r="F78" s="379"/>
      <c r="G78" s="379"/>
      <c r="H78" s="379"/>
      <c r="I78" s="379"/>
      <c r="J78" s="379"/>
      <c r="K78" s="58"/>
      <c r="L78" s="104"/>
      <c r="M78" s="58"/>
      <c r="N78" s="58"/>
      <c r="O78" s="58"/>
      <c r="P78" s="58"/>
      <c r="Q78" s="58"/>
      <c r="R78" s="58"/>
      <c r="S78" s="58"/>
      <c r="T78" s="58"/>
      <c r="U78" s="58"/>
    </row>
    <row r="79" spans="1:21" x14ac:dyDescent="0.35">
      <c r="A79" s="58"/>
      <c r="B79" s="61"/>
      <c r="C79" s="58"/>
      <c r="D79" s="58"/>
      <c r="E79" s="58"/>
      <c r="F79" s="58"/>
      <c r="G79" s="58"/>
      <c r="H79" s="58"/>
      <c r="I79" s="58"/>
      <c r="J79" s="58"/>
      <c r="K79" s="58"/>
      <c r="L79" s="104"/>
      <c r="M79" s="58"/>
      <c r="N79" s="58"/>
      <c r="O79" s="58"/>
      <c r="P79" s="58"/>
      <c r="Q79" s="58"/>
      <c r="R79" s="58"/>
      <c r="S79" s="58"/>
      <c r="T79" s="58"/>
      <c r="U79" s="58"/>
    </row>
    <row r="80" spans="1:21" x14ac:dyDescent="0.35">
      <c r="A80" s="58"/>
      <c r="B80" s="61"/>
      <c r="C80" s="58"/>
      <c r="D80" s="58"/>
      <c r="E80" s="58"/>
      <c r="F80" s="58"/>
      <c r="G80" s="58"/>
      <c r="H80" s="58"/>
      <c r="I80" s="58"/>
      <c r="J80" s="58"/>
      <c r="K80" s="58"/>
      <c r="L80" s="104"/>
      <c r="M80" s="58"/>
      <c r="N80" s="58"/>
      <c r="O80" s="58"/>
      <c r="P80" s="58"/>
      <c r="Q80" s="58"/>
      <c r="R80" s="58"/>
      <c r="S80" s="58"/>
      <c r="T80" s="58"/>
      <c r="U80" s="58"/>
    </row>
    <row r="81" spans="1:21" ht="13.6" x14ac:dyDescent="0.35">
      <c r="A81" s="66"/>
      <c r="B81" s="71" t="s">
        <v>2865</v>
      </c>
      <c r="C81" s="66"/>
      <c r="D81" s="66"/>
      <c r="E81" s="66"/>
      <c r="F81" s="66"/>
      <c r="G81" s="66"/>
      <c r="H81" s="66"/>
      <c r="I81" s="66"/>
      <c r="J81" s="66"/>
      <c r="K81" s="58"/>
      <c r="L81" s="104"/>
      <c r="M81" s="58"/>
      <c r="N81" s="58"/>
      <c r="O81" s="58"/>
      <c r="P81" s="58"/>
      <c r="Q81" s="58"/>
      <c r="R81" s="58"/>
      <c r="S81" s="58"/>
      <c r="T81" s="58"/>
      <c r="U81" s="58"/>
    </row>
    <row r="82" spans="1:21" x14ac:dyDescent="0.35">
      <c r="A82" s="58"/>
      <c r="B82" s="86"/>
      <c r="C82" s="88" t="s">
        <v>2960</v>
      </c>
      <c r="D82" s="88"/>
      <c r="E82" s="88" t="s">
        <v>995</v>
      </c>
      <c r="F82" s="88"/>
      <c r="G82" s="88" t="s">
        <v>2963</v>
      </c>
      <c r="H82" s="88"/>
      <c r="I82" s="88"/>
      <c r="J82" s="88" t="s">
        <v>1984</v>
      </c>
      <c r="K82" s="58"/>
      <c r="L82" s="104"/>
      <c r="M82" s="58"/>
      <c r="N82" s="58"/>
      <c r="O82" s="58"/>
      <c r="P82" s="58"/>
      <c r="Q82" s="58"/>
      <c r="R82" s="58"/>
      <c r="S82" s="58"/>
      <c r="T82" s="58"/>
      <c r="U82" s="58"/>
    </row>
    <row r="83" spans="1:21" x14ac:dyDescent="0.35">
      <c r="A83" s="58"/>
      <c r="B83" s="61">
        <v>1</v>
      </c>
      <c r="C83" s="58">
        <f>MedicatieIV!C8</f>
        <v>0</v>
      </c>
      <c r="D83" s="58"/>
      <c r="E83" s="58" t="str">
        <f>IF(C83&lt;&gt;0,MedicatieIV!D8&amp;" in "&amp;MedicatieIV!E8&amp;IF(AND(ber_IVmed!D5&lt;&gt;4,MedicatieIV!F8&lt;&gt;0)," "&amp;MedicatieIV!F8,""),"")</f>
        <v/>
      </c>
      <c r="F83" s="58"/>
      <c r="G83" s="58" t="str">
        <f>IF(C83&lt;&gt;0,MedicatieIV!G8&amp;" (="&amp;MedicatieIV!H8&amp;")","")</f>
        <v/>
      </c>
      <c r="H83" s="58"/>
      <c r="I83" s="58"/>
      <c r="J83" s="58" t="str">
        <f>MedicatieIV!I8</f>
        <v/>
      </c>
      <c r="K83" s="58"/>
      <c r="L83" s="104" t="str">
        <f t="shared" ref="L83:L97" si="1">IF(C83=0,"D","")</f>
        <v>D</v>
      </c>
      <c r="M83" s="58"/>
      <c r="N83" s="58"/>
      <c r="O83" s="58"/>
      <c r="P83" s="58"/>
      <c r="Q83" s="58"/>
      <c r="R83" s="58"/>
      <c r="S83" s="58"/>
      <c r="T83" s="58"/>
      <c r="U83" s="58"/>
    </row>
    <row r="84" spans="1:21" x14ac:dyDescent="0.35">
      <c r="A84" s="58"/>
      <c r="B84" s="61">
        <v>2</v>
      </c>
      <c r="C84" s="58">
        <f>MedicatieIV!C9</f>
        <v>0</v>
      </c>
      <c r="D84" s="58"/>
      <c r="E84" s="58" t="str">
        <f>IF(C84&lt;&gt;0,MedicatieIV!D9&amp;" in "&amp;MedicatieIV!E9&amp;IF(AND(ber_IVmed!D6&lt;&gt;4,MedicatieIV!F9&lt;&gt;0)," "&amp;MedicatieIV!F9,""),"")</f>
        <v/>
      </c>
      <c r="F84" s="58"/>
      <c r="G84" s="58" t="str">
        <f>IF(C84&lt;&gt;0,MedicatieIV!G9&amp;" (="&amp;MedicatieIV!H9&amp;")","")</f>
        <v/>
      </c>
      <c r="H84" s="58"/>
      <c r="I84" s="58"/>
      <c r="J84" s="58" t="str">
        <f>MedicatieIV!I9</f>
        <v/>
      </c>
      <c r="K84" s="58"/>
      <c r="L84" s="104" t="str">
        <f t="shared" si="1"/>
        <v>D</v>
      </c>
      <c r="M84" s="58"/>
      <c r="N84" s="58"/>
      <c r="O84" s="58"/>
      <c r="P84" s="58"/>
      <c r="Q84" s="58"/>
      <c r="R84" s="58"/>
      <c r="S84" s="58"/>
      <c r="T84" s="58"/>
      <c r="U84" s="58"/>
    </row>
    <row r="85" spans="1:21" x14ac:dyDescent="0.35">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35">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35">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35">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35">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35">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35">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35">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35">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35">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35">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35">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35">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35">
      <c r="A98" s="58"/>
      <c r="B98" s="61"/>
      <c r="C98" s="58"/>
      <c r="D98" s="58"/>
      <c r="E98" s="58"/>
      <c r="F98" s="58"/>
      <c r="G98" s="58"/>
      <c r="H98" s="58"/>
      <c r="I98" s="58"/>
      <c r="J98" s="58"/>
      <c r="K98" s="58"/>
      <c r="L98" s="104"/>
      <c r="M98" s="58"/>
      <c r="N98" s="58"/>
      <c r="O98" s="58"/>
      <c r="P98" s="58"/>
      <c r="Q98" s="58"/>
      <c r="R98" s="58"/>
      <c r="S98" s="58"/>
      <c r="T98" s="58"/>
      <c r="U98" s="58"/>
    </row>
    <row r="99" spans="1:21" x14ac:dyDescent="0.35">
      <c r="A99" s="58"/>
      <c r="B99" s="86"/>
      <c r="C99" s="88" t="s">
        <v>2864</v>
      </c>
      <c r="D99" s="370">
        <f>ber_Opm!C4</f>
        <v>0</v>
      </c>
      <c r="E99" s="370"/>
      <c r="F99" s="370"/>
      <c r="G99" s="370"/>
      <c r="H99" s="370"/>
      <c r="I99" s="370"/>
      <c r="J99" s="370"/>
      <c r="K99" s="58"/>
      <c r="L99" s="104"/>
      <c r="M99" s="58"/>
      <c r="N99" s="58"/>
      <c r="O99" s="58"/>
      <c r="P99" s="58"/>
      <c r="Q99" s="58"/>
      <c r="R99" s="58"/>
      <c r="S99" s="58"/>
      <c r="T99" s="58"/>
      <c r="U99" s="58"/>
    </row>
    <row r="100" spans="1:21" x14ac:dyDescent="0.35">
      <c r="A100" s="58"/>
      <c r="B100" s="61"/>
      <c r="C100" s="58"/>
      <c r="D100" s="373"/>
      <c r="E100" s="373"/>
      <c r="F100" s="373"/>
      <c r="G100" s="373"/>
      <c r="H100" s="373"/>
      <c r="I100" s="373"/>
      <c r="J100" s="373"/>
      <c r="K100" s="58"/>
      <c r="L100" s="104"/>
      <c r="M100" s="58"/>
      <c r="N100" s="58"/>
      <c r="O100" s="58"/>
      <c r="P100" s="58"/>
      <c r="Q100" s="58"/>
      <c r="R100" s="58"/>
      <c r="S100" s="58"/>
      <c r="T100" s="58"/>
      <c r="U100" s="58"/>
    </row>
    <row r="101" spans="1:21" ht="13.6" x14ac:dyDescent="0.35">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35">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35">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35">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35">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35">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35">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35">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35">
      <c r="A109" s="58"/>
      <c r="B109" s="86"/>
      <c r="C109" s="88"/>
      <c r="D109" s="119" t="str">
        <f>IF(F109&lt;&gt;"","Electrolyt/Glucose mengsel","")</f>
        <v/>
      </c>
      <c r="E109" s="66" t="str">
        <f>IF(AND(Gewicht/10&gt;50,TPNboven50kg!A27&lt;&gt;""),TPNboven50kg!A27,TPN2tot6kg!A29)</f>
        <v/>
      </c>
      <c r="F109" s="66" t="str">
        <f>IF(AND(Gewicht/10&gt;50,TPNboven50kg!G35&lt;&gt;0),TPNboven50kg!G35&amp;" ml",IF(TPN2tot6kg!G36&lt;&gt;0,TPN2tot6kg!G36&amp;" ml",""))</f>
        <v/>
      </c>
      <c r="G109" s="66"/>
      <c r="H109" s="121"/>
      <c r="I109" s="66"/>
      <c r="J109" s="66"/>
      <c r="K109" s="58"/>
      <c r="L109" s="104"/>
      <c r="M109" s="58"/>
      <c r="N109" s="58"/>
      <c r="O109" s="58"/>
      <c r="P109" s="58"/>
      <c r="Q109" s="58"/>
      <c r="R109" s="58"/>
      <c r="S109" s="58"/>
      <c r="T109" s="58"/>
      <c r="U109" s="58"/>
    </row>
    <row r="110" spans="1:21" x14ac:dyDescent="0.35">
      <c r="A110" s="58"/>
      <c r="B110" s="86"/>
      <c r="C110" s="88"/>
      <c r="D110" s="87">
        <f>IF(F110&lt;&gt;"",INDEX(tblSSTGlucose,SSTglucose,1),)</f>
        <v>0</v>
      </c>
      <c r="E110" s="117"/>
      <c r="F110" s="58" t="str">
        <f>IF(AND(OR(TPN=1,AND(TPN=2,SSTglucose&gt;10),Gewicht/10&gt;50),ROUND(ber_TPN!F6,0)&lt;&gt;0,SSTglucose&lt;&gt;2),ROUND(ber_TPN!F6,0)&amp;" ml","")</f>
        <v/>
      </c>
      <c r="G110" s="58"/>
      <c r="H110" s="58"/>
      <c r="I110" s="58"/>
      <c r="J110" s="58"/>
      <c r="K110" s="58"/>
      <c r="L110" s="104" t="str">
        <f>IF(D110=0,"D","")</f>
        <v>D</v>
      </c>
      <c r="M110" s="58"/>
      <c r="N110" s="58"/>
      <c r="O110" s="58"/>
      <c r="P110" s="58"/>
      <c r="Q110" s="58"/>
      <c r="R110" s="58"/>
      <c r="S110" s="58"/>
      <c r="T110" s="58"/>
      <c r="U110" s="58"/>
    </row>
    <row r="111" spans="1:21" x14ac:dyDescent="0.35">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35">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35">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35">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35">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35">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35">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35">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35">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35">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35">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35">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35">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35">
      <c r="A124" s="66"/>
      <c r="B124" s="89"/>
      <c r="C124" s="90" t="s">
        <v>2864</v>
      </c>
      <c r="D124" s="378">
        <f>ber_Opm!C9</f>
        <v>0</v>
      </c>
      <c r="E124" s="379"/>
      <c r="F124" s="379"/>
      <c r="G124" s="379"/>
      <c r="H124" s="379"/>
      <c r="I124" s="379"/>
      <c r="J124" s="379"/>
      <c r="K124" s="58"/>
      <c r="L124" s="104"/>
      <c r="M124" s="58"/>
      <c r="N124" s="58"/>
      <c r="O124" s="58"/>
      <c r="P124" s="58"/>
      <c r="Q124" s="58"/>
      <c r="R124" s="58"/>
      <c r="S124" s="58"/>
      <c r="T124" s="58"/>
      <c r="U124" s="58"/>
    </row>
    <row r="125" spans="1:21" x14ac:dyDescent="0.35">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35">
      <c r="A126" s="58"/>
      <c r="B126" s="61"/>
      <c r="C126" s="58"/>
      <c r="D126" s="58"/>
      <c r="E126" s="58"/>
      <c r="F126" s="58"/>
      <c r="G126" s="58"/>
      <c r="H126" s="58"/>
      <c r="I126" s="58"/>
      <c r="J126" s="58"/>
      <c r="K126" s="58"/>
      <c r="L126" s="104"/>
      <c r="M126" s="58"/>
      <c r="N126" s="58"/>
      <c r="O126" s="58"/>
      <c r="P126" s="58"/>
      <c r="Q126" s="58"/>
      <c r="R126" s="58"/>
      <c r="S126" s="58"/>
      <c r="T126" s="58"/>
      <c r="U126" s="58"/>
    </row>
    <row r="127" spans="1:21" ht="13.6" x14ac:dyDescent="0.35">
      <c r="A127" s="66"/>
      <c r="B127" s="71" t="s">
        <v>3501</v>
      </c>
      <c r="C127" s="68"/>
      <c r="D127" s="66"/>
      <c r="E127" s="66"/>
      <c r="F127" s="66"/>
      <c r="G127" s="66"/>
      <c r="H127" s="66"/>
      <c r="I127" s="66"/>
      <c r="J127" s="66"/>
      <c r="K127" s="58"/>
      <c r="L127" s="104"/>
      <c r="M127" s="58"/>
      <c r="N127" s="58"/>
      <c r="O127" s="58"/>
      <c r="P127" s="58"/>
      <c r="Q127" s="58"/>
      <c r="R127" s="58"/>
      <c r="S127" s="58"/>
      <c r="T127" s="58"/>
      <c r="U127" s="58"/>
    </row>
    <row r="128" spans="1:21" x14ac:dyDescent="0.35">
      <c r="A128" s="58"/>
      <c r="B128" s="86"/>
      <c r="C128" s="87" t="str">
        <f>Intake!B31</f>
        <v>Vocht</v>
      </c>
      <c r="D128" s="58" t="str">
        <f>Intake!D31</f>
        <v>0 ml/kg</v>
      </c>
      <c r="E128" s="87" t="str">
        <f>Intake!B32</f>
        <v>Calorieen</v>
      </c>
      <c r="F128" s="58" t="str">
        <f>Intake!D32</f>
        <v>0 kCal/kg</v>
      </c>
      <c r="G128" s="87" t="str">
        <f>Intake!B35</f>
        <v>Kalium</v>
      </c>
      <c r="H128" s="58" t="str">
        <f>Intake!D35</f>
        <v>0 mmol/kg</v>
      </c>
      <c r="I128" s="87" t="str">
        <f>Intake!B34</f>
        <v xml:space="preserve">Natrium </v>
      </c>
      <c r="J128" s="58" t="str">
        <f>Intake!D34</f>
        <v>0 mmol/kg</v>
      </c>
      <c r="K128" s="58"/>
      <c r="L128" s="104"/>
      <c r="M128" s="58"/>
      <c r="N128" s="58"/>
      <c r="O128" s="58"/>
      <c r="P128" s="58"/>
      <c r="Q128" s="58"/>
      <c r="R128" s="58"/>
      <c r="S128" s="58"/>
      <c r="T128" s="58"/>
      <c r="U128" s="58"/>
    </row>
    <row r="129" spans="1:21" x14ac:dyDescent="0.35">
      <c r="A129" s="58"/>
      <c r="B129" s="86"/>
      <c r="C129" s="87" t="str">
        <f>Intake!H31</f>
        <v>Eiwit</v>
      </c>
      <c r="D129" s="58" t="str">
        <f>Intake!I31</f>
        <v>0  gram/kg</v>
      </c>
      <c r="E129" s="87" t="str">
        <f>Intake!H32</f>
        <v>Vet</v>
      </c>
      <c r="F129" s="58" t="str">
        <f>Intake!I32</f>
        <v>0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35">
      <c r="A130" s="66"/>
      <c r="B130" s="89"/>
      <c r="C130" s="91" t="str">
        <f>Intake!B33</f>
        <v>Glucose/KH</v>
      </c>
      <c r="D130" s="66" t="str">
        <f>Intake!D33</f>
        <v>0 g/kg</v>
      </c>
      <c r="E130" s="90"/>
      <c r="F130" s="66"/>
      <c r="G130" s="91" t="s">
        <v>3094</v>
      </c>
      <c r="H130" s="66" t="str">
        <f>Intake!I34</f>
        <v>0 mmol/kg</v>
      </c>
      <c r="I130" s="90"/>
      <c r="J130" s="66"/>
      <c r="K130" s="58"/>
      <c r="L130" s="104"/>
      <c r="M130" s="58"/>
      <c r="N130" s="58"/>
      <c r="O130" s="58"/>
      <c r="P130" s="58"/>
      <c r="Q130" s="58"/>
      <c r="R130" s="58"/>
      <c r="S130" s="58"/>
      <c r="T130" s="58"/>
      <c r="U130" s="58"/>
    </row>
    <row r="131" spans="1:21" x14ac:dyDescent="0.35">
      <c r="A131" s="58"/>
      <c r="B131" s="86"/>
      <c r="C131" s="87" t="e">
        <f>#REF!</f>
        <v>#REF!</v>
      </c>
      <c r="D131" s="56" t="e">
        <f>#REF!</f>
        <v>#REF!</v>
      </c>
      <c r="E131" s="87" t="e">
        <f>#REF!</f>
        <v>#REF!</v>
      </c>
      <c r="F131" s="375" t="e">
        <f>#REF!</f>
        <v>#REF!</v>
      </c>
      <c r="G131" s="375"/>
      <c r="H131" s="88" t="s">
        <v>2745</v>
      </c>
      <c r="I131" s="58" t="str">
        <f>Gewicht/10&amp;" kg"</f>
        <v>10 kg</v>
      </c>
      <c r="J131" s="57"/>
      <c r="K131" s="58"/>
      <c r="L131" s="104"/>
      <c r="M131" s="58"/>
      <c r="N131" s="58"/>
      <c r="O131" s="58"/>
      <c r="P131" s="58"/>
      <c r="Q131" s="58"/>
      <c r="R131" s="58"/>
      <c r="S131" s="58"/>
      <c r="T131" s="58"/>
      <c r="U131" s="58"/>
    </row>
    <row r="132" spans="1:21" x14ac:dyDescent="0.35">
      <c r="A132" s="58"/>
      <c r="B132" s="86"/>
      <c r="C132" s="87" t="e">
        <f>#REF!</f>
        <v>#REF!</v>
      </c>
      <c r="D132" s="59" t="e">
        <f ca="1">AfspraakDatum-OpnDatum+1</f>
        <v>#NAME?</v>
      </c>
      <c r="E132" s="87" t="e">
        <f>#REF!</f>
        <v>#REF!</v>
      </c>
      <c r="F132" s="60" t="e">
        <f>#REF!</f>
        <v>#REF!</v>
      </c>
      <c r="G132" s="57"/>
      <c r="H132" s="88" t="s">
        <v>1341</v>
      </c>
      <c r="I132" s="58" t="str">
        <f>Lengte&amp;" cm"</f>
        <v>80 cm</v>
      </c>
      <c r="J132" s="57"/>
      <c r="K132" s="58"/>
      <c r="L132" s="104"/>
      <c r="M132" s="58"/>
      <c r="N132" s="58"/>
      <c r="O132" s="58"/>
      <c r="P132" s="58"/>
      <c r="Q132" s="58"/>
      <c r="R132" s="58"/>
      <c r="S132" s="58"/>
      <c r="T132" s="58"/>
      <c r="U132" s="58"/>
    </row>
    <row r="133" spans="1:21" x14ac:dyDescent="0.35">
      <c r="A133" s="58"/>
      <c r="B133" s="61"/>
      <c r="C133" s="58"/>
      <c r="D133" s="57"/>
      <c r="E133" s="58"/>
      <c r="F133" s="57"/>
      <c r="G133" s="58"/>
      <c r="H133" s="88" t="s">
        <v>1353</v>
      </c>
      <c r="I133" s="58" t="str">
        <f>ROUND(POWER(Gewicht/10,0.425)*POWER(((Lengte/100)*100),0.725)*0.007184,2)&amp;" m2"</f>
        <v>0.46 m2</v>
      </c>
      <c r="J133" s="58"/>
      <c r="K133" s="58"/>
      <c r="L133" s="104"/>
      <c r="M133" s="58"/>
      <c r="N133" s="58"/>
      <c r="O133" s="58"/>
      <c r="P133" s="58"/>
      <c r="Q133" s="58"/>
      <c r="R133" s="58"/>
      <c r="S133" s="58"/>
      <c r="T133" s="58"/>
      <c r="U133" s="58"/>
    </row>
    <row r="134" spans="1:21" x14ac:dyDescent="0.35">
      <c r="A134" s="58"/>
      <c r="B134" s="61"/>
      <c r="C134" s="58"/>
      <c r="D134" s="57"/>
      <c r="E134" s="58"/>
      <c r="F134" s="57"/>
      <c r="G134" s="58"/>
      <c r="H134" s="58"/>
      <c r="I134" s="58"/>
      <c r="J134" s="58"/>
      <c r="K134" s="58"/>
      <c r="L134" s="104"/>
      <c r="M134" s="58"/>
    </row>
    <row r="135" spans="1:21" x14ac:dyDescent="0.35">
      <c r="A135" s="58"/>
      <c r="B135" s="61"/>
      <c r="C135" s="58"/>
      <c r="D135" s="57"/>
      <c r="E135" s="58"/>
      <c r="F135" s="57"/>
      <c r="G135" s="58"/>
      <c r="H135" s="58"/>
      <c r="I135" s="58"/>
      <c r="J135" s="58"/>
      <c r="K135" s="58"/>
      <c r="L135" s="104"/>
      <c r="M135" s="58"/>
    </row>
    <row r="136" spans="1:21" x14ac:dyDescent="0.35">
      <c r="A136" s="58"/>
      <c r="B136" s="61"/>
      <c r="C136" s="58"/>
      <c r="D136" s="57"/>
      <c r="E136" s="58"/>
      <c r="F136" s="57"/>
      <c r="G136" s="58"/>
      <c r="H136" s="58"/>
      <c r="I136" s="58"/>
      <c r="J136" s="58"/>
      <c r="K136" s="58"/>
      <c r="L136" s="104"/>
      <c r="M136" s="58"/>
    </row>
    <row r="137" spans="1:21" ht="13.6" x14ac:dyDescent="0.35">
      <c r="A137" s="58"/>
      <c r="B137" s="71" t="s">
        <v>344</v>
      </c>
      <c r="C137" s="66"/>
      <c r="D137" s="72"/>
      <c r="E137" s="66"/>
      <c r="F137" s="71" t="str">
        <f>IF(Comfort,"Ja","Nee")</f>
        <v>Ja</v>
      </c>
      <c r="G137" s="58"/>
      <c r="H137" s="58"/>
      <c r="I137" s="58"/>
      <c r="J137" s="58"/>
      <c r="K137" s="58"/>
      <c r="L137" s="104"/>
      <c r="M137" s="58"/>
    </row>
    <row r="138" spans="1:21" x14ac:dyDescent="0.35">
      <c r="A138" s="58"/>
      <c r="B138" s="61"/>
      <c r="C138" s="58"/>
      <c r="D138" s="58"/>
      <c r="E138" s="58"/>
      <c r="F138" s="58"/>
      <c r="G138" s="58"/>
      <c r="H138" s="58"/>
      <c r="I138" s="58"/>
      <c r="J138" s="58"/>
      <c r="K138" s="58"/>
      <c r="L138" s="104"/>
      <c r="M138" s="58"/>
    </row>
    <row r="139" spans="1:21" x14ac:dyDescent="0.35">
      <c r="A139" s="58"/>
      <c r="B139" s="61"/>
      <c r="C139" s="58"/>
      <c r="D139" s="326" t="s">
        <v>2680</v>
      </c>
      <c r="E139" s="58"/>
      <c r="F139" s="58"/>
      <c r="G139" s="326" t="s">
        <v>1328</v>
      </c>
      <c r="H139" s="58"/>
      <c r="I139" s="58"/>
      <c r="J139" s="58"/>
      <c r="K139" s="58"/>
      <c r="L139" s="104"/>
      <c r="M139" s="58"/>
    </row>
    <row r="140" spans="1:21" ht="25" customHeight="1" x14ac:dyDescent="0.4">
      <c r="A140" s="388" t="s">
        <v>1326</v>
      </c>
      <c r="B140" s="389"/>
      <c r="C140" s="147" t="s">
        <v>1327</v>
      </c>
      <c r="D140" s="147" t="s">
        <v>1329</v>
      </c>
      <c r="E140" s="388" t="s">
        <v>1331</v>
      </c>
      <c r="F140" s="389"/>
      <c r="G140" s="155" t="s">
        <v>1329</v>
      </c>
      <c r="H140" s="388" t="s">
        <v>1330</v>
      </c>
      <c r="I140" s="389"/>
      <c r="J140" s="155" t="s">
        <v>2420</v>
      </c>
      <c r="K140" s="61"/>
      <c r="L140" s="104"/>
      <c r="M140" s="58"/>
    </row>
    <row r="141" spans="1:21" ht="25" customHeight="1" x14ac:dyDescent="0.35">
      <c r="A141" s="148"/>
      <c r="B141" s="328"/>
      <c r="C141" s="147"/>
      <c r="D141" s="147"/>
      <c r="E141" s="148"/>
      <c r="F141" s="328"/>
      <c r="G141" s="150"/>
      <c r="H141" s="153"/>
      <c r="I141" s="154"/>
      <c r="J141" s="156"/>
      <c r="K141" s="61"/>
      <c r="L141" s="104"/>
      <c r="M141" s="58"/>
    </row>
    <row r="142" spans="1:21" ht="25" customHeight="1" x14ac:dyDescent="0.35">
      <c r="A142" s="148"/>
      <c r="B142" s="328"/>
      <c r="C142" s="147"/>
      <c r="D142" s="147"/>
      <c r="E142" s="148"/>
      <c r="F142" s="328"/>
      <c r="G142" s="150"/>
      <c r="H142" s="153"/>
      <c r="I142" s="154"/>
      <c r="J142" s="156"/>
      <c r="K142" s="61"/>
      <c r="L142" s="104"/>
      <c r="M142" s="58"/>
    </row>
    <row r="143" spans="1:21" ht="25" customHeight="1" x14ac:dyDescent="0.35">
      <c r="A143" s="148"/>
      <c r="B143" s="328"/>
      <c r="C143" s="147"/>
      <c r="D143" s="147"/>
      <c r="E143" s="148"/>
      <c r="F143" s="328"/>
      <c r="G143" s="150"/>
      <c r="H143" s="153"/>
      <c r="I143" s="154"/>
      <c r="J143" s="156"/>
      <c r="K143" s="61"/>
      <c r="L143" s="104"/>
      <c r="M143" s="58"/>
    </row>
    <row r="144" spans="1:21" ht="25" customHeight="1" x14ac:dyDescent="0.35">
      <c r="A144" s="148"/>
      <c r="B144" s="328"/>
      <c r="C144" s="147"/>
      <c r="D144" s="147"/>
      <c r="E144" s="148"/>
      <c r="F144" s="328"/>
      <c r="G144" s="150"/>
      <c r="H144" s="153"/>
      <c r="I144" s="154"/>
      <c r="J144" s="156"/>
      <c r="K144" s="61"/>
      <c r="L144" s="104"/>
      <c r="M144" s="58"/>
    </row>
    <row r="145" spans="1:13" ht="25" customHeight="1" x14ac:dyDescent="0.35">
      <c r="A145" s="148"/>
      <c r="B145" s="328"/>
      <c r="C145" s="147"/>
      <c r="D145" s="147"/>
      <c r="E145" s="148"/>
      <c r="F145" s="328"/>
      <c r="G145" s="150"/>
      <c r="H145" s="153"/>
      <c r="I145" s="154"/>
      <c r="J145" s="156"/>
      <c r="K145" s="61"/>
      <c r="L145" s="104"/>
      <c r="M145" s="58"/>
    </row>
    <row r="146" spans="1:13" ht="25" customHeight="1" x14ac:dyDescent="0.35">
      <c r="A146" s="148"/>
      <c r="B146" s="328"/>
      <c r="C146" s="147"/>
      <c r="D146" s="147"/>
      <c r="E146" s="148"/>
      <c r="F146" s="328"/>
      <c r="G146" s="150"/>
      <c r="H146" s="153"/>
      <c r="I146" s="154"/>
      <c r="J146" s="156"/>
      <c r="K146" s="61"/>
      <c r="L146" s="104"/>
      <c r="M146" s="58"/>
    </row>
    <row r="147" spans="1:13" ht="25" customHeight="1" x14ac:dyDescent="0.35">
      <c r="A147" s="148"/>
      <c r="B147" s="328"/>
      <c r="C147" s="147"/>
      <c r="D147" s="147"/>
      <c r="E147" s="148"/>
      <c r="F147" s="328"/>
      <c r="G147" s="150"/>
      <c r="H147" s="153"/>
      <c r="I147" s="154"/>
      <c r="J147" s="156"/>
      <c r="K147" s="61"/>
      <c r="L147" s="104"/>
      <c r="M147" s="58"/>
    </row>
    <row r="148" spans="1:13" ht="25" customHeight="1" x14ac:dyDescent="0.35">
      <c r="A148" s="148"/>
      <c r="B148" s="328"/>
      <c r="C148" s="147"/>
      <c r="D148" s="147"/>
      <c r="E148" s="148"/>
      <c r="F148" s="328"/>
      <c r="G148" s="150"/>
      <c r="H148" s="153"/>
      <c r="I148" s="154"/>
      <c r="J148" s="156"/>
      <c r="K148" s="61"/>
      <c r="L148" s="104"/>
      <c r="M148" s="58"/>
    </row>
    <row r="149" spans="1:13" ht="25" customHeight="1" x14ac:dyDescent="0.35">
      <c r="A149" s="148"/>
      <c r="B149" s="328"/>
      <c r="C149" s="147"/>
      <c r="D149" s="147"/>
      <c r="E149" s="148"/>
      <c r="F149" s="328"/>
      <c r="G149" s="150"/>
      <c r="H149" s="153"/>
      <c r="I149" s="154"/>
      <c r="J149" s="156"/>
      <c r="K149" s="61"/>
      <c r="L149" s="104"/>
      <c r="M149" s="58"/>
    </row>
    <row r="150" spans="1:13" ht="25" customHeight="1" x14ac:dyDescent="0.35">
      <c r="A150" s="148"/>
      <c r="B150" s="328"/>
      <c r="C150" s="147"/>
      <c r="D150" s="147"/>
      <c r="E150" s="148"/>
      <c r="F150" s="328"/>
      <c r="G150" s="150"/>
      <c r="H150" s="153"/>
      <c r="I150" s="154"/>
      <c r="J150" s="156"/>
      <c r="L150" s="104"/>
      <c r="M150" s="105"/>
    </row>
    <row r="151" spans="1:13" ht="25" customHeight="1" x14ac:dyDescent="0.35">
      <c r="A151" s="148"/>
      <c r="B151" s="328"/>
      <c r="C151" s="147"/>
      <c r="D151" s="147"/>
      <c r="E151" s="148"/>
      <c r="F151" s="328"/>
      <c r="G151" s="150"/>
      <c r="H151" s="153"/>
      <c r="I151" s="154"/>
      <c r="J151" s="156"/>
      <c r="L151" s="104"/>
      <c r="M151" s="105"/>
    </row>
    <row r="152" spans="1:13" ht="25" customHeight="1" x14ac:dyDescent="0.35">
      <c r="A152" s="148"/>
      <c r="B152" s="328"/>
      <c r="C152" s="147"/>
      <c r="D152" s="147"/>
      <c r="E152" s="148"/>
      <c r="F152" s="328"/>
      <c r="G152" s="150"/>
      <c r="H152" s="153"/>
      <c r="I152" s="154"/>
      <c r="J152" s="156"/>
      <c r="L152" s="104"/>
      <c r="M152" s="105"/>
    </row>
    <row r="153" spans="1:13" ht="25" customHeight="1" x14ac:dyDescent="0.35">
      <c r="A153" s="148"/>
      <c r="B153" s="328"/>
      <c r="C153" s="147"/>
      <c r="D153" s="147"/>
      <c r="E153" s="148"/>
      <c r="F153" s="328"/>
      <c r="G153" s="150"/>
      <c r="H153" s="153"/>
      <c r="I153" s="154"/>
      <c r="J153" s="156"/>
      <c r="L153" s="104"/>
      <c r="M153" s="105"/>
    </row>
    <row r="154" spans="1:13" ht="25" customHeight="1" x14ac:dyDescent="0.35">
      <c r="A154" s="148"/>
      <c r="B154" s="328"/>
      <c r="C154" s="147"/>
      <c r="D154" s="147"/>
      <c r="E154" s="148"/>
      <c r="F154" s="328"/>
      <c r="G154" s="150"/>
      <c r="H154" s="153"/>
      <c r="I154" s="154"/>
      <c r="J154" s="156"/>
      <c r="L154" s="104"/>
      <c r="M154" s="105"/>
    </row>
    <row r="155" spans="1:13" ht="25" customHeight="1" x14ac:dyDescent="0.35">
      <c r="A155" s="148"/>
      <c r="B155" s="328"/>
      <c r="C155" s="147"/>
      <c r="D155" s="147"/>
      <c r="E155" s="148"/>
      <c r="F155" s="328"/>
      <c r="G155" s="150"/>
      <c r="H155" s="153"/>
      <c r="I155" s="154"/>
      <c r="J155" s="156"/>
      <c r="L155" s="104"/>
      <c r="M155" s="105"/>
    </row>
    <row r="156" spans="1:13" ht="25" customHeight="1" x14ac:dyDescent="0.35">
      <c r="A156" s="148"/>
      <c r="B156" s="328"/>
      <c r="C156" s="147"/>
      <c r="D156" s="147"/>
      <c r="E156" s="148"/>
      <c r="F156" s="328"/>
      <c r="G156" s="150"/>
      <c r="H156" s="153"/>
      <c r="I156" s="154"/>
      <c r="J156" s="156"/>
      <c r="L156" s="104"/>
      <c r="M156" s="105"/>
    </row>
    <row r="157" spans="1:13" ht="25" customHeight="1" x14ac:dyDescent="0.35">
      <c r="A157" s="148"/>
      <c r="B157" s="328"/>
      <c r="C157" s="147"/>
      <c r="D157" s="147"/>
      <c r="E157" s="148"/>
      <c r="F157" s="328"/>
      <c r="G157" s="150"/>
      <c r="H157" s="153"/>
      <c r="I157" s="154"/>
      <c r="J157" s="156"/>
      <c r="L157" s="104"/>
      <c r="M157" s="105"/>
    </row>
    <row r="158" spans="1:13" ht="25" customHeight="1" x14ac:dyDescent="0.4">
      <c r="A158" s="332" t="s">
        <v>1332</v>
      </c>
      <c r="B158" s="330"/>
      <c r="C158" s="329"/>
      <c r="D158" s="329"/>
      <c r="E158" s="329"/>
      <c r="F158" s="330"/>
      <c r="G158" s="330"/>
      <c r="H158" s="331"/>
      <c r="I158" s="331"/>
      <c r="J158" s="331"/>
      <c r="L158" s="104"/>
      <c r="M158" s="105"/>
    </row>
    <row r="159" spans="1:13" x14ac:dyDescent="0.35">
      <c r="M159" s="105"/>
    </row>
  </sheetData>
  <sheetProtection password="CC20" sheet="1" objects="1" scenarios="1" selectLockedCells="1" selectUnlockedCells="1"/>
  <mergeCells count="19">
    <mergeCell ref="F2:G2"/>
    <mergeCell ref="D17:J18"/>
    <mergeCell ref="D42:J42"/>
    <mergeCell ref="D43:J43"/>
    <mergeCell ref="D124:J124"/>
    <mergeCell ref="D37:J37"/>
    <mergeCell ref="D40:J40"/>
    <mergeCell ref="D41:J41"/>
    <mergeCell ref="F131:G131"/>
    <mergeCell ref="A140:B140"/>
    <mergeCell ref="E140:F140"/>
    <mergeCell ref="H140:I140"/>
    <mergeCell ref="D44:J44"/>
    <mergeCell ref="D99:J100"/>
    <mergeCell ref="D45:J46"/>
    <mergeCell ref="D78:J78"/>
    <mergeCell ref="C56:J59"/>
    <mergeCell ref="F66:G66"/>
    <mergeCell ref="C54:J55"/>
  </mergeCells>
  <phoneticPr fontId="26" type="noConversion"/>
  <pageMargins left="0.28999999999999998" right="0.27" top="0.39" bottom="0.18" header="0.17" footer="0.17"/>
  <pageSetup paperSize="9" scale="97" orientation="portrait" r:id="rId1"/>
  <headerFooter alignWithMargins="0">
    <oddHeader xml:space="preserve">&amp;CBed 0&amp;R&amp;"Arial,Cursief"&amp;9Datum en tijd:&amp;D,  &amp;T </oddHeader>
  </headerFooter>
  <rowBreaks count="2" manualBreakCount="2">
    <brk id="65" max="9" man="1"/>
    <brk id="130" max="9"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Bead"/>
  <dimension ref="A1:AQ12"/>
  <sheetViews>
    <sheetView workbookViewId="0">
      <selection activeCell="G2" sqref="G2"/>
    </sheetView>
  </sheetViews>
  <sheetFormatPr defaultRowHeight="12.85" x14ac:dyDescent="0.35"/>
  <cols>
    <col min="1" max="1" width="10.86328125" bestFit="1" customWidth="1"/>
    <col min="2" max="2" width="13.86328125" bestFit="1" customWidth="1"/>
    <col min="3" max="3" width="9.86328125" bestFit="1" customWidth="1"/>
    <col min="4" max="4" width="11.265625" bestFit="1" customWidth="1"/>
    <col min="5" max="5" width="9.73046875" bestFit="1" customWidth="1"/>
    <col min="6" max="6" width="9.86328125" bestFit="1" customWidth="1"/>
    <col min="7" max="7" width="7.73046875" bestFit="1" customWidth="1"/>
    <col min="8" max="8" width="6.59765625" bestFit="1" customWidth="1"/>
    <col min="9" max="9" width="8" bestFit="1" customWidth="1"/>
    <col min="11" max="11" width="10.59765625" bestFit="1" customWidth="1"/>
    <col min="12" max="12" width="9.265625" bestFit="1" customWidth="1"/>
    <col min="13" max="13" width="7.59765625" bestFit="1" customWidth="1"/>
    <col min="14" max="14" width="3.3984375" bestFit="1" customWidth="1"/>
    <col min="15" max="15" width="12.59765625" bestFit="1" customWidth="1"/>
    <col min="16" max="16" width="16.1328125" bestFit="1" customWidth="1"/>
    <col min="17" max="17" width="10.265625" bestFit="1" customWidth="1"/>
    <col min="18" max="18" width="11" bestFit="1" customWidth="1"/>
    <col min="19" max="19" width="5" bestFit="1" customWidth="1"/>
    <col min="20" max="20" width="5.265625" bestFit="1" customWidth="1"/>
    <col min="21" max="21" width="8.1328125" bestFit="1" customWidth="1"/>
    <col min="22" max="22" width="7.265625" bestFit="1" customWidth="1"/>
    <col min="23" max="23" width="10.1328125" bestFit="1" customWidth="1"/>
    <col min="24" max="24" width="5" bestFit="1" customWidth="1"/>
    <col min="25" max="25" width="3" bestFit="1" customWidth="1"/>
    <col min="26" max="26" width="8.265625" bestFit="1" customWidth="1"/>
    <col min="27" max="27" width="6.59765625" bestFit="1" customWidth="1"/>
    <col min="28" max="29" width="8.1328125" bestFit="1" customWidth="1"/>
    <col min="30" max="30" width="7.3984375" bestFit="1" customWidth="1"/>
    <col min="31" max="31" width="8.59765625" bestFit="1" customWidth="1"/>
    <col min="32" max="32" width="6.265625" bestFit="1" customWidth="1"/>
    <col min="33" max="33" width="6.59765625" bestFit="1" customWidth="1"/>
    <col min="34" max="34" width="4.86328125" bestFit="1" customWidth="1"/>
    <col min="35" max="35" width="11.1328125" bestFit="1" customWidth="1"/>
    <col min="36" max="37" width="8.265625" bestFit="1" customWidth="1"/>
    <col min="38" max="38" width="8.3984375" bestFit="1" customWidth="1"/>
    <col min="39" max="39" width="9.59765625" bestFit="1" customWidth="1"/>
    <col min="40" max="40" width="6" bestFit="1" customWidth="1"/>
    <col min="41" max="41" width="6.59765625" bestFit="1" customWidth="1"/>
  </cols>
  <sheetData>
    <row r="1" spans="1:43" x14ac:dyDescent="0.35">
      <c r="A1" t="s">
        <v>3782</v>
      </c>
      <c r="B1" t="s">
        <v>2157</v>
      </c>
      <c r="C1" t="s">
        <v>2158</v>
      </c>
      <c r="D1" t="s">
        <v>2159</v>
      </c>
      <c r="E1" t="s">
        <v>2160</v>
      </c>
      <c r="F1" t="s">
        <v>2161</v>
      </c>
      <c r="G1" t="s">
        <v>2745</v>
      </c>
      <c r="H1" t="s">
        <v>1341</v>
      </c>
      <c r="I1" t="s">
        <v>3594</v>
      </c>
      <c r="J1" t="s">
        <v>2162</v>
      </c>
      <c r="K1" t="s">
        <v>3621</v>
      </c>
      <c r="L1" t="s">
        <v>1342</v>
      </c>
      <c r="M1" t="s">
        <v>4208</v>
      </c>
      <c r="N1" t="s">
        <v>3166</v>
      </c>
      <c r="O1" t="s">
        <v>2668</v>
      </c>
      <c r="P1" t="s">
        <v>2669</v>
      </c>
      <c r="Q1" t="s">
        <v>1169</v>
      </c>
      <c r="R1" t="s">
        <v>2163</v>
      </c>
      <c r="S1" t="s">
        <v>2314</v>
      </c>
      <c r="T1" t="s">
        <v>2315</v>
      </c>
      <c r="U1" t="s">
        <v>2671</v>
      </c>
      <c r="V1" t="s">
        <v>3624</v>
      </c>
      <c r="W1" t="s">
        <v>3625</v>
      </c>
      <c r="X1" t="s">
        <v>3626</v>
      </c>
      <c r="Y1" t="s">
        <v>2316</v>
      </c>
      <c r="Z1" t="s">
        <v>2317</v>
      </c>
      <c r="AA1" t="s">
        <v>2318</v>
      </c>
      <c r="AB1" t="s">
        <v>3627</v>
      </c>
      <c r="AC1" t="s">
        <v>2981</v>
      </c>
      <c r="AD1" t="s">
        <v>3610</v>
      </c>
      <c r="AE1" t="s">
        <v>3611</v>
      </c>
      <c r="AF1" t="s">
        <v>3612</v>
      </c>
      <c r="AG1" t="s">
        <v>3613</v>
      </c>
      <c r="AH1" t="s">
        <v>2120</v>
      </c>
      <c r="AI1" t="s">
        <v>3614</v>
      </c>
      <c r="AJ1" t="s">
        <v>3615</v>
      </c>
      <c r="AK1" t="s">
        <v>3616</v>
      </c>
      <c r="AL1" t="s">
        <v>3617</v>
      </c>
      <c r="AM1" t="s">
        <v>3618</v>
      </c>
      <c r="AN1" t="s">
        <v>3619</v>
      </c>
      <c r="AO1" t="s">
        <v>3620</v>
      </c>
      <c r="AP1" t="s">
        <v>3484</v>
      </c>
      <c r="AQ1" t="s">
        <v>5033</v>
      </c>
    </row>
    <row r="2" spans="1:43" x14ac:dyDescent="0.35">
      <c r="B2" s="42" t="e">
        <f ca="1">VANDAAG()</f>
        <v>#NAME?</v>
      </c>
      <c r="C2" s="42">
        <v>41363</v>
      </c>
      <c r="D2" t="s">
        <v>2657</v>
      </c>
      <c r="E2" t="s">
        <v>2658</v>
      </c>
      <c r="F2" s="42">
        <v>40909</v>
      </c>
      <c r="G2">
        <v>100</v>
      </c>
      <c r="H2">
        <v>80</v>
      </c>
      <c r="I2">
        <v>1</v>
      </c>
      <c r="J2">
        <v>60</v>
      </c>
      <c r="K2">
        <v>18</v>
      </c>
      <c r="L2">
        <v>1</v>
      </c>
      <c r="M2">
        <v>1</v>
      </c>
      <c r="O2" t="b">
        <v>0</v>
      </c>
      <c r="P2" t="b">
        <v>0</v>
      </c>
      <c r="Q2" t="s">
        <v>3483</v>
      </c>
      <c r="R2">
        <v>1</v>
      </c>
      <c r="S2">
        <v>30</v>
      </c>
      <c r="T2">
        <v>5</v>
      </c>
      <c r="U2">
        <v>6</v>
      </c>
      <c r="V2">
        <v>30</v>
      </c>
      <c r="W2">
        <v>80</v>
      </c>
      <c r="X2">
        <v>40</v>
      </c>
      <c r="Y2">
        <v>0</v>
      </c>
      <c r="Z2">
        <v>5</v>
      </c>
      <c r="AA2">
        <v>17</v>
      </c>
      <c r="AD2">
        <v>30</v>
      </c>
      <c r="AP2">
        <v>20</v>
      </c>
      <c r="AQ2" s="354"/>
    </row>
    <row r="3" spans="1:43" x14ac:dyDescent="0.35">
      <c r="C3" s="7"/>
      <c r="D3" s="7"/>
      <c r="E3" s="7"/>
      <c r="G3" s="7"/>
      <c r="K3">
        <v>20</v>
      </c>
      <c r="L3">
        <v>5</v>
      </c>
    </row>
    <row r="4" spans="1:43" x14ac:dyDescent="0.35">
      <c r="C4" s="7"/>
      <c r="D4" s="7"/>
      <c r="E4" s="7"/>
      <c r="G4" s="7"/>
    </row>
    <row r="12" spans="1:43" x14ac:dyDescent="0.35">
      <c r="I12" t="s">
        <v>2313</v>
      </c>
    </row>
  </sheetData>
  <phoneticPr fontId="26" type="noConversion"/>
  <pageMargins left="0.75" right="0.75" top="1" bottom="1" header="0.5" footer="0.5"/>
  <pageSetup paperSize="9" orientation="portrait" horizontalDpi="300" verticalDpi="3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mp"/>
  <dimension ref="A1:FIO754"/>
  <sheetViews>
    <sheetView workbookViewId="0">
      <selection sqref="A1:C754"/>
    </sheetView>
  </sheetViews>
  <sheetFormatPr defaultRowHeight="12.85" x14ac:dyDescent="0.35"/>
  <cols>
    <col min="1" max="1" width="27.3984375" customWidth="1"/>
    <col min="2" max="2" width="28.59765625" customWidth="1"/>
    <col min="3" max="3" width="34.1328125" customWidth="1"/>
  </cols>
  <sheetData>
    <row r="1" spans="1:2 4305:4305" x14ac:dyDescent="0.35">
      <c r="A1" t="s">
        <v>1810</v>
      </c>
      <c r="B1" t="s">
        <v>1811</v>
      </c>
    </row>
    <row r="2" spans="1:2 4305:4305" x14ac:dyDescent="0.35">
      <c r="A2" t="s">
        <v>2159</v>
      </c>
      <c r="B2" t="s">
        <v>5090</v>
      </c>
      <c r="FIO2">
        <v>30</v>
      </c>
    </row>
    <row r="3" spans="1:2 4305:4305" x14ac:dyDescent="0.35">
      <c r="A3" t="s">
        <v>173</v>
      </c>
      <c r="B3">
        <v>10</v>
      </c>
    </row>
    <row r="4" spans="1:2 4305:4305" x14ac:dyDescent="0.35">
      <c r="A4" t="s">
        <v>174</v>
      </c>
      <c r="B4">
        <v>20</v>
      </c>
    </row>
    <row r="5" spans="1:2 4305:4305" x14ac:dyDescent="0.35">
      <c r="A5" t="s">
        <v>175</v>
      </c>
      <c r="B5">
        <v>5000</v>
      </c>
    </row>
    <row r="6" spans="1:2 4305:4305" x14ac:dyDescent="0.35">
      <c r="A6" t="s">
        <v>1192</v>
      </c>
      <c r="B6">
        <v>2</v>
      </c>
    </row>
    <row r="7" spans="1:2 4305:4305" x14ac:dyDescent="0.35">
      <c r="A7" t="s">
        <v>1193</v>
      </c>
      <c r="B7">
        <v>10</v>
      </c>
    </row>
    <row r="8" spans="1:2 4305:4305" x14ac:dyDescent="0.35">
      <c r="A8" t="s">
        <v>1194</v>
      </c>
      <c r="B8">
        <v>5</v>
      </c>
    </row>
    <row r="9" spans="1:2 4305:4305" x14ac:dyDescent="0.35">
      <c r="A9" t="s">
        <v>3792</v>
      </c>
      <c r="B9">
        <v>10</v>
      </c>
    </row>
    <row r="10" spans="1:2 4305:4305" x14ac:dyDescent="0.35">
      <c r="A10" t="s">
        <v>4609</v>
      </c>
      <c r="B10">
        <v>1</v>
      </c>
    </row>
    <row r="11" spans="1:2 4305:4305" x14ac:dyDescent="0.35">
      <c r="A11" t="s">
        <v>4602</v>
      </c>
    </row>
    <row r="12" spans="1:2 4305:4305" x14ac:dyDescent="0.35">
      <c r="A12" t="s">
        <v>4603</v>
      </c>
      <c r="B12">
        <v>5</v>
      </c>
    </row>
    <row r="13" spans="1:2 4305:4305" x14ac:dyDescent="0.35">
      <c r="A13" t="s">
        <v>4604</v>
      </c>
    </row>
    <row r="14" spans="1:2 4305:4305" x14ac:dyDescent="0.35">
      <c r="A14" t="s">
        <v>3793</v>
      </c>
      <c r="B14">
        <v>1</v>
      </c>
    </row>
    <row r="15" spans="1:2 4305:4305" x14ac:dyDescent="0.35">
      <c r="A15" t="s">
        <v>4605</v>
      </c>
    </row>
    <row r="16" spans="1:2 4305:4305" x14ac:dyDescent="0.35">
      <c r="A16" t="s">
        <v>4606</v>
      </c>
      <c r="B16">
        <v>50</v>
      </c>
    </row>
    <row r="17" spans="1:15" x14ac:dyDescent="0.35">
      <c r="A17" t="s">
        <v>4607</v>
      </c>
      <c r="B17">
        <v>5</v>
      </c>
    </row>
    <row r="18" spans="1:15" x14ac:dyDescent="0.35">
      <c r="A18" t="s">
        <v>4608</v>
      </c>
      <c r="B18">
        <v>500</v>
      </c>
    </row>
    <row r="19" spans="1:15" x14ac:dyDescent="0.35">
      <c r="A19" t="s">
        <v>3794</v>
      </c>
      <c r="B19">
        <v>10</v>
      </c>
    </row>
    <row r="20" spans="1:15" x14ac:dyDescent="0.35">
      <c r="A20" t="b">
        <v>1</v>
      </c>
      <c r="B20" t="b">
        <v>1</v>
      </c>
      <c r="C20" t="b">
        <v>0</v>
      </c>
      <c r="D20" t="b">
        <v>0</v>
      </c>
      <c r="E20" t="b">
        <v>0</v>
      </c>
      <c r="F20" t="b">
        <v>0</v>
      </c>
      <c r="G20" t="b">
        <v>0</v>
      </c>
      <c r="H20" t="b">
        <v>0</v>
      </c>
      <c r="I20" t="b">
        <v>0</v>
      </c>
      <c r="J20" t="b">
        <v>0</v>
      </c>
      <c r="K20" t="b">
        <v>0</v>
      </c>
      <c r="L20" t="b">
        <v>0</v>
      </c>
      <c r="M20" t="b">
        <v>0</v>
      </c>
      <c r="N20" t="b">
        <v>0</v>
      </c>
      <c r="O20" t="b">
        <v>0</v>
      </c>
    </row>
    <row r="21" spans="1:15" x14ac:dyDescent="0.35">
      <c r="A21" t="s">
        <v>3796</v>
      </c>
      <c r="B21">
        <v>150</v>
      </c>
    </row>
    <row r="22" spans="1:15" x14ac:dyDescent="0.35">
      <c r="A22" t="s">
        <v>3797</v>
      </c>
      <c r="B22">
        <v>2500</v>
      </c>
    </row>
    <row r="23" spans="1:15" x14ac:dyDescent="0.35">
      <c r="A23" t="s">
        <v>3798</v>
      </c>
      <c r="B23">
        <v>200</v>
      </c>
    </row>
    <row r="24" spans="1:15" x14ac:dyDescent="0.35">
      <c r="A24" t="s">
        <v>3799</v>
      </c>
      <c r="B24">
        <v>50</v>
      </c>
    </row>
    <row r="25" spans="1:15" x14ac:dyDescent="0.35">
      <c r="A25" t="s">
        <v>3800</v>
      </c>
      <c r="B25">
        <v>100</v>
      </c>
    </row>
    <row r="26" spans="1:15" x14ac:dyDescent="0.35">
      <c r="A26" t="s">
        <v>2670</v>
      </c>
      <c r="B26">
        <v>1</v>
      </c>
    </row>
    <row r="27" spans="1:15" x14ac:dyDescent="0.35">
      <c r="A27" t="s">
        <v>1169</v>
      </c>
      <c r="B27" t="s">
        <v>3483</v>
      </c>
    </row>
    <row r="28" spans="1:15" x14ac:dyDescent="0.35">
      <c r="A28" t="s">
        <v>3692</v>
      </c>
      <c r="B28" t="b">
        <v>0</v>
      </c>
    </row>
    <row r="29" spans="1:15" x14ac:dyDescent="0.35">
      <c r="A29" t="s">
        <v>3693</v>
      </c>
    </row>
    <row r="30" spans="1:15" x14ac:dyDescent="0.35">
      <c r="A30" t="s">
        <v>2120</v>
      </c>
    </row>
    <row r="31" spans="1:15" x14ac:dyDescent="0.35">
      <c r="A31" t="s">
        <v>2679</v>
      </c>
      <c r="B31" t="b">
        <v>1</v>
      </c>
    </row>
    <row r="32" spans="1:15" x14ac:dyDescent="0.35">
      <c r="A32" t="s">
        <v>3890</v>
      </c>
    </row>
    <row r="33" spans="1:2" x14ac:dyDescent="0.35">
      <c r="A33" t="s">
        <v>3494</v>
      </c>
    </row>
    <row r="34" spans="1:2" x14ac:dyDescent="0.35">
      <c r="A34" t="s">
        <v>3496</v>
      </c>
    </row>
    <row r="35" spans="1:2" x14ac:dyDescent="0.35">
      <c r="A35" t="s">
        <v>3498</v>
      </c>
    </row>
    <row r="36" spans="1:2" x14ac:dyDescent="0.35">
      <c r="A36" t="s">
        <v>3500</v>
      </c>
    </row>
    <row r="37" spans="1:2" x14ac:dyDescent="0.35">
      <c r="A37" t="s">
        <v>3605</v>
      </c>
    </row>
    <row r="38" spans="1:2" x14ac:dyDescent="0.35">
      <c r="A38" t="s">
        <v>3607</v>
      </c>
    </row>
    <row r="39" spans="1:2" x14ac:dyDescent="0.35">
      <c r="A39" t="s">
        <v>3656</v>
      </c>
    </row>
    <row r="40" spans="1:2" x14ac:dyDescent="0.35">
      <c r="A40" t="s">
        <v>3658</v>
      </c>
    </row>
    <row r="41" spans="1:2" x14ac:dyDescent="0.35">
      <c r="A41" t="s">
        <v>3660</v>
      </c>
    </row>
    <row r="42" spans="1:2" x14ac:dyDescent="0.35">
      <c r="A42" t="s">
        <v>3613</v>
      </c>
    </row>
    <row r="43" spans="1:2" x14ac:dyDescent="0.35">
      <c r="A43" t="s">
        <v>3618</v>
      </c>
    </row>
    <row r="44" spans="1:2" x14ac:dyDescent="0.35">
      <c r="A44" t="s">
        <v>458</v>
      </c>
      <c r="B44">
        <v>5</v>
      </c>
    </row>
    <row r="45" spans="1:2" x14ac:dyDescent="0.35">
      <c r="A45" t="s">
        <v>459</v>
      </c>
    </row>
    <row r="46" spans="1:2" x14ac:dyDescent="0.35">
      <c r="A46" t="s">
        <v>460</v>
      </c>
    </row>
    <row r="47" spans="1:2" x14ac:dyDescent="0.35">
      <c r="A47" t="s">
        <v>461</v>
      </c>
    </row>
    <row r="48" spans="1:2" x14ac:dyDescent="0.35">
      <c r="A48" t="s">
        <v>65</v>
      </c>
    </row>
    <row r="49" spans="1:2" x14ac:dyDescent="0.35">
      <c r="A49" t="s">
        <v>66</v>
      </c>
    </row>
    <row r="50" spans="1:2" x14ac:dyDescent="0.35">
      <c r="A50" t="s">
        <v>3403</v>
      </c>
    </row>
    <row r="51" spans="1:2" x14ac:dyDescent="0.35">
      <c r="A51" t="s">
        <v>3404</v>
      </c>
    </row>
    <row r="52" spans="1:2" x14ac:dyDescent="0.35">
      <c r="A52" t="s">
        <v>3405</v>
      </c>
    </row>
    <row r="53" spans="1:2" x14ac:dyDescent="0.35">
      <c r="A53" t="s">
        <v>3406</v>
      </c>
    </row>
    <row r="54" spans="1:2" x14ac:dyDescent="0.35">
      <c r="A54" t="s">
        <v>2177</v>
      </c>
    </row>
    <row r="55" spans="1:2" x14ac:dyDescent="0.35">
      <c r="A55" t="s">
        <v>2178</v>
      </c>
      <c r="B55">
        <v>10</v>
      </c>
    </row>
    <row r="56" spans="1:2" x14ac:dyDescent="0.35">
      <c r="A56" t="s">
        <v>2179</v>
      </c>
    </row>
    <row r="57" spans="1:2" x14ac:dyDescent="0.35">
      <c r="A57" t="s">
        <v>2180</v>
      </c>
      <c r="B57">
        <v>7</v>
      </c>
    </row>
    <row r="58" spans="1:2" x14ac:dyDescent="0.35">
      <c r="A58" t="s">
        <v>367</v>
      </c>
    </row>
    <row r="59" spans="1:2" x14ac:dyDescent="0.35">
      <c r="A59" t="s">
        <v>368</v>
      </c>
    </row>
    <row r="60" spans="1:2" x14ac:dyDescent="0.35">
      <c r="A60" t="s">
        <v>369</v>
      </c>
    </row>
    <row r="61" spans="1:2" x14ac:dyDescent="0.35">
      <c r="A61" t="s">
        <v>370</v>
      </c>
    </row>
    <row r="62" spans="1:2" x14ac:dyDescent="0.35">
      <c r="A62" t="s">
        <v>371</v>
      </c>
    </row>
    <row r="63" spans="1:2" x14ac:dyDescent="0.35">
      <c r="A63" t="s">
        <v>842</v>
      </c>
    </row>
    <row r="64" spans="1:2" x14ac:dyDescent="0.35">
      <c r="A64" t="s">
        <v>3610</v>
      </c>
      <c r="B64">
        <v>30</v>
      </c>
    </row>
    <row r="65" spans="1:2" x14ac:dyDescent="0.35">
      <c r="A65" t="s">
        <v>3617</v>
      </c>
    </row>
    <row r="66" spans="1:2" x14ac:dyDescent="0.35">
      <c r="A66" t="s">
        <v>1342</v>
      </c>
      <c r="B66">
        <v>1</v>
      </c>
    </row>
    <row r="67" spans="1:2" x14ac:dyDescent="0.35">
      <c r="A67" t="s">
        <v>843</v>
      </c>
      <c r="B67" t="s">
        <v>1836</v>
      </c>
    </row>
    <row r="68" spans="1:2" x14ac:dyDescent="0.35">
      <c r="A68" t="s">
        <v>844</v>
      </c>
    </row>
    <row r="69" spans="1:2" x14ac:dyDescent="0.35">
      <c r="A69" t="s">
        <v>845</v>
      </c>
    </row>
    <row r="70" spans="1:2" x14ac:dyDescent="0.35">
      <c r="A70" t="s">
        <v>846</v>
      </c>
    </row>
    <row r="71" spans="1:2" x14ac:dyDescent="0.35">
      <c r="A71" t="s">
        <v>847</v>
      </c>
    </row>
    <row r="72" spans="1:2" x14ac:dyDescent="0.35">
      <c r="A72" t="s">
        <v>848</v>
      </c>
    </row>
    <row r="73" spans="1:2" x14ac:dyDescent="0.35">
      <c r="A73" t="s">
        <v>849</v>
      </c>
    </row>
    <row r="74" spans="1:2" x14ac:dyDescent="0.35">
      <c r="A74" t="s">
        <v>850</v>
      </c>
    </row>
    <row r="75" spans="1:2" x14ac:dyDescent="0.35">
      <c r="A75" t="s">
        <v>851</v>
      </c>
    </row>
    <row r="76" spans="1:2" x14ac:dyDescent="0.35">
      <c r="A76" t="s">
        <v>852</v>
      </c>
    </row>
    <row r="77" spans="1:2" x14ac:dyDescent="0.35">
      <c r="A77" t="s">
        <v>853</v>
      </c>
    </row>
    <row r="78" spans="1:2" x14ac:dyDescent="0.35">
      <c r="A78" t="s">
        <v>854</v>
      </c>
      <c r="B78" t="s">
        <v>2030</v>
      </c>
    </row>
    <row r="79" spans="1:2" x14ac:dyDescent="0.35">
      <c r="A79" t="s">
        <v>855</v>
      </c>
    </row>
    <row r="80" spans="1:2" x14ac:dyDescent="0.35">
      <c r="A80" t="s">
        <v>856</v>
      </c>
      <c r="B80" t="s">
        <v>1836</v>
      </c>
    </row>
    <row r="81" spans="1:2" x14ac:dyDescent="0.35">
      <c r="A81" t="s">
        <v>857</v>
      </c>
    </row>
    <row r="82" spans="1:2" x14ac:dyDescent="0.35">
      <c r="A82" t="s">
        <v>858</v>
      </c>
    </row>
    <row r="83" spans="1:2" x14ac:dyDescent="0.35">
      <c r="A83" t="s">
        <v>859</v>
      </c>
    </row>
    <row r="84" spans="1:2" x14ac:dyDescent="0.35">
      <c r="A84" t="s">
        <v>2243</v>
      </c>
    </row>
    <row r="85" spans="1:2" x14ac:dyDescent="0.35">
      <c r="A85" t="s">
        <v>2244</v>
      </c>
    </row>
    <row r="86" spans="1:2" x14ac:dyDescent="0.35">
      <c r="A86" t="s">
        <v>2311</v>
      </c>
    </row>
    <row r="87" spans="1:2" x14ac:dyDescent="0.35">
      <c r="A87" t="s">
        <v>2314</v>
      </c>
      <c r="B87">
        <v>30</v>
      </c>
    </row>
    <row r="88" spans="1:2" x14ac:dyDescent="0.35">
      <c r="A88" t="s">
        <v>3624</v>
      </c>
      <c r="B88">
        <v>30</v>
      </c>
    </row>
    <row r="89" spans="1:2" x14ac:dyDescent="0.35">
      <c r="A89" t="s">
        <v>3611</v>
      </c>
    </row>
    <row r="90" spans="1:2" x14ac:dyDescent="0.35">
      <c r="A90" t="s">
        <v>3615</v>
      </c>
    </row>
    <row r="91" spans="1:2" x14ac:dyDescent="0.35">
      <c r="A91" t="s">
        <v>1594</v>
      </c>
      <c r="B91">
        <v>6</v>
      </c>
    </row>
    <row r="92" spans="1:2" x14ac:dyDescent="0.35">
      <c r="A92" t="s">
        <v>1595</v>
      </c>
    </row>
    <row r="93" spans="1:2" x14ac:dyDescent="0.35">
      <c r="A93" t="s">
        <v>1596</v>
      </c>
    </row>
    <row r="94" spans="1:2" x14ac:dyDescent="0.35">
      <c r="A94" t="s">
        <v>1597</v>
      </c>
    </row>
    <row r="95" spans="1:2" x14ac:dyDescent="0.35">
      <c r="A95" t="s">
        <v>2161</v>
      </c>
      <c r="B95">
        <v>40909</v>
      </c>
    </row>
    <row r="96" spans="1:2" x14ac:dyDescent="0.35">
      <c r="A96" t="s">
        <v>2745</v>
      </c>
      <c r="B96">
        <v>100</v>
      </c>
    </row>
    <row r="97" spans="1:2" x14ac:dyDescent="0.35">
      <c r="A97" t="s">
        <v>2669</v>
      </c>
      <c r="B97" t="b">
        <v>0</v>
      </c>
    </row>
    <row r="98" spans="1:2" x14ac:dyDescent="0.35">
      <c r="A98" t="s">
        <v>1562</v>
      </c>
      <c r="B98">
        <v>24</v>
      </c>
    </row>
    <row r="99" spans="1:2" x14ac:dyDescent="0.35">
      <c r="A99" t="s">
        <v>1563</v>
      </c>
      <c r="B99">
        <v>29</v>
      </c>
    </row>
    <row r="100" spans="1:2" x14ac:dyDescent="0.35">
      <c r="A100" t="s">
        <v>1564</v>
      </c>
      <c r="B100">
        <v>1</v>
      </c>
    </row>
    <row r="101" spans="1:2" x14ac:dyDescent="0.35">
      <c r="A101" t="s">
        <v>1565</v>
      </c>
      <c r="B101">
        <v>1</v>
      </c>
    </row>
    <row r="102" spans="1:2" x14ac:dyDescent="0.35">
      <c r="A102" t="s">
        <v>1566</v>
      </c>
      <c r="B102">
        <v>1</v>
      </c>
    </row>
    <row r="103" spans="1:2" x14ac:dyDescent="0.35">
      <c r="A103" t="s">
        <v>3746</v>
      </c>
      <c r="B103">
        <v>1</v>
      </c>
    </row>
    <row r="104" spans="1:2" x14ac:dyDescent="0.35">
      <c r="A104" t="s">
        <v>3616</v>
      </c>
    </row>
    <row r="105" spans="1:2" x14ac:dyDescent="0.35">
      <c r="A105" t="s">
        <v>3747</v>
      </c>
      <c r="B105">
        <v>5</v>
      </c>
    </row>
    <row r="106" spans="1:2" x14ac:dyDescent="0.35">
      <c r="A106" t="s">
        <v>3748</v>
      </c>
      <c r="B106">
        <v>20</v>
      </c>
    </row>
    <row r="107" spans="1:2" x14ac:dyDescent="0.35">
      <c r="A107" t="s">
        <v>3749</v>
      </c>
      <c r="B107">
        <v>15</v>
      </c>
    </row>
    <row r="108" spans="1:2" x14ac:dyDescent="0.35">
      <c r="A108" t="s">
        <v>3750</v>
      </c>
      <c r="B108">
        <v>10</v>
      </c>
    </row>
    <row r="109" spans="1:2" x14ac:dyDescent="0.35">
      <c r="A109" t="s">
        <v>3751</v>
      </c>
      <c r="B109">
        <v>10</v>
      </c>
    </row>
    <row r="110" spans="1:2" x14ac:dyDescent="0.35">
      <c r="A110" t="s">
        <v>2643</v>
      </c>
      <c r="B110">
        <v>10</v>
      </c>
    </row>
    <row r="111" spans="1:2" x14ac:dyDescent="0.35">
      <c r="A111" t="s">
        <v>2644</v>
      </c>
      <c r="B111">
        <v>30</v>
      </c>
    </row>
    <row r="112" spans="1:2" x14ac:dyDescent="0.35">
      <c r="A112" t="s">
        <v>2645</v>
      </c>
      <c r="B112">
        <v>240</v>
      </c>
    </row>
    <row r="113" spans="1:2" x14ac:dyDescent="0.35">
      <c r="A113" t="s">
        <v>5054</v>
      </c>
    </row>
    <row r="114" spans="1:2" x14ac:dyDescent="0.35">
      <c r="A114" t="s">
        <v>5055</v>
      </c>
      <c r="B114">
        <v>10</v>
      </c>
    </row>
    <row r="115" spans="1:2" x14ac:dyDescent="0.35">
      <c r="A115" t="s">
        <v>5056</v>
      </c>
    </row>
    <row r="116" spans="1:2" x14ac:dyDescent="0.35">
      <c r="A116" t="s">
        <v>3752</v>
      </c>
      <c r="B116">
        <v>10</v>
      </c>
    </row>
    <row r="117" spans="1:2" x14ac:dyDescent="0.35">
      <c r="A117" t="s">
        <v>4610</v>
      </c>
    </row>
    <row r="118" spans="1:2" x14ac:dyDescent="0.35">
      <c r="A118" t="s">
        <v>4611</v>
      </c>
      <c r="B118">
        <v>6</v>
      </c>
    </row>
    <row r="119" spans="1:2" x14ac:dyDescent="0.35">
      <c r="A119" t="s">
        <v>5052</v>
      </c>
      <c r="B119">
        <v>2</v>
      </c>
    </row>
    <row r="120" spans="1:2" x14ac:dyDescent="0.35">
      <c r="A120" t="s">
        <v>5053</v>
      </c>
      <c r="B120">
        <v>70</v>
      </c>
    </row>
    <row r="121" spans="1:2" x14ac:dyDescent="0.35">
      <c r="A121" t="s">
        <v>3753</v>
      </c>
      <c r="B121">
        <v>5</v>
      </c>
    </row>
    <row r="122" spans="1:2" x14ac:dyDescent="0.35">
      <c r="A122" t="s">
        <v>3754</v>
      </c>
      <c r="B122">
        <v>25</v>
      </c>
    </row>
    <row r="123" spans="1:2" x14ac:dyDescent="0.35">
      <c r="A123" t="s">
        <v>3755</v>
      </c>
      <c r="B123">
        <v>100</v>
      </c>
    </row>
    <row r="124" spans="1:2" x14ac:dyDescent="0.35">
      <c r="A124" t="s">
        <v>3756</v>
      </c>
      <c r="B124">
        <v>10</v>
      </c>
    </row>
    <row r="125" spans="1:2" x14ac:dyDescent="0.35">
      <c r="A125" t="s">
        <v>3757</v>
      </c>
      <c r="B125">
        <v>5</v>
      </c>
    </row>
    <row r="126" spans="1:2" x14ac:dyDescent="0.35">
      <c r="A126" t="s">
        <v>3758</v>
      </c>
      <c r="B126">
        <v>10</v>
      </c>
    </row>
    <row r="127" spans="1:2" x14ac:dyDescent="0.35">
      <c r="A127" t="s">
        <v>2167</v>
      </c>
      <c r="B127">
        <v>5</v>
      </c>
    </row>
    <row r="128" spans="1:2" x14ac:dyDescent="0.35">
      <c r="A128" t="s">
        <v>4055</v>
      </c>
      <c r="B128">
        <v>10</v>
      </c>
    </row>
    <row r="129" spans="1:2" x14ac:dyDescent="0.35">
      <c r="A129" t="s">
        <v>4056</v>
      </c>
      <c r="B129">
        <v>10</v>
      </c>
    </row>
    <row r="130" spans="1:2" x14ac:dyDescent="0.35">
      <c r="A130" t="s">
        <v>4057</v>
      </c>
      <c r="B130">
        <v>10</v>
      </c>
    </row>
    <row r="131" spans="1:2" x14ac:dyDescent="0.35">
      <c r="A131" t="s">
        <v>4058</v>
      </c>
      <c r="B131">
        <v>10</v>
      </c>
    </row>
    <row r="132" spans="1:2" x14ac:dyDescent="0.35">
      <c r="A132" t="s">
        <v>4059</v>
      </c>
      <c r="B132">
        <v>10</v>
      </c>
    </row>
    <row r="133" spans="1:2" x14ac:dyDescent="0.35">
      <c r="A133" t="s">
        <v>3186</v>
      </c>
      <c r="B133">
        <v>10</v>
      </c>
    </row>
    <row r="134" spans="1:2" x14ac:dyDescent="0.35">
      <c r="A134" t="s">
        <v>3187</v>
      </c>
      <c r="B134">
        <v>10</v>
      </c>
    </row>
    <row r="135" spans="1:2" x14ac:dyDescent="0.35">
      <c r="A135" t="s">
        <v>2642</v>
      </c>
      <c r="B135">
        <v>10</v>
      </c>
    </row>
    <row r="136" spans="1:2" x14ac:dyDescent="0.35">
      <c r="A136" t="s">
        <v>5061</v>
      </c>
    </row>
    <row r="137" spans="1:2" x14ac:dyDescent="0.35">
      <c r="A137" t="s">
        <v>5062</v>
      </c>
      <c r="B137">
        <v>10</v>
      </c>
    </row>
    <row r="138" spans="1:2" x14ac:dyDescent="0.35">
      <c r="A138" t="s">
        <v>5063</v>
      </c>
    </row>
    <row r="139" spans="1:2" x14ac:dyDescent="0.35">
      <c r="A139" t="s">
        <v>4060</v>
      </c>
      <c r="B139">
        <v>10</v>
      </c>
    </row>
    <row r="140" spans="1:2" x14ac:dyDescent="0.35">
      <c r="A140" t="s">
        <v>5057</v>
      </c>
    </row>
    <row r="141" spans="1:2" x14ac:dyDescent="0.35">
      <c r="A141" t="s">
        <v>5058</v>
      </c>
      <c r="B141">
        <v>10</v>
      </c>
    </row>
    <row r="142" spans="1:2" x14ac:dyDescent="0.35">
      <c r="A142" t="s">
        <v>5059</v>
      </c>
      <c r="B142">
        <v>10</v>
      </c>
    </row>
    <row r="143" spans="1:2" x14ac:dyDescent="0.35">
      <c r="A143" t="s">
        <v>5060</v>
      </c>
      <c r="B143">
        <v>10</v>
      </c>
    </row>
    <row r="144" spans="1:2" x14ac:dyDescent="0.35">
      <c r="A144" t="s">
        <v>4061</v>
      </c>
      <c r="B144">
        <v>10</v>
      </c>
    </row>
    <row r="145" spans="1:2" x14ac:dyDescent="0.35">
      <c r="A145" t="s">
        <v>1670</v>
      </c>
      <c r="B145">
        <v>10</v>
      </c>
    </row>
    <row r="146" spans="1:2" x14ac:dyDescent="0.35">
      <c r="A146" t="s">
        <v>2198</v>
      </c>
      <c r="B146">
        <v>10</v>
      </c>
    </row>
    <row r="147" spans="1:2" x14ac:dyDescent="0.35">
      <c r="A147" t="s">
        <v>3195</v>
      </c>
      <c r="B147">
        <v>10</v>
      </c>
    </row>
    <row r="148" spans="1:2" x14ac:dyDescent="0.35">
      <c r="A148" t="s">
        <v>3198</v>
      </c>
      <c r="B148">
        <v>10</v>
      </c>
    </row>
    <row r="149" spans="1:2" x14ac:dyDescent="0.35">
      <c r="A149" t="s">
        <v>462</v>
      </c>
      <c r="B149">
        <v>10</v>
      </c>
    </row>
    <row r="150" spans="1:2" x14ac:dyDescent="0.35">
      <c r="A150" t="s">
        <v>463</v>
      </c>
      <c r="B150">
        <v>10</v>
      </c>
    </row>
    <row r="151" spans="1:2" x14ac:dyDescent="0.35">
      <c r="A151" t="s">
        <v>1372</v>
      </c>
      <c r="B151" t="b">
        <v>1</v>
      </c>
    </row>
    <row r="152" spans="1:2" x14ac:dyDescent="0.35">
      <c r="A152" t="s">
        <v>3562</v>
      </c>
    </row>
    <row r="153" spans="1:2" x14ac:dyDescent="0.35">
      <c r="A153" t="s">
        <v>1373</v>
      </c>
    </row>
    <row r="154" spans="1:2" x14ac:dyDescent="0.35">
      <c r="A154" t="s">
        <v>3563</v>
      </c>
    </row>
    <row r="155" spans="1:2" x14ac:dyDescent="0.35">
      <c r="A155" t="s">
        <v>1598</v>
      </c>
      <c r="B155">
        <v>3</v>
      </c>
    </row>
    <row r="156" spans="1:2" x14ac:dyDescent="0.35">
      <c r="A156" t="s">
        <v>1599</v>
      </c>
    </row>
    <row r="157" spans="1:2" x14ac:dyDescent="0.35">
      <c r="A157" t="s">
        <v>1600</v>
      </c>
    </row>
    <row r="158" spans="1:2" x14ac:dyDescent="0.35">
      <c r="A158" t="s">
        <v>1601</v>
      </c>
    </row>
    <row r="159" spans="1:2" x14ac:dyDescent="0.35">
      <c r="A159" t="s">
        <v>3093</v>
      </c>
      <c r="B159" t="b">
        <v>0</v>
      </c>
    </row>
    <row r="160" spans="1:2" x14ac:dyDescent="0.35">
      <c r="A160" t="s">
        <v>379</v>
      </c>
    </row>
    <row r="161" spans="1:3" x14ac:dyDescent="0.35">
      <c r="A161" t="s">
        <v>3801</v>
      </c>
      <c r="B161" t="b">
        <v>0</v>
      </c>
      <c r="C161" t="s">
        <v>2313</v>
      </c>
    </row>
    <row r="162" spans="1:3" x14ac:dyDescent="0.35">
      <c r="A162" t="s">
        <v>3809</v>
      </c>
      <c r="B162" t="b">
        <v>0</v>
      </c>
      <c r="C162" t="s">
        <v>2313</v>
      </c>
    </row>
    <row r="163" spans="1:3" x14ac:dyDescent="0.35">
      <c r="A163" t="s">
        <v>3810</v>
      </c>
      <c r="C163" t="s">
        <v>2313</v>
      </c>
    </row>
    <row r="164" spans="1:3" x14ac:dyDescent="0.35">
      <c r="A164" t="s">
        <v>1558</v>
      </c>
      <c r="B164" t="b">
        <v>0</v>
      </c>
      <c r="C164" t="s">
        <v>2313</v>
      </c>
    </row>
    <row r="165" spans="1:3" x14ac:dyDescent="0.35">
      <c r="A165" t="s">
        <v>1559</v>
      </c>
      <c r="B165" t="b">
        <v>0</v>
      </c>
      <c r="C165" t="s">
        <v>2313</v>
      </c>
    </row>
    <row r="166" spans="1:3" x14ac:dyDescent="0.35">
      <c r="A166" t="s">
        <v>1560</v>
      </c>
      <c r="C166" t="s">
        <v>2313</v>
      </c>
    </row>
    <row r="167" spans="1:3" x14ac:dyDescent="0.35">
      <c r="A167" t="s">
        <v>1561</v>
      </c>
      <c r="C167" t="s">
        <v>2313</v>
      </c>
    </row>
    <row r="168" spans="1:3" x14ac:dyDescent="0.35">
      <c r="A168" t="s">
        <v>2889</v>
      </c>
      <c r="C168" t="s">
        <v>2313</v>
      </c>
    </row>
    <row r="169" spans="1:3" x14ac:dyDescent="0.35">
      <c r="A169" t="s">
        <v>2890</v>
      </c>
      <c r="C169" t="s">
        <v>2313</v>
      </c>
    </row>
    <row r="170" spans="1:3" x14ac:dyDescent="0.35">
      <c r="A170" t="s">
        <v>3802</v>
      </c>
      <c r="C170" t="s">
        <v>2313</v>
      </c>
    </row>
    <row r="171" spans="1:3" x14ac:dyDescent="0.35">
      <c r="A171" t="s">
        <v>3803</v>
      </c>
      <c r="C171" t="s">
        <v>2313</v>
      </c>
    </row>
    <row r="172" spans="1:3" x14ac:dyDescent="0.35">
      <c r="A172" t="s">
        <v>3804</v>
      </c>
      <c r="C172" t="s">
        <v>2313</v>
      </c>
    </row>
    <row r="173" spans="1:3" x14ac:dyDescent="0.35">
      <c r="A173" t="s">
        <v>3805</v>
      </c>
      <c r="C173" t="s">
        <v>2313</v>
      </c>
    </row>
    <row r="174" spans="1:3" x14ac:dyDescent="0.35">
      <c r="A174" t="s">
        <v>3806</v>
      </c>
      <c r="C174" t="s">
        <v>2313</v>
      </c>
    </row>
    <row r="175" spans="1:3" x14ac:dyDescent="0.35">
      <c r="A175" t="s">
        <v>3807</v>
      </c>
      <c r="C175" t="s">
        <v>2313</v>
      </c>
    </row>
    <row r="176" spans="1:3" x14ac:dyDescent="0.35">
      <c r="A176" t="s">
        <v>3808</v>
      </c>
      <c r="C176" t="s">
        <v>2313</v>
      </c>
    </row>
    <row r="177" spans="1:3" x14ac:dyDescent="0.35">
      <c r="A177" t="s">
        <v>1141</v>
      </c>
      <c r="C177" t="s">
        <v>2313</v>
      </c>
    </row>
    <row r="178" spans="1:3" x14ac:dyDescent="0.35">
      <c r="A178" t="s">
        <v>1142</v>
      </c>
      <c r="C178" t="s">
        <v>2313</v>
      </c>
    </row>
    <row r="179" spans="1:3" x14ac:dyDescent="0.35">
      <c r="A179" t="s">
        <v>1143</v>
      </c>
      <c r="C179" t="s">
        <v>2313</v>
      </c>
    </row>
    <row r="180" spans="1:3" x14ac:dyDescent="0.35">
      <c r="A180" t="s">
        <v>1144</v>
      </c>
      <c r="C180" t="s">
        <v>2313</v>
      </c>
    </row>
    <row r="181" spans="1:3" x14ac:dyDescent="0.35">
      <c r="A181" t="s">
        <v>1145</v>
      </c>
      <c r="C181" t="s">
        <v>2313</v>
      </c>
    </row>
    <row r="182" spans="1:3" x14ac:dyDescent="0.35">
      <c r="A182" t="s">
        <v>1146</v>
      </c>
      <c r="C182" t="s">
        <v>2313</v>
      </c>
    </row>
    <row r="183" spans="1:3" x14ac:dyDescent="0.35">
      <c r="A183" t="s">
        <v>1147</v>
      </c>
      <c r="C183" t="s">
        <v>2313</v>
      </c>
    </row>
    <row r="184" spans="1:3" x14ac:dyDescent="0.35">
      <c r="A184" t="s">
        <v>1148</v>
      </c>
      <c r="C184" t="s">
        <v>2313</v>
      </c>
    </row>
    <row r="185" spans="1:3" x14ac:dyDescent="0.35">
      <c r="A185" t="s">
        <v>1149</v>
      </c>
      <c r="C185" t="s">
        <v>2313</v>
      </c>
    </row>
    <row r="186" spans="1:3" x14ac:dyDescent="0.35">
      <c r="A186" t="s">
        <v>1150</v>
      </c>
      <c r="C186" t="s">
        <v>2313</v>
      </c>
    </row>
    <row r="187" spans="1:3" x14ac:dyDescent="0.35">
      <c r="A187" t="s">
        <v>1151</v>
      </c>
      <c r="C187" t="s">
        <v>2313</v>
      </c>
    </row>
    <row r="188" spans="1:3" x14ac:dyDescent="0.35">
      <c r="A188" t="s">
        <v>1152</v>
      </c>
      <c r="B188" t="b">
        <v>1</v>
      </c>
      <c r="C188" t="s">
        <v>241</v>
      </c>
    </row>
    <row r="189" spans="1:3" x14ac:dyDescent="0.35">
      <c r="A189" t="s">
        <v>1153</v>
      </c>
      <c r="B189" t="b">
        <v>1</v>
      </c>
      <c r="C189" t="s">
        <v>242</v>
      </c>
    </row>
    <row r="190" spans="1:3" x14ac:dyDescent="0.35">
      <c r="A190" t="s">
        <v>1154</v>
      </c>
      <c r="C190" t="s">
        <v>2313</v>
      </c>
    </row>
    <row r="191" spans="1:3" x14ac:dyDescent="0.35">
      <c r="A191" t="s">
        <v>1155</v>
      </c>
      <c r="B191" t="b">
        <v>1</v>
      </c>
      <c r="C191" t="s">
        <v>243</v>
      </c>
    </row>
    <row r="192" spans="1:3" x14ac:dyDescent="0.35">
      <c r="A192" t="s">
        <v>1156</v>
      </c>
      <c r="B192" t="b">
        <v>0</v>
      </c>
      <c r="C192" t="s">
        <v>2313</v>
      </c>
    </row>
    <row r="193" spans="1:3" x14ac:dyDescent="0.35">
      <c r="A193" t="s">
        <v>2563</v>
      </c>
      <c r="C193" t="s">
        <v>2313</v>
      </c>
    </row>
    <row r="194" spans="1:3" x14ac:dyDescent="0.35">
      <c r="A194" t="s">
        <v>2564</v>
      </c>
      <c r="C194" t="s">
        <v>2313</v>
      </c>
    </row>
    <row r="195" spans="1:3" x14ac:dyDescent="0.35">
      <c r="A195" t="s">
        <v>2565</v>
      </c>
      <c r="C195" t="s">
        <v>2313</v>
      </c>
    </row>
    <row r="196" spans="1:3" x14ac:dyDescent="0.35">
      <c r="A196" t="s">
        <v>2566</v>
      </c>
      <c r="C196" t="s">
        <v>2313</v>
      </c>
    </row>
    <row r="197" spans="1:3" x14ac:dyDescent="0.35">
      <c r="A197" t="s">
        <v>2567</v>
      </c>
      <c r="C197" t="s">
        <v>2313</v>
      </c>
    </row>
    <row r="198" spans="1:3" x14ac:dyDescent="0.35">
      <c r="A198" t="s">
        <v>2568</v>
      </c>
      <c r="C198" t="s">
        <v>2313</v>
      </c>
    </row>
    <row r="199" spans="1:3" x14ac:dyDescent="0.35">
      <c r="A199" t="s">
        <v>2569</v>
      </c>
      <c r="C199" t="s">
        <v>2313</v>
      </c>
    </row>
    <row r="200" spans="1:3" x14ac:dyDescent="0.35">
      <c r="A200" t="s">
        <v>2570</v>
      </c>
      <c r="C200" t="s">
        <v>2313</v>
      </c>
    </row>
    <row r="201" spans="1:3" x14ac:dyDescent="0.35">
      <c r="A201" t="s">
        <v>2571</v>
      </c>
      <c r="C201" t="s">
        <v>2313</v>
      </c>
    </row>
    <row r="202" spans="1:3" x14ac:dyDescent="0.35">
      <c r="A202" t="s">
        <v>2572</v>
      </c>
      <c r="C202" t="s">
        <v>2313</v>
      </c>
    </row>
    <row r="203" spans="1:3" x14ac:dyDescent="0.35">
      <c r="A203" t="s">
        <v>2573</v>
      </c>
      <c r="C203" t="s">
        <v>2313</v>
      </c>
    </row>
    <row r="204" spans="1:3" x14ac:dyDescent="0.35">
      <c r="A204" t="s">
        <v>2574</v>
      </c>
      <c r="C204" t="s">
        <v>2313</v>
      </c>
    </row>
    <row r="205" spans="1:3" x14ac:dyDescent="0.35">
      <c r="A205" t="s">
        <v>2575</v>
      </c>
      <c r="C205" t="s">
        <v>2313</v>
      </c>
    </row>
    <row r="206" spans="1:3" x14ac:dyDescent="0.35">
      <c r="A206" t="s">
        <v>2576</v>
      </c>
      <c r="C206" t="s">
        <v>2313</v>
      </c>
    </row>
    <row r="207" spans="1:3" x14ac:dyDescent="0.35">
      <c r="A207" t="s">
        <v>2577</v>
      </c>
      <c r="C207" t="s">
        <v>2313</v>
      </c>
    </row>
    <row r="208" spans="1:3" x14ac:dyDescent="0.35">
      <c r="A208" t="s">
        <v>2578</v>
      </c>
      <c r="C208" t="s">
        <v>2313</v>
      </c>
    </row>
    <row r="209" spans="1:3" x14ac:dyDescent="0.35">
      <c r="A209" t="s">
        <v>2579</v>
      </c>
      <c r="C209" t="s">
        <v>2313</v>
      </c>
    </row>
    <row r="210" spans="1:3" x14ac:dyDescent="0.35">
      <c r="A210" t="s">
        <v>2580</v>
      </c>
      <c r="C210" t="s">
        <v>2313</v>
      </c>
    </row>
    <row r="211" spans="1:3" x14ac:dyDescent="0.35">
      <c r="A211" t="s">
        <v>2581</v>
      </c>
      <c r="C211" t="s">
        <v>2313</v>
      </c>
    </row>
    <row r="212" spans="1:3" x14ac:dyDescent="0.35">
      <c r="A212" t="s">
        <v>2582</v>
      </c>
      <c r="C212" t="s">
        <v>2313</v>
      </c>
    </row>
    <row r="213" spans="1:3" x14ac:dyDescent="0.35">
      <c r="A213" t="s">
        <v>2583</v>
      </c>
      <c r="C213" t="s">
        <v>2313</v>
      </c>
    </row>
    <row r="214" spans="1:3" x14ac:dyDescent="0.35">
      <c r="A214" t="s">
        <v>2584</v>
      </c>
      <c r="C214" t="s">
        <v>2313</v>
      </c>
    </row>
    <row r="215" spans="1:3" x14ac:dyDescent="0.35">
      <c r="A215" t="s">
        <v>2585</v>
      </c>
      <c r="C215" t="s">
        <v>2313</v>
      </c>
    </row>
    <row r="216" spans="1:3" x14ac:dyDescent="0.35">
      <c r="A216" t="s">
        <v>2586</v>
      </c>
      <c r="C216" t="s">
        <v>2313</v>
      </c>
    </row>
    <row r="217" spans="1:3" x14ac:dyDescent="0.35">
      <c r="A217" t="s">
        <v>2587</v>
      </c>
      <c r="C217" t="s">
        <v>2313</v>
      </c>
    </row>
    <row r="218" spans="1:3" x14ac:dyDescent="0.35">
      <c r="A218" t="s">
        <v>2588</v>
      </c>
      <c r="C218" t="s">
        <v>2313</v>
      </c>
    </row>
    <row r="219" spans="1:3" x14ac:dyDescent="0.35">
      <c r="A219" t="s">
        <v>2589</v>
      </c>
      <c r="C219" t="s">
        <v>2313</v>
      </c>
    </row>
    <row r="220" spans="1:3" x14ac:dyDescent="0.35">
      <c r="A220" t="s">
        <v>2590</v>
      </c>
      <c r="C220" t="s">
        <v>2313</v>
      </c>
    </row>
    <row r="221" spans="1:3" x14ac:dyDescent="0.35">
      <c r="A221" t="s">
        <v>2591</v>
      </c>
      <c r="C221" t="s">
        <v>2313</v>
      </c>
    </row>
    <row r="222" spans="1:3" x14ac:dyDescent="0.35">
      <c r="A222" t="s">
        <v>2592</v>
      </c>
      <c r="C222" t="s">
        <v>2313</v>
      </c>
    </row>
    <row r="223" spans="1:3" x14ac:dyDescent="0.35">
      <c r="A223" t="s">
        <v>2593</v>
      </c>
      <c r="C223" t="s">
        <v>2313</v>
      </c>
    </row>
    <row r="224" spans="1:3" x14ac:dyDescent="0.35">
      <c r="A224" t="s">
        <v>2594</v>
      </c>
      <c r="C224" t="s">
        <v>2313</v>
      </c>
    </row>
    <row r="225" spans="1:3" x14ac:dyDescent="0.35">
      <c r="A225" t="s">
        <v>2595</v>
      </c>
      <c r="C225" t="s">
        <v>2313</v>
      </c>
    </row>
    <row r="226" spans="1:3" x14ac:dyDescent="0.35">
      <c r="A226" t="s">
        <v>2596</v>
      </c>
      <c r="C226" t="s">
        <v>2313</v>
      </c>
    </row>
    <row r="227" spans="1:3" x14ac:dyDescent="0.35">
      <c r="A227" t="s">
        <v>2597</v>
      </c>
      <c r="C227" t="s">
        <v>2313</v>
      </c>
    </row>
    <row r="228" spans="1:3" x14ac:dyDescent="0.35">
      <c r="A228" t="s">
        <v>2598</v>
      </c>
      <c r="C228" t="s">
        <v>2313</v>
      </c>
    </row>
    <row r="229" spans="1:3" x14ac:dyDescent="0.35">
      <c r="A229" t="s">
        <v>2599</v>
      </c>
      <c r="C229" t="s">
        <v>2313</v>
      </c>
    </row>
    <row r="230" spans="1:3" x14ac:dyDescent="0.35">
      <c r="A230" t="s">
        <v>2600</v>
      </c>
      <c r="C230" t="s">
        <v>2313</v>
      </c>
    </row>
    <row r="231" spans="1:3" x14ac:dyDescent="0.35">
      <c r="A231" t="s">
        <v>2601</v>
      </c>
      <c r="C231" t="s">
        <v>2313</v>
      </c>
    </row>
    <row r="232" spans="1:3" x14ac:dyDescent="0.35">
      <c r="A232" t="s">
        <v>2602</v>
      </c>
      <c r="C232" t="s">
        <v>2313</v>
      </c>
    </row>
    <row r="233" spans="1:3" x14ac:dyDescent="0.35">
      <c r="A233" t="s">
        <v>2603</v>
      </c>
      <c r="C233" t="s">
        <v>2313</v>
      </c>
    </row>
    <row r="234" spans="1:3" x14ac:dyDescent="0.35">
      <c r="A234" t="s">
        <v>2604</v>
      </c>
      <c r="C234" t="s">
        <v>2313</v>
      </c>
    </row>
    <row r="235" spans="1:3" x14ac:dyDescent="0.35">
      <c r="A235" t="s">
        <v>2605</v>
      </c>
      <c r="C235" t="s">
        <v>2313</v>
      </c>
    </row>
    <row r="236" spans="1:3" x14ac:dyDescent="0.35">
      <c r="A236" t="s">
        <v>2606</v>
      </c>
      <c r="C236" t="s">
        <v>2313</v>
      </c>
    </row>
    <row r="237" spans="1:3" x14ac:dyDescent="0.35">
      <c r="A237" t="s">
        <v>2607</v>
      </c>
      <c r="C237" t="s">
        <v>2313</v>
      </c>
    </row>
    <row r="238" spans="1:3" x14ac:dyDescent="0.35">
      <c r="A238" t="s">
        <v>2608</v>
      </c>
      <c r="C238" t="s">
        <v>2313</v>
      </c>
    </row>
    <row r="239" spans="1:3" x14ac:dyDescent="0.35">
      <c r="A239" t="s">
        <v>2609</v>
      </c>
      <c r="C239" t="s">
        <v>2313</v>
      </c>
    </row>
    <row r="240" spans="1:3" x14ac:dyDescent="0.35">
      <c r="A240" t="s">
        <v>2610</v>
      </c>
      <c r="C240" t="s">
        <v>2313</v>
      </c>
    </row>
    <row r="241" spans="1:3" x14ac:dyDescent="0.35">
      <c r="A241" t="s">
        <v>2611</v>
      </c>
      <c r="C241" t="s">
        <v>2313</v>
      </c>
    </row>
    <row r="242" spans="1:3" x14ac:dyDescent="0.35">
      <c r="A242" t="s">
        <v>2612</v>
      </c>
    </row>
    <row r="243" spans="1:3" x14ac:dyDescent="0.35">
      <c r="A243" t="s">
        <v>2613</v>
      </c>
    </row>
    <row r="244" spans="1:3" x14ac:dyDescent="0.35">
      <c r="A244" t="s">
        <v>2614</v>
      </c>
    </row>
    <row r="245" spans="1:3" x14ac:dyDescent="0.35">
      <c r="A245" t="s">
        <v>2615</v>
      </c>
    </row>
    <row r="246" spans="1:3" x14ac:dyDescent="0.35">
      <c r="A246" t="s">
        <v>2616</v>
      </c>
    </row>
    <row r="247" spans="1:3" x14ac:dyDescent="0.35">
      <c r="A247" t="s">
        <v>2617</v>
      </c>
    </row>
    <row r="248" spans="1:3" x14ac:dyDescent="0.35">
      <c r="A248" t="s">
        <v>2618</v>
      </c>
    </row>
    <row r="249" spans="1:3" x14ac:dyDescent="0.35">
      <c r="A249" t="s">
        <v>2619</v>
      </c>
    </row>
    <row r="250" spans="1:3" x14ac:dyDescent="0.35">
      <c r="A250" t="s">
        <v>2620</v>
      </c>
    </row>
    <row r="251" spans="1:3" x14ac:dyDescent="0.35">
      <c r="A251" t="s">
        <v>2621</v>
      </c>
    </row>
    <row r="252" spans="1:3" x14ac:dyDescent="0.35">
      <c r="A252" t="s">
        <v>2622</v>
      </c>
    </row>
    <row r="253" spans="1:3" x14ac:dyDescent="0.35">
      <c r="A253" t="s">
        <v>2623</v>
      </c>
    </row>
    <row r="254" spans="1:3" x14ac:dyDescent="0.35">
      <c r="A254" t="s">
        <v>2624</v>
      </c>
    </row>
    <row r="255" spans="1:3" x14ac:dyDescent="0.35">
      <c r="A255" t="s">
        <v>2625</v>
      </c>
    </row>
    <row r="256" spans="1:3" x14ac:dyDescent="0.35">
      <c r="A256" t="s">
        <v>2626</v>
      </c>
    </row>
    <row r="257" spans="1:1" x14ac:dyDescent="0.35">
      <c r="A257" t="s">
        <v>2627</v>
      </c>
    </row>
    <row r="258" spans="1:1" x14ac:dyDescent="0.35">
      <c r="A258" t="s">
        <v>2628</v>
      </c>
    </row>
    <row r="259" spans="1:1" x14ac:dyDescent="0.35">
      <c r="A259" t="s">
        <v>2629</v>
      </c>
    </row>
    <row r="260" spans="1:1" x14ac:dyDescent="0.35">
      <c r="A260" t="s">
        <v>1431</v>
      </c>
    </row>
    <row r="261" spans="1:1" x14ac:dyDescent="0.35">
      <c r="A261" t="s">
        <v>1432</v>
      </c>
    </row>
    <row r="262" spans="1:1" x14ac:dyDescent="0.35">
      <c r="A262" t="s">
        <v>1433</v>
      </c>
    </row>
    <row r="263" spans="1:1" x14ac:dyDescent="0.35">
      <c r="A263" t="s">
        <v>1434</v>
      </c>
    </row>
    <row r="264" spans="1:1" x14ac:dyDescent="0.35">
      <c r="A264" t="s">
        <v>1435</v>
      </c>
    </row>
    <row r="265" spans="1:1" x14ac:dyDescent="0.35">
      <c r="A265" t="s">
        <v>1436</v>
      </c>
    </row>
    <row r="266" spans="1:1" x14ac:dyDescent="0.35">
      <c r="A266" t="s">
        <v>1437</v>
      </c>
    </row>
    <row r="267" spans="1:1" x14ac:dyDescent="0.35">
      <c r="A267" t="s">
        <v>1438</v>
      </c>
    </row>
    <row r="268" spans="1:1" x14ac:dyDescent="0.35">
      <c r="A268" t="s">
        <v>1439</v>
      </c>
    </row>
    <row r="269" spans="1:1" x14ac:dyDescent="0.35">
      <c r="A269" t="s">
        <v>3450</v>
      </c>
    </row>
    <row r="270" spans="1:1" x14ac:dyDescent="0.35">
      <c r="A270" t="s">
        <v>864</v>
      </c>
    </row>
    <row r="271" spans="1:1" x14ac:dyDescent="0.35">
      <c r="A271" t="s">
        <v>873</v>
      </c>
    </row>
    <row r="272" spans="1:1" x14ac:dyDescent="0.35">
      <c r="A272" t="s">
        <v>874</v>
      </c>
    </row>
    <row r="273" spans="1:1" x14ac:dyDescent="0.35">
      <c r="A273" t="s">
        <v>875</v>
      </c>
    </row>
    <row r="274" spans="1:1" x14ac:dyDescent="0.35">
      <c r="A274" t="s">
        <v>876</v>
      </c>
    </row>
    <row r="275" spans="1:1" x14ac:dyDescent="0.35">
      <c r="A275" t="s">
        <v>877</v>
      </c>
    </row>
    <row r="276" spans="1:1" x14ac:dyDescent="0.35">
      <c r="A276" t="s">
        <v>878</v>
      </c>
    </row>
    <row r="277" spans="1:1" x14ac:dyDescent="0.35">
      <c r="A277" t="s">
        <v>879</v>
      </c>
    </row>
    <row r="278" spans="1:1" x14ac:dyDescent="0.35">
      <c r="A278" t="s">
        <v>3451</v>
      </c>
    </row>
    <row r="279" spans="1:1" x14ac:dyDescent="0.35">
      <c r="A279" t="s">
        <v>3452</v>
      </c>
    </row>
    <row r="280" spans="1:1" x14ac:dyDescent="0.35">
      <c r="A280" t="s">
        <v>3453</v>
      </c>
    </row>
    <row r="281" spans="1:1" x14ac:dyDescent="0.35">
      <c r="A281" t="s">
        <v>3454</v>
      </c>
    </row>
    <row r="282" spans="1:1" x14ac:dyDescent="0.35">
      <c r="A282" t="s">
        <v>3455</v>
      </c>
    </row>
    <row r="283" spans="1:1" x14ac:dyDescent="0.35">
      <c r="A283" t="s">
        <v>3456</v>
      </c>
    </row>
    <row r="284" spans="1:1" x14ac:dyDescent="0.35">
      <c r="A284" t="s">
        <v>860</v>
      </c>
    </row>
    <row r="285" spans="1:1" x14ac:dyDescent="0.35">
      <c r="A285" t="s">
        <v>861</v>
      </c>
    </row>
    <row r="286" spans="1:1" x14ac:dyDescent="0.35">
      <c r="A286" t="s">
        <v>862</v>
      </c>
    </row>
    <row r="287" spans="1:1" x14ac:dyDescent="0.35">
      <c r="A287" t="s">
        <v>863</v>
      </c>
    </row>
    <row r="288" spans="1:1" x14ac:dyDescent="0.35">
      <c r="A288" t="s">
        <v>865</v>
      </c>
    </row>
    <row r="289" spans="1:1" x14ac:dyDescent="0.35">
      <c r="A289" t="s">
        <v>866</v>
      </c>
    </row>
    <row r="290" spans="1:1" x14ac:dyDescent="0.35">
      <c r="A290" t="s">
        <v>867</v>
      </c>
    </row>
    <row r="291" spans="1:1" x14ac:dyDescent="0.35">
      <c r="A291" t="s">
        <v>868</v>
      </c>
    </row>
    <row r="292" spans="1:1" x14ac:dyDescent="0.35">
      <c r="A292" t="s">
        <v>869</v>
      </c>
    </row>
    <row r="293" spans="1:1" x14ac:dyDescent="0.35">
      <c r="A293" t="s">
        <v>870</v>
      </c>
    </row>
    <row r="294" spans="1:1" x14ac:dyDescent="0.35">
      <c r="A294" t="s">
        <v>871</v>
      </c>
    </row>
    <row r="295" spans="1:1" x14ac:dyDescent="0.35">
      <c r="A295" t="s">
        <v>872</v>
      </c>
    </row>
    <row r="296" spans="1:1" x14ac:dyDescent="0.35">
      <c r="A296" t="s">
        <v>1037</v>
      </c>
    </row>
    <row r="297" spans="1:1" x14ac:dyDescent="0.35">
      <c r="A297" t="s">
        <v>1047</v>
      </c>
    </row>
    <row r="298" spans="1:1" x14ac:dyDescent="0.35">
      <c r="A298" t="s">
        <v>1048</v>
      </c>
    </row>
    <row r="299" spans="1:1" x14ac:dyDescent="0.35">
      <c r="A299" t="s">
        <v>1049</v>
      </c>
    </row>
    <row r="300" spans="1:1" x14ac:dyDescent="0.35">
      <c r="A300" t="s">
        <v>1050</v>
      </c>
    </row>
    <row r="301" spans="1:1" x14ac:dyDescent="0.35">
      <c r="A301" t="s">
        <v>1051</v>
      </c>
    </row>
    <row r="302" spans="1:1" x14ac:dyDescent="0.35">
      <c r="A302" t="s">
        <v>1052</v>
      </c>
    </row>
    <row r="303" spans="1:1" x14ac:dyDescent="0.35">
      <c r="A303" t="s">
        <v>1053</v>
      </c>
    </row>
    <row r="304" spans="1:1" x14ac:dyDescent="0.35">
      <c r="A304" t="s">
        <v>1054</v>
      </c>
    </row>
    <row r="305" spans="1:1" x14ac:dyDescent="0.35">
      <c r="A305" t="s">
        <v>1038</v>
      </c>
    </row>
    <row r="306" spans="1:1" x14ac:dyDescent="0.35">
      <c r="A306" t="s">
        <v>1039</v>
      </c>
    </row>
    <row r="307" spans="1:1" x14ac:dyDescent="0.35">
      <c r="A307" t="s">
        <v>1040</v>
      </c>
    </row>
    <row r="308" spans="1:1" x14ac:dyDescent="0.35">
      <c r="A308" t="s">
        <v>1041</v>
      </c>
    </row>
    <row r="309" spans="1:1" x14ac:dyDescent="0.35">
      <c r="A309" t="s">
        <v>1042</v>
      </c>
    </row>
    <row r="310" spans="1:1" x14ac:dyDescent="0.35">
      <c r="A310" t="s">
        <v>1043</v>
      </c>
    </row>
    <row r="311" spans="1:1" x14ac:dyDescent="0.35">
      <c r="A311" t="s">
        <v>1044</v>
      </c>
    </row>
    <row r="312" spans="1:1" x14ac:dyDescent="0.35">
      <c r="A312" t="s">
        <v>1045</v>
      </c>
    </row>
    <row r="313" spans="1:1" x14ac:dyDescent="0.35">
      <c r="A313" t="s">
        <v>1046</v>
      </c>
    </row>
    <row r="314" spans="1:1" x14ac:dyDescent="0.35">
      <c r="A314" t="s">
        <v>880</v>
      </c>
    </row>
    <row r="315" spans="1:1" x14ac:dyDescent="0.35">
      <c r="A315" t="s">
        <v>881</v>
      </c>
    </row>
    <row r="316" spans="1:1" x14ac:dyDescent="0.35">
      <c r="A316" t="s">
        <v>882</v>
      </c>
    </row>
    <row r="317" spans="1:1" x14ac:dyDescent="0.35">
      <c r="A317" t="s">
        <v>883</v>
      </c>
    </row>
    <row r="318" spans="1:1" x14ac:dyDescent="0.35">
      <c r="A318" t="s">
        <v>884</v>
      </c>
    </row>
    <row r="319" spans="1:1" x14ac:dyDescent="0.35">
      <c r="A319" t="s">
        <v>885</v>
      </c>
    </row>
    <row r="320" spans="1:1" x14ac:dyDescent="0.35">
      <c r="A320" t="s">
        <v>886</v>
      </c>
    </row>
    <row r="321" spans="1:1" x14ac:dyDescent="0.35">
      <c r="A321" t="s">
        <v>887</v>
      </c>
    </row>
    <row r="322" spans="1:1" x14ac:dyDescent="0.35">
      <c r="A322" t="s">
        <v>2395</v>
      </c>
    </row>
    <row r="323" spans="1:1" x14ac:dyDescent="0.35">
      <c r="A323" t="s">
        <v>0</v>
      </c>
    </row>
    <row r="324" spans="1:1" x14ac:dyDescent="0.35">
      <c r="A324" t="s">
        <v>10</v>
      </c>
    </row>
    <row r="325" spans="1:1" x14ac:dyDescent="0.35">
      <c r="A325" t="s">
        <v>11</v>
      </c>
    </row>
    <row r="326" spans="1:1" x14ac:dyDescent="0.35">
      <c r="A326" t="s">
        <v>12</v>
      </c>
    </row>
    <row r="327" spans="1:1" x14ac:dyDescent="0.35">
      <c r="A327" t="s">
        <v>13</v>
      </c>
    </row>
    <row r="328" spans="1:1" x14ac:dyDescent="0.35">
      <c r="A328" t="s">
        <v>14</v>
      </c>
    </row>
    <row r="329" spans="1:1" x14ac:dyDescent="0.35">
      <c r="A329" t="s">
        <v>15</v>
      </c>
    </row>
    <row r="330" spans="1:1" x14ac:dyDescent="0.35">
      <c r="A330" t="s">
        <v>16</v>
      </c>
    </row>
    <row r="331" spans="1:1" x14ac:dyDescent="0.35">
      <c r="A331" t="s">
        <v>17</v>
      </c>
    </row>
    <row r="332" spans="1:1" x14ac:dyDescent="0.35">
      <c r="A332" t="s">
        <v>1</v>
      </c>
    </row>
    <row r="333" spans="1:1" x14ac:dyDescent="0.35">
      <c r="A333" t="s">
        <v>2</v>
      </c>
    </row>
    <row r="334" spans="1:1" x14ac:dyDescent="0.35">
      <c r="A334" t="s">
        <v>3</v>
      </c>
    </row>
    <row r="335" spans="1:1" x14ac:dyDescent="0.35">
      <c r="A335" t="s">
        <v>4</v>
      </c>
    </row>
    <row r="336" spans="1:1" x14ac:dyDescent="0.35">
      <c r="A336" t="s">
        <v>5</v>
      </c>
    </row>
    <row r="337" spans="1:2" x14ac:dyDescent="0.35">
      <c r="A337" t="s">
        <v>6</v>
      </c>
    </row>
    <row r="338" spans="1:2" x14ac:dyDescent="0.35">
      <c r="A338" t="s">
        <v>7</v>
      </c>
    </row>
    <row r="339" spans="1:2" x14ac:dyDescent="0.35">
      <c r="A339" t="s">
        <v>8</v>
      </c>
    </row>
    <row r="340" spans="1:2" x14ac:dyDescent="0.35">
      <c r="A340" t="s">
        <v>9</v>
      </c>
    </row>
    <row r="341" spans="1:2" x14ac:dyDescent="0.35">
      <c r="A341" t="s">
        <v>2396</v>
      </c>
    </row>
    <row r="342" spans="1:2" x14ac:dyDescent="0.35">
      <c r="A342" t="s">
        <v>2397</v>
      </c>
    </row>
    <row r="343" spans="1:2" x14ac:dyDescent="0.35">
      <c r="A343" t="s">
        <v>2398</v>
      </c>
    </row>
    <row r="344" spans="1:2" x14ac:dyDescent="0.35">
      <c r="A344" t="s">
        <v>2399</v>
      </c>
    </row>
    <row r="345" spans="1:2" x14ac:dyDescent="0.35">
      <c r="A345" t="s">
        <v>2400</v>
      </c>
    </row>
    <row r="346" spans="1:2" x14ac:dyDescent="0.35">
      <c r="A346" t="s">
        <v>2401</v>
      </c>
    </row>
    <row r="347" spans="1:2" x14ac:dyDescent="0.35">
      <c r="A347" t="s">
        <v>2402</v>
      </c>
    </row>
    <row r="348" spans="1:2" x14ac:dyDescent="0.35">
      <c r="A348" t="s">
        <v>2403</v>
      </c>
    </row>
    <row r="349" spans="1:2" x14ac:dyDescent="0.35">
      <c r="A349" t="s">
        <v>2404</v>
      </c>
    </row>
    <row r="350" spans="1:2" x14ac:dyDescent="0.35">
      <c r="A350" t="s">
        <v>1341</v>
      </c>
      <c r="B350">
        <v>70</v>
      </c>
    </row>
    <row r="351" spans="1:2" x14ac:dyDescent="0.35">
      <c r="A351" t="s">
        <v>3378</v>
      </c>
      <c r="B351">
        <v>0</v>
      </c>
    </row>
    <row r="352" spans="1:2" x14ac:dyDescent="0.35">
      <c r="A352" t="s">
        <v>451</v>
      </c>
      <c r="B352">
        <v>5</v>
      </c>
    </row>
    <row r="353" spans="1:2" x14ac:dyDescent="0.35">
      <c r="A353" t="s">
        <v>452</v>
      </c>
    </row>
    <row r="354" spans="1:2" x14ac:dyDescent="0.35">
      <c r="A354" t="s">
        <v>1728</v>
      </c>
    </row>
    <row r="355" spans="1:2" x14ac:dyDescent="0.35">
      <c r="A355" t="s">
        <v>1603</v>
      </c>
    </row>
    <row r="356" spans="1:2" x14ac:dyDescent="0.35">
      <c r="A356" t="s">
        <v>1604</v>
      </c>
    </row>
    <row r="357" spans="1:2" x14ac:dyDescent="0.35">
      <c r="A357" t="s">
        <v>1605</v>
      </c>
    </row>
    <row r="358" spans="1:2" x14ac:dyDescent="0.35">
      <c r="A358" t="s">
        <v>725</v>
      </c>
    </row>
    <row r="359" spans="1:2" x14ac:dyDescent="0.35">
      <c r="A359" t="s">
        <v>726</v>
      </c>
    </row>
    <row r="360" spans="1:2" x14ac:dyDescent="0.35">
      <c r="A360" t="s">
        <v>727</v>
      </c>
    </row>
    <row r="361" spans="1:2" x14ac:dyDescent="0.35">
      <c r="A361" t="s">
        <v>3299</v>
      </c>
    </row>
    <row r="362" spans="1:2" x14ac:dyDescent="0.35">
      <c r="A362" t="s">
        <v>3300</v>
      </c>
    </row>
    <row r="363" spans="1:2" x14ac:dyDescent="0.35">
      <c r="A363" t="s">
        <v>3301</v>
      </c>
      <c r="B363">
        <v>10</v>
      </c>
    </row>
    <row r="364" spans="1:2" x14ac:dyDescent="0.35">
      <c r="A364" t="s">
        <v>3302</v>
      </c>
    </row>
    <row r="365" spans="1:2" x14ac:dyDescent="0.35">
      <c r="A365" t="s">
        <v>3303</v>
      </c>
      <c r="B365">
        <v>7</v>
      </c>
    </row>
    <row r="366" spans="1:2" x14ac:dyDescent="0.35">
      <c r="A366" t="s">
        <v>2529</v>
      </c>
    </row>
    <row r="367" spans="1:2" x14ac:dyDescent="0.35">
      <c r="A367" t="s">
        <v>2530</v>
      </c>
    </row>
    <row r="368" spans="1:2" x14ac:dyDescent="0.35">
      <c r="A368" t="s">
        <v>2531</v>
      </c>
    </row>
    <row r="369" spans="1:2" x14ac:dyDescent="0.35">
      <c r="A369" t="s">
        <v>2532</v>
      </c>
    </row>
    <row r="370" spans="1:2" x14ac:dyDescent="0.35">
      <c r="A370" t="s">
        <v>2871</v>
      </c>
    </row>
    <row r="371" spans="1:2" x14ac:dyDescent="0.35">
      <c r="A371" t="s">
        <v>2872</v>
      </c>
    </row>
    <row r="372" spans="1:2" x14ac:dyDescent="0.35">
      <c r="A372" t="s">
        <v>1642</v>
      </c>
    </row>
    <row r="373" spans="1:2" x14ac:dyDescent="0.35">
      <c r="A373" t="s">
        <v>1643</v>
      </c>
    </row>
    <row r="374" spans="1:2" x14ac:dyDescent="0.35">
      <c r="A374" t="s">
        <v>1644</v>
      </c>
    </row>
    <row r="375" spans="1:2" x14ac:dyDescent="0.35">
      <c r="A375" t="s">
        <v>1645</v>
      </c>
    </row>
    <row r="376" spans="1:2" x14ac:dyDescent="0.35">
      <c r="A376" t="s">
        <v>1646</v>
      </c>
    </row>
    <row r="377" spans="1:2" x14ac:dyDescent="0.35">
      <c r="A377" t="s">
        <v>1647</v>
      </c>
    </row>
    <row r="378" spans="1:2" x14ac:dyDescent="0.35">
      <c r="A378" t="s">
        <v>3304</v>
      </c>
    </row>
    <row r="379" spans="1:2" x14ac:dyDescent="0.35">
      <c r="A379" t="s">
        <v>3305</v>
      </c>
    </row>
    <row r="380" spans="1:2" x14ac:dyDescent="0.35">
      <c r="A380" t="s">
        <v>3306</v>
      </c>
    </row>
    <row r="381" spans="1:2" x14ac:dyDescent="0.35">
      <c r="A381" t="s">
        <v>3307</v>
      </c>
    </row>
    <row r="382" spans="1:2" x14ac:dyDescent="0.35">
      <c r="A382" t="s">
        <v>2245</v>
      </c>
    </row>
    <row r="383" spans="1:2" x14ac:dyDescent="0.35">
      <c r="A383" t="s">
        <v>2246</v>
      </c>
      <c r="B383">
        <v>0</v>
      </c>
    </row>
    <row r="384" spans="1:2" x14ac:dyDescent="0.35">
      <c r="A384" t="s">
        <v>2247</v>
      </c>
    </row>
    <row r="385" spans="1:2" x14ac:dyDescent="0.35">
      <c r="A385" t="s">
        <v>4180</v>
      </c>
    </row>
    <row r="386" spans="1:2" x14ac:dyDescent="0.35">
      <c r="A386" t="s">
        <v>1740</v>
      </c>
      <c r="B386">
        <v>0</v>
      </c>
    </row>
    <row r="387" spans="1:2" x14ac:dyDescent="0.35">
      <c r="A387" t="s">
        <v>1741</v>
      </c>
    </row>
    <row r="388" spans="1:2" x14ac:dyDescent="0.35">
      <c r="A388" t="s">
        <v>1742</v>
      </c>
    </row>
    <row r="389" spans="1:2" x14ac:dyDescent="0.35">
      <c r="A389" t="s">
        <v>3843</v>
      </c>
    </row>
    <row r="390" spans="1:2" x14ac:dyDescent="0.35">
      <c r="A390" t="s">
        <v>3844</v>
      </c>
    </row>
    <row r="391" spans="1:2" x14ac:dyDescent="0.35">
      <c r="A391" t="s">
        <v>3845</v>
      </c>
    </row>
    <row r="392" spans="1:2" x14ac:dyDescent="0.35">
      <c r="A392" t="s">
        <v>3846</v>
      </c>
      <c r="B392">
        <v>15</v>
      </c>
    </row>
    <row r="393" spans="1:2" x14ac:dyDescent="0.35">
      <c r="A393" t="s">
        <v>3847</v>
      </c>
      <c r="B393">
        <v>1</v>
      </c>
    </row>
    <row r="394" spans="1:2" x14ac:dyDescent="0.35">
      <c r="A394" t="s">
        <v>3848</v>
      </c>
    </row>
    <row r="395" spans="1:2" x14ac:dyDescent="0.35">
      <c r="A395" t="s">
        <v>3849</v>
      </c>
    </row>
    <row r="396" spans="1:2" x14ac:dyDescent="0.35">
      <c r="A396" t="s">
        <v>3850</v>
      </c>
    </row>
    <row r="397" spans="1:2" x14ac:dyDescent="0.35">
      <c r="A397" t="s">
        <v>3995</v>
      </c>
    </row>
    <row r="398" spans="1:2" x14ac:dyDescent="0.35">
      <c r="A398" t="s">
        <v>3996</v>
      </c>
    </row>
    <row r="399" spans="1:2" x14ac:dyDescent="0.35">
      <c r="A399" t="s">
        <v>3997</v>
      </c>
      <c r="B399">
        <v>17</v>
      </c>
    </row>
    <row r="400" spans="1:2" x14ac:dyDescent="0.35">
      <c r="A400" t="s">
        <v>3998</v>
      </c>
      <c r="B400">
        <v>1</v>
      </c>
    </row>
    <row r="401" spans="1:2" x14ac:dyDescent="0.35">
      <c r="A401" t="s">
        <v>3999</v>
      </c>
      <c r="B401">
        <v>1</v>
      </c>
    </row>
    <row r="402" spans="1:2" x14ac:dyDescent="0.35">
      <c r="A402" t="s">
        <v>4000</v>
      </c>
      <c r="B402">
        <v>1</v>
      </c>
    </row>
    <row r="403" spans="1:2" x14ac:dyDescent="0.35">
      <c r="A403" t="s">
        <v>4001</v>
      </c>
      <c r="B403">
        <v>1</v>
      </c>
    </row>
    <row r="404" spans="1:2" x14ac:dyDescent="0.35">
      <c r="A404" t="s">
        <v>2299</v>
      </c>
      <c r="B404">
        <v>1</v>
      </c>
    </row>
    <row r="405" spans="1:2" x14ac:dyDescent="0.35">
      <c r="A405" t="s">
        <v>2300</v>
      </c>
      <c r="B405">
        <v>1</v>
      </c>
    </row>
    <row r="406" spans="1:2" x14ac:dyDescent="0.35">
      <c r="A406" t="s">
        <v>2301</v>
      </c>
      <c r="B406">
        <v>1</v>
      </c>
    </row>
    <row r="407" spans="1:2" x14ac:dyDescent="0.35">
      <c r="A407" t="s">
        <v>2302</v>
      </c>
    </row>
    <row r="408" spans="1:2" x14ac:dyDescent="0.35">
      <c r="A408" t="s">
        <v>2303</v>
      </c>
    </row>
    <row r="409" spans="1:2" x14ac:dyDescent="0.35">
      <c r="A409" t="s">
        <v>2304</v>
      </c>
    </row>
    <row r="410" spans="1:2" x14ac:dyDescent="0.35">
      <c r="A410" t="s">
        <v>2305</v>
      </c>
    </row>
    <row r="411" spans="1:2" x14ac:dyDescent="0.35">
      <c r="A411" t="s">
        <v>2306</v>
      </c>
    </row>
    <row r="412" spans="1:2" x14ac:dyDescent="0.35">
      <c r="A412" t="s">
        <v>2307</v>
      </c>
    </row>
    <row r="413" spans="1:2" x14ac:dyDescent="0.35">
      <c r="A413" t="s">
        <v>2308</v>
      </c>
      <c r="B413">
        <v>50</v>
      </c>
    </row>
    <row r="414" spans="1:2" x14ac:dyDescent="0.35">
      <c r="A414" t="s">
        <v>2309</v>
      </c>
      <c r="B414">
        <v>50</v>
      </c>
    </row>
    <row r="415" spans="1:2" x14ac:dyDescent="0.35">
      <c r="A415" t="s">
        <v>2331</v>
      </c>
      <c r="B415">
        <v>50</v>
      </c>
    </row>
    <row r="416" spans="1:2" x14ac:dyDescent="0.35">
      <c r="A416" t="s">
        <v>4163</v>
      </c>
      <c r="B416">
        <v>50</v>
      </c>
    </row>
    <row r="417" spans="1:2" x14ac:dyDescent="0.35">
      <c r="A417" t="s">
        <v>4164</v>
      </c>
      <c r="B417">
        <v>50</v>
      </c>
    </row>
    <row r="418" spans="1:2" x14ac:dyDescent="0.35">
      <c r="A418" t="s">
        <v>672</v>
      </c>
      <c r="B418">
        <v>50</v>
      </c>
    </row>
    <row r="419" spans="1:2" x14ac:dyDescent="0.35">
      <c r="A419" t="s">
        <v>673</v>
      </c>
      <c r="B419">
        <v>50</v>
      </c>
    </row>
    <row r="420" spans="1:2" x14ac:dyDescent="0.35">
      <c r="A420" t="s">
        <v>3185</v>
      </c>
      <c r="B420">
        <v>50</v>
      </c>
    </row>
    <row r="421" spans="1:2" x14ac:dyDescent="0.35">
      <c r="A421" t="s">
        <v>116</v>
      </c>
    </row>
    <row r="422" spans="1:2" x14ac:dyDescent="0.35">
      <c r="A422" t="s">
        <v>117</v>
      </c>
      <c r="B422">
        <v>50</v>
      </c>
    </row>
    <row r="423" spans="1:2" x14ac:dyDescent="0.35">
      <c r="A423" t="s">
        <v>118</v>
      </c>
    </row>
    <row r="424" spans="1:2" x14ac:dyDescent="0.35">
      <c r="A424" t="s">
        <v>2710</v>
      </c>
      <c r="B424">
        <v>50</v>
      </c>
    </row>
    <row r="425" spans="1:2" x14ac:dyDescent="0.35">
      <c r="A425" t="s">
        <v>112</v>
      </c>
    </row>
    <row r="426" spans="1:2" x14ac:dyDescent="0.35">
      <c r="A426" t="s">
        <v>113</v>
      </c>
      <c r="B426">
        <v>50</v>
      </c>
    </row>
    <row r="427" spans="1:2" x14ac:dyDescent="0.35">
      <c r="A427" t="s">
        <v>114</v>
      </c>
      <c r="B427">
        <v>50</v>
      </c>
    </row>
    <row r="428" spans="1:2" x14ac:dyDescent="0.35">
      <c r="A428" t="s">
        <v>115</v>
      </c>
      <c r="B428">
        <v>50</v>
      </c>
    </row>
    <row r="429" spans="1:2" x14ac:dyDescent="0.35">
      <c r="A429" t="s">
        <v>2711</v>
      </c>
      <c r="B429">
        <v>1</v>
      </c>
    </row>
    <row r="430" spans="1:2" x14ac:dyDescent="0.35">
      <c r="A430" t="s">
        <v>2712</v>
      </c>
      <c r="B430">
        <v>50</v>
      </c>
    </row>
    <row r="431" spans="1:2" x14ac:dyDescent="0.35">
      <c r="A431" t="s">
        <v>4156</v>
      </c>
      <c r="B431">
        <v>50</v>
      </c>
    </row>
    <row r="432" spans="1:2" x14ac:dyDescent="0.35">
      <c r="A432" t="s">
        <v>2480</v>
      </c>
      <c r="B432">
        <v>50</v>
      </c>
    </row>
    <row r="433" spans="1:2" x14ac:dyDescent="0.35">
      <c r="A433" t="s">
        <v>2481</v>
      </c>
      <c r="B433">
        <v>50</v>
      </c>
    </row>
    <row r="434" spans="1:2" x14ac:dyDescent="0.35">
      <c r="A434" t="s">
        <v>2482</v>
      </c>
      <c r="B434">
        <v>50</v>
      </c>
    </row>
    <row r="435" spans="1:2" x14ac:dyDescent="0.35">
      <c r="A435" t="s">
        <v>3695</v>
      </c>
      <c r="B435">
        <v>50</v>
      </c>
    </row>
    <row r="436" spans="1:2" x14ac:dyDescent="0.35">
      <c r="A436" t="s">
        <v>3696</v>
      </c>
      <c r="B436">
        <v>1</v>
      </c>
    </row>
    <row r="437" spans="1:2" x14ac:dyDescent="0.35">
      <c r="A437" t="s">
        <v>3697</v>
      </c>
      <c r="B437">
        <v>4</v>
      </c>
    </row>
    <row r="438" spans="1:2" x14ac:dyDescent="0.35">
      <c r="A438" t="s">
        <v>3698</v>
      </c>
      <c r="B438">
        <v>4</v>
      </c>
    </row>
    <row r="439" spans="1:2" x14ac:dyDescent="0.35">
      <c r="A439" t="s">
        <v>3288</v>
      </c>
      <c r="B439">
        <v>4</v>
      </c>
    </row>
    <row r="440" spans="1:2" x14ac:dyDescent="0.35">
      <c r="A440" t="s">
        <v>3597</v>
      </c>
      <c r="B440">
        <v>4</v>
      </c>
    </row>
    <row r="441" spans="1:2" x14ac:dyDescent="0.35">
      <c r="A441" t="s">
        <v>3598</v>
      </c>
      <c r="B441">
        <v>4</v>
      </c>
    </row>
    <row r="442" spans="1:2" x14ac:dyDescent="0.35">
      <c r="A442" t="s">
        <v>3599</v>
      </c>
      <c r="B442">
        <v>4</v>
      </c>
    </row>
    <row r="443" spans="1:2" x14ac:dyDescent="0.35">
      <c r="A443" t="s">
        <v>3600</v>
      </c>
      <c r="B443">
        <v>1</v>
      </c>
    </row>
    <row r="444" spans="1:2" x14ac:dyDescent="0.35">
      <c r="A444" t="s">
        <v>3286</v>
      </c>
      <c r="B444">
        <v>4</v>
      </c>
    </row>
    <row r="445" spans="1:2" x14ac:dyDescent="0.35">
      <c r="A445" t="s">
        <v>3287</v>
      </c>
      <c r="B445">
        <v>4</v>
      </c>
    </row>
    <row r="446" spans="1:2" x14ac:dyDescent="0.35">
      <c r="A446" t="s">
        <v>3273</v>
      </c>
      <c r="B446">
        <v>4</v>
      </c>
    </row>
    <row r="447" spans="1:2" x14ac:dyDescent="0.35">
      <c r="A447" t="s">
        <v>3274</v>
      </c>
      <c r="B447">
        <v>4</v>
      </c>
    </row>
    <row r="448" spans="1:2" x14ac:dyDescent="0.35">
      <c r="A448" t="s">
        <v>3275</v>
      </c>
      <c r="B448">
        <v>4</v>
      </c>
    </row>
    <row r="449" spans="1:2" x14ac:dyDescent="0.35">
      <c r="A449" t="s">
        <v>3175</v>
      </c>
      <c r="B449">
        <v>4</v>
      </c>
    </row>
    <row r="450" spans="1:2" x14ac:dyDescent="0.35">
      <c r="A450" t="s">
        <v>3176</v>
      </c>
      <c r="B450">
        <v>4</v>
      </c>
    </row>
    <row r="451" spans="1:2" x14ac:dyDescent="0.35">
      <c r="A451" t="s">
        <v>3177</v>
      </c>
      <c r="B451">
        <v>15</v>
      </c>
    </row>
    <row r="452" spans="1:2" x14ac:dyDescent="0.35">
      <c r="A452" t="s">
        <v>3178</v>
      </c>
    </row>
    <row r="453" spans="1:2" x14ac:dyDescent="0.35">
      <c r="A453" t="s">
        <v>3179</v>
      </c>
    </row>
    <row r="454" spans="1:2" x14ac:dyDescent="0.35">
      <c r="A454" t="s">
        <v>3948</v>
      </c>
    </row>
    <row r="455" spans="1:2" x14ac:dyDescent="0.35">
      <c r="A455" t="s">
        <v>3949</v>
      </c>
    </row>
    <row r="456" spans="1:2" x14ac:dyDescent="0.35">
      <c r="A456" t="s">
        <v>3950</v>
      </c>
    </row>
    <row r="457" spans="1:2" x14ac:dyDescent="0.35">
      <c r="A457" t="s">
        <v>3951</v>
      </c>
    </row>
    <row r="458" spans="1:2" x14ac:dyDescent="0.35">
      <c r="A458" t="s">
        <v>3952</v>
      </c>
      <c r="B458">
        <v>10</v>
      </c>
    </row>
    <row r="459" spans="1:2" x14ac:dyDescent="0.35">
      <c r="A459" t="s">
        <v>3953</v>
      </c>
    </row>
    <row r="460" spans="1:2" x14ac:dyDescent="0.35">
      <c r="A460" t="s">
        <v>3954</v>
      </c>
    </row>
    <row r="461" spans="1:2" x14ac:dyDescent="0.35">
      <c r="A461" t="s">
        <v>3955</v>
      </c>
    </row>
    <row r="462" spans="1:2" x14ac:dyDescent="0.35">
      <c r="A462" t="s">
        <v>3956</v>
      </c>
    </row>
    <row r="463" spans="1:2" x14ac:dyDescent="0.35">
      <c r="A463" t="s">
        <v>3957</v>
      </c>
    </row>
    <row r="464" spans="1:2" x14ac:dyDescent="0.35">
      <c r="A464" t="s">
        <v>3958</v>
      </c>
    </row>
    <row r="465" spans="1:2" x14ac:dyDescent="0.35">
      <c r="A465" t="s">
        <v>3959</v>
      </c>
    </row>
    <row r="466" spans="1:2" x14ac:dyDescent="0.35">
      <c r="A466" t="s">
        <v>3960</v>
      </c>
    </row>
    <row r="467" spans="1:2" x14ac:dyDescent="0.35">
      <c r="A467" t="s">
        <v>2819</v>
      </c>
    </row>
    <row r="468" spans="1:2" x14ac:dyDescent="0.35">
      <c r="A468" t="s">
        <v>2820</v>
      </c>
    </row>
    <row r="469" spans="1:2" x14ac:dyDescent="0.35">
      <c r="A469" t="s">
        <v>2821</v>
      </c>
    </row>
    <row r="470" spans="1:2" x14ac:dyDescent="0.35">
      <c r="A470" t="s">
        <v>1222</v>
      </c>
    </row>
    <row r="471" spans="1:2" x14ac:dyDescent="0.35">
      <c r="A471" t="s">
        <v>1223</v>
      </c>
      <c r="B471" t="s">
        <v>4898</v>
      </c>
    </row>
    <row r="472" spans="1:2" x14ac:dyDescent="0.35">
      <c r="A472" t="s">
        <v>1224</v>
      </c>
    </row>
    <row r="473" spans="1:2" x14ac:dyDescent="0.35">
      <c r="A473" t="s">
        <v>1225</v>
      </c>
    </row>
    <row r="474" spans="1:2" x14ac:dyDescent="0.35">
      <c r="A474" t="s">
        <v>1226</v>
      </c>
    </row>
    <row r="475" spans="1:2" x14ac:dyDescent="0.35">
      <c r="A475" t="s">
        <v>1227</v>
      </c>
    </row>
    <row r="476" spans="1:2" x14ac:dyDescent="0.35">
      <c r="A476" t="s">
        <v>2822</v>
      </c>
    </row>
    <row r="477" spans="1:2" x14ac:dyDescent="0.35">
      <c r="A477" t="s">
        <v>2823</v>
      </c>
    </row>
    <row r="478" spans="1:2" x14ac:dyDescent="0.35">
      <c r="A478" t="s">
        <v>2824</v>
      </c>
    </row>
    <row r="479" spans="1:2" x14ac:dyDescent="0.35">
      <c r="A479" t="s">
        <v>1939</v>
      </c>
    </row>
    <row r="480" spans="1:2" x14ac:dyDescent="0.35">
      <c r="A480" t="s">
        <v>1940</v>
      </c>
    </row>
    <row r="481" spans="1:2" x14ac:dyDescent="0.35">
      <c r="A481" t="s">
        <v>1941</v>
      </c>
    </row>
    <row r="482" spans="1:2" x14ac:dyDescent="0.35">
      <c r="A482" t="s">
        <v>1942</v>
      </c>
      <c r="B482" t="s">
        <v>5092</v>
      </c>
    </row>
    <row r="483" spans="1:2" x14ac:dyDescent="0.35">
      <c r="A483" t="s">
        <v>1943</v>
      </c>
    </row>
    <row r="484" spans="1:2" x14ac:dyDescent="0.35">
      <c r="A484" t="s">
        <v>1944</v>
      </c>
      <c r="B484" t="s">
        <v>5093</v>
      </c>
    </row>
    <row r="485" spans="1:2" x14ac:dyDescent="0.35">
      <c r="A485" t="s">
        <v>1945</v>
      </c>
    </row>
    <row r="486" spans="1:2" x14ac:dyDescent="0.35">
      <c r="A486" t="s">
        <v>1946</v>
      </c>
    </row>
    <row r="487" spans="1:2" x14ac:dyDescent="0.35">
      <c r="A487" t="s">
        <v>1947</v>
      </c>
    </row>
    <row r="488" spans="1:2" x14ac:dyDescent="0.35">
      <c r="A488" t="s">
        <v>1948</v>
      </c>
    </row>
    <row r="489" spans="1:2" x14ac:dyDescent="0.35">
      <c r="A489" t="s">
        <v>1949</v>
      </c>
    </row>
    <row r="490" spans="1:2" x14ac:dyDescent="0.35">
      <c r="A490" t="s">
        <v>1950</v>
      </c>
    </row>
    <row r="491" spans="1:2" x14ac:dyDescent="0.35">
      <c r="A491" t="s">
        <v>1951</v>
      </c>
    </row>
    <row r="492" spans="1:2" x14ac:dyDescent="0.35">
      <c r="A492" t="s">
        <v>1952</v>
      </c>
    </row>
    <row r="493" spans="1:2" x14ac:dyDescent="0.35">
      <c r="A493" t="s">
        <v>1953</v>
      </c>
    </row>
    <row r="494" spans="1:2" x14ac:dyDescent="0.35">
      <c r="A494" t="s">
        <v>1954</v>
      </c>
    </row>
    <row r="495" spans="1:2" x14ac:dyDescent="0.35">
      <c r="A495" t="s">
        <v>1955</v>
      </c>
    </row>
    <row r="496" spans="1:2" x14ac:dyDescent="0.35">
      <c r="A496" t="s">
        <v>1956</v>
      </c>
    </row>
    <row r="497" spans="1:2" x14ac:dyDescent="0.35">
      <c r="A497" t="s">
        <v>1957</v>
      </c>
    </row>
    <row r="498" spans="1:2" x14ac:dyDescent="0.35">
      <c r="A498" t="s">
        <v>2941</v>
      </c>
    </row>
    <row r="499" spans="1:2" x14ac:dyDescent="0.35">
      <c r="A499" t="s">
        <v>2942</v>
      </c>
    </row>
    <row r="500" spans="1:2" x14ac:dyDescent="0.35">
      <c r="A500" t="s">
        <v>3870</v>
      </c>
    </row>
    <row r="501" spans="1:2" x14ac:dyDescent="0.35">
      <c r="A501" t="s">
        <v>2461</v>
      </c>
    </row>
    <row r="502" spans="1:2" x14ac:dyDescent="0.35">
      <c r="A502" t="s">
        <v>2462</v>
      </c>
      <c r="B502">
        <v>0</v>
      </c>
    </row>
    <row r="503" spans="1:2" x14ac:dyDescent="0.35">
      <c r="A503" t="s">
        <v>1828</v>
      </c>
    </row>
    <row r="504" spans="1:2" x14ac:dyDescent="0.35">
      <c r="A504" t="s">
        <v>1829</v>
      </c>
    </row>
    <row r="505" spans="1:2" x14ac:dyDescent="0.35">
      <c r="A505" t="s">
        <v>1830</v>
      </c>
      <c r="B505">
        <v>0</v>
      </c>
    </row>
    <row r="506" spans="1:2" x14ac:dyDescent="0.35">
      <c r="A506" t="s">
        <v>1831</v>
      </c>
    </row>
    <row r="507" spans="1:2" x14ac:dyDescent="0.35">
      <c r="A507" t="s">
        <v>1832</v>
      </c>
    </row>
    <row r="508" spans="1:2" x14ac:dyDescent="0.35">
      <c r="A508" t="s">
        <v>1228</v>
      </c>
    </row>
    <row r="509" spans="1:2" x14ac:dyDescent="0.35">
      <c r="A509" t="s">
        <v>4157</v>
      </c>
    </row>
    <row r="510" spans="1:2" x14ac:dyDescent="0.35">
      <c r="A510" t="s">
        <v>4158</v>
      </c>
    </row>
    <row r="511" spans="1:2" x14ac:dyDescent="0.35">
      <c r="A511" t="s">
        <v>4159</v>
      </c>
    </row>
    <row r="512" spans="1:2" x14ac:dyDescent="0.35">
      <c r="A512" t="s">
        <v>4160</v>
      </c>
    </row>
    <row r="513" spans="1:2" x14ac:dyDescent="0.35">
      <c r="A513" t="s">
        <v>4161</v>
      </c>
    </row>
    <row r="514" spans="1:2" x14ac:dyDescent="0.35">
      <c r="A514" t="s">
        <v>4162</v>
      </c>
    </row>
    <row r="515" spans="1:2" x14ac:dyDescent="0.35">
      <c r="A515" t="s">
        <v>440</v>
      </c>
    </row>
    <row r="516" spans="1:2" x14ac:dyDescent="0.35">
      <c r="A516" t="s">
        <v>441</v>
      </c>
    </row>
    <row r="517" spans="1:2" x14ac:dyDescent="0.35">
      <c r="A517" t="s">
        <v>442</v>
      </c>
    </row>
    <row r="518" spans="1:2" x14ac:dyDescent="0.35">
      <c r="A518" t="s">
        <v>443</v>
      </c>
    </row>
    <row r="519" spans="1:2" x14ac:dyDescent="0.35">
      <c r="A519" t="s">
        <v>444</v>
      </c>
    </row>
    <row r="520" spans="1:2" x14ac:dyDescent="0.35">
      <c r="A520" t="s">
        <v>445</v>
      </c>
    </row>
    <row r="521" spans="1:2" x14ac:dyDescent="0.35">
      <c r="A521" t="s">
        <v>1371</v>
      </c>
    </row>
    <row r="522" spans="1:2" x14ac:dyDescent="0.35">
      <c r="A522" t="s">
        <v>837</v>
      </c>
      <c r="B522">
        <v>0</v>
      </c>
    </row>
    <row r="523" spans="1:2" x14ac:dyDescent="0.35">
      <c r="A523" t="s">
        <v>838</v>
      </c>
    </row>
    <row r="524" spans="1:2" x14ac:dyDescent="0.35">
      <c r="A524" t="s">
        <v>286</v>
      </c>
    </row>
    <row r="525" spans="1:2" x14ac:dyDescent="0.35">
      <c r="A525" t="s">
        <v>287</v>
      </c>
      <c r="B525">
        <v>0</v>
      </c>
    </row>
    <row r="526" spans="1:2" x14ac:dyDescent="0.35">
      <c r="A526" t="s">
        <v>3156</v>
      </c>
    </row>
    <row r="527" spans="1:2" x14ac:dyDescent="0.35">
      <c r="A527" t="s">
        <v>3157</v>
      </c>
    </row>
    <row r="528" spans="1:2" x14ac:dyDescent="0.35">
      <c r="A528" t="s">
        <v>3158</v>
      </c>
    </row>
    <row r="529" spans="1:2" x14ac:dyDescent="0.35">
      <c r="A529" t="s">
        <v>2887</v>
      </c>
    </row>
    <row r="530" spans="1:2" x14ac:dyDescent="0.35">
      <c r="A530" t="s">
        <v>3076</v>
      </c>
    </row>
    <row r="531" spans="1:2" x14ac:dyDescent="0.35">
      <c r="A531" t="s">
        <v>3077</v>
      </c>
      <c r="B531">
        <v>1500</v>
      </c>
    </row>
    <row r="532" spans="1:2" x14ac:dyDescent="0.35">
      <c r="A532" t="s">
        <v>3078</v>
      </c>
      <c r="B532">
        <v>1500</v>
      </c>
    </row>
    <row r="533" spans="1:2" x14ac:dyDescent="0.35">
      <c r="A533" t="s">
        <v>3079</v>
      </c>
      <c r="B533">
        <v>1500</v>
      </c>
    </row>
    <row r="534" spans="1:2" x14ac:dyDescent="0.35">
      <c r="A534" t="s">
        <v>421</v>
      </c>
      <c r="B534">
        <v>1500</v>
      </c>
    </row>
    <row r="535" spans="1:2" x14ac:dyDescent="0.35">
      <c r="A535" t="s">
        <v>422</v>
      </c>
      <c r="B535">
        <v>1500</v>
      </c>
    </row>
    <row r="536" spans="1:2" x14ac:dyDescent="0.35">
      <c r="A536" t="s">
        <v>677</v>
      </c>
      <c r="B536">
        <v>1500</v>
      </c>
    </row>
    <row r="537" spans="1:2" x14ac:dyDescent="0.35">
      <c r="A537" t="s">
        <v>678</v>
      </c>
      <c r="B537">
        <v>1500</v>
      </c>
    </row>
    <row r="538" spans="1:2" x14ac:dyDescent="0.35">
      <c r="A538" t="s">
        <v>2464</v>
      </c>
      <c r="B538">
        <v>1500</v>
      </c>
    </row>
    <row r="539" spans="1:2" x14ac:dyDescent="0.35">
      <c r="A539" t="s">
        <v>2474</v>
      </c>
      <c r="B539">
        <v>1500</v>
      </c>
    </row>
    <row r="540" spans="1:2" x14ac:dyDescent="0.35">
      <c r="A540" t="s">
        <v>2475</v>
      </c>
      <c r="B540">
        <v>1500</v>
      </c>
    </row>
    <row r="541" spans="1:2" x14ac:dyDescent="0.35">
      <c r="A541" t="s">
        <v>2476</v>
      </c>
      <c r="B541">
        <v>1500</v>
      </c>
    </row>
    <row r="542" spans="1:2" x14ac:dyDescent="0.35">
      <c r="A542" t="s">
        <v>2477</v>
      </c>
      <c r="B542">
        <v>1500</v>
      </c>
    </row>
    <row r="543" spans="1:2" x14ac:dyDescent="0.35">
      <c r="A543" t="s">
        <v>2478</v>
      </c>
      <c r="B543">
        <v>1500</v>
      </c>
    </row>
    <row r="544" spans="1:2" x14ac:dyDescent="0.35">
      <c r="A544" t="s">
        <v>2479</v>
      </c>
      <c r="B544">
        <v>1500</v>
      </c>
    </row>
    <row r="545" spans="1:2" x14ac:dyDescent="0.35">
      <c r="A545" t="s">
        <v>2473</v>
      </c>
      <c r="B545">
        <v>1500</v>
      </c>
    </row>
    <row r="546" spans="1:2" x14ac:dyDescent="0.35">
      <c r="A546" t="s">
        <v>283</v>
      </c>
      <c r="B546">
        <v>1500</v>
      </c>
    </row>
    <row r="547" spans="1:2" x14ac:dyDescent="0.35">
      <c r="A547" t="s">
        <v>284</v>
      </c>
      <c r="B547">
        <v>1500</v>
      </c>
    </row>
    <row r="548" spans="1:2" x14ac:dyDescent="0.35">
      <c r="A548" t="s">
        <v>285</v>
      </c>
      <c r="B548">
        <v>1500</v>
      </c>
    </row>
    <row r="549" spans="1:2" x14ac:dyDescent="0.35">
      <c r="A549" t="s">
        <v>1867</v>
      </c>
      <c r="B549">
        <v>1500</v>
      </c>
    </row>
    <row r="550" spans="1:2" x14ac:dyDescent="0.35">
      <c r="A550" t="s">
        <v>1868</v>
      </c>
      <c r="B550">
        <v>1500</v>
      </c>
    </row>
    <row r="551" spans="1:2" x14ac:dyDescent="0.35">
      <c r="A551" t="s">
        <v>2441</v>
      </c>
      <c r="B551">
        <v>7</v>
      </c>
    </row>
    <row r="552" spans="1:2" x14ac:dyDescent="0.35">
      <c r="A552" t="s">
        <v>2442</v>
      </c>
      <c r="B552">
        <v>1</v>
      </c>
    </row>
    <row r="553" spans="1:2" x14ac:dyDescent="0.35">
      <c r="A553" t="s">
        <v>2443</v>
      </c>
      <c r="B553">
        <v>1</v>
      </c>
    </row>
    <row r="554" spans="1:2" x14ac:dyDescent="0.35">
      <c r="A554" t="s">
        <v>2444</v>
      </c>
      <c r="B554">
        <v>1</v>
      </c>
    </row>
    <row r="555" spans="1:2" x14ac:dyDescent="0.35">
      <c r="A555" t="s">
        <v>3922</v>
      </c>
      <c r="B555">
        <v>1</v>
      </c>
    </row>
    <row r="556" spans="1:2" x14ac:dyDescent="0.35">
      <c r="A556" t="s">
        <v>3923</v>
      </c>
      <c r="B556">
        <v>1</v>
      </c>
    </row>
    <row r="557" spans="1:2" x14ac:dyDescent="0.35">
      <c r="A557" t="s">
        <v>3924</v>
      </c>
      <c r="B557">
        <v>1</v>
      </c>
    </row>
    <row r="558" spans="1:2" x14ac:dyDescent="0.35">
      <c r="A558" t="s">
        <v>3925</v>
      </c>
      <c r="B558">
        <v>1</v>
      </c>
    </row>
    <row r="559" spans="1:2" x14ac:dyDescent="0.35">
      <c r="A559" t="s">
        <v>3926</v>
      </c>
      <c r="B559">
        <v>1</v>
      </c>
    </row>
    <row r="560" spans="1:2" x14ac:dyDescent="0.35">
      <c r="A560" t="s">
        <v>3961</v>
      </c>
      <c r="B560">
        <v>1</v>
      </c>
    </row>
    <row r="561" spans="1:2" x14ac:dyDescent="0.35">
      <c r="A561" t="s">
        <v>3962</v>
      </c>
      <c r="B561">
        <v>1</v>
      </c>
    </row>
    <row r="562" spans="1:2" x14ac:dyDescent="0.35">
      <c r="A562" t="s">
        <v>3963</v>
      </c>
      <c r="B562">
        <v>4</v>
      </c>
    </row>
    <row r="563" spans="1:2" x14ac:dyDescent="0.35">
      <c r="A563" t="s">
        <v>3964</v>
      </c>
      <c r="B563">
        <v>1</v>
      </c>
    </row>
    <row r="564" spans="1:2" x14ac:dyDescent="0.35">
      <c r="A564" t="s">
        <v>3965</v>
      </c>
      <c r="B564">
        <v>4</v>
      </c>
    </row>
    <row r="565" spans="1:2" x14ac:dyDescent="0.35">
      <c r="A565" t="s">
        <v>3966</v>
      </c>
      <c r="B565">
        <v>1</v>
      </c>
    </row>
    <row r="566" spans="1:2" x14ac:dyDescent="0.35">
      <c r="A566" t="s">
        <v>3967</v>
      </c>
      <c r="B566">
        <v>1</v>
      </c>
    </row>
    <row r="567" spans="1:2" x14ac:dyDescent="0.35">
      <c r="A567" t="s">
        <v>3326</v>
      </c>
      <c r="B567">
        <v>1</v>
      </c>
    </row>
    <row r="568" spans="1:2" x14ac:dyDescent="0.35">
      <c r="A568" t="s">
        <v>3637</v>
      </c>
      <c r="B568">
        <v>1</v>
      </c>
    </row>
    <row r="569" spans="1:2" x14ac:dyDescent="0.35">
      <c r="A569" t="s">
        <v>3638</v>
      </c>
      <c r="B569">
        <v>1</v>
      </c>
    </row>
    <row r="570" spans="1:2" x14ac:dyDescent="0.35">
      <c r="A570" t="s">
        <v>3639</v>
      </c>
      <c r="B570">
        <v>1</v>
      </c>
    </row>
    <row r="571" spans="1:2" x14ac:dyDescent="0.35">
      <c r="A571" t="s">
        <v>3640</v>
      </c>
      <c r="B571" t="s">
        <v>1107</v>
      </c>
    </row>
    <row r="572" spans="1:2" x14ac:dyDescent="0.35">
      <c r="A572" t="s">
        <v>3641</v>
      </c>
    </row>
    <row r="573" spans="1:2" x14ac:dyDescent="0.35">
      <c r="A573" t="s">
        <v>1979</v>
      </c>
    </row>
    <row r="574" spans="1:2" x14ac:dyDescent="0.35">
      <c r="A574" t="s">
        <v>2466</v>
      </c>
    </row>
    <row r="575" spans="1:2" x14ac:dyDescent="0.35">
      <c r="A575" t="s">
        <v>2467</v>
      </c>
    </row>
    <row r="576" spans="1:2" x14ac:dyDescent="0.35">
      <c r="A576" t="s">
        <v>2468</v>
      </c>
    </row>
    <row r="577" spans="1:2" x14ac:dyDescent="0.35">
      <c r="A577" t="s">
        <v>2469</v>
      </c>
    </row>
    <row r="578" spans="1:2" x14ac:dyDescent="0.35">
      <c r="A578" t="s">
        <v>2470</v>
      </c>
    </row>
    <row r="579" spans="1:2" x14ac:dyDescent="0.35">
      <c r="A579" t="s">
        <v>2471</v>
      </c>
    </row>
    <row r="580" spans="1:2" x14ac:dyDescent="0.35">
      <c r="A580" t="s">
        <v>3518</v>
      </c>
    </row>
    <row r="581" spans="1:2" x14ac:dyDescent="0.35">
      <c r="A581" t="s">
        <v>3444</v>
      </c>
    </row>
    <row r="582" spans="1:2" x14ac:dyDescent="0.35">
      <c r="A582" t="s">
        <v>3445</v>
      </c>
      <c r="B582" t="s">
        <v>2126</v>
      </c>
    </row>
    <row r="583" spans="1:2" x14ac:dyDescent="0.35">
      <c r="A583" t="s">
        <v>3446</v>
      </c>
    </row>
    <row r="584" spans="1:2" x14ac:dyDescent="0.35">
      <c r="A584" t="s">
        <v>3447</v>
      </c>
      <c r="B584" t="s">
        <v>1107</v>
      </c>
    </row>
    <row r="585" spans="1:2" x14ac:dyDescent="0.35">
      <c r="A585" t="s">
        <v>3856</v>
      </c>
    </row>
    <row r="586" spans="1:2" x14ac:dyDescent="0.35">
      <c r="A586" t="s">
        <v>4051</v>
      </c>
    </row>
    <row r="587" spans="1:2" x14ac:dyDescent="0.35">
      <c r="A587" t="s">
        <v>4052</v>
      </c>
    </row>
    <row r="588" spans="1:2" x14ac:dyDescent="0.35">
      <c r="A588" t="s">
        <v>4053</v>
      </c>
    </row>
    <row r="589" spans="1:2" x14ac:dyDescent="0.35">
      <c r="A589" t="s">
        <v>4054</v>
      </c>
    </row>
    <row r="590" spans="1:2" x14ac:dyDescent="0.35">
      <c r="A590" t="s">
        <v>1214</v>
      </c>
    </row>
    <row r="591" spans="1:2" x14ac:dyDescent="0.35">
      <c r="A591" t="s">
        <v>1769</v>
      </c>
      <c r="B591" t="b">
        <v>0</v>
      </c>
    </row>
    <row r="592" spans="1:2" x14ac:dyDescent="0.35">
      <c r="A592" t="s">
        <v>1770</v>
      </c>
    </row>
    <row r="593" spans="1:2" x14ac:dyDescent="0.35">
      <c r="A593" t="s">
        <v>2671</v>
      </c>
      <c r="B593">
        <v>6</v>
      </c>
    </row>
    <row r="594" spans="1:2" x14ac:dyDescent="0.35">
      <c r="A594" t="s">
        <v>1771</v>
      </c>
      <c r="B594" t="b">
        <v>0</v>
      </c>
    </row>
    <row r="595" spans="1:2" x14ac:dyDescent="0.35">
      <c r="A595" t="s">
        <v>214</v>
      </c>
    </row>
    <row r="596" spans="1:2" x14ac:dyDescent="0.35">
      <c r="A596" t="s">
        <v>3878</v>
      </c>
      <c r="B596">
        <v>20</v>
      </c>
    </row>
    <row r="597" spans="1:2" x14ac:dyDescent="0.35">
      <c r="A597" t="s">
        <v>215</v>
      </c>
    </row>
    <row r="598" spans="1:2" x14ac:dyDescent="0.35">
      <c r="A598" t="s">
        <v>4210</v>
      </c>
    </row>
    <row r="599" spans="1:2" x14ac:dyDescent="0.35">
      <c r="A599" t="s">
        <v>1246</v>
      </c>
    </row>
    <row r="600" spans="1:2" x14ac:dyDescent="0.35">
      <c r="A600" t="s">
        <v>1247</v>
      </c>
    </row>
    <row r="601" spans="1:2" x14ac:dyDescent="0.35">
      <c r="A601" t="s">
        <v>2950</v>
      </c>
    </row>
    <row r="602" spans="1:2" x14ac:dyDescent="0.35">
      <c r="A602" t="s">
        <v>2951</v>
      </c>
    </row>
    <row r="603" spans="1:2" x14ac:dyDescent="0.35">
      <c r="A603" t="s">
        <v>2952</v>
      </c>
    </row>
    <row r="604" spans="1:2" x14ac:dyDescent="0.35">
      <c r="A604" t="s">
        <v>1658</v>
      </c>
    </row>
    <row r="605" spans="1:2" x14ac:dyDescent="0.35">
      <c r="A605" t="s">
        <v>1659</v>
      </c>
    </row>
    <row r="606" spans="1:2" x14ac:dyDescent="0.35">
      <c r="A606" t="s">
        <v>1660</v>
      </c>
    </row>
    <row r="607" spans="1:2" x14ac:dyDescent="0.35">
      <c r="A607" t="s">
        <v>1661</v>
      </c>
    </row>
    <row r="608" spans="1:2" x14ac:dyDescent="0.35">
      <c r="A608" t="s">
        <v>1662</v>
      </c>
    </row>
    <row r="609" spans="1:1" x14ac:dyDescent="0.35">
      <c r="A609" t="s">
        <v>2166</v>
      </c>
    </row>
    <row r="610" spans="1:1" x14ac:dyDescent="0.35">
      <c r="A610" t="s">
        <v>1779</v>
      </c>
    </row>
    <row r="611" spans="1:1" x14ac:dyDescent="0.35">
      <c r="A611" t="s">
        <v>1780</v>
      </c>
    </row>
    <row r="612" spans="1:1" x14ac:dyDescent="0.35">
      <c r="A612" t="s">
        <v>1781</v>
      </c>
    </row>
    <row r="613" spans="1:1" x14ac:dyDescent="0.35">
      <c r="A613" t="s">
        <v>1705</v>
      </c>
    </row>
    <row r="614" spans="1:1" x14ac:dyDescent="0.35">
      <c r="A614" t="s">
        <v>1706</v>
      </c>
    </row>
    <row r="615" spans="1:1" x14ac:dyDescent="0.35">
      <c r="A615" t="s">
        <v>3292</v>
      </c>
    </row>
    <row r="616" spans="1:1" x14ac:dyDescent="0.35">
      <c r="A616" t="s">
        <v>3293</v>
      </c>
    </row>
    <row r="617" spans="1:1" x14ac:dyDescent="0.35">
      <c r="A617" t="s">
        <v>2937</v>
      </c>
    </row>
    <row r="618" spans="1:1" x14ac:dyDescent="0.35">
      <c r="A618" t="s">
        <v>2938</v>
      </c>
    </row>
    <row r="619" spans="1:1" x14ac:dyDescent="0.35">
      <c r="A619" t="s">
        <v>2939</v>
      </c>
    </row>
    <row r="620" spans="1:1" x14ac:dyDescent="0.35">
      <c r="A620" t="s">
        <v>1299</v>
      </c>
    </row>
    <row r="621" spans="1:1" x14ac:dyDescent="0.35">
      <c r="A621" t="s">
        <v>1300</v>
      </c>
    </row>
    <row r="622" spans="1:1" x14ac:dyDescent="0.35">
      <c r="A622" t="s">
        <v>1301</v>
      </c>
    </row>
    <row r="623" spans="1:1" x14ac:dyDescent="0.35">
      <c r="A623" t="s">
        <v>1302</v>
      </c>
    </row>
    <row r="624" spans="1:1" x14ac:dyDescent="0.35">
      <c r="A624" t="s">
        <v>1303</v>
      </c>
    </row>
    <row r="625" spans="1:2" x14ac:dyDescent="0.35">
      <c r="A625" t="s">
        <v>1844</v>
      </c>
    </row>
    <row r="626" spans="1:2" x14ac:dyDescent="0.35">
      <c r="A626" t="s">
        <v>1839</v>
      </c>
    </row>
    <row r="627" spans="1:2" x14ac:dyDescent="0.35">
      <c r="A627" t="s">
        <v>1840</v>
      </c>
    </row>
    <row r="628" spans="1:2" x14ac:dyDescent="0.35">
      <c r="A628" t="s">
        <v>1841</v>
      </c>
    </row>
    <row r="629" spans="1:2" x14ac:dyDescent="0.35">
      <c r="A629" t="s">
        <v>1842</v>
      </c>
    </row>
    <row r="630" spans="1:2" x14ac:dyDescent="0.35">
      <c r="A630" t="s">
        <v>1843</v>
      </c>
    </row>
    <row r="631" spans="1:2" x14ac:dyDescent="0.35">
      <c r="A631" t="s">
        <v>2970</v>
      </c>
    </row>
    <row r="632" spans="1:2" x14ac:dyDescent="0.35">
      <c r="A632" t="s">
        <v>3504</v>
      </c>
    </row>
    <row r="633" spans="1:2" x14ac:dyDescent="0.35">
      <c r="A633" t="s">
        <v>2158</v>
      </c>
      <c r="B633">
        <v>41827</v>
      </c>
    </row>
    <row r="634" spans="1:2" x14ac:dyDescent="0.35">
      <c r="A634" t="s">
        <v>1032</v>
      </c>
      <c r="B634">
        <v>1</v>
      </c>
    </row>
    <row r="635" spans="1:2" x14ac:dyDescent="0.35">
      <c r="A635" t="s">
        <v>3384</v>
      </c>
      <c r="B635">
        <v>1</v>
      </c>
    </row>
    <row r="636" spans="1:2" x14ac:dyDescent="0.35">
      <c r="A636" t="s">
        <v>3386</v>
      </c>
      <c r="B636">
        <v>1</v>
      </c>
    </row>
    <row r="637" spans="1:2" x14ac:dyDescent="0.35">
      <c r="A637" t="s">
        <v>3388</v>
      </c>
      <c r="B637">
        <v>1</v>
      </c>
    </row>
    <row r="638" spans="1:2" x14ac:dyDescent="0.35">
      <c r="A638" t="s">
        <v>3390</v>
      </c>
      <c r="B638">
        <v>1</v>
      </c>
    </row>
    <row r="639" spans="1:2" x14ac:dyDescent="0.35">
      <c r="A639" t="s">
        <v>3392</v>
      </c>
      <c r="B639">
        <v>1</v>
      </c>
    </row>
    <row r="640" spans="1:2" x14ac:dyDescent="0.35">
      <c r="A640" t="s">
        <v>3782</v>
      </c>
      <c r="B640">
        <v>123456</v>
      </c>
    </row>
    <row r="641" spans="1:2" x14ac:dyDescent="0.35">
      <c r="A641" t="s">
        <v>3039</v>
      </c>
    </row>
    <row r="642" spans="1:2" x14ac:dyDescent="0.35">
      <c r="A642" t="s">
        <v>2315</v>
      </c>
      <c r="B642">
        <v>5</v>
      </c>
    </row>
    <row r="643" spans="1:2" x14ac:dyDescent="0.35">
      <c r="A643" t="s">
        <v>2527</v>
      </c>
    </row>
    <row r="644" spans="1:2" x14ac:dyDescent="0.35">
      <c r="A644" t="s">
        <v>667</v>
      </c>
    </row>
    <row r="645" spans="1:2" x14ac:dyDescent="0.35">
      <c r="A645" t="s">
        <v>670</v>
      </c>
    </row>
    <row r="646" spans="1:2" x14ac:dyDescent="0.35">
      <c r="A646" t="s">
        <v>669</v>
      </c>
    </row>
    <row r="647" spans="1:2" x14ac:dyDescent="0.35">
      <c r="A647" t="s">
        <v>666</v>
      </c>
    </row>
    <row r="648" spans="1:2" x14ac:dyDescent="0.35">
      <c r="A648" t="s">
        <v>665</v>
      </c>
    </row>
    <row r="649" spans="1:2" x14ac:dyDescent="0.35">
      <c r="A649" t="s">
        <v>668</v>
      </c>
    </row>
    <row r="650" spans="1:2" x14ac:dyDescent="0.35">
      <c r="A650" t="s">
        <v>671</v>
      </c>
    </row>
    <row r="651" spans="1:2" x14ac:dyDescent="0.35">
      <c r="A651" t="s">
        <v>2981</v>
      </c>
    </row>
    <row r="652" spans="1:2" x14ac:dyDescent="0.35">
      <c r="A652" t="s">
        <v>3627</v>
      </c>
    </row>
    <row r="653" spans="1:2" x14ac:dyDescent="0.35">
      <c r="A653" t="s">
        <v>2538</v>
      </c>
      <c r="B653">
        <v>168</v>
      </c>
    </row>
    <row r="654" spans="1:2" x14ac:dyDescent="0.35">
      <c r="A654" t="s">
        <v>2540</v>
      </c>
    </row>
    <row r="655" spans="1:2" x14ac:dyDescent="0.35">
      <c r="A655" t="s">
        <v>2542</v>
      </c>
    </row>
    <row r="656" spans="1:2" x14ac:dyDescent="0.35">
      <c r="A656" t="s">
        <v>2544</v>
      </c>
    </row>
    <row r="657" spans="1:2" x14ac:dyDescent="0.35">
      <c r="A657" t="s">
        <v>4106</v>
      </c>
    </row>
    <row r="658" spans="1:2" x14ac:dyDescent="0.35">
      <c r="A658" t="s">
        <v>4108</v>
      </c>
    </row>
    <row r="659" spans="1:2" x14ac:dyDescent="0.35">
      <c r="A659" t="s">
        <v>4110</v>
      </c>
    </row>
    <row r="660" spans="1:2" x14ac:dyDescent="0.35">
      <c r="A660" t="s">
        <v>4112</v>
      </c>
    </row>
    <row r="661" spans="1:2" x14ac:dyDescent="0.35">
      <c r="A661" t="s">
        <v>2324</v>
      </c>
    </row>
    <row r="662" spans="1:2" x14ac:dyDescent="0.35">
      <c r="A662" t="s">
        <v>3858</v>
      </c>
    </row>
    <row r="663" spans="1:2" x14ac:dyDescent="0.35">
      <c r="A663" t="s">
        <v>3860</v>
      </c>
    </row>
    <row r="664" spans="1:2" x14ac:dyDescent="0.35">
      <c r="A664" t="s">
        <v>3862</v>
      </c>
      <c r="B664">
        <v>441</v>
      </c>
    </row>
    <row r="665" spans="1:2" x14ac:dyDescent="0.35">
      <c r="A665" t="s">
        <v>2264</v>
      </c>
    </row>
    <row r="666" spans="1:2" x14ac:dyDescent="0.35">
      <c r="A666" t="s">
        <v>2266</v>
      </c>
      <c r="B666">
        <v>920</v>
      </c>
    </row>
    <row r="667" spans="1:2" x14ac:dyDescent="0.35">
      <c r="A667" t="s">
        <v>2268</v>
      </c>
      <c r="B667">
        <v>0</v>
      </c>
    </row>
    <row r="668" spans="1:2" x14ac:dyDescent="0.35">
      <c r="A668" t="s">
        <v>2270</v>
      </c>
    </row>
    <row r="669" spans="1:2" x14ac:dyDescent="0.35">
      <c r="A669" t="s">
        <v>2272</v>
      </c>
    </row>
    <row r="670" spans="1:2" x14ac:dyDescent="0.35">
      <c r="A670" t="s">
        <v>2274</v>
      </c>
    </row>
    <row r="671" spans="1:2" x14ac:dyDescent="0.35">
      <c r="A671" t="s">
        <v>2276</v>
      </c>
    </row>
    <row r="672" spans="1:2" x14ac:dyDescent="0.35">
      <c r="A672" t="s">
        <v>2278</v>
      </c>
    </row>
    <row r="673" spans="1:2" x14ac:dyDescent="0.35">
      <c r="A673" t="s">
        <v>2317</v>
      </c>
      <c r="B673">
        <v>5</v>
      </c>
    </row>
    <row r="674" spans="1:2" x14ac:dyDescent="0.35">
      <c r="A674" t="s">
        <v>2108</v>
      </c>
      <c r="B674" t="b">
        <v>0</v>
      </c>
    </row>
    <row r="675" spans="1:2" x14ac:dyDescent="0.35">
      <c r="A675" t="s">
        <v>3879</v>
      </c>
      <c r="B675">
        <v>1</v>
      </c>
    </row>
    <row r="676" spans="1:2" x14ac:dyDescent="0.35">
      <c r="A676" t="s">
        <v>2123</v>
      </c>
      <c r="B676">
        <v>2</v>
      </c>
    </row>
    <row r="677" spans="1:2" x14ac:dyDescent="0.35">
      <c r="A677" t="s">
        <v>3064</v>
      </c>
    </row>
    <row r="678" spans="1:2" x14ac:dyDescent="0.35">
      <c r="A678" t="s">
        <v>3065</v>
      </c>
    </row>
    <row r="679" spans="1:2" x14ac:dyDescent="0.35">
      <c r="A679" t="s">
        <v>3066</v>
      </c>
    </row>
    <row r="680" spans="1:2" x14ac:dyDescent="0.35">
      <c r="A680" t="s">
        <v>3067</v>
      </c>
    </row>
    <row r="681" spans="1:2" x14ac:dyDescent="0.35">
      <c r="A681" t="s">
        <v>3068</v>
      </c>
    </row>
    <row r="682" spans="1:2" x14ac:dyDescent="0.35">
      <c r="A682" t="s">
        <v>3069</v>
      </c>
    </row>
    <row r="683" spans="1:2" x14ac:dyDescent="0.35">
      <c r="A683" t="s">
        <v>1958</v>
      </c>
    </row>
    <row r="684" spans="1:2" x14ac:dyDescent="0.35">
      <c r="A684" t="s">
        <v>3946</v>
      </c>
    </row>
    <row r="685" spans="1:2" x14ac:dyDescent="0.35">
      <c r="A685" t="s">
        <v>3947</v>
      </c>
    </row>
    <row r="686" spans="1:2" x14ac:dyDescent="0.35">
      <c r="A686" t="s">
        <v>3019</v>
      </c>
      <c r="B686">
        <v>0</v>
      </c>
    </row>
    <row r="687" spans="1:2" x14ac:dyDescent="0.35">
      <c r="A687" t="s">
        <v>2868</v>
      </c>
      <c r="B687">
        <v>11</v>
      </c>
    </row>
    <row r="688" spans="1:2" x14ac:dyDescent="0.35">
      <c r="A688" t="s">
        <v>4101</v>
      </c>
      <c r="B688">
        <v>1</v>
      </c>
    </row>
    <row r="689" spans="1:2" x14ac:dyDescent="0.35">
      <c r="A689" t="s">
        <v>3880</v>
      </c>
      <c r="B689">
        <v>73</v>
      </c>
    </row>
    <row r="690" spans="1:2" x14ac:dyDescent="0.35">
      <c r="A690" t="s">
        <v>1729</v>
      </c>
      <c r="B690">
        <v>50</v>
      </c>
    </row>
    <row r="691" spans="1:2" x14ac:dyDescent="0.35">
      <c r="A691" t="s">
        <v>1730</v>
      </c>
    </row>
    <row r="692" spans="1:2" x14ac:dyDescent="0.35">
      <c r="A692" t="s">
        <v>1731</v>
      </c>
    </row>
    <row r="693" spans="1:2" x14ac:dyDescent="0.35">
      <c r="A693" t="s">
        <v>1732</v>
      </c>
    </row>
    <row r="694" spans="1:2" x14ac:dyDescent="0.35">
      <c r="A694" t="s">
        <v>1733</v>
      </c>
    </row>
    <row r="695" spans="1:2" x14ac:dyDescent="0.35">
      <c r="A695" t="s">
        <v>1734</v>
      </c>
    </row>
    <row r="696" spans="1:2" x14ac:dyDescent="0.35">
      <c r="A696" t="s">
        <v>1735</v>
      </c>
    </row>
    <row r="697" spans="1:2" x14ac:dyDescent="0.35">
      <c r="A697" t="s">
        <v>1736</v>
      </c>
    </row>
    <row r="698" spans="1:2" x14ac:dyDescent="0.35">
      <c r="A698" t="s">
        <v>1737</v>
      </c>
    </row>
    <row r="699" spans="1:2" x14ac:dyDescent="0.35">
      <c r="A699" t="s">
        <v>162</v>
      </c>
    </row>
    <row r="700" spans="1:2" x14ac:dyDescent="0.35">
      <c r="A700" t="s">
        <v>163</v>
      </c>
    </row>
    <row r="701" spans="1:2" x14ac:dyDescent="0.35">
      <c r="A701" t="s">
        <v>164</v>
      </c>
      <c r="B701">
        <v>40</v>
      </c>
    </row>
    <row r="702" spans="1:2" x14ac:dyDescent="0.35">
      <c r="A702" t="s">
        <v>165</v>
      </c>
    </row>
    <row r="703" spans="1:2" x14ac:dyDescent="0.35">
      <c r="A703" t="s">
        <v>166</v>
      </c>
      <c r="B703">
        <v>10</v>
      </c>
    </row>
    <row r="704" spans="1:2" x14ac:dyDescent="0.35">
      <c r="A704" t="s">
        <v>167</v>
      </c>
    </row>
    <row r="705" spans="1:2" x14ac:dyDescent="0.35">
      <c r="A705" t="s">
        <v>168</v>
      </c>
    </row>
    <row r="706" spans="1:2" x14ac:dyDescent="0.35">
      <c r="A706" t="s">
        <v>169</v>
      </c>
    </row>
    <row r="707" spans="1:2" x14ac:dyDescent="0.35">
      <c r="A707" t="s">
        <v>170</v>
      </c>
    </row>
    <row r="708" spans="1:2" x14ac:dyDescent="0.35">
      <c r="A708" t="s">
        <v>171</v>
      </c>
    </row>
    <row r="709" spans="1:2" x14ac:dyDescent="0.35">
      <c r="A709" t="s">
        <v>172</v>
      </c>
    </row>
    <row r="710" spans="1:2" x14ac:dyDescent="0.35">
      <c r="A710" t="s">
        <v>4211</v>
      </c>
      <c r="B710">
        <v>1500</v>
      </c>
    </row>
    <row r="711" spans="1:2" x14ac:dyDescent="0.35">
      <c r="A711" t="s">
        <v>4212</v>
      </c>
      <c r="B711">
        <v>1500</v>
      </c>
    </row>
    <row r="712" spans="1:2" x14ac:dyDescent="0.35">
      <c r="A712" t="s">
        <v>4213</v>
      </c>
      <c r="B712">
        <v>1500</v>
      </c>
    </row>
    <row r="713" spans="1:2" x14ac:dyDescent="0.35">
      <c r="A713" t="s">
        <v>4214</v>
      </c>
      <c r="B713">
        <v>1500</v>
      </c>
    </row>
    <row r="714" spans="1:2" x14ac:dyDescent="0.35">
      <c r="A714" t="s">
        <v>59</v>
      </c>
      <c r="B714">
        <v>1500</v>
      </c>
    </row>
    <row r="715" spans="1:2" x14ac:dyDescent="0.35">
      <c r="A715" t="s">
        <v>60</v>
      </c>
      <c r="B715">
        <v>1500</v>
      </c>
    </row>
    <row r="716" spans="1:2" x14ac:dyDescent="0.35">
      <c r="A716" t="s">
        <v>61</v>
      </c>
      <c r="B716">
        <v>1500</v>
      </c>
    </row>
    <row r="717" spans="1:2" x14ac:dyDescent="0.35">
      <c r="A717" t="s">
        <v>62</v>
      </c>
      <c r="B717">
        <v>1500</v>
      </c>
    </row>
    <row r="718" spans="1:2" x14ac:dyDescent="0.35">
      <c r="A718" t="s">
        <v>63</v>
      </c>
      <c r="B718">
        <v>1500</v>
      </c>
    </row>
    <row r="719" spans="1:2" x14ac:dyDescent="0.35">
      <c r="A719" t="s">
        <v>1903</v>
      </c>
      <c r="B719">
        <v>1500</v>
      </c>
    </row>
    <row r="720" spans="1:2" x14ac:dyDescent="0.35">
      <c r="A720" t="s">
        <v>1904</v>
      </c>
      <c r="B720">
        <v>1500</v>
      </c>
    </row>
    <row r="721" spans="1:2" x14ac:dyDescent="0.35">
      <c r="A721" t="s">
        <v>1905</v>
      </c>
      <c r="B721">
        <v>1500</v>
      </c>
    </row>
    <row r="722" spans="1:2" x14ac:dyDescent="0.35">
      <c r="A722" t="s">
        <v>189</v>
      </c>
      <c r="B722">
        <v>1500</v>
      </c>
    </row>
    <row r="723" spans="1:2" x14ac:dyDescent="0.35">
      <c r="A723" t="s">
        <v>190</v>
      </c>
      <c r="B723">
        <v>1500</v>
      </c>
    </row>
    <row r="724" spans="1:2" x14ac:dyDescent="0.35">
      <c r="A724" t="s">
        <v>191</v>
      </c>
      <c r="B724">
        <v>1500</v>
      </c>
    </row>
    <row r="725" spans="1:2" x14ac:dyDescent="0.35">
      <c r="A725" t="s">
        <v>192</v>
      </c>
      <c r="B725">
        <v>1500</v>
      </c>
    </row>
    <row r="726" spans="1:2" x14ac:dyDescent="0.35">
      <c r="A726" t="s">
        <v>2649</v>
      </c>
      <c r="B726">
        <v>1500</v>
      </c>
    </row>
    <row r="727" spans="1:2" x14ac:dyDescent="0.35">
      <c r="A727" t="s">
        <v>2650</v>
      </c>
      <c r="B727">
        <v>1500</v>
      </c>
    </row>
    <row r="728" spans="1:2" x14ac:dyDescent="0.35">
      <c r="A728" t="s">
        <v>2651</v>
      </c>
      <c r="B728">
        <v>1500</v>
      </c>
    </row>
    <row r="729" spans="1:2" x14ac:dyDescent="0.35">
      <c r="A729" t="s">
        <v>2652</v>
      </c>
      <c r="B729">
        <v>1500</v>
      </c>
    </row>
    <row r="730" spans="1:2" x14ac:dyDescent="0.35">
      <c r="A730" t="s">
        <v>3620</v>
      </c>
    </row>
    <row r="731" spans="1:2" x14ac:dyDescent="0.35">
      <c r="A731" t="s">
        <v>3626</v>
      </c>
      <c r="B731">
        <v>40</v>
      </c>
    </row>
    <row r="732" spans="1:2" x14ac:dyDescent="0.35">
      <c r="A732" t="s">
        <v>3625</v>
      </c>
      <c r="B732">
        <v>80</v>
      </c>
    </row>
    <row r="733" spans="1:2" x14ac:dyDescent="0.35">
      <c r="A733" t="s">
        <v>3614</v>
      </c>
    </row>
    <row r="734" spans="1:2" x14ac:dyDescent="0.35">
      <c r="A734" t="s">
        <v>3612</v>
      </c>
    </row>
    <row r="735" spans="1:2" x14ac:dyDescent="0.35">
      <c r="A735" t="s">
        <v>3619</v>
      </c>
    </row>
    <row r="736" spans="1:2" x14ac:dyDescent="0.35">
      <c r="A736" t="s">
        <v>3594</v>
      </c>
      <c r="B736">
        <v>1</v>
      </c>
    </row>
    <row r="737" spans="1:2" x14ac:dyDescent="0.35">
      <c r="A737" t="s">
        <v>2316</v>
      </c>
      <c r="B737">
        <v>0</v>
      </c>
    </row>
    <row r="738" spans="1:2" x14ac:dyDescent="0.35">
      <c r="A738" t="s">
        <v>2213</v>
      </c>
      <c r="B738">
        <v>1</v>
      </c>
    </row>
    <row r="739" spans="1:2" x14ac:dyDescent="0.35">
      <c r="A739" t="s">
        <v>3881</v>
      </c>
    </row>
    <row r="740" spans="1:2" x14ac:dyDescent="0.35">
      <c r="A740" t="s">
        <v>2318</v>
      </c>
      <c r="B740">
        <v>17</v>
      </c>
    </row>
    <row r="741" spans="1:2" x14ac:dyDescent="0.35">
      <c r="A741" t="s">
        <v>3621</v>
      </c>
      <c r="B741">
        <v>18</v>
      </c>
    </row>
    <row r="742" spans="1:2" x14ac:dyDescent="0.35">
      <c r="A742" t="s">
        <v>2162</v>
      </c>
      <c r="B742">
        <v>60</v>
      </c>
    </row>
    <row r="743" spans="1:2" x14ac:dyDescent="0.35">
      <c r="A743" t="s">
        <v>3882</v>
      </c>
      <c r="B743" t="b">
        <v>0</v>
      </c>
    </row>
    <row r="744" spans="1:2" x14ac:dyDescent="0.35">
      <c r="A744" t="s">
        <v>3883</v>
      </c>
      <c r="B744">
        <v>1</v>
      </c>
    </row>
    <row r="745" spans="1:2" x14ac:dyDescent="0.35">
      <c r="A745" t="s">
        <v>1602</v>
      </c>
      <c r="B745">
        <v>50</v>
      </c>
    </row>
    <row r="746" spans="1:2" x14ac:dyDescent="0.35">
      <c r="A746" t="s">
        <v>3398</v>
      </c>
    </row>
    <row r="747" spans="1:2" x14ac:dyDescent="0.35">
      <c r="A747" t="s">
        <v>3399</v>
      </c>
    </row>
    <row r="748" spans="1:2" x14ac:dyDescent="0.35">
      <c r="A748" t="s">
        <v>2168</v>
      </c>
    </row>
    <row r="749" spans="1:2" x14ac:dyDescent="0.35">
      <c r="A749" t="s">
        <v>2160</v>
      </c>
      <c r="B749" t="s">
        <v>5091</v>
      </c>
    </row>
    <row r="750" spans="1:2" x14ac:dyDescent="0.35">
      <c r="A750" t="s">
        <v>2945</v>
      </c>
      <c r="B750" t="b">
        <v>0</v>
      </c>
    </row>
    <row r="751" spans="1:2" x14ac:dyDescent="0.35">
      <c r="A751" t="s">
        <v>4208</v>
      </c>
      <c r="B751">
        <v>1</v>
      </c>
    </row>
    <row r="752" spans="1:2" x14ac:dyDescent="0.35">
      <c r="A752" t="s">
        <v>4930</v>
      </c>
      <c r="B752" t="b">
        <v>0</v>
      </c>
    </row>
    <row r="753" spans="1:2" x14ac:dyDescent="0.35">
      <c r="A753" t="s">
        <v>4931</v>
      </c>
      <c r="B753">
        <v>30</v>
      </c>
    </row>
    <row r="754" spans="1:2" x14ac:dyDescent="0.35">
      <c r="A754" t="s">
        <v>4467</v>
      </c>
      <c r="B754">
        <v>3</v>
      </c>
    </row>
  </sheetData>
  <phoneticPr fontId="26" type="noConversion"/>
  <pageMargins left="0.75" right="0.75" top="1" bottom="1" header="0.5" footer="0.5"/>
  <pageSetup paperSize="9" orientation="portrait" horizontalDpi="3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tienten"/>
  <dimension ref="A1:T1562"/>
  <sheetViews>
    <sheetView zoomScaleNormal="100" workbookViewId="0">
      <pane xSplit="1" ySplit="1" topLeftCell="B56" activePane="bottomRight" state="frozen"/>
      <selection pane="topRight" activeCell="B1" sqref="B1"/>
      <selection pane="bottomLeft" activeCell="A2" sqref="A2"/>
      <selection pane="bottomRight" activeCell="A87" sqref="A87"/>
    </sheetView>
  </sheetViews>
  <sheetFormatPr defaultRowHeight="12.85" x14ac:dyDescent="0.35"/>
  <cols>
    <col min="1" max="1" width="27.3984375" customWidth="1"/>
    <col min="2" max="2" width="28.59765625" customWidth="1"/>
    <col min="3" max="3" width="20.265625" style="78" customWidth="1"/>
    <col min="7" max="7" width="18.59765625" customWidth="1"/>
  </cols>
  <sheetData>
    <row r="1" spans="1:20" x14ac:dyDescent="0.35">
      <c r="A1" t="s">
        <v>1810</v>
      </c>
      <c r="B1" t="s">
        <v>1811</v>
      </c>
      <c r="C1" s="78" t="s">
        <v>2424</v>
      </c>
      <c r="T1">
        <v>0</v>
      </c>
    </row>
    <row r="2" spans="1:20" x14ac:dyDescent="0.35">
      <c r="A2" s="25" t="s">
        <v>2159</v>
      </c>
      <c r="B2" s="78" t="s">
        <v>5090</v>
      </c>
      <c r="C2" s="78" t="s">
        <v>2657</v>
      </c>
    </row>
    <row r="3" spans="1:20" x14ac:dyDescent="0.35">
      <c r="A3" s="25" t="s">
        <v>173</v>
      </c>
      <c r="B3" s="78">
        <v>10</v>
      </c>
      <c r="C3" s="78">
        <v>10</v>
      </c>
      <c r="D3">
        <v>10</v>
      </c>
    </row>
    <row r="4" spans="1:20" x14ac:dyDescent="0.35">
      <c r="A4" s="25" t="s">
        <v>174</v>
      </c>
      <c r="B4" s="78">
        <v>20</v>
      </c>
      <c r="C4" s="78">
        <v>20</v>
      </c>
      <c r="D4">
        <v>10</v>
      </c>
    </row>
    <row r="5" spans="1:20" x14ac:dyDescent="0.35">
      <c r="A5" t="s">
        <v>175</v>
      </c>
      <c r="B5">
        <v>5000</v>
      </c>
      <c r="C5">
        <v>5000</v>
      </c>
      <c r="D5">
        <v>1000</v>
      </c>
    </row>
    <row r="6" spans="1:20" x14ac:dyDescent="0.35">
      <c r="A6" s="25" t="s">
        <v>1192</v>
      </c>
      <c r="B6" s="78">
        <v>2</v>
      </c>
      <c r="C6" s="78">
        <v>2</v>
      </c>
      <c r="D6">
        <v>2</v>
      </c>
    </row>
    <row r="7" spans="1:20" x14ac:dyDescent="0.35">
      <c r="A7" s="25" t="s">
        <v>1193</v>
      </c>
      <c r="B7" s="78">
        <v>10</v>
      </c>
      <c r="C7" s="78">
        <v>10</v>
      </c>
      <c r="D7">
        <v>5</v>
      </c>
    </row>
    <row r="8" spans="1:20" x14ac:dyDescent="0.35">
      <c r="A8" s="25" t="s">
        <v>1194</v>
      </c>
      <c r="B8" s="78">
        <v>5</v>
      </c>
      <c r="C8" s="78">
        <v>5</v>
      </c>
      <c r="D8">
        <v>50</v>
      </c>
    </row>
    <row r="9" spans="1:20" x14ac:dyDescent="0.35">
      <c r="A9" s="25" t="s">
        <v>3792</v>
      </c>
      <c r="B9" s="78">
        <v>10</v>
      </c>
      <c r="C9" s="78">
        <v>10</v>
      </c>
      <c r="D9">
        <v>1</v>
      </c>
    </row>
    <row r="10" spans="1:20" x14ac:dyDescent="0.35">
      <c r="A10" s="25" t="s">
        <v>4609</v>
      </c>
      <c r="B10" s="78">
        <v>1</v>
      </c>
      <c r="C10" s="78">
        <v>10</v>
      </c>
      <c r="D10">
        <v>1</v>
      </c>
    </row>
    <row r="11" spans="1:20" x14ac:dyDescent="0.35">
      <c r="A11" t="s">
        <v>4602</v>
      </c>
      <c r="C11"/>
    </row>
    <row r="12" spans="1:20" x14ac:dyDescent="0.35">
      <c r="A12" t="s">
        <v>4603</v>
      </c>
      <c r="B12">
        <v>5</v>
      </c>
      <c r="C12">
        <v>5</v>
      </c>
      <c r="D12">
        <v>1</v>
      </c>
    </row>
    <row r="13" spans="1:20" x14ac:dyDescent="0.35">
      <c r="A13" t="s">
        <v>4604</v>
      </c>
      <c r="C13"/>
    </row>
    <row r="14" spans="1:20" x14ac:dyDescent="0.35">
      <c r="A14" s="25" t="s">
        <v>3793</v>
      </c>
      <c r="B14" s="78">
        <v>1</v>
      </c>
      <c r="C14" s="78">
        <v>1</v>
      </c>
      <c r="D14">
        <v>0.1</v>
      </c>
    </row>
    <row r="15" spans="1:20" x14ac:dyDescent="0.35">
      <c r="A15" t="s">
        <v>4605</v>
      </c>
      <c r="C15"/>
    </row>
    <row r="16" spans="1:20" x14ac:dyDescent="0.35">
      <c r="A16" t="s">
        <v>4606</v>
      </c>
      <c r="B16">
        <v>50</v>
      </c>
      <c r="C16">
        <v>50</v>
      </c>
      <c r="D16">
        <v>10</v>
      </c>
    </row>
    <row r="17" spans="1:4" x14ac:dyDescent="0.35">
      <c r="A17" t="s">
        <v>4607</v>
      </c>
      <c r="B17">
        <v>5</v>
      </c>
      <c r="C17">
        <v>5</v>
      </c>
      <c r="D17">
        <v>1</v>
      </c>
    </row>
    <row r="18" spans="1:4" x14ac:dyDescent="0.35">
      <c r="A18" t="s">
        <v>4608</v>
      </c>
      <c r="B18">
        <v>500</v>
      </c>
      <c r="C18">
        <v>500</v>
      </c>
      <c r="D18">
        <v>100</v>
      </c>
    </row>
    <row r="19" spans="1:4" x14ac:dyDescent="0.35">
      <c r="A19" s="25" t="s">
        <v>3794</v>
      </c>
      <c r="B19" s="78">
        <v>10</v>
      </c>
      <c r="C19" s="78">
        <v>10</v>
      </c>
      <c r="D19">
        <v>10</v>
      </c>
    </row>
    <row r="20" spans="1:4" x14ac:dyDescent="0.35">
      <c r="A20" s="25" t="s">
        <v>3795</v>
      </c>
      <c r="B20" s="78">
        <v>50</v>
      </c>
      <c r="C20" s="78">
        <v>50</v>
      </c>
      <c r="D20">
        <v>0.5</v>
      </c>
    </row>
    <row r="21" spans="1:4" x14ac:dyDescent="0.35">
      <c r="A21" s="25" t="s">
        <v>3796</v>
      </c>
      <c r="B21" s="78">
        <v>150</v>
      </c>
      <c r="C21" s="78">
        <v>150</v>
      </c>
      <c r="D21">
        <v>0.15</v>
      </c>
    </row>
    <row r="22" spans="1:4" x14ac:dyDescent="0.35">
      <c r="A22" s="25" t="s">
        <v>3797</v>
      </c>
      <c r="B22" s="78">
        <v>2500</v>
      </c>
      <c r="C22" s="78">
        <v>2500</v>
      </c>
      <c r="D22">
        <v>12.5</v>
      </c>
    </row>
    <row r="23" spans="1:4" x14ac:dyDescent="0.35">
      <c r="A23" s="25" t="s">
        <v>3798</v>
      </c>
      <c r="B23" s="78">
        <v>200</v>
      </c>
      <c r="C23" s="78">
        <v>200</v>
      </c>
      <c r="D23">
        <v>40</v>
      </c>
    </row>
    <row r="24" spans="1:4" x14ac:dyDescent="0.35">
      <c r="A24" s="25" t="s">
        <v>3799</v>
      </c>
      <c r="B24" s="78">
        <v>50</v>
      </c>
      <c r="C24" s="78">
        <v>50</v>
      </c>
      <c r="D24">
        <v>5</v>
      </c>
    </row>
    <row r="25" spans="1:4" x14ac:dyDescent="0.35">
      <c r="A25" s="25" t="s">
        <v>3800</v>
      </c>
      <c r="B25" s="78">
        <v>100</v>
      </c>
      <c r="C25" s="78">
        <v>100</v>
      </c>
      <c r="D25">
        <v>25</v>
      </c>
    </row>
    <row r="26" spans="1:4" x14ac:dyDescent="0.35">
      <c r="A26" s="25" t="s">
        <v>2670</v>
      </c>
      <c r="B26" s="78">
        <v>1</v>
      </c>
      <c r="C26" s="78">
        <v>1</v>
      </c>
    </row>
    <row r="27" spans="1:4" x14ac:dyDescent="0.35">
      <c r="A27" s="25" t="s">
        <v>1169</v>
      </c>
      <c r="B27" s="78" t="s">
        <v>3483</v>
      </c>
      <c r="C27" s="78" t="s">
        <v>3483</v>
      </c>
    </row>
    <row r="28" spans="1:4" x14ac:dyDescent="0.35">
      <c r="A28" s="25" t="s">
        <v>3692</v>
      </c>
      <c r="B28" s="78" t="b">
        <v>0</v>
      </c>
      <c r="C28" s="78" t="b">
        <v>0</v>
      </c>
    </row>
    <row r="29" spans="1:4" x14ac:dyDescent="0.35">
      <c r="A29" s="25" t="s">
        <v>3693</v>
      </c>
      <c r="B29" s="78"/>
    </row>
    <row r="30" spans="1:4" x14ac:dyDescent="0.35">
      <c r="A30" s="25" t="s">
        <v>2120</v>
      </c>
      <c r="B30" s="78"/>
    </row>
    <row r="31" spans="1:4" x14ac:dyDescent="0.35">
      <c r="A31" s="25" t="s">
        <v>2679</v>
      </c>
      <c r="B31" t="b">
        <v>1</v>
      </c>
      <c r="C31" t="b">
        <v>1</v>
      </c>
    </row>
    <row r="32" spans="1:4" x14ac:dyDescent="0.35">
      <c r="A32" s="106" t="s">
        <v>3890</v>
      </c>
      <c r="C32"/>
    </row>
    <row r="33" spans="1:3" x14ac:dyDescent="0.35">
      <c r="A33" s="106" t="s">
        <v>3494</v>
      </c>
      <c r="C33"/>
    </row>
    <row r="34" spans="1:3" x14ac:dyDescent="0.35">
      <c r="A34" s="106" t="s">
        <v>3496</v>
      </c>
      <c r="C34"/>
    </row>
    <row r="35" spans="1:3" x14ac:dyDescent="0.35">
      <c r="A35" s="106" t="s">
        <v>3498</v>
      </c>
      <c r="C35"/>
    </row>
    <row r="36" spans="1:3" x14ac:dyDescent="0.35">
      <c r="A36" s="106" t="s">
        <v>3500</v>
      </c>
      <c r="C36"/>
    </row>
    <row r="37" spans="1:3" x14ac:dyDescent="0.35">
      <c r="A37" s="106" t="s">
        <v>3605</v>
      </c>
      <c r="C37"/>
    </row>
    <row r="38" spans="1:3" x14ac:dyDescent="0.35">
      <c r="A38" s="106" t="s">
        <v>3607</v>
      </c>
      <c r="C38"/>
    </row>
    <row r="39" spans="1:3" x14ac:dyDescent="0.35">
      <c r="A39" s="106" t="s">
        <v>3656</v>
      </c>
      <c r="C39"/>
    </row>
    <row r="40" spans="1:3" x14ac:dyDescent="0.35">
      <c r="A40" s="106" t="s">
        <v>3658</v>
      </c>
      <c r="C40"/>
    </row>
    <row r="41" spans="1:3" x14ac:dyDescent="0.35">
      <c r="A41" s="106" t="s">
        <v>3660</v>
      </c>
      <c r="C41"/>
    </row>
    <row r="42" spans="1:3" x14ac:dyDescent="0.35">
      <c r="A42" s="25" t="s">
        <v>3613</v>
      </c>
      <c r="B42" s="78"/>
    </row>
    <row r="43" spans="1:3" x14ac:dyDescent="0.35">
      <c r="A43" s="25" t="s">
        <v>3618</v>
      </c>
      <c r="B43" s="78"/>
    </row>
    <row r="44" spans="1:3" x14ac:dyDescent="0.35">
      <c r="A44" s="25" t="s">
        <v>458</v>
      </c>
      <c r="B44" s="78">
        <v>5</v>
      </c>
    </row>
    <row r="45" spans="1:3" x14ac:dyDescent="0.35">
      <c r="A45" s="25" t="s">
        <v>459</v>
      </c>
      <c r="B45" s="78"/>
    </row>
    <row r="46" spans="1:3" x14ac:dyDescent="0.35">
      <c r="A46" s="25" t="s">
        <v>460</v>
      </c>
      <c r="B46" s="78"/>
    </row>
    <row r="47" spans="1:3" x14ac:dyDescent="0.35">
      <c r="A47" s="25" t="s">
        <v>461</v>
      </c>
      <c r="B47" s="78"/>
    </row>
    <row r="48" spans="1:3" x14ac:dyDescent="0.35">
      <c r="A48" s="25" t="s">
        <v>65</v>
      </c>
      <c r="B48" s="78"/>
    </row>
    <row r="49" spans="1:3" x14ac:dyDescent="0.35">
      <c r="A49" s="25" t="s">
        <v>66</v>
      </c>
      <c r="B49" s="78"/>
    </row>
    <row r="50" spans="1:3" x14ac:dyDescent="0.35">
      <c r="A50" s="25" t="s">
        <v>3403</v>
      </c>
      <c r="B50" s="78"/>
    </row>
    <row r="51" spans="1:3" x14ac:dyDescent="0.35">
      <c r="A51" s="25" t="s">
        <v>3404</v>
      </c>
      <c r="B51" s="78"/>
    </row>
    <row r="52" spans="1:3" x14ac:dyDescent="0.35">
      <c r="A52" s="25" t="s">
        <v>3405</v>
      </c>
      <c r="B52" s="78"/>
    </row>
    <row r="53" spans="1:3" x14ac:dyDescent="0.35">
      <c r="A53" s="25" t="s">
        <v>3406</v>
      </c>
      <c r="B53" s="78"/>
    </row>
    <row r="54" spans="1:3" x14ac:dyDescent="0.35">
      <c r="A54" s="25" t="s">
        <v>2177</v>
      </c>
      <c r="B54" s="78"/>
    </row>
    <row r="55" spans="1:3" x14ac:dyDescent="0.35">
      <c r="A55" s="25" t="s">
        <v>2178</v>
      </c>
      <c r="B55" s="78">
        <v>10</v>
      </c>
    </row>
    <row r="56" spans="1:3" x14ac:dyDescent="0.35">
      <c r="A56" s="25" t="s">
        <v>2179</v>
      </c>
      <c r="B56" s="78"/>
    </row>
    <row r="57" spans="1:3" x14ac:dyDescent="0.35">
      <c r="A57" s="25" t="s">
        <v>2180</v>
      </c>
      <c r="B57" s="78">
        <v>7</v>
      </c>
    </row>
    <row r="58" spans="1:3" x14ac:dyDescent="0.35">
      <c r="A58" s="25" t="s">
        <v>367</v>
      </c>
      <c r="B58" s="78"/>
    </row>
    <row r="59" spans="1:3" x14ac:dyDescent="0.35">
      <c r="A59" s="25" t="s">
        <v>368</v>
      </c>
      <c r="B59" s="78"/>
    </row>
    <row r="60" spans="1:3" x14ac:dyDescent="0.35">
      <c r="A60" s="25" t="s">
        <v>369</v>
      </c>
      <c r="B60" s="78"/>
    </row>
    <row r="61" spans="1:3" x14ac:dyDescent="0.35">
      <c r="A61" s="25" t="s">
        <v>370</v>
      </c>
      <c r="B61" s="78"/>
    </row>
    <row r="62" spans="1:3" x14ac:dyDescent="0.35">
      <c r="A62" s="25" t="s">
        <v>371</v>
      </c>
      <c r="B62" s="78"/>
    </row>
    <row r="63" spans="1:3" x14ac:dyDescent="0.35">
      <c r="A63" s="25" t="s">
        <v>842</v>
      </c>
      <c r="B63" s="78"/>
    </row>
    <row r="64" spans="1:3" x14ac:dyDescent="0.35">
      <c r="A64" s="25" t="s">
        <v>3610</v>
      </c>
      <c r="B64" s="78">
        <v>30</v>
      </c>
      <c r="C64" s="78">
        <v>30</v>
      </c>
    </row>
    <row r="65" spans="1:3" x14ac:dyDescent="0.35">
      <c r="A65" s="25" t="s">
        <v>3617</v>
      </c>
      <c r="B65" s="78"/>
    </row>
    <row r="66" spans="1:3" x14ac:dyDescent="0.35">
      <c r="A66" s="25" t="s">
        <v>1342</v>
      </c>
      <c r="B66" s="78">
        <v>1</v>
      </c>
      <c r="C66" s="78">
        <v>1</v>
      </c>
    </row>
    <row r="67" spans="1:3" x14ac:dyDescent="0.35">
      <c r="A67" s="25" t="s">
        <v>843</v>
      </c>
      <c r="B67" s="78" t="s">
        <v>1836</v>
      </c>
    </row>
    <row r="68" spans="1:3" x14ac:dyDescent="0.35">
      <c r="A68" s="25" t="s">
        <v>844</v>
      </c>
      <c r="B68" s="78"/>
    </row>
    <row r="69" spans="1:3" x14ac:dyDescent="0.35">
      <c r="A69" s="25" t="s">
        <v>845</v>
      </c>
      <c r="B69" s="78"/>
    </row>
    <row r="70" spans="1:3" x14ac:dyDescent="0.35">
      <c r="A70" s="25" t="s">
        <v>846</v>
      </c>
      <c r="B70" s="78"/>
    </row>
    <row r="71" spans="1:3" x14ac:dyDescent="0.35">
      <c r="A71" s="25" t="s">
        <v>847</v>
      </c>
      <c r="B71" s="78"/>
    </row>
    <row r="72" spans="1:3" x14ac:dyDescent="0.35">
      <c r="A72" s="25" t="s">
        <v>848</v>
      </c>
      <c r="B72" s="78"/>
    </row>
    <row r="73" spans="1:3" x14ac:dyDescent="0.35">
      <c r="A73" s="25" t="s">
        <v>849</v>
      </c>
      <c r="B73" s="78"/>
    </row>
    <row r="74" spans="1:3" x14ac:dyDescent="0.35">
      <c r="A74" s="25" t="s">
        <v>850</v>
      </c>
      <c r="B74" s="78"/>
    </row>
    <row r="75" spans="1:3" x14ac:dyDescent="0.35">
      <c r="A75" s="25" t="s">
        <v>851</v>
      </c>
      <c r="B75" s="78"/>
    </row>
    <row r="76" spans="1:3" x14ac:dyDescent="0.35">
      <c r="A76" s="25" t="s">
        <v>852</v>
      </c>
      <c r="B76" s="78"/>
    </row>
    <row r="77" spans="1:3" x14ac:dyDescent="0.35">
      <c r="A77" s="25" t="s">
        <v>853</v>
      </c>
      <c r="B77" s="78"/>
    </row>
    <row r="78" spans="1:3" x14ac:dyDescent="0.35">
      <c r="A78" s="25" t="s">
        <v>854</v>
      </c>
      <c r="B78" s="78" t="s">
        <v>2030</v>
      </c>
    </row>
    <row r="79" spans="1:3" x14ac:dyDescent="0.35">
      <c r="A79" s="25" t="s">
        <v>855</v>
      </c>
      <c r="B79" s="78"/>
    </row>
    <row r="80" spans="1:3" x14ac:dyDescent="0.35">
      <c r="A80" s="25" t="s">
        <v>856</v>
      </c>
      <c r="B80" s="78" t="s">
        <v>1836</v>
      </c>
    </row>
    <row r="81" spans="1:3" x14ac:dyDescent="0.35">
      <c r="A81" s="25" t="s">
        <v>857</v>
      </c>
      <c r="B81" s="78"/>
    </row>
    <row r="82" spans="1:3" x14ac:dyDescent="0.35">
      <c r="A82" s="25" t="s">
        <v>858</v>
      </c>
      <c r="B82" s="78"/>
    </row>
    <row r="83" spans="1:3" x14ac:dyDescent="0.35">
      <c r="A83" s="25" t="s">
        <v>859</v>
      </c>
      <c r="B83" s="78"/>
    </row>
    <row r="84" spans="1:3" x14ac:dyDescent="0.35">
      <c r="A84" s="25" t="s">
        <v>2243</v>
      </c>
      <c r="B84" s="78"/>
    </row>
    <row r="85" spans="1:3" x14ac:dyDescent="0.35">
      <c r="A85" s="25" t="s">
        <v>2244</v>
      </c>
      <c r="B85" s="78"/>
    </row>
    <row r="86" spans="1:3" x14ac:dyDescent="0.35">
      <c r="A86" s="25" t="s">
        <v>2311</v>
      </c>
      <c r="B86" s="78"/>
    </row>
    <row r="87" spans="1:3" x14ac:dyDescent="0.35">
      <c r="A87" s="25" t="s">
        <v>2314</v>
      </c>
      <c r="B87" s="78">
        <v>30</v>
      </c>
      <c r="C87" s="78">
        <v>30</v>
      </c>
    </row>
    <row r="88" spans="1:3" x14ac:dyDescent="0.35">
      <c r="A88" s="25" t="s">
        <v>3624</v>
      </c>
      <c r="B88" s="78">
        <v>30</v>
      </c>
      <c r="C88" s="78">
        <v>30</v>
      </c>
    </row>
    <row r="89" spans="1:3" x14ac:dyDescent="0.35">
      <c r="A89" s="25" t="s">
        <v>3611</v>
      </c>
      <c r="B89" s="78"/>
    </row>
    <row r="90" spans="1:3" x14ac:dyDescent="0.35">
      <c r="A90" s="25" t="s">
        <v>3615</v>
      </c>
      <c r="B90" s="78"/>
    </row>
    <row r="91" spans="1:3" x14ac:dyDescent="0.35">
      <c r="A91" s="74" t="s">
        <v>1594</v>
      </c>
      <c r="B91" s="78">
        <v>6</v>
      </c>
      <c r="C91" s="78">
        <v>1</v>
      </c>
    </row>
    <row r="92" spans="1:3" x14ac:dyDescent="0.35">
      <c r="A92" s="74" t="s">
        <v>1595</v>
      </c>
      <c r="B92" s="78"/>
    </row>
    <row r="93" spans="1:3" x14ac:dyDescent="0.35">
      <c r="A93" s="74" t="s">
        <v>1596</v>
      </c>
      <c r="B93" s="78"/>
    </row>
    <row r="94" spans="1:3" x14ac:dyDescent="0.35">
      <c r="A94" s="74" t="s">
        <v>1597</v>
      </c>
      <c r="B94" s="78"/>
    </row>
    <row r="95" spans="1:3" x14ac:dyDescent="0.35">
      <c r="A95" s="25" t="s">
        <v>2161</v>
      </c>
      <c r="B95" s="79">
        <v>40909</v>
      </c>
      <c r="C95" s="79">
        <v>40909</v>
      </c>
    </row>
    <row r="96" spans="1:3" x14ac:dyDescent="0.35">
      <c r="A96" s="25" t="s">
        <v>2745</v>
      </c>
      <c r="B96" s="78">
        <v>100</v>
      </c>
      <c r="C96" s="78">
        <v>100</v>
      </c>
    </row>
    <row r="97" spans="1:3" x14ac:dyDescent="0.35">
      <c r="A97" s="25" t="s">
        <v>2669</v>
      </c>
      <c r="B97" s="78" t="b">
        <v>0</v>
      </c>
      <c r="C97" s="78" t="b">
        <v>0</v>
      </c>
    </row>
    <row r="98" spans="1:3" x14ac:dyDescent="0.35">
      <c r="A98" s="25" t="s">
        <v>1562</v>
      </c>
      <c r="B98" s="78">
        <v>24</v>
      </c>
      <c r="C98" s="78">
        <v>1</v>
      </c>
    </row>
    <row r="99" spans="1:3" x14ac:dyDescent="0.35">
      <c r="A99" s="25" t="s">
        <v>1563</v>
      </c>
      <c r="B99" s="78">
        <v>29</v>
      </c>
      <c r="C99" s="78">
        <v>1</v>
      </c>
    </row>
    <row r="100" spans="1:3" x14ac:dyDescent="0.35">
      <c r="A100" s="25" t="s">
        <v>1564</v>
      </c>
      <c r="B100" s="78">
        <v>1</v>
      </c>
      <c r="C100" s="78">
        <v>1</v>
      </c>
    </row>
    <row r="101" spans="1:3" x14ac:dyDescent="0.35">
      <c r="A101" s="25" t="s">
        <v>1565</v>
      </c>
      <c r="B101" s="78">
        <v>1</v>
      </c>
      <c r="C101" s="78">
        <v>1</v>
      </c>
    </row>
    <row r="102" spans="1:3" x14ac:dyDescent="0.35">
      <c r="A102" s="25" t="s">
        <v>1566</v>
      </c>
      <c r="B102" s="78">
        <v>1</v>
      </c>
      <c r="C102" s="78">
        <v>1</v>
      </c>
    </row>
    <row r="103" spans="1:3" x14ac:dyDescent="0.35">
      <c r="A103" s="25" t="s">
        <v>3746</v>
      </c>
      <c r="B103" s="78">
        <v>1</v>
      </c>
      <c r="C103" s="78">
        <v>1</v>
      </c>
    </row>
    <row r="104" spans="1:3" x14ac:dyDescent="0.35">
      <c r="A104" s="25" t="s">
        <v>3616</v>
      </c>
      <c r="B104" s="78"/>
    </row>
    <row r="105" spans="1:3" x14ac:dyDescent="0.35">
      <c r="A105" s="25" t="s">
        <v>3747</v>
      </c>
      <c r="B105" s="78">
        <v>5</v>
      </c>
      <c r="C105" s="78">
        <v>5</v>
      </c>
    </row>
    <row r="106" spans="1:3" x14ac:dyDescent="0.35">
      <c r="A106" s="25" t="s">
        <v>3748</v>
      </c>
      <c r="B106" s="78">
        <v>20</v>
      </c>
      <c r="C106" s="78">
        <v>20</v>
      </c>
    </row>
    <row r="107" spans="1:3" x14ac:dyDescent="0.35">
      <c r="A107" s="25" t="s">
        <v>3749</v>
      </c>
      <c r="B107" s="78">
        <v>15</v>
      </c>
      <c r="C107" s="78">
        <v>15</v>
      </c>
    </row>
    <row r="108" spans="1:3" x14ac:dyDescent="0.35">
      <c r="A108" s="25" t="s">
        <v>3750</v>
      </c>
      <c r="B108" s="78">
        <v>10</v>
      </c>
      <c r="C108" s="78">
        <v>10</v>
      </c>
    </row>
    <row r="109" spans="1:3" x14ac:dyDescent="0.35">
      <c r="A109" s="25" t="s">
        <v>3751</v>
      </c>
      <c r="B109" s="78">
        <v>10</v>
      </c>
      <c r="C109" s="78">
        <v>10</v>
      </c>
    </row>
    <row r="110" spans="1:3" x14ac:dyDescent="0.35">
      <c r="A110" t="s">
        <v>2643</v>
      </c>
      <c r="B110">
        <v>10</v>
      </c>
      <c r="C110">
        <v>10</v>
      </c>
    </row>
    <row r="111" spans="1:3" x14ac:dyDescent="0.35">
      <c r="A111" t="s">
        <v>2644</v>
      </c>
      <c r="B111">
        <v>30</v>
      </c>
      <c r="C111">
        <v>30</v>
      </c>
    </row>
    <row r="112" spans="1:3" x14ac:dyDescent="0.35">
      <c r="A112" t="s">
        <v>2645</v>
      </c>
      <c r="B112">
        <v>240</v>
      </c>
      <c r="C112">
        <v>250</v>
      </c>
    </row>
    <row r="113" spans="1:3" x14ac:dyDescent="0.35">
      <c r="A113" t="s">
        <v>5054</v>
      </c>
      <c r="C113"/>
    </row>
    <row r="114" spans="1:3" x14ac:dyDescent="0.35">
      <c r="A114" t="s">
        <v>5055</v>
      </c>
      <c r="B114">
        <v>10</v>
      </c>
      <c r="C114">
        <v>10</v>
      </c>
    </row>
    <row r="115" spans="1:3" x14ac:dyDescent="0.35">
      <c r="A115" t="s">
        <v>5056</v>
      </c>
      <c r="C115"/>
    </row>
    <row r="116" spans="1:3" x14ac:dyDescent="0.35">
      <c r="A116" s="25" t="s">
        <v>3752</v>
      </c>
      <c r="B116" s="78">
        <v>10</v>
      </c>
      <c r="C116" s="78">
        <v>10</v>
      </c>
    </row>
    <row r="117" spans="1:3" x14ac:dyDescent="0.35">
      <c r="A117" s="25" t="s">
        <v>4610</v>
      </c>
      <c r="B117" s="78"/>
    </row>
    <row r="118" spans="1:3" x14ac:dyDescent="0.35">
      <c r="A118" s="25" t="s">
        <v>4611</v>
      </c>
      <c r="B118" s="78">
        <v>6</v>
      </c>
      <c r="C118" s="78">
        <v>6</v>
      </c>
    </row>
    <row r="119" spans="1:3" x14ac:dyDescent="0.35">
      <c r="A119" s="25" t="s">
        <v>5052</v>
      </c>
      <c r="B119" s="78">
        <v>2</v>
      </c>
      <c r="C119" s="78">
        <v>2</v>
      </c>
    </row>
    <row r="120" spans="1:3" x14ac:dyDescent="0.35">
      <c r="A120" s="25" t="s">
        <v>5053</v>
      </c>
      <c r="B120" s="78">
        <v>70</v>
      </c>
      <c r="C120" s="78">
        <v>70</v>
      </c>
    </row>
    <row r="121" spans="1:3" x14ac:dyDescent="0.35">
      <c r="A121" s="25" t="s">
        <v>3753</v>
      </c>
      <c r="B121" s="78">
        <v>5</v>
      </c>
      <c r="C121" s="78">
        <v>5</v>
      </c>
    </row>
    <row r="122" spans="1:3" x14ac:dyDescent="0.35">
      <c r="A122" s="25" t="s">
        <v>3754</v>
      </c>
      <c r="B122" s="78">
        <v>25</v>
      </c>
      <c r="C122" s="78">
        <v>25</v>
      </c>
    </row>
    <row r="123" spans="1:3" x14ac:dyDescent="0.35">
      <c r="A123" s="25" t="s">
        <v>3755</v>
      </c>
      <c r="B123" s="78">
        <v>100</v>
      </c>
      <c r="C123" s="78">
        <v>100</v>
      </c>
    </row>
    <row r="124" spans="1:3" x14ac:dyDescent="0.35">
      <c r="A124" s="25" t="s">
        <v>3756</v>
      </c>
      <c r="B124" s="78">
        <v>10</v>
      </c>
      <c r="C124" s="78">
        <v>10</v>
      </c>
    </row>
    <row r="125" spans="1:3" x14ac:dyDescent="0.35">
      <c r="A125" s="25" t="s">
        <v>3757</v>
      </c>
      <c r="B125" s="78">
        <v>5</v>
      </c>
      <c r="C125" s="78">
        <v>5</v>
      </c>
    </row>
    <row r="126" spans="1:3" x14ac:dyDescent="0.35">
      <c r="A126" s="25" t="s">
        <v>3758</v>
      </c>
      <c r="B126" s="78">
        <v>10</v>
      </c>
      <c r="C126" s="78">
        <v>10</v>
      </c>
    </row>
    <row r="127" spans="1:3" x14ac:dyDescent="0.35">
      <c r="A127" s="25" t="s">
        <v>2167</v>
      </c>
      <c r="B127" s="78">
        <v>5</v>
      </c>
      <c r="C127" s="78">
        <v>5</v>
      </c>
    </row>
    <row r="128" spans="1:3" x14ac:dyDescent="0.35">
      <c r="A128" s="25" t="s">
        <v>4055</v>
      </c>
      <c r="B128" s="78">
        <v>10</v>
      </c>
      <c r="C128" s="78">
        <v>10</v>
      </c>
    </row>
    <row r="129" spans="1:3" x14ac:dyDescent="0.35">
      <c r="A129" s="25" t="s">
        <v>4056</v>
      </c>
      <c r="B129" s="78">
        <v>10</v>
      </c>
      <c r="C129" s="78">
        <v>10</v>
      </c>
    </row>
    <row r="130" spans="1:3" x14ac:dyDescent="0.35">
      <c r="A130" s="25" t="s">
        <v>4057</v>
      </c>
      <c r="B130" s="78">
        <v>10</v>
      </c>
      <c r="C130" s="78">
        <v>10</v>
      </c>
    </row>
    <row r="131" spans="1:3" x14ac:dyDescent="0.35">
      <c r="A131" s="25" t="s">
        <v>4058</v>
      </c>
      <c r="B131" s="78">
        <v>10</v>
      </c>
      <c r="C131" s="78">
        <v>10</v>
      </c>
    </row>
    <row r="132" spans="1:3" x14ac:dyDescent="0.35">
      <c r="A132" s="25" t="s">
        <v>4059</v>
      </c>
      <c r="B132" s="78">
        <v>10</v>
      </c>
      <c r="C132" s="78">
        <v>10</v>
      </c>
    </row>
    <row r="133" spans="1:3" x14ac:dyDescent="0.35">
      <c r="A133" t="s">
        <v>3186</v>
      </c>
      <c r="B133">
        <v>10</v>
      </c>
      <c r="C133">
        <v>10</v>
      </c>
    </row>
    <row r="134" spans="1:3" x14ac:dyDescent="0.35">
      <c r="A134" t="s">
        <v>3187</v>
      </c>
      <c r="B134">
        <v>10</v>
      </c>
      <c r="C134">
        <v>10</v>
      </c>
    </row>
    <row r="135" spans="1:3" x14ac:dyDescent="0.35">
      <c r="A135" t="s">
        <v>2642</v>
      </c>
      <c r="B135">
        <v>10</v>
      </c>
      <c r="C135">
        <v>10</v>
      </c>
    </row>
    <row r="136" spans="1:3" x14ac:dyDescent="0.35">
      <c r="A136" t="s">
        <v>5061</v>
      </c>
      <c r="C136"/>
    </row>
    <row r="137" spans="1:3" x14ac:dyDescent="0.35">
      <c r="A137" t="s">
        <v>5062</v>
      </c>
      <c r="B137">
        <v>10</v>
      </c>
      <c r="C137">
        <v>10</v>
      </c>
    </row>
    <row r="138" spans="1:3" x14ac:dyDescent="0.35">
      <c r="A138" t="s">
        <v>5063</v>
      </c>
      <c r="C138"/>
    </row>
    <row r="139" spans="1:3" x14ac:dyDescent="0.35">
      <c r="A139" s="25" t="s">
        <v>4060</v>
      </c>
      <c r="B139" s="78">
        <v>10</v>
      </c>
      <c r="C139" s="78">
        <v>10</v>
      </c>
    </row>
    <row r="140" spans="1:3" x14ac:dyDescent="0.35">
      <c r="A140" s="25" t="s">
        <v>5057</v>
      </c>
      <c r="B140" s="78"/>
    </row>
    <row r="141" spans="1:3" x14ac:dyDescent="0.35">
      <c r="A141" s="25" t="s">
        <v>5058</v>
      </c>
      <c r="B141" s="78">
        <v>10</v>
      </c>
      <c r="C141" s="78">
        <v>10</v>
      </c>
    </row>
    <row r="142" spans="1:3" x14ac:dyDescent="0.35">
      <c r="A142" s="25" t="s">
        <v>5059</v>
      </c>
      <c r="B142" s="78">
        <v>10</v>
      </c>
      <c r="C142" s="78">
        <v>10</v>
      </c>
    </row>
    <row r="143" spans="1:3" x14ac:dyDescent="0.35">
      <c r="A143" s="25" t="s">
        <v>5060</v>
      </c>
      <c r="B143" s="78">
        <v>10</v>
      </c>
      <c r="C143" s="78">
        <v>10</v>
      </c>
    </row>
    <row r="144" spans="1:3" x14ac:dyDescent="0.35">
      <c r="A144" s="25" t="s">
        <v>4061</v>
      </c>
      <c r="B144" s="78">
        <v>10</v>
      </c>
      <c r="C144" s="78">
        <v>10</v>
      </c>
    </row>
    <row r="145" spans="1:8" x14ac:dyDescent="0.35">
      <c r="A145" s="25" t="s">
        <v>1670</v>
      </c>
      <c r="B145" s="78">
        <v>10</v>
      </c>
      <c r="C145" s="78">
        <v>10</v>
      </c>
    </row>
    <row r="146" spans="1:8" x14ac:dyDescent="0.35">
      <c r="A146" s="25" t="s">
        <v>2198</v>
      </c>
      <c r="B146" s="78">
        <v>10</v>
      </c>
      <c r="C146" s="78">
        <v>10</v>
      </c>
    </row>
    <row r="147" spans="1:8" x14ac:dyDescent="0.35">
      <c r="A147" s="25" t="s">
        <v>3195</v>
      </c>
      <c r="B147" s="78">
        <v>10</v>
      </c>
      <c r="C147" s="78">
        <v>10</v>
      </c>
    </row>
    <row r="148" spans="1:8" x14ac:dyDescent="0.35">
      <c r="A148" s="25" t="s">
        <v>3198</v>
      </c>
      <c r="B148" s="78">
        <v>10</v>
      </c>
      <c r="C148" s="78">
        <v>10</v>
      </c>
    </row>
    <row r="149" spans="1:8" x14ac:dyDescent="0.35">
      <c r="A149" s="25" t="s">
        <v>462</v>
      </c>
      <c r="B149" s="78">
        <v>10</v>
      </c>
      <c r="C149" s="78">
        <v>10</v>
      </c>
    </row>
    <row r="150" spans="1:8" x14ac:dyDescent="0.35">
      <c r="A150" s="25" t="s">
        <v>463</v>
      </c>
      <c r="B150" s="78">
        <v>10</v>
      </c>
      <c r="C150" s="78">
        <v>10</v>
      </c>
    </row>
    <row r="151" spans="1:8" x14ac:dyDescent="0.35">
      <c r="A151" s="25" t="s">
        <v>1372</v>
      </c>
      <c r="B151" s="78" t="b">
        <v>1</v>
      </c>
      <c r="C151" s="78" t="b">
        <v>0</v>
      </c>
    </row>
    <row r="152" spans="1:8" x14ac:dyDescent="0.35">
      <c r="A152" s="25" t="s">
        <v>3562</v>
      </c>
      <c r="C152"/>
    </row>
    <row r="153" spans="1:8" x14ac:dyDescent="0.35">
      <c r="A153" s="25" t="s">
        <v>1373</v>
      </c>
      <c r="B153" s="78"/>
    </row>
    <row r="154" spans="1:8" x14ac:dyDescent="0.35">
      <c r="A154" s="25" t="s">
        <v>3563</v>
      </c>
      <c r="C154"/>
    </row>
    <row r="155" spans="1:8" x14ac:dyDescent="0.35">
      <c r="A155" s="74" t="s">
        <v>1598</v>
      </c>
      <c r="B155" s="78">
        <v>3</v>
      </c>
      <c r="C155" s="78">
        <v>1</v>
      </c>
    </row>
    <row r="156" spans="1:8" x14ac:dyDescent="0.35">
      <c r="A156" s="74" t="s">
        <v>1599</v>
      </c>
      <c r="B156" s="78"/>
    </row>
    <row r="157" spans="1:8" x14ac:dyDescent="0.35">
      <c r="A157" s="74" t="s">
        <v>1600</v>
      </c>
      <c r="B157" s="78"/>
      <c r="G157" s="25"/>
      <c r="H157" s="25"/>
    </row>
    <row r="158" spans="1:8" x14ac:dyDescent="0.35">
      <c r="A158" s="74" t="s">
        <v>1601</v>
      </c>
      <c r="B158" s="78"/>
      <c r="G158" s="25"/>
      <c r="H158" s="25"/>
    </row>
    <row r="159" spans="1:8" x14ac:dyDescent="0.35">
      <c r="A159" s="25" t="s">
        <v>3093</v>
      </c>
      <c r="B159" s="78" t="b">
        <v>0</v>
      </c>
      <c r="C159" s="78" t="b">
        <v>0</v>
      </c>
      <c r="G159" s="25"/>
      <c r="H159" s="25"/>
    </row>
    <row r="160" spans="1:8" x14ac:dyDescent="0.35">
      <c r="A160" s="25" t="s">
        <v>379</v>
      </c>
      <c r="B160" s="78"/>
      <c r="G160" s="25"/>
      <c r="H160" s="25"/>
    </row>
    <row r="161" spans="1:8" x14ac:dyDescent="0.35">
      <c r="A161" s="25" t="s">
        <v>3801</v>
      </c>
      <c r="B161" s="78" t="b">
        <v>0</v>
      </c>
      <c r="G161" s="25"/>
      <c r="H161" s="25"/>
    </row>
    <row r="162" spans="1:8" x14ac:dyDescent="0.35">
      <c r="A162" s="25" t="s">
        <v>3809</v>
      </c>
      <c r="B162" s="78" t="b">
        <v>0</v>
      </c>
      <c r="G162" s="25"/>
      <c r="H162" s="25"/>
    </row>
    <row r="163" spans="1:8" x14ac:dyDescent="0.35">
      <c r="A163" s="25" t="s">
        <v>3810</v>
      </c>
      <c r="B163" s="78"/>
      <c r="G163" s="25"/>
      <c r="H163" s="25"/>
    </row>
    <row r="164" spans="1:8" x14ac:dyDescent="0.35">
      <c r="A164" s="25" t="s">
        <v>1558</v>
      </c>
      <c r="B164" s="78" t="b">
        <v>0</v>
      </c>
      <c r="G164" s="25"/>
      <c r="H164" s="25"/>
    </row>
    <row r="165" spans="1:8" x14ac:dyDescent="0.35">
      <c r="A165" s="25" t="s">
        <v>1559</v>
      </c>
      <c r="B165" s="78" t="b">
        <v>0</v>
      </c>
      <c r="G165" s="25"/>
      <c r="H165" s="25"/>
    </row>
    <row r="166" spans="1:8" x14ac:dyDescent="0.35">
      <c r="A166" s="25" t="s">
        <v>1560</v>
      </c>
      <c r="B166" s="78"/>
      <c r="G166" s="25"/>
      <c r="H166" s="25"/>
    </row>
    <row r="167" spans="1:8" x14ac:dyDescent="0.35">
      <c r="A167" s="25" t="s">
        <v>1561</v>
      </c>
      <c r="B167" s="78"/>
      <c r="G167" s="25"/>
      <c r="H167" s="25"/>
    </row>
    <row r="168" spans="1:8" x14ac:dyDescent="0.35">
      <c r="A168" s="25" t="s">
        <v>2889</v>
      </c>
      <c r="B168" s="78"/>
      <c r="G168" s="25"/>
      <c r="H168" s="25"/>
    </row>
    <row r="169" spans="1:8" x14ac:dyDescent="0.35">
      <c r="A169" s="25" t="s">
        <v>2890</v>
      </c>
      <c r="B169" s="78"/>
      <c r="G169" s="25"/>
      <c r="H169" s="25"/>
    </row>
    <row r="170" spans="1:8" x14ac:dyDescent="0.35">
      <c r="A170" s="25" t="s">
        <v>3802</v>
      </c>
      <c r="B170" s="78"/>
      <c r="G170" s="25"/>
      <c r="H170" s="25"/>
    </row>
    <row r="171" spans="1:8" x14ac:dyDescent="0.35">
      <c r="A171" s="25" t="s">
        <v>3803</v>
      </c>
      <c r="B171" s="78"/>
      <c r="G171" s="25"/>
      <c r="H171" s="25"/>
    </row>
    <row r="172" spans="1:8" x14ac:dyDescent="0.35">
      <c r="A172" s="25" t="s">
        <v>3804</v>
      </c>
      <c r="B172" s="78"/>
      <c r="G172" s="25"/>
      <c r="H172" s="25"/>
    </row>
    <row r="173" spans="1:8" x14ac:dyDescent="0.35">
      <c r="A173" s="25" t="s">
        <v>3805</v>
      </c>
      <c r="B173" s="78"/>
      <c r="G173" s="25"/>
      <c r="H173" s="25"/>
    </row>
    <row r="174" spans="1:8" x14ac:dyDescent="0.35">
      <c r="A174" s="25" t="s">
        <v>3806</v>
      </c>
      <c r="B174" s="78"/>
      <c r="G174" s="25"/>
      <c r="H174" s="25"/>
    </row>
    <row r="175" spans="1:8" x14ac:dyDescent="0.35">
      <c r="A175" s="25" t="s">
        <v>3807</v>
      </c>
      <c r="B175" s="78"/>
      <c r="G175" s="25"/>
      <c r="H175" s="25"/>
    </row>
    <row r="176" spans="1:8" x14ac:dyDescent="0.35">
      <c r="A176" s="25" t="s">
        <v>3808</v>
      </c>
      <c r="B176" s="78"/>
      <c r="G176" s="25"/>
      <c r="H176" s="25"/>
    </row>
    <row r="177" spans="1:8" x14ac:dyDescent="0.35">
      <c r="A177" s="25" t="s">
        <v>1141</v>
      </c>
      <c r="B177" s="78"/>
      <c r="G177" s="25"/>
      <c r="H177" s="25"/>
    </row>
    <row r="178" spans="1:8" x14ac:dyDescent="0.35">
      <c r="A178" s="25" t="s">
        <v>1142</v>
      </c>
      <c r="B178" s="78"/>
      <c r="G178" s="25"/>
      <c r="H178" s="25"/>
    </row>
    <row r="179" spans="1:8" x14ac:dyDescent="0.35">
      <c r="A179" s="25" t="s">
        <v>1143</v>
      </c>
      <c r="B179" s="78"/>
      <c r="G179" s="25"/>
      <c r="H179" s="25"/>
    </row>
    <row r="180" spans="1:8" x14ac:dyDescent="0.35">
      <c r="A180" s="25" t="s">
        <v>1144</v>
      </c>
      <c r="B180" s="78"/>
      <c r="G180" s="25"/>
      <c r="H180" s="25"/>
    </row>
    <row r="181" spans="1:8" x14ac:dyDescent="0.35">
      <c r="A181" s="25" t="s">
        <v>1145</v>
      </c>
      <c r="B181" s="78"/>
      <c r="G181" s="25"/>
      <c r="H181" s="25"/>
    </row>
    <row r="182" spans="1:8" x14ac:dyDescent="0.35">
      <c r="A182" s="25" t="s">
        <v>1146</v>
      </c>
      <c r="B182" s="78"/>
      <c r="G182" s="25"/>
      <c r="H182" s="25"/>
    </row>
    <row r="183" spans="1:8" x14ac:dyDescent="0.35">
      <c r="A183" s="25" t="s">
        <v>1147</v>
      </c>
      <c r="B183" s="78"/>
      <c r="G183" s="25"/>
      <c r="H183" s="25"/>
    </row>
    <row r="184" spans="1:8" x14ac:dyDescent="0.35">
      <c r="A184" s="25" t="s">
        <v>1148</v>
      </c>
      <c r="B184" s="78"/>
      <c r="G184" s="25"/>
      <c r="H184" s="25"/>
    </row>
    <row r="185" spans="1:8" x14ac:dyDescent="0.35">
      <c r="A185" s="25" t="s">
        <v>1149</v>
      </c>
      <c r="B185" s="78"/>
      <c r="G185" s="25"/>
      <c r="H185" s="25"/>
    </row>
    <row r="186" spans="1:8" x14ac:dyDescent="0.35">
      <c r="A186" s="25" t="s">
        <v>1150</v>
      </c>
      <c r="B186" s="78"/>
      <c r="G186" s="25"/>
      <c r="H186" s="25"/>
    </row>
    <row r="187" spans="1:8" x14ac:dyDescent="0.35">
      <c r="A187" s="25" t="s">
        <v>1151</v>
      </c>
      <c r="B187" s="78"/>
      <c r="G187" s="25"/>
      <c r="H187" s="25"/>
    </row>
    <row r="188" spans="1:8" x14ac:dyDescent="0.35">
      <c r="A188" s="25" t="s">
        <v>1152</v>
      </c>
      <c r="B188" s="78" t="b">
        <v>1</v>
      </c>
      <c r="G188" s="25"/>
      <c r="H188" s="25"/>
    </row>
    <row r="189" spans="1:8" x14ac:dyDescent="0.35">
      <c r="A189" s="25" t="s">
        <v>1153</v>
      </c>
      <c r="B189" s="78" t="b">
        <v>1</v>
      </c>
      <c r="G189" s="25"/>
      <c r="H189" s="25"/>
    </row>
    <row r="190" spans="1:8" x14ac:dyDescent="0.35">
      <c r="A190" s="25" t="s">
        <v>1154</v>
      </c>
      <c r="B190" s="78"/>
      <c r="G190" s="25"/>
      <c r="H190" s="25"/>
    </row>
    <row r="191" spans="1:8" x14ac:dyDescent="0.35">
      <c r="A191" s="25" t="s">
        <v>1155</v>
      </c>
      <c r="B191" s="78" t="b">
        <v>1</v>
      </c>
      <c r="G191" s="25"/>
      <c r="H191" s="25"/>
    </row>
    <row r="192" spans="1:8" x14ac:dyDescent="0.35">
      <c r="A192" s="25" t="s">
        <v>1156</v>
      </c>
      <c r="B192" s="78" t="b">
        <v>0</v>
      </c>
      <c r="G192" s="25"/>
      <c r="H192" s="25"/>
    </row>
    <row r="193" spans="1:8" x14ac:dyDescent="0.35">
      <c r="A193" s="25" t="s">
        <v>2563</v>
      </c>
      <c r="B193" s="78"/>
      <c r="G193" s="25"/>
      <c r="H193" s="25"/>
    </row>
    <row r="194" spans="1:8" x14ac:dyDescent="0.35">
      <c r="A194" s="25" t="s">
        <v>2564</v>
      </c>
      <c r="B194" s="78"/>
      <c r="G194" s="25"/>
      <c r="H194" s="25"/>
    </row>
    <row r="195" spans="1:8" x14ac:dyDescent="0.35">
      <c r="A195" s="25" t="s">
        <v>2565</v>
      </c>
      <c r="B195" s="78"/>
      <c r="G195" s="25"/>
      <c r="H195" s="25"/>
    </row>
    <row r="196" spans="1:8" x14ac:dyDescent="0.35">
      <c r="A196" s="25" t="s">
        <v>2566</v>
      </c>
      <c r="B196" s="78"/>
      <c r="G196" s="25"/>
      <c r="H196" s="25"/>
    </row>
    <row r="197" spans="1:8" x14ac:dyDescent="0.35">
      <c r="A197" s="25" t="s">
        <v>2567</v>
      </c>
      <c r="B197" s="78"/>
      <c r="G197" s="25"/>
      <c r="H197" s="25"/>
    </row>
    <row r="198" spans="1:8" x14ac:dyDescent="0.35">
      <c r="A198" s="25" t="s">
        <v>2568</v>
      </c>
      <c r="B198" s="78"/>
      <c r="G198" s="25"/>
      <c r="H198" s="25"/>
    </row>
    <row r="199" spans="1:8" x14ac:dyDescent="0.35">
      <c r="A199" s="25" t="s">
        <v>2569</v>
      </c>
      <c r="B199" s="78"/>
      <c r="G199" s="25"/>
      <c r="H199" s="25"/>
    </row>
    <row r="200" spans="1:8" x14ac:dyDescent="0.35">
      <c r="A200" s="25" t="s">
        <v>2570</v>
      </c>
      <c r="B200" s="78"/>
      <c r="G200" s="25"/>
      <c r="H200" s="25"/>
    </row>
    <row r="201" spans="1:8" x14ac:dyDescent="0.35">
      <c r="A201" s="25" t="s">
        <v>2571</v>
      </c>
      <c r="B201" s="78"/>
      <c r="G201" s="25"/>
      <c r="H201" s="25"/>
    </row>
    <row r="202" spans="1:8" x14ac:dyDescent="0.35">
      <c r="A202" s="25" t="s">
        <v>2572</v>
      </c>
      <c r="B202" s="78"/>
      <c r="G202" s="25"/>
      <c r="H202" s="25"/>
    </row>
    <row r="203" spans="1:8" x14ac:dyDescent="0.35">
      <c r="A203" s="25" t="s">
        <v>2573</v>
      </c>
      <c r="B203" s="78"/>
      <c r="G203" s="25"/>
      <c r="H203" s="25"/>
    </row>
    <row r="204" spans="1:8" x14ac:dyDescent="0.35">
      <c r="A204" s="25" t="s">
        <v>2574</v>
      </c>
      <c r="B204" s="78"/>
      <c r="G204" s="25"/>
      <c r="H204" s="25"/>
    </row>
    <row r="205" spans="1:8" x14ac:dyDescent="0.35">
      <c r="A205" s="25" t="s">
        <v>2575</v>
      </c>
      <c r="B205" s="78"/>
      <c r="G205" s="25"/>
      <c r="H205" s="25"/>
    </row>
    <row r="206" spans="1:8" x14ac:dyDescent="0.35">
      <c r="A206" s="25" t="s">
        <v>2576</v>
      </c>
      <c r="B206" s="78"/>
      <c r="G206" s="25"/>
      <c r="H206" s="25"/>
    </row>
    <row r="207" spans="1:8" x14ac:dyDescent="0.35">
      <c r="A207" s="25" t="s">
        <v>2577</v>
      </c>
      <c r="B207" s="78"/>
      <c r="G207" s="25"/>
      <c r="H207" s="25"/>
    </row>
    <row r="208" spans="1:8" x14ac:dyDescent="0.35">
      <c r="A208" s="25" t="s">
        <v>2578</v>
      </c>
      <c r="B208" s="78"/>
      <c r="G208" s="25"/>
      <c r="H208" s="25"/>
    </row>
    <row r="209" spans="1:8" x14ac:dyDescent="0.35">
      <c r="A209" s="25" t="s">
        <v>2579</v>
      </c>
      <c r="B209" s="78"/>
      <c r="G209" s="25"/>
      <c r="H209" s="25"/>
    </row>
    <row r="210" spans="1:8" x14ac:dyDescent="0.35">
      <c r="A210" s="25" t="s">
        <v>2580</v>
      </c>
      <c r="B210" s="78"/>
      <c r="G210" s="25"/>
      <c r="H210" s="25"/>
    </row>
    <row r="211" spans="1:8" x14ac:dyDescent="0.35">
      <c r="A211" s="25" t="s">
        <v>2581</v>
      </c>
      <c r="B211" s="78"/>
      <c r="G211" s="25"/>
      <c r="H211" s="25"/>
    </row>
    <row r="212" spans="1:8" x14ac:dyDescent="0.35">
      <c r="A212" s="25" t="s">
        <v>2582</v>
      </c>
      <c r="B212" s="78"/>
      <c r="G212" s="25"/>
      <c r="H212" s="25"/>
    </row>
    <row r="213" spans="1:8" x14ac:dyDescent="0.35">
      <c r="A213" s="25" t="s">
        <v>2583</v>
      </c>
      <c r="B213" s="78"/>
      <c r="G213" s="25"/>
      <c r="H213" s="25"/>
    </row>
    <row r="214" spans="1:8" x14ac:dyDescent="0.35">
      <c r="A214" s="25" t="s">
        <v>2584</v>
      </c>
      <c r="B214" s="78"/>
      <c r="G214" s="25"/>
      <c r="H214" s="25"/>
    </row>
    <row r="215" spans="1:8" x14ac:dyDescent="0.35">
      <c r="A215" s="25" t="s">
        <v>2585</v>
      </c>
      <c r="B215" s="78"/>
      <c r="G215" s="25"/>
      <c r="H215" s="25"/>
    </row>
    <row r="216" spans="1:8" x14ac:dyDescent="0.35">
      <c r="A216" s="25" t="s">
        <v>2586</v>
      </c>
      <c r="B216" s="78"/>
      <c r="G216" s="25"/>
      <c r="H216" s="25"/>
    </row>
    <row r="217" spans="1:8" x14ac:dyDescent="0.35">
      <c r="A217" s="25" t="s">
        <v>2587</v>
      </c>
      <c r="B217" s="78"/>
      <c r="G217" s="25"/>
      <c r="H217" s="25"/>
    </row>
    <row r="218" spans="1:8" x14ac:dyDescent="0.35">
      <c r="A218" s="25" t="s">
        <v>2588</v>
      </c>
      <c r="B218" s="78"/>
      <c r="G218" s="25"/>
      <c r="H218" s="25"/>
    </row>
    <row r="219" spans="1:8" x14ac:dyDescent="0.35">
      <c r="A219" s="25" t="s">
        <v>2589</v>
      </c>
      <c r="B219" s="78"/>
      <c r="G219" s="25"/>
      <c r="H219" s="25"/>
    </row>
    <row r="220" spans="1:8" x14ac:dyDescent="0.35">
      <c r="A220" s="25" t="s">
        <v>2590</v>
      </c>
      <c r="B220" s="78"/>
      <c r="G220" s="25"/>
      <c r="H220" s="25"/>
    </row>
    <row r="221" spans="1:8" x14ac:dyDescent="0.35">
      <c r="A221" s="25" t="s">
        <v>2591</v>
      </c>
      <c r="B221" s="78"/>
      <c r="G221" s="25"/>
      <c r="H221" s="25"/>
    </row>
    <row r="222" spans="1:8" x14ac:dyDescent="0.35">
      <c r="A222" s="25" t="s">
        <v>2592</v>
      </c>
      <c r="B222" s="78"/>
      <c r="G222" s="25"/>
      <c r="H222" s="25"/>
    </row>
    <row r="223" spans="1:8" x14ac:dyDescent="0.35">
      <c r="A223" s="25" t="s">
        <v>2593</v>
      </c>
      <c r="B223" s="78"/>
      <c r="G223" s="25"/>
      <c r="H223" s="25"/>
    </row>
    <row r="224" spans="1:8" x14ac:dyDescent="0.35">
      <c r="A224" s="25" t="s">
        <v>2594</v>
      </c>
      <c r="B224" s="78"/>
      <c r="G224" s="25"/>
      <c r="H224" s="25"/>
    </row>
    <row r="225" spans="1:8" x14ac:dyDescent="0.35">
      <c r="A225" s="25" t="s">
        <v>2595</v>
      </c>
      <c r="B225" s="78"/>
      <c r="G225" s="25"/>
      <c r="H225" s="25"/>
    </row>
    <row r="226" spans="1:8" x14ac:dyDescent="0.35">
      <c r="A226" s="25" t="s">
        <v>2596</v>
      </c>
      <c r="B226" s="78"/>
      <c r="G226" s="25"/>
      <c r="H226" s="25"/>
    </row>
    <row r="227" spans="1:8" x14ac:dyDescent="0.35">
      <c r="A227" s="25" t="s">
        <v>2597</v>
      </c>
      <c r="B227" s="78"/>
      <c r="G227" s="25"/>
      <c r="H227" s="25"/>
    </row>
    <row r="228" spans="1:8" x14ac:dyDescent="0.35">
      <c r="A228" s="25" t="s">
        <v>2598</v>
      </c>
      <c r="B228" s="78"/>
      <c r="G228" s="25"/>
      <c r="H228" s="25"/>
    </row>
    <row r="229" spans="1:8" x14ac:dyDescent="0.35">
      <c r="A229" s="25" t="s">
        <v>2599</v>
      </c>
      <c r="B229" s="78"/>
      <c r="G229" s="25"/>
      <c r="H229" s="25"/>
    </row>
    <row r="230" spans="1:8" x14ac:dyDescent="0.35">
      <c r="A230" s="25" t="s">
        <v>2600</v>
      </c>
      <c r="B230" s="78"/>
      <c r="G230" s="25"/>
      <c r="H230" s="25"/>
    </row>
    <row r="231" spans="1:8" x14ac:dyDescent="0.35">
      <c r="A231" s="25" t="s">
        <v>2601</v>
      </c>
      <c r="B231" s="78"/>
      <c r="G231" s="25"/>
      <c r="H231" s="25"/>
    </row>
    <row r="232" spans="1:8" x14ac:dyDescent="0.35">
      <c r="A232" s="25" t="s">
        <v>2602</v>
      </c>
      <c r="B232" s="78"/>
      <c r="G232" s="25"/>
      <c r="H232" s="25"/>
    </row>
    <row r="233" spans="1:8" x14ac:dyDescent="0.35">
      <c r="A233" s="25" t="s">
        <v>2603</v>
      </c>
      <c r="B233" s="78"/>
      <c r="G233" s="25"/>
      <c r="H233" s="25"/>
    </row>
    <row r="234" spans="1:8" x14ac:dyDescent="0.35">
      <c r="A234" s="25" t="s">
        <v>2604</v>
      </c>
      <c r="B234" s="78"/>
      <c r="G234" s="25"/>
      <c r="H234" s="25"/>
    </row>
    <row r="235" spans="1:8" x14ac:dyDescent="0.35">
      <c r="A235" s="25" t="s">
        <v>2605</v>
      </c>
      <c r="B235" s="78"/>
      <c r="G235" s="25"/>
      <c r="H235" s="25"/>
    </row>
    <row r="236" spans="1:8" x14ac:dyDescent="0.35">
      <c r="A236" s="25" t="s">
        <v>2606</v>
      </c>
      <c r="B236" s="78"/>
      <c r="G236" s="25"/>
      <c r="H236" s="25"/>
    </row>
    <row r="237" spans="1:8" x14ac:dyDescent="0.35">
      <c r="A237" s="25" t="s">
        <v>2607</v>
      </c>
      <c r="B237" s="78"/>
      <c r="G237" s="25"/>
      <c r="H237" s="25"/>
    </row>
    <row r="238" spans="1:8" x14ac:dyDescent="0.35">
      <c r="A238" s="25" t="s">
        <v>2608</v>
      </c>
      <c r="B238" s="78"/>
      <c r="G238" s="25"/>
      <c r="H238" s="25"/>
    </row>
    <row r="239" spans="1:8" x14ac:dyDescent="0.35">
      <c r="A239" s="25" t="s">
        <v>2609</v>
      </c>
      <c r="B239" s="78"/>
      <c r="G239" s="25"/>
      <c r="H239" s="25"/>
    </row>
    <row r="240" spans="1:8" x14ac:dyDescent="0.35">
      <c r="A240" s="25" t="s">
        <v>2610</v>
      </c>
      <c r="B240" s="78"/>
      <c r="G240" s="25"/>
      <c r="H240" s="25"/>
    </row>
    <row r="241" spans="1:8" x14ac:dyDescent="0.35">
      <c r="A241" s="25" t="s">
        <v>2611</v>
      </c>
      <c r="B241" s="78"/>
      <c r="G241" s="25"/>
      <c r="H241" s="25"/>
    </row>
    <row r="242" spans="1:8" x14ac:dyDescent="0.35">
      <c r="A242" s="25" t="s">
        <v>2612</v>
      </c>
      <c r="B242" s="78"/>
      <c r="G242" s="25"/>
      <c r="H242" s="25"/>
    </row>
    <row r="243" spans="1:8" x14ac:dyDescent="0.35">
      <c r="A243" s="25" t="s">
        <v>2613</v>
      </c>
      <c r="B243" s="78"/>
      <c r="G243" s="25"/>
      <c r="H243" s="25"/>
    </row>
    <row r="244" spans="1:8" x14ac:dyDescent="0.35">
      <c r="A244" s="25" t="s">
        <v>2614</v>
      </c>
      <c r="B244" s="78"/>
      <c r="G244" s="25"/>
      <c r="H244" s="25"/>
    </row>
    <row r="245" spans="1:8" x14ac:dyDescent="0.35">
      <c r="A245" s="25" t="s">
        <v>2615</v>
      </c>
      <c r="B245" s="78"/>
      <c r="G245" s="25"/>
      <c r="H245" s="25"/>
    </row>
    <row r="246" spans="1:8" x14ac:dyDescent="0.35">
      <c r="A246" s="25" t="s">
        <v>2616</v>
      </c>
      <c r="B246" s="78"/>
      <c r="G246" s="25"/>
      <c r="H246" s="25"/>
    </row>
    <row r="247" spans="1:8" x14ac:dyDescent="0.35">
      <c r="A247" s="25" t="s">
        <v>2617</v>
      </c>
      <c r="B247" s="78"/>
      <c r="G247" s="25"/>
      <c r="H247" s="25"/>
    </row>
    <row r="248" spans="1:8" x14ac:dyDescent="0.35">
      <c r="A248" s="25" t="s">
        <v>2618</v>
      </c>
      <c r="B248" s="78"/>
      <c r="G248" s="25"/>
      <c r="H248" s="25"/>
    </row>
    <row r="249" spans="1:8" x14ac:dyDescent="0.35">
      <c r="A249" s="25" t="s">
        <v>2619</v>
      </c>
      <c r="B249" s="78"/>
      <c r="G249" s="25"/>
      <c r="H249" s="25"/>
    </row>
    <row r="250" spans="1:8" x14ac:dyDescent="0.35">
      <c r="A250" s="25" t="s">
        <v>2620</v>
      </c>
      <c r="B250" s="78"/>
      <c r="G250" s="25"/>
      <c r="H250" s="25"/>
    </row>
    <row r="251" spans="1:8" x14ac:dyDescent="0.35">
      <c r="A251" s="25" t="s">
        <v>2621</v>
      </c>
      <c r="B251" s="78"/>
      <c r="G251" s="25"/>
      <c r="H251" s="25"/>
    </row>
    <row r="252" spans="1:8" x14ac:dyDescent="0.35">
      <c r="A252" s="25" t="s">
        <v>2622</v>
      </c>
      <c r="B252" s="78"/>
      <c r="G252" s="25"/>
      <c r="H252" s="25"/>
    </row>
    <row r="253" spans="1:8" x14ac:dyDescent="0.35">
      <c r="A253" s="25" t="s">
        <v>2623</v>
      </c>
      <c r="B253" s="78"/>
      <c r="G253" s="25"/>
      <c r="H253" s="25"/>
    </row>
    <row r="254" spans="1:8" x14ac:dyDescent="0.35">
      <c r="A254" s="25" t="s">
        <v>2624</v>
      </c>
      <c r="B254" s="78"/>
      <c r="G254" s="25"/>
      <c r="H254" s="25"/>
    </row>
    <row r="255" spans="1:8" x14ac:dyDescent="0.35">
      <c r="A255" s="25" t="s">
        <v>2625</v>
      </c>
      <c r="B255" s="78"/>
      <c r="G255" s="25"/>
      <c r="H255" s="25"/>
    </row>
    <row r="256" spans="1:8" x14ac:dyDescent="0.35">
      <c r="A256" s="25" t="s">
        <v>2626</v>
      </c>
      <c r="B256" s="78"/>
      <c r="G256" s="25"/>
      <c r="H256" s="25"/>
    </row>
    <row r="257" spans="1:8" x14ac:dyDescent="0.35">
      <c r="A257" s="25" t="s">
        <v>2627</v>
      </c>
      <c r="B257" s="78"/>
      <c r="G257" s="25"/>
      <c r="H257" s="25"/>
    </row>
    <row r="258" spans="1:8" x14ac:dyDescent="0.35">
      <c r="A258" s="25" t="s">
        <v>2628</v>
      </c>
      <c r="B258" s="78"/>
      <c r="G258" s="25"/>
      <c r="H258" s="25"/>
    </row>
    <row r="259" spans="1:8" x14ac:dyDescent="0.35">
      <c r="A259" s="25" t="s">
        <v>2629</v>
      </c>
      <c r="B259" s="78"/>
      <c r="G259" s="25"/>
      <c r="H259" s="25"/>
    </row>
    <row r="260" spans="1:8" x14ac:dyDescent="0.35">
      <c r="A260" s="25" t="s">
        <v>1431</v>
      </c>
      <c r="B260" s="78"/>
      <c r="G260" s="25"/>
      <c r="H260" s="25"/>
    </row>
    <row r="261" spans="1:8" x14ac:dyDescent="0.35">
      <c r="A261" s="25" t="s">
        <v>1432</v>
      </c>
      <c r="B261" s="78"/>
      <c r="G261" s="25"/>
      <c r="H261" s="25"/>
    </row>
    <row r="262" spans="1:8" x14ac:dyDescent="0.35">
      <c r="A262" s="25" t="s">
        <v>1433</v>
      </c>
      <c r="B262" s="78"/>
      <c r="G262" s="25"/>
      <c r="H262" s="25"/>
    </row>
    <row r="263" spans="1:8" x14ac:dyDescent="0.35">
      <c r="A263" s="25" t="s">
        <v>1434</v>
      </c>
      <c r="B263" s="78"/>
      <c r="G263" s="25"/>
      <c r="H263" s="25"/>
    </row>
    <row r="264" spans="1:8" x14ac:dyDescent="0.35">
      <c r="A264" s="25" t="s">
        <v>1435</v>
      </c>
      <c r="B264" s="78"/>
      <c r="G264" s="25"/>
      <c r="H264" s="25"/>
    </row>
    <row r="265" spans="1:8" x14ac:dyDescent="0.35">
      <c r="A265" s="25" t="s">
        <v>1436</v>
      </c>
      <c r="B265" s="78"/>
      <c r="G265" s="25"/>
      <c r="H265" s="25"/>
    </row>
    <row r="266" spans="1:8" x14ac:dyDescent="0.35">
      <c r="A266" s="25" t="s">
        <v>1437</v>
      </c>
      <c r="B266" s="78"/>
      <c r="G266" s="25"/>
      <c r="H266" s="25"/>
    </row>
    <row r="267" spans="1:8" x14ac:dyDescent="0.35">
      <c r="A267" s="25" t="s">
        <v>1438</v>
      </c>
      <c r="B267" s="78"/>
      <c r="G267" s="25"/>
      <c r="H267" s="25"/>
    </row>
    <row r="268" spans="1:8" x14ac:dyDescent="0.35">
      <c r="A268" s="25" t="s">
        <v>1439</v>
      </c>
      <c r="B268" s="78"/>
      <c r="G268" s="25"/>
      <c r="H268" s="25"/>
    </row>
    <row r="269" spans="1:8" x14ac:dyDescent="0.35">
      <c r="A269" s="25" t="s">
        <v>3450</v>
      </c>
      <c r="B269" s="78"/>
      <c r="G269" s="25"/>
      <c r="H269" s="25"/>
    </row>
    <row r="270" spans="1:8" x14ac:dyDescent="0.35">
      <c r="A270" s="25" t="s">
        <v>864</v>
      </c>
      <c r="B270" s="78"/>
      <c r="G270" s="25"/>
      <c r="H270" s="25"/>
    </row>
    <row r="271" spans="1:8" x14ac:dyDescent="0.35">
      <c r="A271" s="25" t="s">
        <v>873</v>
      </c>
      <c r="B271" s="78"/>
      <c r="G271" s="25"/>
      <c r="H271" s="25"/>
    </row>
    <row r="272" spans="1:8" x14ac:dyDescent="0.35">
      <c r="A272" s="25" t="s">
        <v>874</v>
      </c>
      <c r="B272" s="78"/>
      <c r="G272" s="25"/>
      <c r="H272" s="25"/>
    </row>
    <row r="273" spans="1:8" x14ac:dyDescent="0.35">
      <c r="A273" s="25" t="s">
        <v>875</v>
      </c>
      <c r="B273" s="78"/>
      <c r="G273" s="25"/>
      <c r="H273" s="25"/>
    </row>
    <row r="274" spans="1:8" x14ac:dyDescent="0.35">
      <c r="A274" s="25" t="s">
        <v>876</v>
      </c>
      <c r="B274" s="78"/>
      <c r="G274" s="25"/>
      <c r="H274" s="25"/>
    </row>
    <row r="275" spans="1:8" x14ac:dyDescent="0.35">
      <c r="A275" s="25" t="s">
        <v>877</v>
      </c>
      <c r="B275" s="78"/>
      <c r="G275" s="25"/>
      <c r="H275" s="25"/>
    </row>
    <row r="276" spans="1:8" x14ac:dyDescent="0.35">
      <c r="A276" s="25" t="s">
        <v>878</v>
      </c>
      <c r="B276" s="78"/>
      <c r="G276" s="25"/>
      <c r="H276" s="25"/>
    </row>
    <row r="277" spans="1:8" x14ac:dyDescent="0.35">
      <c r="A277" s="25" t="s">
        <v>879</v>
      </c>
      <c r="B277" s="78"/>
      <c r="G277" s="25"/>
      <c r="H277" s="25"/>
    </row>
    <row r="278" spans="1:8" x14ac:dyDescent="0.35">
      <c r="A278" s="25" t="s">
        <v>3451</v>
      </c>
      <c r="B278" s="78"/>
      <c r="G278" s="25"/>
      <c r="H278" s="25"/>
    </row>
    <row r="279" spans="1:8" x14ac:dyDescent="0.35">
      <c r="A279" s="25" t="s">
        <v>3452</v>
      </c>
      <c r="B279" s="78"/>
      <c r="G279" s="25"/>
      <c r="H279" s="25"/>
    </row>
    <row r="280" spans="1:8" x14ac:dyDescent="0.35">
      <c r="A280" s="25" t="s">
        <v>3453</v>
      </c>
      <c r="B280" s="78"/>
      <c r="G280" s="25"/>
      <c r="H280" s="25"/>
    </row>
    <row r="281" spans="1:8" x14ac:dyDescent="0.35">
      <c r="A281" s="25" t="s">
        <v>3454</v>
      </c>
      <c r="B281" s="78"/>
      <c r="G281" s="25"/>
      <c r="H281" s="25"/>
    </row>
    <row r="282" spans="1:8" x14ac:dyDescent="0.35">
      <c r="A282" s="25" t="s">
        <v>3455</v>
      </c>
      <c r="B282" s="78"/>
      <c r="G282" s="25"/>
      <c r="H282" s="25"/>
    </row>
    <row r="283" spans="1:8" x14ac:dyDescent="0.35">
      <c r="A283" s="25" t="s">
        <v>3456</v>
      </c>
      <c r="B283" s="78"/>
      <c r="G283" s="25"/>
      <c r="H283" s="25"/>
    </row>
    <row r="284" spans="1:8" x14ac:dyDescent="0.35">
      <c r="A284" s="25" t="s">
        <v>860</v>
      </c>
      <c r="B284" s="78"/>
      <c r="G284" s="25"/>
      <c r="H284" s="25"/>
    </row>
    <row r="285" spans="1:8" x14ac:dyDescent="0.35">
      <c r="A285" s="25" t="s">
        <v>861</v>
      </c>
      <c r="B285" s="78"/>
      <c r="G285" s="25"/>
      <c r="H285" s="25"/>
    </row>
    <row r="286" spans="1:8" x14ac:dyDescent="0.35">
      <c r="A286" s="25" t="s">
        <v>862</v>
      </c>
      <c r="B286" s="78"/>
      <c r="G286" s="25"/>
      <c r="H286" s="25"/>
    </row>
    <row r="287" spans="1:8" x14ac:dyDescent="0.35">
      <c r="A287" s="25" t="s">
        <v>863</v>
      </c>
      <c r="B287" s="78"/>
      <c r="G287" s="25"/>
      <c r="H287" s="25"/>
    </row>
    <row r="288" spans="1:8" x14ac:dyDescent="0.35">
      <c r="A288" s="25" t="s">
        <v>865</v>
      </c>
      <c r="B288" s="78"/>
      <c r="G288" s="25"/>
      <c r="H288" s="25"/>
    </row>
    <row r="289" spans="1:8" x14ac:dyDescent="0.35">
      <c r="A289" s="25" t="s">
        <v>866</v>
      </c>
      <c r="B289" s="78"/>
      <c r="G289" s="25"/>
      <c r="H289" s="25"/>
    </row>
    <row r="290" spans="1:8" x14ac:dyDescent="0.35">
      <c r="A290" s="25" t="s">
        <v>867</v>
      </c>
      <c r="B290" s="78"/>
      <c r="G290" s="25"/>
      <c r="H290" s="25"/>
    </row>
    <row r="291" spans="1:8" x14ac:dyDescent="0.35">
      <c r="A291" s="25" t="s">
        <v>868</v>
      </c>
      <c r="B291" s="78"/>
      <c r="G291" s="25"/>
      <c r="H291" s="25"/>
    </row>
    <row r="292" spans="1:8" x14ac:dyDescent="0.35">
      <c r="A292" s="25" t="s">
        <v>869</v>
      </c>
      <c r="B292" s="78"/>
      <c r="G292" s="25"/>
      <c r="H292" s="25"/>
    </row>
    <row r="293" spans="1:8" x14ac:dyDescent="0.35">
      <c r="A293" s="25" t="s">
        <v>870</v>
      </c>
      <c r="B293" s="78"/>
      <c r="G293" s="25"/>
      <c r="H293" s="25"/>
    </row>
    <row r="294" spans="1:8" x14ac:dyDescent="0.35">
      <c r="A294" s="25" t="s">
        <v>871</v>
      </c>
      <c r="B294" s="78"/>
      <c r="G294" s="25"/>
      <c r="H294" s="25"/>
    </row>
    <row r="295" spans="1:8" x14ac:dyDescent="0.35">
      <c r="A295" s="25" t="s">
        <v>872</v>
      </c>
      <c r="B295" s="78"/>
      <c r="G295" s="25"/>
      <c r="H295" s="25"/>
    </row>
    <row r="296" spans="1:8" x14ac:dyDescent="0.35">
      <c r="A296" s="25" t="s">
        <v>1037</v>
      </c>
      <c r="B296" s="78"/>
      <c r="G296" s="25"/>
      <c r="H296" s="25"/>
    </row>
    <row r="297" spans="1:8" x14ac:dyDescent="0.35">
      <c r="A297" s="25" t="s">
        <v>1047</v>
      </c>
      <c r="B297" s="78"/>
      <c r="G297" s="25"/>
      <c r="H297" s="25"/>
    </row>
    <row r="298" spans="1:8" x14ac:dyDescent="0.35">
      <c r="A298" s="25" t="s">
        <v>1048</v>
      </c>
      <c r="B298" s="78"/>
      <c r="G298" s="25"/>
      <c r="H298" s="25"/>
    </row>
    <row r="299" spans="1:8" x14ac:dyDescent="0.35">
      <c r="A299" s="25" t="s">
        <v>1049</v>
      </c>
      <c r="B299" s="78"/>
      <c r="G299" s="25"/>
      <c r="H299" s="25"/>
    </row>
    <row r="300" spans="1:8" x14ac:dyDescent="0.35">
      <c r="A300" s="25" t="s">
        <v>1050</v>
      </c>
      <c r="B300" s="78"/>
      <c r="G300" s="25"/>
      <c r="H300" s="25"/>
    </row>
    <row r="301" spans="1:8" x14ac:dyDescent="0.35">
      <c r="A301" s="25" t="s">
        <v>1051</v>
      </c>
      <c r="B301" s="78"/>
      <c r="G301" s="25"/>
      <c r="H301" s="25"/>
    </row>
    <row r="302" spans="1:8" x14ac:dyDescent="0.35">
      <c r="A302" s="25" t="s">
        <v>1052</v>
      </c>
      <c r="B302" s="78"/>
      <c r="G302" s="25"/>
      <c r="H302" s="25"/>
    </row>
    <row r="303" spans="1:8" x14ac:dyDescent="0.35">
      <c r="A303" s="25" t="s">
        <v>1053</v>
      </c>
      <c r="B303" s="78"/>
      <c r="G303" s="25"/>
      <c r="H303" s="25"/>
    </row>
    <row r="304" spans="1:8" x14ac:dyDescent="0.35">
      <c r="A304" s="25" t="s">
        <v>1054</v>
      </c>
      <c r="B304" s="78"/>
      <c r="G304" s="25"/>
      <c r="H304" s="25"/>
    </row>
    <row r="305" spans="1:8" x14ac:dyDescent="0.35">
      <c r="A305" s="25" t="s">
        <v>1038</v>
      </c>
      <c r="B305" s="78"/>
      <c r="G305" s="25"/>
      <c r="H305" s="25"/>
    </row>
    <row r="306" spans="1:8" x14ac:dyDescent="0.35">
      <c r="A306" s="25" t="s">
        <v>1039</v>
      </c>
      <c r="B306" s="78"/>
      <c r="G306" s="25"/>
      <c r="H306" s="25"/>
    </row>
    <row r="307" spans="1:8" x14ac:dyDescent="0.35">
      <c r="A307" s="25" t="s">
        <v>1040</v>
      </c>
      <c r="B307" s="78"/>
      <c r="G307" s="25"/>
      <c r="H307" s="25"/>
    </row>
    <row r="308" spans="1:8" x14ac:dyDescent="0.35">
      <c r="A308" s="25" t="s">
        <v>1041</v>
      </c>
      <c r="B308" s="78"/>
      <c r="G308" s="25"/>
      <c r="H308" s="25"/>
    </row>
    <row r="309" spans="1:8" x14ac:dyDescent="0.35">
      <c r="A309" s="25" t="s">
        <v>1042</v>
      </c>
      <c r="B309" s="78"/>
      <c r="G309" s="25"/>
      <c r="H309" s="25"/>
    </row>
    <row r="310" spans="1:8" x14ac:dyDescent="0.35">
      <c r="A310" s="25" t="s">
        <v>1043</v>
      </c>
      <c r="B310" s="78"/>
      <c r="G310" s="25"/>
      <c r="H310" s="25"/>
    </row>
    <row r="311" spans="1:8" x14ac:dyDescent="0.35">
      <c r="A311" s="25" t="s">
        <v>1044</v>
      </c>
      <c r="B311" s="78"/>
      <c r="G311" s="25"/>
      <c r="H311" s="25"/>
    </row>
    <row r="312" spans="1:8" x14ac:dyDescent="0.35">
      <c r="A312" s="25" t="s">
        <v>1045</v>
      </c>
      <c r="B312" s="78"/>
      <c r="G312" s="25"/>
      <c r="H312" s="25"/>
    </row>
    <row r="313" spans="1:8" x14ac:dyDescent="0.35">
      <c r="A313" s="25" t="s">
        <v>1046</v>
      </c>
      <c r="B313" s="78"/>
      <c r="G313" s="25"/>
      <c r="H313" s="25"/>
    </row>
    <row r="314" spans="1:8" x14ac:dyDescent="0.35">
      <c r="A314" s="25" t="s">
        <v>880</v>
      </c>
      <c r="B314" s="78"/>
      <c r="G314" s="25"/>
      <c r="H314" s="25"/>
    </row>
    <row r="315" spans="1:8" x14ac:dyDescent="0.35">
      <c r="A315" s="25" t="s">
        <v>881</v>
      </c>
      <c r="B315" s="78"/>
      <c r="G315" s="25"/>
      <c r="H315" s="25"/>
    </row>
    <row r="316" spans="1:8" x14ac:dyDescent="0.35">
      <c r="A316" s="25" t="s">
        <v>882</v>
      </c>
      <c r="B316" s="78"/>
      <c r="G316" s="25"/>
      <c r="H316" s="25"/>
    </row>
    <row r="317" spans="1:8" x14ac:dyDescent="0.35">
      <c r="A317" s="25" t="s">
        <v>883</v>
      </c>
      <c r="B317" s="78"/>
      <c r="G317" s="25"/>
      <c r="H317" s="25"/>
    </row>
    <row r="318" spans="1:8" x14ac:dyDescent="0.35">
      <c r="A318" s="25" t="s">
        <v>884</v>
      </c>
      <c r="B318" s="78"/>
      <c r="G318" s="25"/>
      <c r="H318" s="25"/>
    </row>
    <row r="319" spans="1:8" x14ac:dyDescent="0.35">
      <c r="A319" s="25" t="s">
        <v>885</v>
      </c>
      <c r="B319" s="78"/>
      <c r="G319" s="25"/>
      <c r="H319" s="25"/>
    </row>
    <row r="320" spans="1:8" x14ac:dyDescent="0.35">
      <c r="A320" s="25" t="s">
        <v>886</v>
      </c>
      <c r="B320" s="78"/>
      <c r="G320" s="25"/>
      <c r="H320" s="25"/>
    </row>
    <row r="321" spans="1:8" x14ac:dyDescent="0.35">
      <c r="A321" s="25" t="s">
        <v>887</v>
      </c>
      <c r="B321" s="78"/>
      <c r="G321" s="25"/>
      <c r="H321" s="25"/>
    </row>
    <row r="322" spans="1:8" x14ac:dyDescent="0.35">
      <c r="A322" s="25" t="s">
        <v>2395</v>
      </c>
      <c r="B322" s="78"/>
      <c r="G322" s="25"/>
      <c r="H322" s="25"/>
    </row>
    <row r="323" spans="1:8" x14ac:dyDescent="0.35">
      <c r="A323" s="25" t="s">
        <v>0</v>
      </c>
      <c r="B323" s="78"/>
      <c r="G323" s="25"/>
      <c r="H323" s="25"/>
    </row>
    <row r="324" spans="1:8" x14ac:dyDescent="0.35">
      <c r="A324" s="25" t="s">
        <v>10</v>
      </c>
      <c r="B324" s="78"/>
      <c r="G324" s="25"/>
      <c r="H324" s="25"/>
    </row>
    <row r="325" spans="1:8" x14ac:dyDescent="0.35">
      <c r="A325" s="25" t="s">
        <v>11</v>
      </c>
      <c r="B325" s="78"/>
      <c r="G325" s="25"/>
      <c r="H325" s="25"/>
    </row>
    <row r="326" spans="1:8" x14ac:dyDescent="0.35">
      <c r="A326" s="25" t="s">
        <v>12</v>
      </c>
      <c r="B326" s="78"/>
      <c r="G326" s="25"/>
      <c r="H326" s="25"/>
    </row>
    <row r="327" spans="1:8" x14ac:dyDescent="0.35">
      <c r="A327" s="25" t="s">
        <v>13</v>
      </c>
      <c r="B327" s="78"/>
      <c r="G327" s="25"/>
      <c r="H327" s="25"/>
    </row>
    <row r="328" spans="1:8" x14ac:dyDescent="0.35">
      <c r="A328" s="25" t="s">
        <v>14</v>
      </c>
      <c r="B328" s="78"/>
      <c r="G328" s="25"/>
      <c r="H328" s="25"/>
    </row>
    <row r="329" spans="1:8" x14ac:dyDescent="0.35">
      <c r="A329" s="25" t="s">
        <v>15</v>
      </c>
      <c r="B329" s="78"/>
      <c r="G329" s="25"/>
      <c r="H329" s="25"/>
    </row>
    <row r="330" spans="1:8" x14ac:dyDescent="0.35">
      <c r="A330" s="25" t="s">
        <v>16</v>
      </c>
      <c r="B330" s="78"/>
      <c r="G330" s="25"/>
      <c r="H330" s="25"/>
    </row>
    <row r="331" spans="1:8" x14ac:dyDescent="0.35">
      <c r="A331" s="25" t="s">
        <v>17</v>
      </c>
      <c r="B331" s="78"/>
      <c r="G331" s="25"/>
      <c r="H331" s="25"/>
    </row>
    <row r="332" spans="1:8" x14ac:dyDescent="0.35">
      <c r="A332" s="25" t="s">
        <v>1</v>
      </c>
      <c r="B332" s="78"/>
      <c r="G332" s="25"/>
      <c r="H332" s="25"/>
    </row>
    <row r="333" spans="1:8" x14ac:dyDescent="0.35">
      <c r="A333" s="25" t="s">
        <v>2</v>
      </c>
      <c r="B333" s="78"/>
      <c r="G333" s="25"/>
      <c r="H333" s="25"/>
    </row>
    <row r="334" spans="1:8" x14ac:dyDescent="0.35">
      <c r="A334" s="25" t="s">
        <v>3</v>
      </c>
      <c r="B334" s="78"/>
      <c r="G334" s="25"/>
      <c r="H334" s="25"/>
    </row>
    <row r="335" spans="1:8" x14ac:dyDescent="0.35">
      <c r="A335" s="25" t="s">
        <v>4</v>
      </c>
      <c r="B335" s="78"/>
      <c r="G335" s="25"/>
      <c r="H335" s="25"/>
    </row>
    <row r="336" spans="1:8" x14ac:dyDescent="0.35">
      <c r="A336" s="25" t="s">
        <v>5</v>
      </c>
      <c r="B336" s="78"/>
      <c r="G336" s="25"/>
      <c r="H336" s="25"/>
    </row>
    <row r="337" spans="1:8" x14ac:dyDescent="0.35">
      <c r="A337" s="25" t="s">
        <v>6</v>
      </c>
      <c r="B337" s="78"/>
      <c r="G337" s="25"/>
      <c r="H337" s="25"/>
    </row>
    <row r="338" spans="1:8" x14ac:dyDescent="0.35">
      <c r="A338" s="25" t="s">
        <v>7</v>
      </c>
      <c r="B338" s="78"/>
      <c r="G338" s="25"/>
      <c r="H338" s="25"/>
    </row>
    <row r="339" spans="1:8" x14ac:dyDescent="0.35">
      <c r="A339" s="25" t="s">
        <v>8</v>
      </c>
      <c r="B339" s="78"/>
      <c r="G339" s="25"/>
      <c r="H339" s="25"/>
    </row>
    <row r="340" spans="1:8" x14ac:dyDescent="0.35">
      <c r="A340" s="25" t="s">
        <v>9</v>
      </c>
      <c r="B340" s="78"/>
      <c r="G340" s="25"/>
      <c r="H340" s="25"/>
    </row>
    <row r="341" spans="1:8" x14ac:dyDescent="0.35">
      <c r="A341" s="25" t="s">
        <v>2396</v>
      </c>
      <c r="B341" s="78"/>
      <c r="G341" s="25"/>
      <c r="H341" s="25"/>
    </row>
    <row r="342" spans="1:8" x14ac:dyDescent="0.35">
      <c r="A342" s="25" t="s">
        <v>2397</v>
      </c>
      <c r="B342" s="78"/>
      <c r="G342" s="25"/>
      <c r="H342" s="25"/>
    </row>
    <row r="343" spans="1:8" x14ac:dyDescent="0.35">
      <c r="A343" s="25" t="s">
        <v>2398</v>
      </c>
      <c r="B343" s="78"/>
      <c r="G343" s="25"/>
      <c r="H343" s="25"/>
    </row>
    <row r="344" spans="1:8" x14ac:dyDescent="0.35">
      <c r="A344" s="25" t="s">
        <v>2399</v>
      </c>
      <c r="B344" s="78"/>
      <c r="G344" s="25"/>
      <c r="H344" s="25"/>
    </row>
    <row r="345" spans="1:8" x14ac:dyDescent="0.35">
      <c r="A345" s="25" t="s">
        <v>2400</v>
      </c>
      <c r="B345" s="78"/>
      <c r="G345" s="25"/>
      <c r="H345" s="25"/>
    </row>
    <row r="346" spans="1:8" x14ac:dyDescent="0.35">
      <c r="A346" s="25" t="s">
        <v>2401</v>
      </c>
      <c r="B346" s="78"/>
      <c r="G346" s="25"/>
      <c r="H346" s="25"/>
    </row>
    <row r="347" spans="1:8" x14ac:dyDescent="0.35">
      <c r="A347" s="25" t="s">
        <v>2402</v>
      </c>
      <c r="B347" s="78"/>
      <c r="G347" s="25"/>
      <c r="H347" s="25"/>
    </row>
    <row r="348" spans="1:8" x14ac:dyDescent="0.35">
      <c r="A348" s="25" t="s">
        <v>2403</v>
      </c>
      <c r="B348" s="78"/>
      <c r="G348" s="25"/>
      <c r="H348" s="25"/>
    </row>
    <row r="349" spans="1:8" x14ac:dyDescent="0.35">
      <c r="A349" s="25" t="s">
        <v>2404</v>
      </c>
      <c r="B349" s="78"/>
      <c r="G349" s="25"/>
      <c r="H349" s="25"/>
    </row>
    <row r="350" spans="1:8" x14ac:dyDescent="0.35">
      <c r="A350" s="25" t="s">
        <v>1341</v>
      </c>
      <c r="B350" s="78">
        <v>70</v>
      </c>
      <c r="C350" s="78">
        <v>80</v>
      </c>
      <c r="G350" s="25"/>
      <c r="H350" s="25"/>
    </row>
    <row r="351" spans="1:8" x14ac:dyDescent="0.35">
      <c r="A351" s="25" t="s">
        <v>3378</v>
      </c>
      <c r="B351" s="78">
        <v>0</v>
      </c>
      <c r="C351" s="78">
        <v>0</v>
      </c>
      <c r="G351" s="25"/>
      <c r="H351" s="25"/>
    </row>
    <row r="352" spans="1:8" x14ac:dyDescent="0.35">
      <c r="A352" s="25" t="s">
        <v>451</v>
      </c>
      <c r="B352" s="78">
        <v>5</v>
      </c>
      <c r="G352" s="25"/>
      <c r="H352" s="25"/>
    </row>
    <row r="353" spans="1:8" x14ac:dyDescent="0.35">
      <c r="A353" s="25" t="s">
        <v>452</v>
      </c>
      <c r="B353" s="78"/>
      <c r="G353" s="25"/>
      <c r="H353" s="25"/>
    </row>
    <row r="354" spans="1:8" x14ac:dyDescent="0.35">
      <c r="A354" s="25" t="s">
        <v>1728</v>
      </c>
      <c r="B354" s="78"/>
      <c r="G354" s="25"/>
      <c r="H354" s="25"/>
    </row>
    <row r="355" spans="1:8" x14ac:dyDescent="0.35">
      <c r="A355" s="25" t="s">
        <v>1603</v>
      </c>
      <c r="B355" s="78"/>
      <c r="G355" s="25"/>
      <c r="H355" s="25"/>
    </row>
    <row r="356" spans="1:8" x14ac:dyDescent="0.35">
      <c r="A356" s="25" t="s">
        <v>1604</v>
      </c>
      <c r="B356" s="78"/>
      <c r="G356" s="25"/>
      <c r="H356" s="25"/>
    </row>
    <row r="357" spans="1:8" x14ac:dyDescent="0.35">
      <c r="A357" s="25" t="s">
        <v>1605</v>
      </c>
      <c r="B357" s="78"/>
      <c r="G357" s="25"/>
      <c r="H357" s="25"/>
    </row>
    <row r="358" spans="1:8" x14ac:dyDescent="0.35">
      <c r="A358" s="25" t="s">
        <v>725</v>
      </c>
      <c r="B358" s="78"/>
      <c r="G358" s="25"/>
      <c r="H358" s="25"/>
    </row>
    <row r="359" spans="1:8" x14ac:dyDescent="0.35">
      <c r="A359" s="25" t="s">
        <v>726</v>
      </c>
      <c r="B359" s="78"/>
      <c r="G359" s="25"/>
      <c r="H359" s="25"/>
    </row>
    <row r="360" spans="1:8" x14ac:dyDescent="0.35">
      <c r="A360" s="25" t="s">
        <v>727</v>
      </c>
      <c r="B360" s="78"/>
      <c r="G360" s="25"/>
      <c r="H360" s="25"/>
    </row>
    <row r="361" spans="1:8" x14ac:dyDescent="0.35">
      <c r="A361" s="25" t="s">
        <v>3299</v>
      </c>
      <c r="B361" s="78"/>
      <c r="G361" s="25"/>
      <c r="H361" s="25"/>
    </row>
    <row r="362" spans="1:8" x14ac:dyDescent="0.35">
      <c r="A362" s="25" t="s">
        <v>3300</v>
      </c>
      <c r="B362" s="78"/>
      <c r="G362" s="25"/>
      <c r="H362" s="25"/>
    </row>
    <row r="363" spans="1:8" x14ac:dyDescent="0.35">
      <c r="A363" s="25" t="s">
        <v>3301</v>
      </c>
      <c r="B363" s="78">
        <v>10</v>
      </c>
      <c r="G363" s="25"/>
      <c r="H363" s="25"/>
    </row>
    <row r="364" spans="1:8" x14ac:dyDescent="0.35">
      <c r="A364" s="25" t="s">
        <v>3302</v>
      </c>
      <c r="B364" s="78"/>
      <c r="G364" s="25"/>
      <c r="H364" s="25"/>
    </row>
    <row r="365" spans="1:8" x14ac:dyDescent="0.35">
      <c r="A365" s="25" t="s">
        <v>3303</v>
      </c>
      <c r="B365" s="78">
        <v>7</v>
      </c>
      <c r="G365" s="25"/>
      <c r="H365" s="25"/>
    </row>
    <row r="366" spans="1:8" x14ac:dyDescent="0.35">
      <c r="A366" s="25" t="s">
        <v>2529</v>
      </c>
      <c r="B366" s="78"/>
      <c r="G366" s="25"/>
      <c r="H366" s="25"/>
    </row>
    <row r="367" spans="1:8" x14ac:dyDescent="0.35">
      <c r="A367" s="25" t="s">
        <v>2530</v>
      </c>
      <c r="B367" s="78"/>
      <c r="G367" s="25"/>
      <c r="H367" s="25"/>
    </row>
    <row r="368" spans="1:8" x14ac:dyDescent="0.35">
      <c r="A368" s="25" t="s">
        <v>2531</v>
      </c>
      <c r="B368" s="78"/>
      <c r="G368" s="25"/>
      <c r="H368" s="25"/>
    </row>
    <row r="369" spans="1:8" x14ac:dyDescent="0.35">
      <c r="A369" s="25" t="s">
        <v>2532</v>
      </c>
      <c r="B369" s="78"/>
      <c r="G369" s="25"/>
      <c r="H369" s="25"/>
    </row>
    <row r="370" spans="1:8" x14ac:dyDescent="0.35">
      <c r="A370" s="25" t="s">
        <v>2871</v>
      </c>
      <c r="B370" s="78"/>
      <c r="G370" s="25"/>
      <c r="H370" s="25"/>
    </row>
    <row r="371" spans="1:8" x14ac:dyDescent="0.35">
      <c r="A371" s="25" t="s">
        <v>2872</v>
      </c>
      <c r="B371" s="78"/>
      <c r="G371" s="25"/>
      <c r="H371" s="25"/>
    </row>
    <row r="372" spans="1:8" x14ac:dyDescent="0.35">
      <c r="A372" s="25" t="s">
        <v>1642</v>
      </c>
      <c r="B372" s="78"/>
      <c r="G372" s="25"/>
      <c r="H372" s="25"/>
    </row>
    <row r="373" spans="1:8" x14ac:dyDescent="0.35">
      <c r="A373" s="25" t="s">
        <v>1643</v>
      </c>
      <c r="B373" s="78"/>
      <c r="G373" s="25"/>
      <c r="H373" s="25"/>
    </row>
    <row r="374" spans="1:8" x14ac:dyDescent="0.35">
      <c r="A374" s="25" t="s">
        <v>1644</v>
      </c>
      <c r="B374" s="78"/>
      <c r="G374" s="25"/>
      <c r="H374" s="25"/>
    </row>
    <row r="375" spans="1:8" x14ac:dyDescent="0.35">
      <c r="A375" s="25" t="s">
        <v>1645</v>
      </c>
      <c r="B375" s="78"/>
      <c r="G375" s="25"/>
      <c r="H375" s="25"/>
    </row>
    <row r="376" spans="1:8" x14ac:dyDescent="0.35">
      <c r="A376" s="25" t="s">
        <v>1646</v>
      </c>
      <c r="B376" s="78"/>
      <c r="G376" s="25"/>
      <c r="H376" s="25"/>
    </row>
    <row r="377" spans="1:8" x14ac:dyDescent="0.35">
      <c r="A377" s="25" t="s">
        <v>1647</v>
      </c>
      <c r="B377" s="78"/>
      <c r="G377" s="25"/>
      <c r="H377" s="25"/>
    </row>
    <row r="378" spans="1:8" x14ac:dyDescent="0.35">
      <c r="A378" s="25" t="s">
        <v>3304</v>
      </c>
      <c r="B378" s="78"/>
      <c r="G378" s="25"/>
      <c r="H378" s="25"/>
    </row>
    <row r="379" spans="1:8" x14ac:dyDescent="0.35">
      <c r="A379" s="25" t="s">
        <v>3305</v>
      </c>
      <c r="B379" s="78"/>
      <c r="G379" s="25"/>
      <c r="H379" s="25"/>
    </row>
    <row r="380" spans="1:8" x14ac:dyDescent="0.35">
      <c r="A380" s="25" t="s">
        <v>3306</v>
      </c>
      <c r="B380" s="78"/>
      <c r="G380" s="25"/>
      <c r="H380" s="25"/>
    </row>
    <row r="381" spans="1:8" x14ac:dyDescent="0.35">
      <c r="A381" s="25" t="s">
        <v>3307</v>
      </c>
      <c r="B381" s="78"/>
      <c r="G381" s="25"/>
      <c r="H381" s="25"/>
    </row>
    <row r="382" spans="1:8" x14ac:dyDescent="0.35">
      <c r="A382" s="25" t="s">
        <v>2245</v>
      </c>
      <c r="B382" s="78"/>
      <c r="G382" s="25"/>
      <c r="H382" s="25"/>
    </row>
    <row r="383" spans="1:8" x14ac:dyDescent="0.35">
      <c r="A383" s="25" t="s">
        <v>2246</v>
      </c>
      <c r="B383" s="78">
        <v>0</v>
      </c>
      <c r="G383" s="25"/>
      <c r="H383" s="25"/>
    </row>
    <row r="384" spans="1:8" x14ac:dyDescent="0.35">
      <c r="A384" s="25" t="s">
        <v>2247</v>
      </c>
      <c r="B384" s="78"/>
      <c r="G384" s="25"/>
      <c r="H384" s="25"/>
    </row>
    <row r="385" spans="1:8" x14ac:dyDescent="0.35">
      <c r="A385" s="25" t="s">
        <v>4180</v>
      </c>
      <c r="B385" s="78"/>
      <c r="G385" s="25"/>
      <c r="H385" s="25"/>
    </row>
    <row r="386" spans="1:8" x14ac:dyDescent="0.35">
      <c r="A386" s="25" t="s">
        <v>1740</v>
      </c>
      <c r="B386" s="78">
        <v>0</v>
      </c>
      <c r="G386" s="25"/>
      <c r="H386" s="25"/>
    </row>
    <row r="387" spans="1:8" x14ac:dyDescent="0.35">
      <c r="A387" s="25" t="s">
        <v>1741</v>
      </c>
      <c r="B387" s="78"/>
      <c r="G387" s="25"/>
      <c r="H387" s="25"/>
    </row>
    <row r="388" spans="1:8" x14ac:dyDescent="0.35">
      <c r="A388" s="25" t="s">
        <v>1742</v>
      </c>
      <c r="B388" s="78"/>
      <c r="G388" s="25"/>
      <c r="H388" s="25"/>
    </row>
    <row r="389" spans="1:8" x14ac:dyDescent="0.35">
      <c r="A389" s="25" t="s">
        <v>3843</v>
      </c>
      <c r="B389" s="78"/>
      <c r="G389" s="25"/>
      <c r="H389" s="25"/>
    </row>
    <row r="390" spans="1:8" x14ac:dyDescent="0.35">
      <c r="A390" s="25" t="s">
        <v>3844</v>
      </c>
      <c r="B390" s="78"/>
      <c r="G390" s="25"/>
      <c r="H390" s="25"/>
    </row>
    <row r="391" spans="1:8" x14ac:dyDescent="0.35">
      <c r="A391" s="25" t="s">
        <v>3845</v>
      </c>
      <c r="B391" s="78"/>
      <c r="G391" s="25"/>
      <c r="H391" s="25"/>
    </row>
    <row r="392" spans="1:8" x14ac:dyDescent="0.35">
      <c r="A392" s="25" t="s">
        <v>3846</v>
      </c>
      <c r="B392" s="78">
        <v>15</v>
      </c>
      <c r="C392" s="78">
        <v>1</v>
      </c>
      <c r="G392" s="25"/>
      <c r="H392" s="25"/>
    </row>
    <row r="393" spans="1:8" x14ac:dyDescent="0.35">
      <c r="A393" s="25" t="s">
        <v>3847</v>
      </c>
      <c r="B393" s="78">
        <v>1</v>
      </c>
      <c r="C393" s="78">
        <v>1</v>
      </c>
      <c r="G393" s="25"/>
      <c r="H393" s="25"/>
    </row>
    <row r="394" spans="1:8" x14ac:dyDescent="0.35">
      <c r="A394" s="25" t="s">
        <v>3848</v>
      </c>
      <c r="B394" s="78"/>
      <c r="G394" s="25"/>
      <c r="H394" s="25"/>
    </row>
    <row r="395" spans="1:8" x14ac:dyDescent="0.35">
      <c r="A395" s="25" t="s">
        <v>3849</v>
      </c>
      <c r="B395" s="78"/>
      <c r="G395" s="25"/>
      <c r="H395" s="25"/>
    </row>
    <row r="396" spans="1:8" x14ac:dyDescent="0.35">
      <c r="A396" s="25" t="s">
        <v>3850</v>
      </c>
      <c r="B396" s="78"/>
      <c r="G396" s="25"/>
      <c r="H396" s="25"/>
    </row>
    <row r="397" spans="1:8" x14ac:dyDescent="0.35">
      <c r="A397" s="25" t="s">
        <v>3995</v>
      </c>
      <c r="B397" s="78"/>
      <c r="G397" s="25"/>
      <c r="H397" s="25"/>
    </row>
    <row r="398" spans="1:8" x14ac:dyDescent="0.35">
      <c r="A398" s="25" t="s">
        <v>3996</v>
      </c>
      <c r="B398" s="78"/>
      <c r="G398" s="25"/>
      <c r="H398" s="25"/>
    </row>
    <row r="399" spans="1:8" x14ac:dyDescent="0.35">
      <c r="A399" s="25" t="s">
        <v>3997</v>
      </c>
      <c r="B399" s="78">
        <v>17</v>
      </c>
      <c r="C399" s="78">
        <v>1</v>
      </c>
      <c r="G399" s="25"/>
      <c r="H399" s="25"/>
    </row>
    <row r="400" spans="1:8" x14ac:dyDescent="0.35">
      <c r="A400" s="25" t="s">
        <v>3998</v>
      </c>
      <c r="B400" s="78">
        <v>1</v>
      </c>
      <c r="C400" s="78">
        <v>1</v>
      </c>
      <c r="G400" s="25"/>
      <c r="H400" s="25"/>
    </row>
    <row r="401" spans="1:8" x14ac:dyDescent="0.35">
      <c r="A401" s="25" t="s">
        <v>3999</v>
      </c>
      <c r="B401" s="78">
        <v>1</v>
      </c>
      <c r="C401" s="78">
        <v>1</v>
      </c>
      <c r="G401" s="25"/>
      <c r="H401" s="25"/>
    </row>
    <row r="402" spans="1:8" x14ac:dyDescent="0.35">
      <c r="A402" s="25" t="s">
        <v>4000</v>
      </c>
      <c r="B402" s="78">
        <v>1</v>
      </c>
      <c r="C402" s="78">
        <v>1</v>
      </c>
      <c r="G402" s="25"/>
      <c r="H402" s="25"/>
    </row>
    <row r="403" spans="1:8" x14ac:dyDescent="0.35">
      <c r="A403" s="25" t="s">
        <v>4001</v>
      </c>
      <c r="B403" s="78">
        <v>1</v>
      </c>
      <c r="C403" s="78">
        <v>1</v>
      </c>
      <c r="G403" s="25"/>
      <c r="H403" s="25"/>
    </row>
    <row r="404" spans="1:8" x14ac:dyDescent="0.35">
      <c r="A404" s="25" t="s">
        <v>2299</v>
      </c>
      <c r="B404" s="78">
        <v>1</v>
      </c>
      <c r="C404" s="78">
        <v>1</v>
      </c>
      <c r="G404" s="25"/>
      <c r="H404" s="25"/>
    </row>
    <row r="405" spans="1:8" x14ac:dyDescent="0.35">
      <c r="A405" s="25" t="s">
        <v>2300</v>
      </c>
      <c r="B405" s="78">
        <v>1</v>
      </c>
      <c r="C405" s="78">
        <v>1</v>
      </c>
      <c r="G405" s="25"/>
      <c r="H405" s="25"/>
    </row>
    <row r="406" spans="1:8" x14ac:dyDescent="0.35">
      <c r="A406" s="25" t="s">
        <v>2301</v>
      </c>
      <c r="B406" s="78">
        <v>1</v>
      </c>
      <c r="C406" s="78">
        <v>1</v>
      </c>
      <c r="G406" s="25"/>
      <c r="H406" s="25"/>
    </row>
    <row r="407" spans="1:8" x14ac:dyDescent="0.35">
      <c r="A407" s="25" t="s">
        <v>2302</v>
      </c>
      <c r="B407" s="78"/>
      <c r="G407" s="25"/>
      <c r="H407" s="25"/>
    </row>
    <row r="408" spans="1:8" x14ac:dyDescent="0.35">
      <c r="A408" s="25" t="s">
        <v>2303</v>
      </c>
      <c r="B408" s="78"/>
      <c r="G408" s="25"/>
      <c r="H408" s="25"/>
    </row>
    <row r="409" spans="1:8" x14ac:dyDescent="0.35">
      <c r="A409" s="25" t="s">
        <v>2304</v>
      </c>
      <c r="B409" s="78"/>
      <c r="G409" s="25"/>
      <c r="H409" s="25"/>
    </row>
    <row r="410" spans="1:8" x14ac:dyDescent="0.35">
      <c r="A410" s="25" t="s">
        <v>2305</v>
      </c>
      <c r="B410" s="78"/>
      <c r="G410" s="25"/>
      <c r="H410" s="25"/>
    </row>
    <row r="411" spans="1:8" x14ac:dyDescent="0.35">
      <c r="A411" s="25" t="s">
        <v>2306</v>
      </c>
      <c r="B411" s="78"/>
      <c r="G411" s="25"/>
      <c r="H411" s="25"/>
    </row>
    <row r="412" spans="1:8" x14ac:dyDescent="0.35">
      <c r="A412" s="25" t="s">
        <v>2307</v>
      </c>
      <c r="B412" s="78"/>
      <c r="G412" s="25"/>
      <c r="H412" s="25"/>
    </row>
    <row r="413" spans="1:8" x14ac:dyDescent="0.35">
      <c r="A413" s="25" t="s">
        <v>2308</v>
      </c>
      <c r="B413" s="78">
        <v>50</v>
      </c>
      <c r="C413" s="78">
        <v>50</v>
      </c>
      <c r="G413" s="25"/>
      <c r="H413" s="25"/>
    </row>
    <row r="414" spans="1:8" x14ac:dyDescent="0.35">
      <c r="A414" s="25" t="s">
        <v>2309</v>
      </c>
      <c r="B414" s="78">
        <v>50</v>
      </c>
      <c r="C414" s="78">
        <v>50</v>
      </c>
      <c r="G414" s="25"/>
      <c r="H414" s="25"/>
    </row>
    <row r="415" spans="1:8" x14ac:dyDescent="0.35">
      <c r="A415" s="25" t="s">
        <v>2331</v>
      </c>
      <c r="B415" s="78">
        <v>50</v>
      </c>
      <c r="C415" s="78">
        <v>50</v>
      </c>
      <c r="G415" s="25"/>
      <c r="H415" s="25"/>
    </row>
    <row r="416" spans="1:8" x14ac:dyDescent="0.35">
      <c r="A416" s="25" t="s">
        <v>4163</v>
      </c>
      <c r="B416" s="78">
        <v>50</v>
      </c>
      <c r="C416" s="78">
        <v>50</v>
      </c>
      <c r="G416" s="25"/>
      <c r="H416" s="25"/>
    </row>
    <row r="417" spans="1:8" x14ac:dyDescent="0.35">
      <c r="A417" s="25" t="s">
        <v>4164</v>
      </c>
      <c r="B417" s="78">
        <v>50</v>
      </c>
      <c r="C417" s="78">
        <v>50</v>
      </c>
      <c r="G417" s="25"/>
      <c r="H417" s="25"/>
    </row>
    <row r="418" spans="1:8" x14ac:dyDescent="0.35">
      <c r="A418" t="s">
        <v>672</v>
      </c>
      <c r="B418" s="78">
        <v>50</v>
      </c>
      <c r="C418" s="78">
        <v>50</v>
      </c>
      <c r="G418" s="25"/>
      <c r="H418" s="25"/>
    </row>
    <row r="419" spans="1:8" x14ac:dyDescent="0.35">
      <c r="A419" t="s">
        <v>673</v>
      </c>
      <c r="B419" s="78">
        <v>50</v>
      </c>
      <c r="C419" s="78">
        <v>50</v>
      </c>
      <c r="G419" s="25"/>
      <c r="H419" s="25"/>
    </row>
    <row r="420" spans="1:8" x14ac:dyDescent="0.35">
      <c r="A420" t="s">
        <v>3185</v>
      </c>
      <c r="B420" s="78">
        <v>50</v>
      </c>
      <c r="C420" s="78">
        <v>50</v>
      </c>
      <c r="G420" s="25"/>
      <c r="H420" s="25"/>
    </row>
    <row r="421" spans="1:8" x14ac:dyDescent="0.35">
      <c r="A421" t="s">
        <v>116</v>
      </c>
      <c r="B421" s="78"/>
      <c r="G421" s="25"/>
      <c r="H421" s="25"/>
    </row>
    <row r="422" spans="1:8" x14ac:dyDescent="0.35">
      <c r="A422" t="s">
        <v>117</v>
      </c>
      <c r="B422" s="78">
        <v>50</v>
      </c>
      <c r="C422" s="78">
        <v>50</v>
      </c>
      <c r="G422" s="25"/>
      <c r="H422" s="25"/>
    </row>
    <row r="423" spans="1:8" x14ac:dyDescent="0.35">
      <c r="A423" t="s">
        <v>118</v>
      </c>
      <c r="B423" s="78"/>
      <c r="G423" s="25"/>
      <c r="H423" s="25"/>
    </row>
    <row r="424" spans="1:8" x14ac:dyDescent="0.35">
      <c r="A424" s="25" t="s">
        <v>2710</v>
      </c>
      <c r="B424" s="78">
        <v>50</v>
      </c>
      <c r="C424" s="78">
        <v>50</v>
      </c>
      <c r="G424" s="25"/>
      <c r="H424" s="25"/>
    </row>
    <row r="425" spans="1:8" x14ac:dyDescent="0.35">
      <c r="A425" s="25" t="s">
        <v>112</v>
      </c>
      <c r="B425" s="78"/>
      <c r="G425" s="25"/>
      <c r="H425" s="25"/>
    </row>
    <row r="426" spans="1:8" x14ac:dyDescent="0.35">
      <c r="A426" s="25" t="s">
        <v>113</v>
      </c>
      <c r="B426" s="78">
        <v>50</v>
      </c>
      <c r="C426" s="78">
        <v>50</v>
      </c>
      <c r="G426" s="25"/>
      <c r="H426" s="25"/>
    </row>
    <row r="427" spans="1:8" x14ac:dyDescent="0.35">
      <c r="A427" s="25" t="s">
        <v>114</v>
      </c>
      <c r="B427" s="78">
        <v>50</v>
      </c>
      <c r="C427" s="78">
        <v>50</v>
      </c>
      <c r="G427" s="25"/>
      <c r="H427" s="25"/>
    </row>
    <row r="428" spans="1:8" x14ac:dyDescent="0.35">
      <c r="A428" s="25" t="s">
        <v>115</v>
      </c>
      <c r="B428" s="78">
        <v>50</v>
      </c>
      <c r="C428" s="78">
        <v>50</v>
      </c>
      <c r="G428" s="25"/>
      <c r="H428" s="25"/>
    </row>
    <row r="429" spans="1:8" x14ac:dyDescent="0.35">
      <c r="A429" s="25" t="s">
        <v>2711</v>
      </c>
      <c r="B429" s="78">
        <v>1</v>
      </c>
      <c r="C429" s="78">
        <v>1</v>
      </c>
      <c r="G429" s="25"/>
      <c r="H429" s="25"/>
    </row>
    <row r="430" spans="1:8" x14ac:dyDescent="0.35">
      <c r="A430" s="25" t="s">
        <v>2712</v>
      </c>
      <c r="B430" s="78">
        <v>50</v>
      </c>
      <c r="C430" s="78">
        <v>50</v>
      </c>
      <c r="G430" s="25"/>
      <c r="H430" s="25"/>
    </row>
    <row r="431" spans="1:8" x14ac:dyDescent="0.35">
      <c r="A431" s="25" t="s">
        <v>4156</v>
      </c>
      <c r="B431" s="78">
        <v>50</v>
      </c>
      <c r="C431" s="78">
        <v>50</v>
      </c>
      <c r="G431" s="25"/>
      <c r="H431" s="25"/>
    </row>
    <row r="432" spans="1:8" x14ac:dyDescent="0.35">
      <c r="A432" s="25" t="s">
        <v>2480</v>
      </c>
      <c r="B432" s="78">
        <v>50</v>
      </c>
      <c r="C432" s="78">
        <v>50</v>
      </c>
      <c r="G432" s="25"/>
      <c r="H432" s="25"/>
    </row>
    <row r="433" spans="1:8" x14ac:dyDescent="0.35">
      <c r="A433" s="25" t="s">
        <v>2481</v>
      </c>
      <c r="B433" s="78">
        <v>50</v>
      </c>
      <c r="C433" s="78">
        <v>50</v>
      </c>
      <c r="G433" s="25"/>
      <c r="H433" s="25"/>
    </row>
    <row r="434" spans="1:8" x14ac:dyDescent="0.35">
      <c r="A434" s="25" t="s">
        <v>2482</v>
      </c>
      <c r="B434" s="78">
        <v>50</v>
      </c>
      <c r="C434" s="78">
        <v>50</v>
      </c>
      <c r="G434" s="25"/>
      <c r="H434" s="25"/>
    </row>
    <row r="435" spans="1:8" x14ac:dyDescent="0.35">
      <c r="A435" s="25" t="s">
        <v>3695</v>
      </c>
      <c r="B435" s="78">
        <v>50</v>
      </c>
      <c r="C435" s="78">
        <v>50</v>
      </c>
      <c r="G435" s="25"/>
      <c r="H435" s="25"/>
    </row>
    <row r="436" spans="1:8" x14ac:dyDescent="0.35">
      <c r="A436" s="25" t="s">
        <v>3696</v>
      </c>
      <c r="B436" s="78">
        <v>1</v>
      </c>
      <c r="C436" s="78">
        <v>4</v>
      </c>
      <c r="G436" s="25"/>
      <c r="H436" s="25"/>
    </row>
    <row r="437" spans="1:8" x14ac:dyDescent="0.35">
      <c r="A437" s="25" t="s">
        <v>3697</v>
      </c>
      <c r="B437" s="78">
        <v>4</v>
      </c>
      <c r="C437" s="78">
        <v>4</v>
      </c>
      <c r="G437" s="25"/>
      <c r="H437" s="25"/>
    </row>
    <row r="438" spans="1:8" x14ac:dyDescent="0.35">
      <c r="A438" s="25" t="s">
        <v>3698</v>
      </c>
      <c r="B438" s="78">
        <v>4</v>
      </c>
      <c r="C438" s="78">
        <v>4</v>
      </c>
      <c r="G438" s="25"/>
      <c r="H438" s="25"/>
    </row>
    <row r="439" spans="1:8" x14ac:dyDescent="0.35">
      <c r="A439" s="25" t="s">
        <v>3288</v>
      </c>
      <c r="B439" s="78">
        <v>4</v>
      </c>
      <c r="C439" s="78">
        <v>4</v>
      </c>
      <c r="G439" s="25"/>
      <c r="H439" s="25"/>
    </row>
    <row r="440" spans="1:8" x14ac:dyDescent="0.35">
      <c r="A440" s="25" t="s">
        <v>3597</v>
      </c>
      <c r="B440" s="78">
        <v>4</v>
      </c>
      <c r="C440" s="78">
        <v>4</v>
      </c>
      <c r="G440" s="25"/>
      <c r="H440" s="25"/>
    </row>
    <row r="441" spans="1:8" x14ac:dyDescent="0.35">
      <c r="A441" s="25" t="s">
        <v>3598</v>
      </c>
      <c r="B441" s="78">
        <v>4</v>
      </c>
      <c r="C441" s="78">
        <v>4</v>
      </c>
      <c r="G441" s="25"/>
      <c r="H441" s="25"/>
    </row>
    <row r="442" spans="1:8" x14ac:dyDescent="0.35">
      <c r="A442" s="25" t="s">
        <v>3599</v>
      </c>
      <c r="B442" s="78">
        <v>4</v>
      </c>
      <c r="C442" s="78">
        <v>4</v>
      </c>
      <c r="G442" s="25"/>
      <c r="H442" s="25"/>
    </row>
    <row r="443" spans="1:8" x14ac:dyDescent="0.35">
      <c r="A443" s="25" t="s">
        <v>3600</v>
      </c>
      <c r="B443" s="78">
        <v>1</v>
      </c>
      <c r="C443" s="78">
        <v>4</v>
      </c>
      <c r="G443" s="25"/>
      <c r="H443" s="25"/>
    </row>
    <row r="444" spans="1:8" x14ac:dyDescent="0.35">
      <c r="A444" s="25" t="s">
        <v>3286</v>
      </c>
      <c r="B444" s="78">
        <v>4</v>
      </c>
      <c r="C444" s="78">
        <v>4</v>
      </c>
      <c r="G444" s="25"/>
      <c r="H444" s="25"/>
    </row>
    <row r="445" spans="1:8" x14ac:dyDescent="0.35">
      <c r="A445" s="25" t="s">
        <v>3287</v>
      </c>
      <c r="B445" s="78">
        <v>4</v>
      </c>
      <c r="C445" s="78">
        <v>4</v>
      </c>
      <c r="G445" s="25"/>
      <c r="H445" s="25"/>
    </row>
    <row r="446" spans="1:8" x14ac:dyDescent="0.35">
      <c r="A446" s="25" t="s">
        <v>3273</v>
      </c>
      <c r="B446" s="78">
        <v>4</v>
      </c>
      <c r="C446" s="78">
        <v>4</v>
      </c>
      <c r="G446" s="25"/>
      <c r="H446" s="25"/>
    </row>
    <row r="447" spans="1:8" x14ac:dyDescent="0.35">
      <c r="A447" s="25" t="s">
        <v>3274</v>
      </c>
      <c r="B447" s="78">
        <v>4</v>
      </c>
      <c r="C447" s="78">
        <v>4</v>
      </c>
      <c r="G447" s="25"/>
      <c r="H447" s="25"/>
    </row>
    <row r="448" spans="1:8" x14ac:dyDescent="0.35">
      <c r="A448" s="25" t="s">
        <v>3275</v>
      </c>
      <c r="B448" s="78">
        <v>4</v>
      </c>
      <c r="C448" s="78">
        <v>4</v>
      </c>
      <c r="G448" s="25"/>
      <c r="H448" s="25"/>
    </row>
    <row r="449" spans="1:8" x14ac:dyDescent="0.35">
      <c r="A449" s="25" t="s">
        <v>3175</v>
      </c>
      <c r="B449" s="78">
        <v>4</v>
      </c>
      <c r="C449" s="78">
        <v>4</v>
      </c>
      <c r="G449" s="25"/>
      <c r="H449" s="25"/>
    </row>
    <row r="450" spans="1:8" x14ac:dyDescent="0.35">
      <c r="A450" s="25" t="s">
        <v>3176</v>
      </c>
      <c r="B450" s="78">
        <v>4</v>
      </c>
      <c r="C450" s="78">
        <v>4</v>
      </c>
      <c r="G450" s="25"/>
      <c r="H450" s="25"/>
    </row>
    <row r="451" spans="1:8" x14ac:dyDescent="0.35">
      <c r="A451" s="25" t="s">
        <v>3177</v>
      </c>
      <c r="B451" s="78">
        <v>15</v>
      </c>
      <c r="C451" s="78">
        <v>1</v>
      </c>
      <c r="G451" s="25"/>
      <c r="H451" s="25"/>
    </row>
    <row r="452" spans="1:8" x14ac:dyDescent="0.35">
      <c r="A452" s="25" t="s">
        <v>3178</v>
      </c>
      <c r="B452" s="78"/>
      <c r="G452" s="25"/>
      <c r="H452" s="25"/>
    </row>
    <row r="453" spans="1:8" x14ac:dyDescent="0.35">
      <c r="A453" s="25" t="s">
        <v>3179</v>
      </c>
      <c r="B453" s="78"/>
      <c r="G453" s="25"/>
      <c r="H453" s="25"/>
    </row>
    <row r="454" spans="1:8" x14ac:dyDescent="0.35">
      <c r="A454" s="25" t="s">
        <v>3948</v>
      </c>
      <c r="B454" s="78"/>
      <c r="G454" s="25"/>
      <c r="H454" s="25"/>
    </row>
    <row r="455" spans="1:8" x14ac:dyDescent="0.35">
      <c r="A455" s="25" t="s">
        <v>3949</v>
      </c>
      <c r="B455" s="78"/>
      <c r="G455" s="25"/>
      <c r="H455" s="25"/>
    </row>
    <row r="456" spans="1:8" x14ac:dyDescent="0.35">
      <c r="A456" s="25" t="s">
        <v>3950</v>
      </c>
      <c r="B456" s="78"/>
      <c r="G456" s="25"/>
      <c r="H456" s="25"/>
    </row>
    <row r="457" spans="1:8" x14ac:dyDescent="0.35">
      <c r="A457" s="25" t="s">
        <v>3951</v>
      </c>
      <c r="B457" s="78"/>
      <c r="G457" s="25"/>
      <c r="H457" s="25"/>
    </row>
    <row r="458" spans="1:8" x14ac:dyDescent="0.35">
      <c r="A458" s="25" t="s">
        <v>3952</v>
      </c>
      <c r="B458" s="78">
        <v>10</v>
      </c>
      <c r="G458" s="25"/>
      <c r="H458" s="25"/>
    </row>
    <row r="459" spans="1:8" x14ac:dyDescent="0.35">
      <c r="A459" s="25" t="s">
        <v>3953</v>
      </c>
      <c r="B459" s="78"/>
      <c r="G459" s="25"/>
      <c r="H459" s="25"/>
    </row>
    <row r="460" spans="1:8" x14ac:dyDescent="0.35">
      <c r="A460" s="25" t="s">
        <v>3954</v>
      </c>
      <c r="B460" s="78"/>
      <c r="G460" s="25"/>
      <c r="H460" s="25"/>
    </row>
    <row r="461" spans="1:8" x14ac:dyDescent="0.35">
      <c r="A461" s="25" t="s">
        <v>3955</v>
      </c>
      <c r="B461" s="78"/>
      <c r="G461" s="25"/>
      <c r="H461" s="25"/>
    </row>
    <row r="462" spans="1:8" x14ac:dyDescent="0.35">
      <c r="A462" s="25" t="s">
        <v>3956</v>
      </c>
      <c r="B462" s="78"/>
      <c r="G462" s="25"/>
      <c r="H462" s="25"/>
    </row>
    <row r="463" spans="1:8" x14ac:dyDescent="0.35">
      <c r="A463" s="25" t="s">
        <v>3957</v>
      </c>
      <c r="B463" s="78"/>
      <c r="G463" s="25"/>
      <c r="H463" s="25"/>
    </row>
    <row r="464" spans="1:8" x14ac:dyDescent="0.35">
      <c r="A464" s="25" t="s">
        <v>3958</v>
      </c>
      <c r="B464" s="78"/>
      <c r="G464" s="25"/>
      <c r="H464" s="25"/>
    </row>
    <row r="465" spans="1:8" x14ac:dyDescent="0.35">
      <c r="A465" s="25" t="s">
        <v>3959</v>
      </c>
      <c r="B465" s="78"/>
      <c r="G465" s="25"/>
      <c r="H465" s="25"/>
    </row>
    <row r="466" spans="1:8" x14ac:dyDescent="0.35">
      <c r="A466" s="25" t="s">
        <v>3960</v>
      </c>
      <c r="B466" s="78"/>
      <c r="G466" s="25"/>
      <c r="H466" s="25"/>
    </row>
    <row r="467" spans="1:8" x14ac:dyDescent="0.35">
      <c r="A467" s="25" t="s">
        <v>2819</v>
      </c>
      <c r="B467" s="78"/>
      <c r="G467" s="25"/>
      <c r="H467" s="25"/>
    </row>
    <row r="468" spans="1:8" x14ac:dyDescent="0.35">
      <c r="A468" s="25" t="s">
        <v>2820</v>
      </c>
      <c r="B468" s="78"/>
      <c r="G468" s="25"/>
      <c r="H468" s="25"/>
    </row>
    <row r="469" spans="1:8" x14ac:dyDescent="0.35">
      <c r="A469" s="25" t="s">
        <v>2821</v>
      </c>
      <c r="B469" s="78"/>
      <c r="G469" s="25"/>
      <c r="H469" s="25"/>
    </row>
    <row r="470" spans="1:8" x14ac:dyDescent="0.35">
      <c r="A470" s="25" t="s">
        <v>1222</v>
      </c>
      <c r="B470" s="78"/>
      <c r="G470" s="25"/>
      <c r="H470" s="25"/>
    </row>
    <row r="471" spans="1:8" x14ac:dyDescent="0.35">
      <c r="A471" s="25" t="s">
        <v>1223</v>
      </c>
      <c r="B471" s="78" t="s">
        <v>4898</v>
      </c>
      <c r="G471" s="25"/>
      <c r="H471" s="25"/>
    </row>
    <row r="472" spans="1:8" x14ac:dyDescent="0.35">
      <c r="A472" s="25" t="s">
        <v>1224</v>
      </c>
      <c r="B472" s="78"/>
      <c r="G472" s="25"/>
      <c r="H472" s="25"/>
    </row>
    <row r="473" spans="1:8" x14ac:dyDescent="0.35">
      <c r="A473" s="25" t="s">
        <v>1225</v>
      </c>
      <c r="B473" s="78"/>
      <c r="G473" s="25"/>
      <c r="H473" s="25"/>
    </row>
    <row r="474" spans="1:8" x14ac:dyDescent="0.35">
      <c r="A474" s="25" t="s">
        <v>1226</v>
      </c>
      <c r="B474" s="78"/>
      <c r="G474" s="25"/>
      <c r="H474" s="25"/>
    </row>
    <row r="475" spans="1:8" x14ac:dyDescent="0.35">
      <c r="A475" s="25" t="s">
        <v>1227</v>
      </c>
      <c r="B475" s="78"/>
      <c r="G475" s="25"/>
      <c r="H475" s="25"/>
    </row>
    <row r="476" spans="1:8" x14ac:dyDescent="0.35">
      <c r="A476" s="25" t="s">
        <v>2822</v>
      </c>
      <c r="B476" s="78"/>
      <c r="D476" s="78">
        <v>50</v>
      </c>
      <c r="G476" s="25"/>
      <c r="H476" s="25"/>
    </row>
    <row r="477" spans="1:8" x14ac:dyDescent="0.35">
      <c r="A477" s="25" t="s">
        <v>2823</v>
      </c>
      <c r="B477" s="78"/>
      <c r="D477" s="78">
        <v>50</v>
      </c>
      <c r="G477" s="25"/>
      <c r="H477" s="25"/>
    </row>
    <row r="478" spans="1:8" x14ac:dyDescent="0.35">
      <c r="A478" s="25" t="s">
        <v>2824</v>
      </c>
      <c r="B478" s="78"/>
      <c r="D478" s="78">
        <v>50</v>
      </c>
      <c r="G478" s="25"/>
      <c r="H478" s="25"/>
    </row>
    <row r="479" spans="1:8" x14ac:dyDescent="0.35">
      <c r="A479" s="25" t="s">
        <v>1939</v>
      </c>
      <c r="B479" s="78"/>
      <c r="D479" s="78">
        <v>50</v>
      </c>
      <c r="G479" s="25"/>
      <c r="H479" s="25"/>
    </row>
    <row r="480" spans="1:8" x14ac:dyDescent="0.35">
      <c r="A480" s="25" t="s">
        <v>1940</v>
      </c>
      <c r="B480" s="78"/>
      <c r="D480" s="78">
        <v>50</v>
      </c>
      <c r="G480" s="25"/>
      <c r="H480" s="25"/>
    </row>
    <row r="481" spans="1:8" x14ac:dyDescent="0.35">
      <c r="A481" s="25" t="s">
        <v>1941</v>
      </c>
      <c r="B481" s="78"/>
      <c r="D481" s="78">
        <v>50</v>
      </c>
      <c r="G481" s="25"/>
      <c r="H481" s="25"/>
    </row>
    <row r="482" spans="1:8" x14ac:dyDescent="0.35">
      <c r="A482" s="25" t="s">
        <v>1942</v>
      </c>
      <c r="B482" s="78" t="s">
        <v>5092</v>
      </c>
      <c r="D482" s="78">
        <v>50</v>
      </c>
      <c r="G482" s="25"/>
      <c r="H482" s="25"/>
    </row>
    <row r="483" spans="1:8" x14ac:dyDescent="0.35">
      <c r="A483" s="25" t="s">
        <v>1943</v>
      </c>
      <c r="B483" s="78"/>
      <c r="D483" s="78">
        <v>50</v>
      </c>
      <c r="G483" s="25"/>
      <c r="H483" s="25"/>
    </row>
    <row r="484" spans="1:8" x14ac:dyDescent="0.35">
      <c r="A484" s="25" t="s">
        <v>1944</v>
      </c>
      <c r="B484" s="78" t="s">
        <v>5093</v>
      </c>
      <c r="D484" s="78"/>
      <c r="G484" s="25"/>
      <c r="H484" s="25"/>
    </row>
    <row r="485" spans="1:8" x14ac:dyDescent="0.35">
      <c r="A485" s="25" t="s">
        <v>1945</v>
      </c>
      <c r="B485" s="78"/>
      <c r="D485" s="78">
        <v>50</v>
      </c>
      <c r="G485" s="25"/>
      <c r="H485" s="25"/>
    </row>
    <row r="486" spans="1:8" x14ac:dyDescent="0.35">
      <c r="A486" s="25" t="s">
        <v>1946</v>
      </c>
      <c r="B486" s="78"/>
      <c r="D486" s="78"/>
      <c r="G486" s="25"/>
      <c r="H486" s="25"/>
    </row>
    <row r="487" spans="1:8" x14ac:dyDescent="0.35">
      <c r="A487" s="25" t="s">
        <v>1947</v>
      </c>
      <c r="B487" s="78"/>
      <c r="D487" s="78">
        <v>50</v>
      </c>
      <c r="G487" s="25"/>
      <c r="H487" s="25"/>
    </row>
    <row r="488" spans="1:8" x14ac:dyDescent="0.35">
      <c r="A488" s="25" t="s">
        <v>1948</v>
      </c>
      <c r="B488" s="78"/>
      <c r="D488" s="78"/>
      <c r="G488" s="25"/>
      <c r="H488" s="25"/>
    </row>
    <row r="489" spans="1:8" x14ac:dyDescent="0.35">
      <c r="A489" s="25" t="s">
        <v>1949</v>
      </c>
      <c r="B489" s="78"/>
      <c r="D489" s="78">
        <v>50</v>
      </c>
      <c r="G489" s="25"/>
      <c r="H489" s="25"/>
    </row>
    <row r="490" spans="1:8" x14ac:dyDescent="0.35">
      <c r="A490" s="25" t="s">
        <v>1950</v>
      </c>
      <c r="B490" s="78"/>
      <c r="D490" s="78">
        <v>50</v>
      </c>
      <c r="G490" s="25"/>
      <c r="H490" s="25"/>
    </row>
    <row r="491" spans="1:8" x14ac:dyDescent="0.35">
      <c r="A491" s="25" t="s">
        <v>1951</v>
      </c>
      <c r="B491" s="78"/>
      <c r="D491" s="78">
        <v>50</v>
      </c>
      <c r="G491" s="25"/>
      <c r="H491" s="25"/>
    </row>
    <row r="492" spans="1:8" x14ac:dyDescent="0.35">
      <c r="A492" s="25" t="s">
        <v>1952</v>
      </c>
      <c r="B492" s="78"/>
      <c r="D492" s="78">
        <v>50</v>
      </c>
      <c r="G492" s="25"/>
      <c r="H492" s="25"/>
    </row>
    <row r="493" spans="1:8" x14ac:dyDescent="0.35">
      <c r="A493" s="25" t="s">
        <v>1953</v>
      </c>
      <c r="B493" s="78"/>
      <c r="D493" s="78">
        <v>50</v>
      </c>
      <c r="G493" s="25"/>
      <c r="H493" s="25"/>
    </row>
    <row r="494" spans="1:8" x14ac:dyDescent="0.35">
      <c r="A494" s="25" t="s">
        <v>1954</v>
      </c>
      <c r="B494" s="78"/>
      <c r="D494" s="78">
        <v>50</v>
      </c>
      <c r="G494" s="25"/>
      <c r="H494" s="25"/>
    </row>
    <row r="495" spans="1:8" x14ac:dyDescent="0.35">
      <c r="A495" s="25" t="s">
        <v>1955</v>
      </c>
      <c r="B495" s="78"/>
      <c r="D495" s="78">
        <v>50</v>
      </c>
      <c r="G495" s="25"/>
      <c r="H495" s="25"/>
    </row>
    <row r="496" spans="1:8" x14ac:dyDescent="0.35">
      <c r="A496" s="25" t="s">
        <v>1956</v>
      </c>
      <c r="B496" s="78"/>
      <c r="D496" s="78">
        <v>50</v>
      </c>
      <c r="G496" s="25"/>
      <c r="H496" s="25"/>
    </row>
    <row r="497" spans="1:8" x14ac:dyDescent="0.35">
      <c r="A497" s="25" t="s">
        <v>1957</v>
      </c>
      <c r="B497" s="78"/>
      <c r="D497" s="78">
        <v>50</v>
      </c>
      <c r="G497" s="25"/>
      <c r="H497" s="25"/>
    </row>
    <row r="498" spans="1:8" x14ac:dyDescent="0.35">
      <c r="A498" s="25" t="s">
        <v>2941</v>
      </c>
      <c r="B498" s="78"/>
      <c r="D498" s="78">
        <v>50</v>
      </c>
      <c r="G498" s="25"/>
      <c r="H498" s="25"/>
    </row>
    <row r="499" spans="1:8" x14ac:dyDescent="0.35">
      <c r="A499" s="25" t="s">
        <v>2942</v>
      </c>
      <c r="B499" s="78"/>
      <c r="G499" s="25"/>
      <c r="H499" s="25"/>
    </row>
    <row r="500" spans="1:8" x14ac:dyDescent="0.35">
      <c r="A500" s="25" t="s">
        <v>3870</v>
      </c>
      <c r="B500" s="78"/>
      <c r="G500" s="25"/>
      <c r="H500" s="25"/>
    </row>
    <row r="501" spans="1:8" x14ac:dyDescent="0.35">
      <c r="A501" s="25" t="s">
        <v>2461</v>
      </c>
      <c r="B501" s="78"/>
      <c r="G501" s="25"/>
      <c r="H501" s="25"/>
    </row>
    <row r="502" spans="1:8" x14ac:dyDescent="0.35">
      <c r="A502" s="25" t="s">
        <v>2462</v>
      </c>
      <c r="B502" s="78">
        <v>0</v>
      </c>
      <c r="G502" s="25"/>
      <c r="H502" s="25"/>
    </row>
    <row r="503" spans="1:8" x14ac:dyDescent="0.35">
      <c r="A503" s="25" t="s">
        <v>1828</v>
      </c>
      <c r="B503" s="78"/>
      <c r="G503" s="25"/>
      <c r="H503" s="25"/>
    </row>
    <row r="504" spans="1:8" x14ac:dyDescent="0.35">
      <c r="A504" s="25" t="s">
        <v>1829</v>
      </c>
      <c r="B504" s="78"/>
      <c r="G504" s="25"/>
      <c r="H504" s="25"/>
    </row>
    <row r="505" spans="1:8" x14ac:dyDescent="0.35">
      <c r="A505" s="25" t="s">
        <v>1830</v>
      </c>
      <c r="B505" s="78">
        <v>0</v>
      </c>
      <c r="G505" s="25"/>
      <c r="H505" s="25"/>
    </row>
    <row r="506" spans="1:8" x14ac:dyDescent="0.35">
      <c r="A506" s="25" t="s">
        <v>1831</v>
      </c>
      <c r="B506" s="78"/>
      <c r="G506" s="25"/>
      <c r="H506" s="25"/>
    </row>
    <row r="507" spans="1:8" x14ac:dyDescent="0.35">
      <c r="A507" s="25" t="s">
        <v>1832</v>
      </c>
      <c r="B507" s="78"/>
      <c r="G507" s="25"/>
      <c r="H507" s="25"/>
    </row>
    <row r="508" spans="1:8" x14ac:dyDescent="0.35">
      <c r="A508" s="25" t="s">
        <v>1228</v>
      </c>
      <c r="B508" s="78"/>
      <c r="G508" s="25"/>
      <c r="H508" s="25"/>
    </row>
    <row r="509" spans="1:8" x14ac:dyDescent="0.35">
      <c r="A509" s="25" t="s">
        <v>4157</v>
      </c>
      <c r="B509" s="78"/>
      <c r="G509" s="25"/>
      <c r="H509" s="25"/>
    </row>
    <row r="510" spans="1:8" x14ac:dyDescent="0.35">
      <c r="A510" s="25" t="s">
        <v>4158</v>
      </c>
      <c r="B510" s="78"/>
      <c r="G510" s="25"/>
      <c r="H510" s="25"/>
    </row>
    <row r="511" spans="1:8" x14ac:dyDescent="0.35">
      <c r="A511" s="25" t="s">
        <v>4159</v>
      </c>
      <c r="B511" s="78"/>
      <c r="G511" s="25"/>
      <c r="H511" s="25"/>
    </row>
    <row r="512" spans="1:8" x14ac:dyDescent="0.35">
      <c r="A512" s="25" t="s">
        <v>4160</v>
      </c>
      <c r="B512" s="78"/>
      <c r="G512" s="25"/>
      <c r="H512" s="25"/>
    </row>
    <row r="513" spans="1:8" x14ac:dyDescent="0.35">
      <c r="A513" s="25" t="s">
        <v>4161</v>
      </c>
      <c r="B513" s="78"/>
      <c r="G513" s="25"/>
      <c r="H513" s="25"/>
    </row>
    <row r="514" spans="1:8" x14ac:dyDescent="0.35">
      <c r="A514" s="25" t="s">
        <v>4162</v>
      </c>
      <c r="B514" s="78"/>
      <c r="G514" s="25"/>
      <c r="H514" s="25"/>
    </row>
    <row r="515" spans="1:8" x14ac:dyDescent="0.35">
      <c r="A515" s="25" t="s">
        <v>440</v>
      </c>
      <c r="B515" s="78"/>
      <c r="G515" s="25"/>
      <c r="H515" s="25"/>
    </row>
    <row r="516" spans="1:8" x14ac:dyDescent="0.35">
      <c r="A516" s="25" t="s">
        <v>441</v>
      </c>
      <c r="B516" s="78"/>
      <c r="G516" s="25"/>
      <c r="H516" s="25"/>
    </row>
    <row r="517" spans="1:8" x14ac:dyDescent="0.35">
      <c r="A517" s="25" t="s">
        <v>442</v>
      </c>
      <c r="B517" s="78"/>
      <c r="G517" s="25"/>
      <c r="H517" s="25"/>
    </row>
    <row r="518" spans="1:8" x14ac:dyDescent="0.35">
      <c r="A518" s="25" t="s">
        <v>443</v>
      </c>
      <c r="B518" s="78"/>
      <c r="G518" s="25"/>
      <c r="H518" s="25"/>
    </row>
    <row r="519" spans="1:8" x14ac:dyDescent="0.35">
      <c r="A519" s="25" t="s">
        <v>444</v>
      </c>
      <c r="B519" s="78"/>
      <c r="G519" s="25"/>
      <c r="H519" s="25"/>
    </row>
    <row r="520" spans="1:8" x14ac:dyDescent="0.35">
      <c r="A520" s="25" t="s">
        <v>445</v>
      </c>
      <c r="B520" s="78"/>
      <c r="G520" s="25"/>
      <c r="H520" s="25"/>
    </row>
    <row r="521" spans="1:8" x14ac:dyDescent="0.35">
      <c r="A521" s="25" t="s">
        <v>1371</v>
      </c>
      <c r="B521" s="78"/>
      <c r="G521" s="25"/>
      <c r="H521" s="25"/>
    </row>
    <row r="522" spans="1:8" x14ac:dyDescent="0.35">
      <c r="A522" s="25" t="s">
        <v>837</v>
      </c>
      <c r="B522" s="78">
        <v>0</v>
      </c>
      <c r="G522" s="25"/>
      <c r="H522" s="25"/>
    </row>
    <row r="523" spans="1:8" x14ac:dyDescent="0.35">
      <c r="A523" s="25" t="s">
        <v>838</v>
      </c>
      <c r="B523" s="78"/>
      <c r="G523" s="25"/>
      <c r="H523" s="25"/>
    </row>
    <row r="524" spans="1:8" x14ac:dyDescent="0.35">
      <c r="A524" s="25" t="s">
        <v>286</v>
      </c>
      <c r="B524" s="78"/>
      <c r="G524" s="25"/>
      <c r="H524" s="25"/>
    </row>
    <row r="525" spans="1:8" x14ac:dyDescent="0.35">
      <c r="A525" s="25" t="s">
        <v>287</v>
      </c>
      <c r="B525" s="78">
        <v>0</v>
      </c>
      <c r="G525" s="25"/>
      <c r="H525" s="25"/>
    </row>
    <row r="526" spans="1:8" x14ac:dyDescent="0.35">
      <c r="A526" s="25" t="s">
        <v>3156</v>
      </c>
      <c r="B526" s="78"/>
      <c r="G526" s="25"/>
      <c r="H526" s="25"/>
    </row>
    <row r="527" spans="1:8" x14ac:dyDescent="0.35">
      <c r="A527" s="25" t="s">
        <v>3157</v>
      </c>
      <c r="B527" s="78"/>
      <c r="G527" s="25"/>
      <c r="H527" s="25"/>
    </row>
    <row r="528" spans="1:8" x14ac:dyDescent="0.35">
      <c r="A528" s="25" t="s">
        <v>3158</v>
      </c>
      <c r="B528" s="78"/>
      <c r="G528" s="25"/>
      <c r="H528" s="25"/>
    </row>
    <row r="529" spans="1:8" x14ac:dyDescent="0.35">
      <c r="A529" s="25" t="s">
        <v>2887</v>
      </c>
      <c r="B529" s="78"/>
      <c r="G529" s="25"/>
      <c r="H529" s="25"/>
    </row>
    <row r="530" spans="1:8" x14ac:dyDescent="0.35">
      <c r="A530" s="25" t="s">
        <v>3076</v>
      </c>
      <c r="B530" s="78"/>
      <c r="G530" s="25"/>
      <c r="H530" s="25"/>
    </row>
    <row r="531" spans="1:8" x14ac:dyDescent="0.35">
      <c r="A531" s="25" t="s">
        <v>3077</v>
      </c>
      <c r="B531" s="78">
        <v>1500</v>
      </c>
      <c r="C531" s="78">
        <v>1500</v>
      </c>
      <c r="G531" s="25"/>
      <c r="H531" s="25"/>
    </row>
    <row r="532" spans="1:8" x14ac:dyDescent="0.35">
      <c r="A532" s="25" t="s">
        <v>3078</v>
      </c>
      <c r="B532" s="78">
        <v>1500</v>
      </c>
      <c r="C532" s="78">
        <v>1500</v>
      </c>
      <c r="G532" s="25"/>
      <c r="H532" s="25"/>
    </row>
    <row r="533" spans="1:8" x14ac:dyDescent="0.35">
      <c r="A533" s="25" t="s">
        <v>3079</v>
      </c>
      <c r="B533" s="78">
        <v>1500</v>
      </c>
      <c r="C533" s="78">
        <v>1500</v>
      </c>
      <c r="G533" s="25"/>
      <c r="H533" s="25"/>
    </row>
    <row r="534" spans="1:8" x14ac:dyDescent="0.35">
      <c r="A534" s="25" t="s">
        <v>421</v>
      </c>
      <c r="B534" s="78">
        <v>1500</v>
      </c>
      <c r="C534" s="78">
        <v>1500</v>
      </c>
      <c r="G534" s="25"/>
      <c r="H534" s="25"/>
    </row>
    <row r="535" spans="1:8" x14ac:dyDescent="0.35">
      <c r="A535" s="25" t="s">
        <v>422</v>
      </c>
      <c r="B535" s="78">
        <v>1500</v>
      </c>
      <c r="C535" s="78">
        <v>1500</v>
      </c>
      <c r="G535" s="25"/>
      <c r="H535" s="25"/>
    </row>
    <row r="536" spans="1:8" x14ac:dyDescent="0.35">
      <c r="A536" s="25" t="s">
        <v>677</v>
      </c>
      <c r="B536" s="78">
        <v>1500</v>
      </c>
      <c r="C536" s="78">
        <v>1500</v>
      </c>
      <c r="G536" s="25"/>
      <c r="H536" s="25"/>
    </row>
    <row r="537" spans="1:8" x14ac:dyDescent="0.35">
      <c r="A537" s="25" t="s">
        <v>678</v>
      </c>
      <c r="B537" s="78">
        <v>1500</v>
      </c>
      <c r="C537" s="78">
        <v>1500</v>
      </c>
      <c r="G537" s="25"/>
      <c r="H537" s="25"/>
    </row>
    <row r="538" spans="1:8" x14ac:dyDescent="0.35">
      <c r="A538" s="25" t="s">
        <v>2464</v>
      </c>
      <c r="B538" s="78">
        <v>1500</v>
      </c>
      <c r="C538" s="78">
        <v>1500</v>
      </c>
      <c r="G538" s="25"/>
      <c r="H538" s="25"/>
    </row>
    <row r="539" spans="1:8" x14ac:dyDescent="0.35">
      <c r="A539" s="25" t="s">
        <v>2474</v>
      </c>
      <c r="B539" s="78">
        <v>1500</v>
      </c>
      <c r="C539" s="78">
        <v>1500</v>
      </c>
      <c r="G539" s="25"/>
      <c r="H539" s="25"/>
    </row>
    <row r="540" spans="1:8" x14ac:dyDescent="0.35">
      <c r="A540" s="25" t="s">
        <v>2475</v>
      </c>
      <c r="B540" s="78">
        <v>1500</v>
      </c>
      <c r="C540" s="78">
        <v>1500</v>
      </c>
      <c r="G540" s="25"/>
      <c r="H540" s="25"/>
    </row>
    <row r="541" spans="1:8" x14ac:dyDescent="0.35">
      <c r="A541" s="25" t="s">
        <v>2476</v>
      </c>
      <c r="B541" s="78">
        <v>1500</v>
      </c>
      <c r="C541" s="78">
        <v>1500</v>
      </c>
      <c r="G541" s="25"/>
      <c r="H541" s="25"/>
    </row>
    <row r="542" spans="1:8" x14ac:dyDescent="0.35">
      <c r="A542" s="25" t="s">
        <v>2477</v>
      </c>
      <c r="B542" s="78">
        <v>1500</v>
      </c>
      <c r="C542" s="78">
        <v>1500</v>
      </c>
      <c r="G542" s="25"/>
      <c r="H542" s="25"/>
    </row>
    <row r="543" spans="1:8" x14ac:dyDescent="0.35">
      <c r="A543" s="25" t="s">
        <v>2478</v>
      </c>
      <c r="B543" s="78">
        <v>1500</v>
      </c>
      <c r="C543" s="78">
        <v>1500</v>
      </c>
      <c r="G543" s="25"/>
      <c r="H543" s="25"/>
    </row>
    <row r="544" spans="1:8" x14ac:dyDescent="0.35">
      <c r="A544" s="25" t="s">
        <v>2479</v>
      </c>
      <c r="B544" s="78">
        <v>1500</v>
      </c>
      <c r="C544" s="78">
        <v>1500</v>
      </c>
      <c r="G544" s="25"/>
      <c r="H544" s="25"/>
    </row>
    <row r="545" spans="1:8" x14ac:dyDescent="0.35">
      <c r="A545" s="25" t="s">
        <v>2473</v>
      </c>
      <c r="B545" s="78">
        <v>1500</v>
      </c>
      <c r="C545" s="78">
        <v>1500</v>
      </c>
      <c r="G545" s="25"/>
      <c r="H545" s="25"/>
    </row>
    <row r="546" spans="1:8" x14ac:dyDescent="0.35">
      <c r="A546" s="25" t="s">
        <v>283</v>
      </c>
      <c r="B546" s="78">
        <v>1500</v>
      </c>
      <c r="C546" s="78">
        <v>1500</v>
      </c>
      <c r="G546" s="25"/>
      <c r="H546" s="25"/>
    </row>
    <row r="547" spans="1:8" x14ac:dyDescent="0.35">
      <c r="A547" s="25" t="s">
        <v>284</v>
      </c>
      <c r="B547" s="78">
        <v>1500</v>
      </c>
      <c r="C547" s="78">
        <v>1500</v>
      </c>
      <c r="G547" s="25"/>
      <c r="H547" s="25"/>
    </row>
    <row r="548" spans="1:8" x14ac:dyDescent="0.35">
      <c r="A548" s="25" t="s">
        <v>285</v>
      </c>
      <c r="B548" s="78">
        <v>1500</v>
      </c>
      <c r="C548" s="78">
        <v>1500</v>
      </c>
      <c r="G548" s="25"/>
      <c r="H548" s="25"/>
    </row>
    <row r="549" spans="1:8" x14ac:dyDescent="0.35">
      <c r="A549" s="25" t="s">
        <v>1867</v>
      </c>
      <c r="B549" s="78">
        <v>1500</v>
      </c>
      <c r="C549" s="78">
        <v>1500</v>
      </c>
      <c r="G549" s="25"/>
      <c r="H549" s="25"/>
    </row>
    <row r="550" spans="1:8" x14ac:dyDescent="0.35">
      <c r="A550" s="25" t="s">
        <v>1868</v>
      </c>
      <c r="B550" s="78">
        <v>1500</v>
      </c>
      <c r="C550" s="78">
        <v>1500</v>
      </c>
      <c r="G550" s="25"/>
      <c r="H550" s="25"/>
    </row>
    <row r="551" spans="1:8" x14ac:dyDescent="0.35">
      <c r="A551" s="25" t="s">
        <v>2441</v>
      </c>
      <c r="B551" s="78">
        <v>7</v>
      </c>
      <c r="C551" s="78">
        <v>1</v>
      </c>
      <c r="G551" s="25"/>
      <c r="H551" s="25"/>
    </row>
    <row r="552" spans="1:8" x14ac:dyDescent="0.35">
      <c r="A552" s="25" t="s">
        <v>2442</v>
      </c>
      <c r="B552" s="78">
        <v>1</v>
      </c>
      <c r="C552" s="78">
        <v>1</v>
      </c>
      <c r="G552" s="25"/>
      <c r="H552" s="25"/>
    </row>
    <row r="553" spans="1:8" x14ac:dyDescent="0.35">
      <c r="A553" s="25" t="s">
        <v>2443</v>
      </c>
      <c r="B553" s="78">
        <v>1</v>
      </c>
      <c r="C553" s="78">
        <v>1</v>
      </c>
      <c r="G553" s="25"/>
      <c r="H553" s="25"/>
    </row>
    <row r="554" spans="1:8" x14ac:dyDescent="0.35">
      <c r="A554" s="25" t="s">
        <v>2444</v>
      </c>
      <c r="B554" s="78">
        <v>1</v>
      </c>
      <c r="C554" s="78">
        <v>1</v>
      </c>
      <c r="G554" s="25"/>
      <c r="H554" s="25"/>
    </row>
    <row r="555" spans="1:8" x14ac:dyDescent="0.35">
      <c r="A555" s="25" t="s">
        <v>3922</v>
      </c>
      <c r="B555" s="78">
        <v>1</v>
      </c>
      <c r="C555" s="78">
        <v>1</v>
      </c>
      <c r="G555" s="25"/>
      <c r="H555" s="25"/>
    </row>
    <row r="556" spans="1:8" x14ac:dyDescent="0.35">
      <c r="A556" s="25" t="s">
        <v>3923</v>
      </c>
      <c r="B556" s="78">
        <v>1</v>
      </c>
      <c r="C556" s="78">
        <v>1</v>
      </c>
      <c r="G556" s="25"/>
      <c r="H556" s="25"/>
    </row>
    <row r="557" spans="1:8" x14ac:dyDescent="0.35">
      <c r="A557" s="25" t="s">
        <v>3924</v>
      </c>
      <c r="B557" s="78">
        <v>1</v>
      </c>
      <c r="C557" s="78">
        <v>1</v>
      </c>
      <c r="G557" s="25"/>
      <c r="H557" s="25"/>
    </row>
    <row r="558" spans="1:8" x14ac:dyDescent="0.35">
      <c r="A558" s="25" t="s">
        <v>3925</v>
      </c>
      <c r="B558" s="78">
        <v>1</v>
      </c>
      <c r="C558" s="78">
        <v>1</v>
      </c>
      <c r="G558" s="25"/>
      <c r="H558" s="25"/>
    </row>
    <row r="559" spans="1:8" x14ac:dyDescent="0.35">
      <c r="A559" s="25" t="s">
        <v>3926</v>
      </c>
      <c r="B559" s="78">
        <v>1</v>
      </c>
      <c r="C559" s="78">
        <v>1</v>
      </c>
      <c r="G559" s="25"/>
      <c r="H559" s="25"/>
    </row>
    <row r="560" spans="1:8" x14ac:dyDescent="0.35">
      <c r="A560" s="25" t="s">
        <v>3961</v>
      </c>
      <c r="B560" s="78">
        <v>1</v>
      </c>
      <c r="C560" s="78">
        <v>1</v>
      </c>
      <c r="G560" s="25"/>
      <c r="H560" s="25"/>
    </row>
    <row r="561" spans="1:8" x14ac:dyDescent="0.35">
      <c r="A561" s="25" t="s">
        <v>3962</v>
      </c>
      <c r="B561" s="78">
        <v>1</v>
      </c>
      <c r="C561" s="78">
        <v>1</v>
      </c>
      <c r="G561" s="25"/>
      <c r="H561" s="25"/>
    </row>
    <row r="562" spans="1:8" x14ac:dyDescent="0.35">
      <c r="A562" s="25" t="s">
        <v>3963</v>
      </c>
      <c r="B562" s="78">
        <v>4</v>
      </c>
      <c r="C562" s="78">
        <v>1</v>
      </c>
      <c r="G562" s="25"/>
      <c r="H562" s="25"/>
    </row>
    <row r="563" spans="1:8" x14ac:dyDescent="0.35">
      <c r="A563" s="73" t="s">
        <v>3964</v>
      </c>
      <c r="B563" s="78">
        <v>1</v>
      </c>
      <c r="C563" s="78">
        <v>1</v>
      </c>
      <c r="G563" s="25"/>
      <c r="H563" s="25"/>
    </row>
    <row r="564" spans="1:8" x14ac:dyDescent="0.35">
      <c r="A564" s="73" t="s">
        <v>3965</v>
      </c>
      <c r="B564" s="78">
        <v>4</v>
      </c>
      <c r="C564" s="78">
        <v>1</v>
      </c>
      <c r="G564" s="25"/>
      <c r="H564" s="25"/>
    </row>
    <row r="565" spans="1:8" x14ac:dyDescent="0.35">
      <c r="A565" s="73" t="s">
        <v>3966</v>
      </c>
      <c r="B565" s="78">
        <v>1</v>
      </c>
      <c r="C565" s="78">
        <v>1</v>
      </c>
      <c r="G565" s="25"/>
      <c r="H565" s="25"/>
    </row>
    <row r="566" spans="1:8" x14ac:dyDescent="0.35">
      <c r="A566" s="73" t="s">
        <v>3967</v>
      </c>
      <c r="B566" s="78">
        <v>1</v>
      </c>
      <c r="C566" s="78">
        <v>1</v>
      </c>
      <c r="G566" s="25"/>
      <c r="H566" s="25"/>
    </row>
    <row r="567" spans="1:8" x14ac:dyDescent="0.35">
      <c r="A567" s="73" t="s">
        <v>3326</v>
      </c>
      <c r="B567" s="78">
        <v>1</v>
      </c>
      <c r="C567" s="78">
        <v>1</v>
      </c>
      <c r="G567" s="25"/>
      <c r="H567" s="25"/>
    </row>
    <row r="568" spans="1:8" x14ac:dyDescent="0.35">
      <c r="A568" s="73" t="s">
        <v>3637</v>
      </c>
      <c r="B568" s="78">
        <v>1</v>
      </c>
      <c r="C568" s="78">
        <v>1</v>
      </c>
      <c r="G568" s="25"/>
      <c r="H568" s="25"/>
    </row>
    <row r="569" spans="1:8" x14ac:dyDescent="0.35">
      <c r="A569" s="73" t="s">
        <v>3638</v>
      </c>
      <c r="B569" s="78">
        <v>1</v>
      </c>
      <c r="C569" s="78">
        <v>1</v>
      </c>
      <c r="G569" s="25"/>
      <c r="H569" s="25"/>
    </row>
    <row r="570" spans="1:8" x14ac:dyDescent="0.35">
      <c r="A570" s="73" t="s">
        <v>3639</v>
      </c>
      <c r="B570" s="78">
        <v>1</v>
      </c>
      <c r="C570" s="78">
        <v>1</v>
      </c>
      <c r="G570" s="25"/>
      <c r="H570" s="25"/>
    </row>
    <row r="571" spans="1:8" x14ac:dyDescent="0.35">
      <c r="A571" s="25" t="s">
        <v>3640</v>
      </c>
      <c r="B571" s="78" t="s">
        <v>1107</v>
      </c>
      <c r="G571" s="25"/>
      <c r="H571" s="25"/>
    </row>
    <row r="572" spans="1:8" x14ac:dyDescent="0.35">
      <c r="A572" s="25" t="s">
        <v>3641</v>
      </c>
      <c r="B572" s="78"/>
      <c r="G572" s="25"/>
      <c r="H572" s="25"/>
    </row>
    <row r="573" spans="1:8" x14ac:dyDescent="0.35">
      <c r="A573" s="25" t="s">
        <v>1979</v>
      </c>
      <c r="B573" s="78"/>
      <c r="G573" s="25"/>
      <c r="H573" s="25"/>
    </row>
    <row r="574" spans="1:8" x14ac:dyDescent="0.35">
      <c r="A574" s="25" t="s">
        <v>2466</v>
      </c>
      <c r="B574" s="78"/>
      <c r="G574" s="25"/>
      <c r="H574" s="25"/>
    </row>
    <row r="575" spans="1:8" x14ac:dyDescent="0.35">
      <c r="A575" s="25" t="s">
        <v>2467</v>
      </c>
      <c r="B575" s="78"/>
      <c r="G575" s="25"/>
      <c r="H575" s="25"/>
    </row>
    <row r="576" spans="1:8" x14ac:dyDescent="0.35">
      <c r="A576" s="25" t="s">
        <v>2468</v>
      </c>
      <c r="B576" s="78"/>
      <c r="G576" s="25"/>
      <c r="H576" s="25"/>
    </row>
    <row r="577" spans="1:8" x14ac:dyDescent="0.35">
      <c r="A577" s="25" t="s">
        <v>2469</v>
      </c>
      <c r="B577" s="78"/>
      <c r="G577" s="25"/>
      <c r="H577" s="25"/>
    </row>
    <row r="578" spans="1:8" x14ac:dyDescent="0.35">
      <c r="A578" s="25" t="s">
        <v>2470</v>
      </c>
      <c r="B578" s="78"/>
      <c r="G578" s="25"/>
      <c r="H578" s="25"/>
    </row>
    <row r="579" spans="1:8" x14ac:dyDescent="0.35">
      <c r="A579" s="25" t="s">
        <v>2471</v>
      </c>
      <c r="B579" s="78"/>
      <c r="G579" s="25"/>
      <c r="H579" s="25"/>
    </row>
    <row r="580" spans="1:8" x14ac:dyDescent="0.35">
      <c r="A580" s="25" t="s">
        <v>3518</v>
      </c>
      <c r="B580" s="78"/>
      <c r="G580" s="25"/>
      <c r="H580" s="25"/>
    </row>
    <row r="581" spans="1:8" x14ac:dyDescent="0.35">
      <c r="A581" s="25" t="s">
        <v>3444</v>
      </c>
      <c r="B581" s="78"/>
      <c r="G581" s="25"/>
      <c r="H581" s="25"/>
    </row>
    <row r="582" spans="1:8" x14ac:dyDescent="0.35">
      <c r="A582" s="25" t="s">
        <v>3445</v>
      </c>
      <c r="B582" s="78" t="s">
        <v>2126</v>
      </c>
      <c r="G582" s="25"/>
      <c r="H582" s="25"/>
    </row>
    <row r="583" spans="1:8" x14ac:dyDescent="0.35">
      <c r="A583" s="25" t="s">
        <v>3446</v>
      </c>
      <c r="B583" s="78"/>
      <c r="G583" s="25"/>
      <c r="H583" s="25"/>
    </row>
    <row r="584" spans="1:8" x14ac:dyDescent="0.35">
      <c r="A584" s="25" t="s">
        <v>3447</v>
      </c>
      <c r="B584" s="78" t="s">
        <v>1107</v>
      </c>
      <c r="G584" s="25"/>
      <c r="H584" s="25"/>
    </row>
    <row r="585" spans="1:8" x14ac:dyDescent="0.35">
      <c r="A585" s="25" t="s">
        <v>3856</v>
      </c>
      <c r="B585" s="78"/>
      <c r="G585" s="25"/>
      <c r="H585" s="25"/>
    </row>
    <row r="586" spans="1:8" x14ac:dyDescent="0.35">
      <c r="A586" s="25" t="s">
        <v>4051</v>
      </c>
      <c r="B586" s="78"/>
      <c r="G586" s="25"/>
      <c r="H586" s="25"/>
    </row>
    <row r="587" spans="1:8" x14ac:dyDescent="0.35">
      <c r="A587" s="25" t="s">
        <v>4052</v>
      </c>
      <c r="B587" s="78"/>
      <c r="G587" s="25"/>
      <c r="H587" s="25"/>
    </row>
    <row r="588" spans="1:8" x14ac:dyDescent="0.35">
      <c r="A588" s="74" t="s">
        <v>4053</v>
      </c>
      <c r="B588" s="78"/>
      <c r="G588" s="25"/>
      <c r="H588" s="25"/>
    </row>
    <row r="589" spans="1:8" x14ac:dyDescent="0.35">
      <c r="A589" s="74" t="s">
        <v>4054</v>
      </c>
      <c r="B589" s="78"/>
      <c r="G589" s="25"/>
      <c r="H589" s="25"/>
    </row>
    <row r="590" spans="1:8" x14ac:dyDescent="0.35">
      <c r="A590" s="74" t="s">
        <v>1214</v>
      </c>
      <c r="B590" s="78"/>
      <c r="G590" s="25"/>
      <c r="H590" s="25"/>
    </row>
    <row r="591" spans="1:8" x14ac:dyDescent="0.35">
      <c r="A591" s="74" t="s">
        <v>1769</v>
      </c>
      <c r="B591" s="78" t="b">
        <v>0</v>
      </c>
      <c r="C591" s="78" t="b">
        <v>0</v>
      </c>
      <c r="G591" s="25"/>
      <c r="H591" s="25"/>
    </row>
    <row r="592" spans="1:8" x14ac:dyDescent="0.35">
      <c r="A592" s="74" t="s">
        <v>1770</v>
      </c>
      <c r="B592" s="78"/>
      <c r="G592" s="25"/>
      <c r="H592" s="25"/>
    </row>
    <row r="593" spans="1:8" x14ac:dyDescent="0.35">
      <c r="A593" s="74" t="s">
        <v>2671</v>
      </c>
      <c r="B593" s="78">
        <v>6</v>
      </c>
      <c r="C593" s="78">
        <v>6</v>
      </c>
      <c r="G593" s="25"/>
      <c r="H593" s="25"/>
    </row>
    <row r="594" spans="1:8" x14ac:dyDescent="0.35">
      <c r="A594" s="74" t="s">
        <v>1771</v>
      </c>
      <c r="B594" s="78" t="b">
        <v>0</v>
      </c>
      <c r="C594" s="78" t="b">
        <v>0</v>
      </c>
      <c r="G594" s="25"/>
      <c r="H594" s="25"/>
    </row>
    <row r="595" spans="1:8" x14ac:dyDescent="0.35">
      <c r="A595" s="74" t="s">
        <v>214</v>
      </c>
      <c r="B595" s="78"/>
      <c r="G595" s="25"/>
      <c r="H595" s="25"/>
    </row>
    <row r="596" spans="1:8" x14ac:dyDescent="0.35">
      <c r="A596" s="25" t="s">
        <v>3878</v>
      </c>
      <c r="B596" s="78">
        <v>20</v>
      </c>
      <c r="G596" s="25"/>
      <c r="H596" s="25"/>
    </row>
    <row r="597" spans="1:8" x14ac:dyDescent="0.35">
      <c r="A597" s="25" t="s">
        <v>215</v>
      </c>
      <c r="B597" s="78"/>
      <c r="G597" s="25"/>
      <c r="H597" s="25"/>
    </row>
    <row r="598" spans="1:8" x14ac:dyDescent="0.35">
      <c r="A598" s="25" t="s">
        <v>4210</v>
      </c>
      <c r="B598" s="78"/>
      <c r="G598" s="25"/>
      <c r="H598" s="25"/>
    </row>
    <row r="599" spans="1:8" x14ac:dyDescent="0.35">
      <c r="A599" s="74" t="s">
        <v>1246</v>
      </c>
      <c r="B599" s="78"/>
      <c r="G599" s="25"/>
      <c r="H599" s="25"/>
    </row>
    <row r="600" spans="1:8" x14ac:dyDescent="0.35">
      <c r="A600" s="74" t="s">
        <v>1247</v>
      </c>
      <c r="B600" s="78"/>
      <c r="G600" s="25"/>
      <c r="H600" s="25"/>
    </row>
    <row r="601" spans="1:8" x14ac:dyDescent="0.35">
      <c r="A601" s="74" t="s">
        <v>2950</v>
      </c>
      <c r="B601" s="78"/>
      <c r="G601" s="25"/>
      <c r="H601" s="25"/>
    </row>
    <row r="602" spans="1:8" x14ac:dyDescent="0.35">
      <c r="A602" s="74" t="s">
        <v>2951</v>
      </c>
      <c r="B602" s="78"/>
      <c r="G602" s="25"/>
      <c r="H602" s="25"/>
    </row>
    <row r="603" spans="1:8" x14ac:dyDescent="0.35">
      <c r="A603" s="74" t="s">
        <v>2952</v>
      </c>
      <c r="B603" s="78"/>
      <c r="G603" s="25"/>
      <c r="H603" s="25"/>
    </row>
    <row r="604" spans="1:8" x14ac:dyDescent="0.35">
      <c r="A604" s="74" t="s">
        <v>1658</v>
      </c>
      <c r="B604" s="78"/>
      <c r="G604" s="25"/>
      <c r="H604" s="25"/>
    </row>
    <row r="605" spans="1:8" x14ac:dyDescent="0.35">
      <c r="A605" s="74" t="s">
        <v>1659</v>
      </c>
      <c r="B605" s="78"/>
      <c r="G605" s="25"/>
      <c r="H605" s="25"/>
    </row>
    <row r="606" spans="1:8" x14ac:dyDescent="0.35">
      <c r="A606" s="74" t="s">
        <v>1660</v>
      </c>
      <c r="B606" s="78"/>
      <c r="G606" s="25"/>
      <c r="H606" s="25"/>
    </row>
    <row r="607" spans="1:8" x14ac:dyDescent="0.35">
      <c r="A607" s="74" t="s">
        <v>1661</v>
      </c>
      <c r="B607" s="78"/>
      <c r="G607" s="25"/>
      <c r="H607" s="25"/>
    </row>
    <row r="608" spans="1:8" x14ac:dyDescent="0.35">
      <c r="A608" s="74" t="s">
        <v>1662</v>
      </c>
      <c r="B608" s="78"/>
      <c r="G608" s="25"/>
      <c r="H608" s="25"/>
    </row>
    <row r="609" spans="1:8" x14ac:dyDescent="0.35">
      <c r="A609" s="74" t="s">
        <v>2166</v>
      </c>
      <c r="B609" s="78"/>
      <c r="G609" s="25"/>
      <c r="H609" s="25"/>
    </row>
    <row r="610" spans="1:8" x14ac:dyDescent="0.35">
      <c r="A610" s="74" t="s">
        <v>1779</v>
      </c>
      <c r="B610" s="78"/>
      <c r="G610" s="25"/>
      <c r="H610" s="25"/>
    </row>
    <row r="611" spans="1:8" x14ac:dyDescent="0.35">
      <c r="A611" s="74" t="s">
        <v>1780</v>
      </c>
      <c r="B611" s="78"/>
      <c r="G611" s="25"/>
      <c r="H611" s="25"/>
    </row>
    <row r="612" spans="1:8" x14ac:dyDescent="0.35">
      <c r="A612" s="74" t="s">
        <v>1781</v>
      </c>
      <c r="B612" s="78"/>
      <c r="G612" s="25"/>
      <c r="H612" s="25"/>
    </row>
    <row r="613" spans="1:8" x14ac:dyDescent="0.35">
      <c r="A613" s="74" t="s">
        <v>1705</v>
      </c>
      <c r="B613" s="78"/>
      <c r="G613" s="25"/>
      <c r="H613" s="25"/>
    </row>
    <row r="614" spans="1:8" x14ac:dyDescent="0.35">
      <c r="A614" s="74" t="s">
        <v>1706</v>
      </c>
      <c r="B614" s="78"/>
      <c r="G614" s="25"/>
      <c r="H614" s="25"/>
    </row>
    <row r="615" spans="1:8" x14ac:dyDescent="0.35">
      <c r="A615" s="74" t="s">
        <v>3292</v>
      </c>
      <c r="B615" s="78"/>
      <c r="G615" s="25"/>
      <c r="H615" s="25"/>
    </row>
    <row r="616" spans="1:8" x14ac:dyDescent="0.35">
      <c r="A616" s="74" t="s">
        <v>3293</v>
      </c>
      <c r="B616" s="78"/>
      <c r="G616" s="25"/>
      <c r="H616" s="25"/>
    </row>
    <row r="617" spans="1:8" x14ac:dyDescent="0.35">
      <c r="A617" s="74" t="s">
        <v>2937</v>
      </c>
      <c r="B617" s="78"/>
      <c r="G617" s="25"/>
      <c r="H617" s="25"/>
    </row>
    <row r="618" spans="1:8" x14ac:dyDescent="0.35">
      <c r="A618" s="74" t="s">
        <v>2938</v>
      </c>
      <c r="B618" s="78"/>
      <c r="G618" s="25"/>
      <c r="H618" s="25"/>
    </row>
    <row r="619" spans="1:8" x14ac:dyDescent="0.35">
      <c r="A619" s="74" t="s">
        <v>2939</v>
      </c>
      <c r="B619" s="78"/>
      <c r="G619" s="25"/>
      <c r="H619" s="25"/>
    </row>
    <row r="620" spans="1:8" x14ac:dyDescent="0.35">
      <c r="A620" s="74" t="s">
        <v>1299</v>
      </c>
      <c r="B620" s="78"/>
      <c r="G620" s="25"/>
      <c r="H620" s="25"/>
    </row>
    <row r="621" spans="1:8" x14ac:dyDescent="0.35">
      <c r="A621" s="74" t="s">
        <v>1300</v>
      </c>
      <c r="B621" s="78"/>
      <c r="G621" s="25"/>
      <c r="H621" s="25"/>
    </row>
    <row r="622" spans="1:8" x14ac:dyDescent="0.35">
      <c r="A622" s="74" t="s">
        <v>1301</v>
      </c>
      <c r="B622" s="78"/>
      <c r="G622" s="25"/>
      <c r="H622" s="25"/>
    </row>
    <row r="623" spans="1:8" x14ac:dyDescent="0.35">
      <c r="A623" s="74" t="s">
        <v>1302</v>
      </c>
      <c r="B623" s="78"/>
      <c r="G623" s="25"/>
      <c r="H623" s="25"/>
    </row>
    <row r="624" spans="1:8" x14ac:dyDescent="0.35">
      <c r="A624" s="74" t="s">
        <v>1303</v>
      </c>
      <c r="B624" s="78"/>
      <c r="G624" s="25"/>
      <c r="H624" s="25"/>
    </row>
    <row r="625" spans="1:8" x14ac:dyDescent="0.35">
      <c r="A625" s="74" t="s">
        <v>1844</v>
      </c>
      <c r="B625" s="78"/>
      <c r="G625" s="25"/>
      <c r="H625" s="25"/>
    </row>
    <row r="626" spans="1:8" x14ac:dyDescent="0.35">
      <c r="A626" s="74" t="s">
        <v>1839</v>
      </c>
      <c r="B626" s="78"/>
      <c r="G626" s="25"/>
      <c r="H626" s="25"/>
    </row>
    <row r="627" spans="1:8" x14ac:dyDescent="0.35">
      <c r="A627" s="74" t="s">
        <v>1840</v>
      </c>
      <c r="B627" s="78"/>
      <c r="G627" s="25"/>
      <c r="H627" s="25"/>
    </row>
    <row r="628" spans="1:8" x14ac:dyDescent="0.35">
      <c r="A628" s="74" t="s">
        <v>1841</v>
      </c>
      <c r="B628" s="78"/>
      <c r="G628" s="25"/>
      <c r="H628" s="25"/>
    </row>
    <row r="629" spans="1:8" x14ac:dyDescent="0.35">
      <c r="A629" s="74" t="s">
        <v>1842</v>
      </c>
      <c r="B629" s="78"/>
      <c r="G629" s="25"/>
      <c r="H629" s="25"/>
    </row>
    <row r="630" spans="1:8" x14ac:dyDescent="0.35">
      <c r="A630" s="74" t="s">
        <v>1843</v>
      </c>
      <c r="B630" s="78"/>
      <c r="G630" s="25"/>
      <c r="H630" s="25"/>
    </row>
    <row r="631" spans="1:8" x14ac:dyDescent="0.35">
      <c r="A631" s="74" t="s">
        <v>2970</v>
      </c>
      <c r="B631" s="78"/>
      <c r="G631" s="25"/>
      <c r="H631" s="25"/>
    </row>
    <row r="632" spans="1:8" x14ac:dyDescent="0.35">
      <c r="A632" s="74" t="s">
        <v>3504</v>
      </c>
      <c r="B632" s="78"/>
      <c r="G632" s="25"/>
      <c r="H632" s="25"/>
    </row>
    <row r="633" spans="1:8" x14ac:dyDescent="0.35">
      <c r="A633" s="25" t="s">
        <v>2158</v>
      </c>
      <c r="B633" s="78">
        <v>41827</v>
      </c>
      <c r="C633" s="78">
        <v>41363</v>
      </c>
      <c r="G633" s="25"/>
      <c r="H633" s="25"/>
    </row>
    <row r="634" spans="1:8" x14ac:dyDescent="0.35">
      <c r="A634" s="106" t="s">
        <v>1032</v>
      </c>
      <c r="B634" s="78">
        <v>1</v>
      </c>
      <c r="C634" s="78">
        <v>1</v>
      </c>
      <c r="G634" s="25"/>
      <c r="H634" s="25"/>
    </row>
    <row r="635" spans="1:8" x14ac:dyDescent="0.35">
      <c r="A635" s="106" t="s">
        <v>3384</v>
      </c>
      <c r="B635" s="78">
        <v>1</v>
      </c>
      <c r="C635" s="78">
        <v>1</v>
      </c>
      <c r="G635" s="25"/>
      <c r="H635" s="25"/>
    </row>
    <row r="636" spans="1:8" x14ac:dyDescent="0.35">
      <c r="A636" s="106" t="s">
        <v>3386</v>
      </c>
      <c r="B636" s="78">
        <v>1</v>
      </c>
      <c r="C636" s="78">
        <v>1</v>
      </c>
      <c r="G636" s="25"/>
      <c r="H636" s="25"/>
    </row>
    <row r="637" spans="1:8" x14ac:dyDescent="0.35">
      <c r="A637" s="106" t="s">
        <v>3388</v>
      </c>
      <c r="B637" s="78">
        <v>1</v>
      </c>
      <c r="C637" s="78">
        <v>1</v>
      </c>
      <c r="G637" s="25"/>
      <c r="H637" s="25"/>
    </row>
    <row r="638" spans="1:8" x14ac:dyDescent="0.35">
      <c r="A638" s="106" t="s">
        <v>3390</v>
      </c>
      <c r="B638" s="78">
        <v>1</v>
      </c>
      <c r="C638" s="78">
        <v>1</v>
      </c>
      <c r="G638" s="25"/>
      <c r="H638" s="25"/>
    </row>
    <row r="639" spans="1:8" x14ac:dyDescent="0.35">
      <c r="A639" s="106" t="s">
        <v>3392</v>
      </c>
      <c r="B639" s="78">
        <v>1</v>
      </c>
      <c r="C639" s="78">
        <v>1</v>
      </c>
      <c r="G639" s="25"/>
      <c r="H639" s="25"/>
    </row>
    <row r="640" spans="1:8" x14ac:dyDescent="0.35">
      <c r="A640" s="25" t="s">
        <v>3782</v>
      </c>
      <c r="B640" s="78">
        <v>123456</v>
      </c>
      <c r="G640" s="25"/>
      <c r="H640" s="25"/>
    </row>
    <row r="641" spans="1:8" x14ac:dyDescent="0.35">
      <c r="A641" t="s">
        <v>3039</v>
      </c>
      <c r="B641" s="78"/>
      <c r="G641" s="25"/>
      <c r="H641" s="25"/>
    </row>
    <row r="642" spans="1:8" x14ac:dyDescent="0.35">
      <c r="A642" s="25" t="s">
        <v>2315</v>
      </c>
      <c r="B642" s="78">
        <v>5</v>
      </c>
      <c r="C642" s="78">
        <v>5</v>
      </c>
      <c r="G642" s="25"/>
      <c r="H642" s="25"/>
    </row>
    <row r="643" spans="1:8" x14ac:dyDescent="0.35">
      <c r="A643" t="s">
        <v>2527</v>
      </c>
      <c r="B643" s="78"/>
      <c r="G643" s="25"/>
      <c r="H643" s="25"/>
    </row>
    <row r="644" spans="1:8" x14ac:dyDescent="0.35">
      <c r="A644" t="s">
        <v>667</v>
      </c>
      <c r="B644" s="78"/>
      <c r="G644" s="25"/>
      <c r="H644" s="25"/>
    </row>
    <row r="645" spans="1:8" x14ac:dyDescent="0.35">
      <c r="A645" t="s">
        <v>670</v>
      </c>
      <c r="B645" s="78"/>
      <c r="G645" s="25"/>
      <c r="H645" s="25"/>
    </row>
    <row r="646" spans="1:8" x14ac:dyDescent="0.35">
      <c r="A646" t="s">
        <v>669</v>
      </c>
      <c r="B646" s="78"/>
      <c r="G646" s="25"/>
      <c r="H646" s="25"/>
    </row>
    <row r="647" spans="1:8" x14ac:dyDescent="0.35">
      <c r="A647" t="s">
        <v>666</v>
      </c>
      <c r="B647" s="78"/>
      <c r="G647" s="25"/>
      <c r="H647" s="25"/>
    </row>
    <row r="648" spans="1:8" x14ac:dyDescent="0.35">
      <c r="A648" t="s">
        <v>665</v>
      </c>
      <c r="B648" s="78"/>
      <c r="G648" s="25"/>
      <c r="H648" s="25"/>
    </row>
    <row r="649" spans="1:8" x14ac:dyDescent="0.35">
      <c r="A649" t="s">
        <v>668</v>
      </c>
      <c r="B649" s="78"/>
      <c r="G649" s="25"/>
      <c r="H649" s="25"/>
    </row>
    <row r="650" spans="1:8" x14ac:dyDescent="0.35">
      <c r="A650" t="s">
        <v>671</v>
      </c>
      <c r="B650" s="78"/>
      <c r="G650" s="25"/>
      <c r="H650" s="25"/>
    </row>
    <row r="651" spans="1:8" x14ac:dyDescent="0.35">
      <c r="A651" s="25" t="s">
        <v>2981</v>
      </c>
      <c r="B651" s="78"/>
      <c r="G651" s="25"/>
      <c r="H651" s="25"/>
    </row>
    <row r="652" spans="1:8" x14ac:dyDescent="0.35">
      <c r="A652" s="25" t="s">
        <v>3627</v>
      </c>
      <c r="B652" s="78"/>
      <c r="G652" s="25"/>
      <c r="H652" s="25"/>
    </row>
    <row r="653" spans="1:8" x14ac:dyDescent="0.35">
      <c r="A653" t="s">
        <v>2538</v>
      </c>
      <c r="B653" s="78">
        <v>168</v>
      </c>
      <c r="G653" s="25"/>
      <c r="H653" s="25"/>
    </row>
    <row r="654" spans="1:8" x14ac:dyDescent="0.35">
      <c r="A654" t="s">
        <v>2540</v>
      </c>
      <c r="B654" s="78"/>
      <c r="G654" s="25"/>
      <c r="H654" s="25"/>
    </row>
    <row r="655" spans="1:8" x14ac:dyDescent="0.35">
      <c r="A655" t="s">
        <v>2542</v>
      </c>
      <c r="B655" s="78"/>
      <c r="G655" s="25"/>
      <c r="H655" s="25"/>
    </row>
    <row r="656" spans="1:8" x14ac:dyDescent="0.35">
      <c r="A656" t="s">
        <v>2544</v>
      </c>
      <c r="B656" s="78"/>
      <c r="G656" s="25"/>
      <c r="H656" s="25"/>
    </row>
    <row r="657" spans="1:8" x14ac:dyDescent="0.35">
      <c r="A657" t="s">
        <v>4106</v>
      </c>
      <c r="B657" s="78"/>
      <c r="G657" s="25"/>
      <c r="H657" s="25"/>
    </row>
    <row r="658" spans="1:8" x14ac:dyDescent="0.35">
      <c r="A658" t="s">
        <v>4108</v>
      </c>
      <c r="C658"/>
      <c r="G658" s="25"/>
      <c r="H658" s="25"/>
    </row>
    <row r="659" spans="1:8" x14ac:dyDescent="0.35">
      <c r="A659" t="s">
        <v>4110</v>
      </c>
      <c r="B659" s="78"/>
      <c r="G659" s="25"/>
      <c r="H659" s="25"/>
    </row>
    <row r="660" spans="1:8" x14ac:dyDescent="0.35">
      <c r="A660" t="s">
        <v>4112</v>
      </c>
      <c r="C660"/>
      <c r="G660" s="25"/>
      <c r="H660" s="25"/>
    </row>
    <row r="661" spans="1:8" x14ac:dyDescent="0.35">
      <c r="A661" t="s">
        <v>2324</v>
      </c>
      <c r="B661" s="78"/>
      <c r="G661" s="25"/>
      <c r="H661" s="25"/>
    </row>
    <row r="662" spans="1:8" x14ac:dyDescent="0.35">
      <c r="A662" t="s">
        <v>3858</v>
      </c>
      <c r="B662" s="78"/>
      <c r="G662" s="25"/>
      <c r="H662" s="25"/>
    </row>
    <row r="663" spans="1:8" x14ac:dyDescent="0.35">
      <c r="A663" t="s">
        <v>3860</v>
      </c>
      <c r="B663" s="78"/>
      <c r="G663" s="25"/>
      <c r="H663" s="25"/>
    </row>
    <row r="664" spans="1:8" x14ac:dyDescent="0.35">
      <c r="A664" t="s">
        <v>3862</v>
      </c>
      <c r="B664" s="78">
        <v>441</v>
      </c>
      <c r="G664" s="25"/>
      <c r="H664" s="25"/>
    </row>
    <row r="665" spans="1:8" x14ac:dyDescent="0.35">
      <c r="A665" t="s">
        <v>2264</v>
      </c>
      <c r="B665" s="78"/>
      <c r="G665" s="25"/>
      <c r="H665" s="25"/>
    </row>
    <row r="666" spans="1:8" x14ac:dyDescent="0.35">
      <c r="A666" t="s">
        <v>2266</v>
      </c>
      <c r="B666" s="78">
        <v>920</v>
      </c>
      <c r="G666" s="25"/>
      <c r="H666" s="25"/>
    </row>
    <row r="667" spans="1:8" x14ac:dyDescent="0.35">
      <c r="A667" t="s">
        <v>2268</v>
      </c>
      <c r="B667" s="78">
        <v>0</v>
      </c>
      <c r="G667" s="25"/>
      <c r="H667" s="25"/>
    </row>
    <row r="668" spans="1:8" x14ac:dyDescent="0.35">
      <c r="A668" t="s">
        <v>2270</v>
      </c>
      <c r="B668" s="78"/>
      <c r="G668" s="25"/>
      <c r="H668" s="25"/>
    </row>
    <row r="669" spans="1:8" x14ac:dyDescent="0.35">
      <c r="A669" t="s">
        <v>2272</v>
      </c>
      <c r="B669" s="78"/>
      <c r="G669" s="25"/>
      <c r="H669" s="25"/>
    </row>
    <row r="670" spans="1:8" x14ac:dyDescent="0.35">
      <c r="A670" t="s">
        <v>2274</v>
      </c>
      <c r="B670" s="78"/>
      <c r="G670" s="25"/>
      <c r="H670" s="25"/>
    </row>
    <row r="671" spans="1:8" x14ac:dyDescent="0.35">
      <c r="A671" t="s">
        <v>2276</v>
      </c>
      <c r="B671" s="78"/>
      <c r="G671" s="25"/>
      <c r="H671" s="25"/>
    </row>
    <row r="672" spans="1:8" x14ac:dyDescent="0.35">
      <c r="A672" t="s">
        <v>2278</v>
      </c>
      <c r="B672" s="78"/>
      <c r="G672" s="25"/>
      <c r="H672" s="25"/>
    </row>
    <row r="673" spans="1:8" x14ac:dyDescent="0.35">
      <c r="A673" s="25" t="s">
        <v>2317</v>
      </c>
      <c r="B673" s="78">
        <v>5</v>
      </c>
      <c r="C673" s="78">
        <v>5</v>
      </c>
      <c r="G673" s="25"/>
      <c r="H673" s="25"/>
    </row>
    <row r="674" spans="1:8" x14ac:dyDescent="0.35">
      <c r="A674" s="25" t="s">
        <v>2108</v>
      </c>
      <c r="B674" s="78" t="b">
        <v>0</v>
      </c>
      <c r="C674" s="78" t="b">
        <v>0</v>
      </c>
      <c r="G674" s="25"/>
      <c r="H674" s="25"/>
    </row>
    <row r="675" spans="1:8" x14ac:dyDescent="0.35">
      <c r="A675" s="25" t="s">
        <v>3879</v>
      </c>
      <c r="B675" s="78">
        <v>1</v>
      </c>
      <c r="C675" s="78">
        <v>1</v>
      </c>
      <c r="G675" s="25"/>
      <c r="H675" s="25"/>
    </row>
    <row r="676" spans="1:8" x14ac:dyDescent="0.35">
      <c r="A676" s="25" t="s">
        <v>2123</v>
      </c>
      <c r="B676" s="78">
        <v>2</v>
      </c>
      <c r="C676" s="78">
        <v>1</v>
      </c>
      <c r="G676" s="25"/>
      <c r="H676" s="25"/>
    </row>
    <row r="677" spans="1:8" x14ac:dyDescent="0.35">
      <c r="A677" s="25" t="s">
        <v>3064</v>
      </c>
      <c r="B677" s="78"/>
      <c r="G677" s="25"/>
      <c r="H677" s="25"/>
    </row>
    <row r="678" spans="1:8" x14ac:dyDescent="0.35">
      <c r="A678" s="25" t="s">
        <v>3065</v>
      </c>
      <c r="B678" s="78"/>
      <c r="G678" s="25"/>
      <c r="H678" s="25"/>
    </row>
    <row r="679" spans="1:8" x14ac:dyDescent="0.35">
      <c r="A679" s="25" t="s">
        <v>3066</v>
      </c>
      <c r="B679" s="78"/>
      <c r="G679" s="25"/>
      <c r="H679" s="25"/>
    </row>
    <row r="680" spans="1:8" x14ac:dyDescent="0.35">
      <c r="A680" s="25" t="s">
        <v>3067</v>
      </c>
      <c r="B680" s="78"/>
      <c r="G680" s="25"/>
      <c r="H680" s="25"/>
    </row>
    <row r="681" spans="1:8" x14ac:dyDescent="0.35">
      <c r="A681" s="25" t="s">
        <v>3068</v>
      </c>
      <c r="B681" s="78"/>
      <c r="G681" s="25"/>
      <c r="H681" s="25"/>
    </row>
    <row r="682" spans="1:8" x14ac:dyDescent="0.35">
      <c r="A682" s="25" t="s">
        <v>3069</v>
      </c>
      <c r="B682" s="78"/>
      <c r="G682" s="25"/>
      <c r="H682" s="25"/>
    </row>
    <row r="683" spans="1:8" x14ac:dyDescent="0.35">
      <c r="A683" s="25" t="s">
        <v>1958</v>
      </c>
      <c r="B683" s="78"/>
      <c r="G683" s="25"/>
      <c r="H683" s="25"/>
    </row>
    <row r="684" spans="1:8" x14ac:dyDescent="0.35">
      <c r="A684" s="25" t="s">
        <v>3946</v>
      </c>
      <c r="B684" s="78"/>
      <c r="G684" s="25"/>
      <c r="H684" s="25"/>
    </row>
    <row r="685" spans="1:8" x14ac:dyDescent="0.35">
      <c r="A685" s="25" t="s">
        <v>3947</v>
      </c>
      <c r="B685" s="78"/>
      <c r="G685" s="25"/>
      <c r="H685" s="25"/>
    </row>
    <row r="686" spans="1:8" x14ac:dyDescent="0.35">
      <c r="A686" t="s">
        <v>3019</v>
      </c>
      <c r="B686" s="78">
        <v>0</v>
      </c>
      <c r="C686" s="78">
        <v>0</v>
      </c>
      <c r="G686" s="25"/>
      <c r="H686" s="25"/>
    </row>
    <row r="687" spans="1:8" x14ac:dyDescent="0.35">
      <c r="A687" s="25" t="s">
        <v>2868</v>
      </c>
      <c r="B687" s="78">
        <v>11</v>
      </c>
      <c r="C687" s="78">
        <v>1</v>
      </c>
      <c r="G687" s="25"/>
      <c r="H687" s="25"/>
    </row>
    <row r="688" spans="1:8" x14ac:dyDescent="0.35">
      <c r="A688" s="25" t="s">
        <v>4101</v>
      </c>
      <c r="B688" s="78">
        <v>1</v>
      </c>
      <c r="C688" s="78">
        <v>1</v>
      </c>
      <c r="G688" s="25"/>
      <c r="H688" s="25"/>
    </row>
    <row r="689" spans="1:8" x14ac:dyDescent="0.35">
      <c r="A689" s="25" t="s">
        <v>3880</v>
      </c>
      <c r="B689" s="78">
        <v>73</v>
      </c>
      <c r="G689" s="25"/>
      <c r="H689" s="25"/>
    </row>
    <row r="690" spans="1:8" x14ac:dyDescent="0.35">
      <c r="A690" s="25" t="s">
        <v>1729</v>
      </c>
      <c r="B690" s="78">
        <v>50</v>
      </c>
      <c r="G690" s="25"/>
      <c r="H690" s="25"/>
    </row>
    <row r="691" spans="1:8" x14ac:dyDescent="0.35">
      <c r="A691" s="25" t="s">
        <v>1730</v>
      </c>
      <c r="B691" s="78"/>
      <c r="G691" s="25"/>
      <c r="H691" s="25"/>
    </row>
    <row r="692" spans="1:8" x14ac:dyDescent="0.35">
      <c r="A692" s="25" t="s">
        <v>1731</v>
      </c>
      <c r="B692" s="78"/>
      <c r="G692" s="25"/>
      <c r="H692" s="25"/>
    </row>
    <row r="693" spans="1:8" x14ac:dyDescent="0.35">
      <c r="A693" s="25" t="s">
        <v>1732</v>
      </c>
      <c r="B693" s="78"/>
      <c r="G693" s="25"/>
      <c r="H693" s="25"/>
    </row>
    <row r="694" spans="1:8" x14ac:dyDescent="0.35">
      <c r="A694" s="25" t="s">
        <v>1733</v>
      </c>
      <c r="B694" s="78"/>
      <c r="G694" s="25"/>
      <c r="H694" s="25"/>
    </row>
    <row r="695" spans="1:8" x14ac:dyDescent="0.35">
      <c r="A695" s="25" t="s">
        <v>1734</v>
      </c>
      <c r="B695" s="78"/>
      <c r="G695" s="25"/>
      <c r="H695" s="25"/>
    </row>
    <row r="696" spans="1:8" x14ac:dyDescent="0.35">
      <c r="A696" s="25" t="s">
        <v>1735</v>
      </c>
      <c r="B696" s="79"/>
      <c r="C696" s="79"/>
      <c r="G696" s="25"/>
      <c r="H696" s="25"/>
    </row>
    <row r="697" spans="1:8" x14ac:dyDescent="0.35">
      <c r="A697" s="25" t="s">
        <v>1736</v>
      </c>
      <c r="C697"/>
      <c r="G697" s="25"/>
      <c r="H697" s="25"/>
    </row>
    <row r="698" spans="1:8" x14ac:dyDescent="0.35">
      <c r="A698" s="25" t="s">
        <v>1737</v>
      </c>
      <c r="C698"/>
      <c r="G698" s="25"/>
      <c r="H698" s="25"/>
    </row>
    <row r="699" spans="1:8" x14ac:dyDescent="0.35">
      <c r="A699" s="25" t="s">
        <v>162</v>
      </c>
      <c r="C699"/>
      <c r="G699" s="25"/>
      <c r="H699" s="25"/>
    </row>
    <row r="700" spans="1:8" x14ac:dyDescent="0.35">
      <c r="A700" s="25" t="s">
        <v>163</v>
      </c>
      <c r="C700"/>
      <c r="G700" s="25"/>
      <c r="H700" s="25"/>
    </row>
    <row r="701" spans="1:8" x14ac:dyDescent="0.35">
      <c r="A701" s="25" t="s">
        <v>164</v>
      </c>
      <c r="B701">
        <v>40</v>
      </c>
      <c r="C701"/>
      <c r="G701" s="25"/>
      <c r="H701" s="25"/>
    </row>
    <row r="702" spans="1:8" x14ac:dyDescent="0.35">
      <c r="A702" s="25" t="s">
        <v>165</v>
      </c>
      <c r="C702"/>
      <c r="G702" s="25"/>
      <c r="H702" s="25"/>
    </row>
    <row r="703" spans="1:8" x14ac:dyDescent="0.35">
      <c r="A703" s="25" t="s">
        <v>166</v>
      </c>
      <c r="B703" s="78">
        <v>10</v>
      </c>
      <c r="G703" s="25"/>
      <c r="H703" s="25"/>
    </row>
    <row r="704" spans="1:8" x14ac:dyDescent="0.35">
      <c r="A704" s="25" t="s">
        <v>167</v>
      </c>
      <c r="C704"/>
      <c r="G704" s="25"/>
      <c r="H704" s="25"/>
    </row>
    <row r="705" spans="1:8" x14ac:dyDescent="0.35">
      <c r="A705" s="25" t="s">
        <v>168</v>
      </c>
      <c r="B705" s="78"/>
      <c r="G705" s="25"/>
      <c r="H705" s="25"/>
    </row>
    <row r="706" spans="1:8" x14ac:dyDescent="0.35">
      <c r="A706" s="25" t="s">
        <v>169</v>
      </c>
      <c r="C706"/>
      <c r="G706" s="25"/>
      <c r="H706" s="25"/>
    </row>
    <row r="707" spans="1:8" x14ac:dyDescent="0.35">
      <c r="A707" s="25" t="s">
        <v>170</v>
      </c>
      <c r="C707"/>
      <c r="G707" s="25"/>
      <c r="H707" s="25"/>
    </row>
    <row r="708" spans="1:8" x14ac:dyDescent="0.35">
      <c r="A708" s="25" t="s">
        <v>171</v>
      </c>
      <c r="C708"/>
      <c r="G708" s="25"/>
      <c r="H708" s="25"/>
    </row>
    <row r="709" spans="1:8" x14ac:dyDescent="0.35">
      <c r="A709" s="25" t="s">
        <v>172</v>
      </c>
      <c r="C709"/>
      <c r="G709" s="25"/>
      <c r="H709" s="25"/>
    </row>
    <row r="710" spans="1:8" x14ac:dyDescent="0.35">
      <c r="A710" s="25" t="s">
        <v>4211</v>
      </c>
      <c r="B710">
        <v>1500</v>
      </c>
      <c r="C710">
        <v>1500</v>
      </c>
      <c r="G710" s="25"/>
      <c r="H710" s="25"/>
    </row>
    <row r="711" spans="1:8" x14ac:dyDescent="0.35">
      <c r="A711" s="25" t="s">
        <v>4212</v>
      </c>
      <c r="B711">
        <v>1500</v>
      </c>
      <c r="C711">
        <v>1500</v>
      </c>
      <c r="G711" s="25"/>
      <c r="H711" s="25"/>
    </row>
    <row r="712" spans="1:8" x14ac:dyDescent="0.35">
      <c r="A712" s="25" t="s">
        <v>4213</v>
      </c>
      <c r="B712">
        <v>1500</v>
      </c>
      <c r="C712">
        <v>1500</v>
      </c>
      <c r="G712" s="25"/>
      <c r="H712" s="25"/>
    </row>
    <row r="713" spans="1:8" x14ac:dyDescent="0.35">
      <c r="A713" s="25" t="s">
        <v>4214</v>
      </c>
      <c r="B713">
        <v>1500</v>
      </c>
      <c r="C713">
        <v>1500</v>
      </c>
      <c r="G713" s="25"/>
      <c r="H713" s="25"/>
    </row>
    <row r="714" spans="1:8" x14ac:dyDescent="0.35">
      <c r="A714" s="25" t="s">
        <v>59</v>
      </c>
      <c r="B714" s="78">
        <v>1500</v>
      </c>
      <c r="C714" s="78">
        <v>1500</v>
      </c>
      <c r="G714" s="25"/>
      <c r="H714" s="25"/>
    </row>
    <row r="715" spans="1:8" x14ac:dyDescent="0.35">
      <c r="A715" s="25" t="s">
        <v>60</v>
      </c>
      <c r="B715" s="78">
        <v>1500</v>
      </c>
      <c r="C715" s="78">
        <v>1500</v>
      </c>
      <c r="G715" s="25"/>
      <c r="H715" s="25"/>
    </row>
    <row r="716" spans="1:8" x14ac:dyDescent="0.35">
      <c r="A716" s="25" t="s">
        <v>61</v>
      </c>
      <c r="B716">
        <v>1500</v>
      </c>
      <c r="C716">
        <v>1500</v>
      </c>
      <c r="G716" s="25"/>
      <c r="H716" s="25"/>
    </row>
    <row r="717" spans="1:8" x14ac:dyDescent="0.35">
      <c r="A717" s="25" t="s">
        <v>62</v>
      </c>
      <c r="B717">
        <v>1500</v>
      </c>
      <c r="C717">
        <v>1500</v>
      </c>
      <c r="G717" s="25"/>
      <c r="H717" s="25"/>
    </row>
    <row r="718" spans="1:8" x14ac:dyDescent="0.35">
      <c r="A718" s="25" t="s">
        <v>63</v>
      </c>
      <c r="B718">
        <v>1500</v>
      </c>
      <c r="C718">
        <v>1500</v>
      </c>
      <c r="G718" s="25"/>
      <c r="H718" s="25"/>
    </row>
    <row r="719" spans="1:8" x14ac:dyDescent="0.35">
      <c r="A719" s="25" t="s">
        <v>1903</v>
      </c>
      <c r="B719">
        <v>1500</v>
      </c>
      <c r="C719">
        <v>1500</v>
      </c>
      <c r="G719" s="25"/>
      <c r="H719" s="25"/>
    </row>
    <row r="720" spans="1:8" x14ac:dyDescent="0.35">
      <c r="A720" s="25" t="s">
        <v>1904</v>
      </c>
      <c r="B720">
        <v>1500</v>
      </c>
      <c r="C720">
        <v>1500</v>
      </c>
      <c r="G720" s="25"/>
      <c r="H720" s="25"/>
    </row>
    <row r="721" spans="1:8" x14ac:dyDescent="0.35">
      <c r="A721" s="25" t="s">
        <v>1905</v>
      </c>
      <c r="B721">
        <v>1500</v>
      </c>
      <c r="C721">
        <v>1500</v>
      </c>
      <c r="G721" s="25"/>
      <c r="H721" s="25"/>
    </row>
    <row r="722" spans="1:8" x14ac:dyDescent="0.35">
      <c r="A722" s="25" t="s">
        <v>189</v>
      </c>
      <c r="B722">
        <v>1500</v>
      </c>
      <c r="C722">
        <v>1500</v>
      </c>
      <c r="G722" s="25"/>
      <c r="H722" s="25"/>
    </row>
    <row r="723" spans="1:8" x14ac:dyDescent="0.35">
      <c r="A723" s="25" t="s">
        <v>190</v>
      </c>
      <c r="B723">
        <v>1500</v>
      </c>
      <c r="C723">
        <v>1500</v>
      </c>
      <c r="G723" s="25"/>
      <c r="H723" s="25"/>
    </row>
    <row r="724" spans="1:8" x14ac:dyDescent="0.35">
      <c r="A724" s="25" t="s">
        <v>191</v>
      </c>
      <c r="B724">
        <v>1500</v>
      </c>
      <c r="C724">
        <v>1500</v>
      </c>
      <c r="G724" s="25"/>
      <c r="H724" s="25"/>
    </row>
    <row r="725" spans="1:8" x14ac:dyDescent="0.35">
      <c r="A725" s="25" t="s">
        <v>192</v>
      </c>
      <c r="B725">
        <v>1500</v>
      </c>
      <c r="C725">
        <v>1500</v>
      </c>
      <c r="G725" s="25"/>
      <c r="H725" s="25"/>
    </row>
    <row r="726" spans="1:8" x14ac:dyDescent="0.35">
      <c r="A726" s="25" t="s">
        <v>2649</v>
      </c>
      <c r="B726">
        <v>1500</v>
      </c>
      <c r="C726">
        <v>1500</v>
      </c>
      <c r="G726" s="25"/>
      <c r="H726" s="25"/>
    </row>
    <row r="727" spans="1:8" x14ac:dyDescent="0.35">
      <c r="A727" s="25" t="s">
        <v>2650</v>
      </c>
      <c r="B727">
        <v>1500</v>
      </c>
      <c r="C727">
        <v>1500</v>
      </c>
      <c r="G727" s="25"/>
      <c r="H727" s="25"/>
    </row>
    <row r="728" spans="1:8" x14ac:dyDescent="0.35">
      <c r="A728" s="25" t="s">
        <v>2651</v>
      </c>
      <c r="B728">
        <v>1500</v>
      </c>
      <c r="C728">
        <v>1500</v>
      </c>
      <c r="G728" s="25"/>
      <c r="H728" s="25"/>
    </row>
    <row r="729" spans="1:8" x14ac:dyDescent="0.35">
      <c r="A729" s="25" t="s">
        <v>2652</v>
      </c>
      <c r="B729">
        <v>1500</v>
      </c>
      <c r="C729">
        <v>1500</v>
      </c>
      <c r="G729" s="25"/>
      <c r="H729" s="25"/>
    </row>
    <row r="730" spans="1:8" x14ac:dyDescent="0.35">
      <c r="A730" s="25" t="s">
        <v>3620</v>
      </c>
      <c r="C730"/>
      <c r="G730" s="25"/>
      <c r="H730" s="25"/>
    </row>
    <row r="731" spans="1:8" x14ac:dyDescent="0.35">
      <c r="A731" s="25" t="s">
        <v>3626</v>
      </c>
      <c r="B731">
        <v>40</v>
      </c>
      <c r="C731">
        <v>40</v>
      </c>
      <c r="G731" s="25"/>
      <c r="H731" s="25"/>
    </row>
    <row r="732" spans="1:8" x14ac:dyDescent="0.35">
      <c r="A732" s="25" t="s">
        <v>3625</v>
      </c>
      <c r="B732">
        <v>80</v>
      </c>
      <c r="C732">
        <v>80</v>
      </c>
      <c r="G732" s="25"/>
      <c r="H732" s="25"/>
    </row>
    <row r="733" spans="1:8" x14ac:dyDescent="0.35">
      <c r="A733" s="25" t="s">
        <v>3614</v>
      </c>
      <c r="C733"/>
      <c r="G733" s="25"/>
      <c r="H733" s="25"/>
    </row>
    <row r="734" spans="1:8" x14ac:dyDescent="0.35">
      <c r="A734" s="25" t="s">
        <v>3612</v>
      </c>
      <c r="C734"/>
      <c r="G734" s="25"/>
      <c r="H734" s="25"/>
    </row>
    <row r="735" spans="1:8" x14ac:dyDescent="0.35">
      <c r="A735" s="25" t="s">
        <v>3619</v>
      </c>
      <c r="C735"/>
      <c r="G735" s="25"/>
      <c r="H735" s="25"/>
    </row>
    <row r="736" spans="1:8" x14ac:dyDescent="0.35">
      <c r="A736" s="25" t="s">
        <v>3594</v>
      </c>
      <c r="B736" s="78">
        <v>1</v>
      </c>
      <c r="C736" s="78">
        <v>1</v>
      </c>
      <c r="G736" s="25"/>
      <c r="H736" s="25"/>
    </row>
    <row r="737" spans="1:8" x14ac:dyDescent="0.35">
      <c r="A737" s="25" t="s">
        <v>2316</v>
      </c>
      <c r="B737" s="78">
        <v>0</v>
      </c>
      <c r="C737" s="78">
        <v>0</v>
      </c>
      <c r="G737" s="25"/>
      <c r="H737" s="25"/>
    </row>
    <row r="738" spans="1:8" x14ac:dyDescent="0.35">
      <c r="A738" s="25" t="s">
        <v>2213</v>
      </c>
      <c r="B738" s="78">
        <v>1</v>
      </c>
      <c r="C738" s="78">
        <v>1</v>
      </c>
      <c r="G738" s="25"/>
      <c r="H738" s="25"/>
    </row>
    <row r="739" spans="1:8" x14ac:dyDescent="0.35">
      <c r="A739" s="25" t="s">
        <v>3881</v>
      </c>
      <c r="B739" s="78"/>
      <c r="G739" s="25"/>
      <c r="H739" s="25"/>
    </row>
    <row r="740" spans="1:8" x14ac:dyDescent="0.35">
      <c r="A740" s="25" t="s">
        <v>2318</v>
      </c>
      <c r="B740" s="78">
        <v>17</v>
      </c>
      <c r="C740" s="78">
        <v>17</v>
      </c>
      <c r="G740" s="25"/>
      <c r="H740" s="25"/>
    </row>
    <row r="741" spans="1:8" x14ac:dyDescent="0.35">
      <c r="A741" s="25" t="s">
        <v>3621</v>
      </c>
      <c r="B741" s="78">
        <v>18</v>
      </c>
      <c r="C741" s="78">
        <v>18</v>
      </c>
      <c r="G741" s="25"/>
      <c r="H741" s="25"/>
    </row>
    <row r="742" spans="1:8" x14ac:dyDescent="0.35">
      <c r="A742" s="25" t="s">
        <v>2162</v>
      </c>
      <c r="B742" s="78">
        <v>60</v>
      </c>
      <c r="C742" s="78">
        <v>60</v>
      </c>
      <c r="G742" s="25"/>
      <c r="H742" s="25"/>
    </row>
    <row r="743" spans="1:8" x14ac:dyDescent="0.35">
      <c r="A743" s="25" t="s">
        <v>3882</v>
      </c>
      <c r="B743" s="78" t="b">
        <v>0</v>
      </c>
      <c r="C743" s="78" t="b">
        <v>0</v>
      </c>
      <c r="G743" s="25"/>
      <c r="H743" s="25"/>
    </row>
    <row r="744" spans="1:8" x14ac:dyDescent="0.35">
      <c r="A744" s="25" t="s">
        <v>3883</v>
      </c>
      <c r="B744" s="78">
        <v>1</v>
      </c>
      <c r="C744" s="78">
        <v>1</v>
      </c>
      <c r="G744" s="25"/>
      <c r="H744" s="25"/>
    </row>
    <row r="745" spans="1:8" x14ac:dyDescent="0.35">
      <c r="A745" s="25" t="s">
        <v>1602</v>
      </c>
      <c r="B745" s="78">
        <v>50</v>
      </c>
      <c r="C745" s="78">
        <v>0</v>
      </c>
      <c r="G745" s="25"/>
      <c r="H745" s="25"/>
    </row>
    <row r="746" spans="1:8" x14ac:dyDescent="0.35">
      <c r="A746" s="25" t="s">
        <v>3398</v>
      </c>
      <c r="B746" s="78"/>
      <c r="G746" s="25"/>
      <c r="H746" s="25"/>
    </row>
    <row r="747" spans="1:8" x14ac:dyDescent="0.35">
      <c r="A747" s="25" t="s">
        <v>3399</v>
      </c>
      <c r="B747" s="78"/>
      <c r="G747" s="25"/>
      <c r="H747" s="25"/>
    </row>
    <row r="748" spans="1:8" x14ac:dyDescent="0.35">
      <c r="A748" s="25" t="s">
        <v>2168</v>
      </c>
      <c r="B748" s="78"/>
      <c r="G748" s="25"/>
      <c r="H748" s="25"/>
    </row>
    <row r="749" spans="1:8" x14ac:dyDescent="0.35">
      <c r="A749" s="25" t="s">
        <v>2160</v>
      </c>
      <c r="B749" t="s">
        <v>5091</v>
      </c>
      <c r="C749" t="s">
        <v>2658</v>
      </c>
      <c r="G749" s="25"/>
      <c r="H749" s="25"/>
    </row>
    <row r="750" spans="1:8" x14ac:dyDescent="0.35">
      <c r="A750" s="25" t="s">
        <v>2945</v>
      </c>
      <c r="B750" s="78" t="b">
        <v>0</v>
      </c>
      <c r="C750" s="78" t="b">
        <v>0</v>
      </c>
      <c r="G750" s="25"/>
      <c r="H750" s="25"/>
    </row>
    <row r="751" spans="1:8" x14ac:dyDescent="0.35">
      <c r="A751" s="25" t="s">
        <v>4208</v>
      </c>
      <c r="B751">
        <v>1</v>
      </c>
      <c r="C751">
        <v>1</v>
      </c>
      <c r="G751" s="25"/>
      <c r="H751" s="25"/>
    </row>
    <row r="752" spans="1:8" x14ac:dyDescent="0.35">
      <c r="A752" t="s">
        <v>4930</v>
      </c>
      <c r="B752" s="78" t="b">
        <v>0</v>
      </c>
      <c r="C752" s="78" t="b">
        <v>0</v>
      </c>
      <c r="G752" s="25"/>
      <c r="H752" s="25"/>
    </row>
    <row r="753" spans="1:8" x14ac:dyDescent="0.35">
      <c r="A753" t="s">
        <v>4931</v>
      </c>
      <c r="B753" s="78">
        <v>30</v>
      </c>
      <c r="C753" s="78">
        <v>30</v>
      </c>
      <c r="G753" s="25"/>
      <c r="H753" s="25"/>
    </row>
    <row r="754" spans="1:8" x14ac:dyDescent="0.35">
      <c r="A754" t="s">
        <v>4467</v>
      </c>
      <c r="B754" s="78">
        <v>3</v>
      </c>
      <c r="C754" s="78">
        <v>3</v>
      </c>
      <c r="G754" s="25"/>
      <c r="H754" s="25"/>
    </row>
    <row r="755" spans="1:8" x14ac:dyDescent="0.35">
      <c r="A755" s="25"/>
      <c r="B755" s="78"/>
      <c r="G755" s="25"/>
      <c r="H755" s="25"/>
    </row>
    <row r="756" spans="1:8" x14ac:dyDescent="0.35">
      <c r="A756" s="25"/>
      <c r="B756" s="78"/>
      <c r="G756" s="25"/>
      <c r="H756" s="25"/>
    </row>
    <row r="757" spans="1:8" x14ac:dyDescent="0.35">
      <c r="A757" s="25"/>
      <c r="B757" s="78"/>
      <c r="G757" s="25"/>
      <c r="H757" s="25"/>
    </row>
    <row r="758" spans="1:8" x14ac:dyDescent="0.35">
      <c r="A758" s="25"/>
      <c r="B758" s="78"/>
      <c r="G758" s="25"/>
      <c r="H758" s="25"/>
    </row>
    <row r="759" spans="1:8" x14ac:dyDescent="0.35">
      <c r="A759" s="25"/>
      <c r="B759" s="78"/>
      <c r="G759" s="25"/>
      <c r="H759" s="25"/>
    </row>
    <row r="760" spans="1:8" x14ac:dyDescent="0.35">
      <c r="A760" s="25"/>
      <c r="B760" s="78"/>
      <c r="G760" s="25"/>
      <c r="H760" s="25"/>
    </row>
    <row r="761" spans="1:8" x14ac:dyDescent="0.35">
      <c r="A761" s="25"/>
      <c r="B761" s="78"/>
      <c r="G761" s="25"/>
      <c r="H761" s="25"/>
    </row>
    <row r="762" spans="1:8" x14ac:dyDescent="0.35">
      <c r="A762" s="25"/>
      <c r="B762" s="78"/>
      <c r="G762" s="25"/>
      <c r="H762" s="25"/>
    </row>
    <row r="763" spans="1:8" x14ac:dyDescent="0.35">
      <c r="A763" s="25"/>
      <c r="B763" s="78"/>
      <c r="G763" s="25"/>
      <c r="H763" s="25"/>
    </row>
    <row r="764" spans="1:8" x14ac:dyDescent="0.35">
      <c r="A764" s="25"/>
      <c r="B764" s="78"/>
      <c r="G764" s="25"/>
      <c r="H764" s="25"/>
    </row>
    <row r="765" spans="1:8" x14ac:dyDescent="0.35">
      <c r="A765" s="25"/>
      <c r="B765" s="78"/>
      <c r="G765" s="25"/>
      <c r="H765" s="25"/>
    </row>
    <row r="766" spans="1:8" x14ac:dyDescent="0.35">
      <c r="A766" s="25"/>
      <c r="B766" s="78"/>
      <c r="G766" s="25"/>
      <c r="H766" s="25"/>
    </row>
    <row r="767" spans="1:8" x14ac:dyDescent="0.35">
      <c r="A767" s="25"/>
      <c r="B767" s="78"/>
      <c r="G767" s="25"/>
      <c r="H767" s="25"/>
    </row>
    <row r="768" spans="1:8" x14ac:dyDescent="0.35">
      <c r="A768" s="25"/>
      <c r="B768" s="78"/>
      <c r="G768" s="25"/>
      <c r="H768" s="25"/>
    </row>
    <row r="769" spans="1:8" x14ac:dyDescent="0.35">
      <c r="A769" s="25"/>
      <c r="B769" s="78"/>
      <c r="G769" s="25"/>
      <c r="H769" s="25"/>
    </row>
    <row r="770" spans="1:8" x14ac:dyDescent="0.35">
      <c r="A770" s="25"/>
      <c r="B770" s="78"/>
      <c r="G770" s="25"/>
      <c r="H770" s="25"/>
    </row>
    <row r="771" spans="1:8" x14ac:dyDescent="0.35">
      <c r="A771" s="25"/>
      <c r="B771" s="78"/>
      <c r="G771" s="25"/>
      <c r="H771" s="25"/>
    </row>
    <row r="772" spans="1:8" x14ac:dyDescent="0.35">
      <c r="A772" s="25"/>
      <c r="B772" s="78"/>
      <c r="G772" s="25"/>
      <c r="H772" s="25"/>
    </row>
    <row r="773" spans="1:8" x14ac:dyDescent="0.35">
      <c r="A773" s="25"/>
      <c r="B773" s="78"/>
      <c r="G773" s="25"/>
      <c r="H773" s="25"/>
    </row>
    <row r="774" spans="1:8" x14ac:dyDescent="0.35">
      <c r="A774" s="25"/>
      <c r="B774" s="78"/>
      <c r="G774" s="25"/>
      <c r="H774" s="25"/>
    </row>
    <row r="775" spans="1:8" x14ac:dyDescent="0.35">
      <c r="A775" s="25"/>
      <c r="B775" s="78"/>
      <c r="G775" s="25"/>
      <c r="H775" s="25"/>
    </row>
    <row r="776" spans="1:8" x14ac:dyDescent="0.35">
      <c r="A776" s="25"/>
      <c r="B776" s="78"/>
      <c r="G776" s="25"/>
      <c r="H776" s="25"/>
    </row>
    <row r="777" spans="1:8" x14ac:dyDescent="0.35">
      <c r="A777" s="25"/>
      <c r="B777" s="78"/>
      <c r="G777" s="25"/>
      <c r="H777" s="25"/>
    </row>
    <row r="778" spans="1:8" x14ac:dyDescent="0.35">
      <c r="A778" s="25"/>
      <c r="B778" s="78"/>
      <c r="G778" s="25"/>
      <c r="H778" s="25"/>
    </row>
    <row r="779" spans="1:8" x14ac:dyDescent="0.35">
      <c r="A779" s="25"/>
      <c r="B779" s="78"/>
      <c r="G779" s="25"/>
      <c r="H779" s="25"/>
    </row>
    <row r="780" spans="1:8" x14ac:dyDescent="0.35">
      <c r="A780" s="25"/>
      <c r="B780" s="78"/>
      <c r="G780" s="25"/>
      <c r="H780" s="25"/>
    </row>
    <row r="781" spans="1:8" x14ac:dyDescent="0.35">
      <c r="A781" s="25"/>
      <c r="B781" s="78"/>
      <c r="G781" s="25"/>
      <c r="H781" s="25"/>
    </row>
    <row r="782" spans="1:8" x14ac:dyDescent="0.35">
      <c r="A782" s="25"/>
      <c r="B782" s="78"/>
      <c r="G782" s="25"/>
      <c r="H782" s="25"/>
    </row>
    <row r="783" spans="1:8" x14ac:dyDescent="0.35">
      <c r="A783" s="25"/>
      <c r="B783" s="78"/>
      <c r="G783" s="25"/>
      <c r="H783" s="25"/>
    </row>
    <row r="784" spans="1:8" x14ac:dyDescent="0.35">
      <c r="A784" s="25"/>
      <c r="B784" s="78"/>
      <c r="G784" s="25"/>
      <c r="H784" s="25"/>
    </row>
    <row r="785" spans="1:8" x14ac:dyDescent="0.35">
      <c r="A785" s="25"/>
      <c r="B785" s="78"/>
      <c r="G785" s="25"/>
      <c r="H785" s="25"/>
    </row>
    <row r="786" spans="1:8" x14ac:dyDescent="0.35">
      <c r="A786" s="25"/>
      <c r="B786" s="78"/>
      <c r="G786" s="25"/>
      <c r="H786" s="25"/>
    </row>
    <row r="787" spans="1:8" x14ac:dyDescent="0.35">
      <c r="A787" s="25"/>
      <c r="B787" s="78"/>
      <c r="G787" s="25"/>
      <c r="H787" s="25"/>
    </row>
    <row r="788" spans="1:8" x14ac:dyDescent="0.35">
      <c r="A788" s="25"/>
      <c r="B788" s="78"/>
      <c r="G788" s="25"/>
      <c r="H788" s="25"/>
    </row>
    <row r="789" spans="1:8" x14ac:dyDescent="0.35">
      <c r="A789" s="25"/>
      <c r="B789" s="78"/>
      <c r="G789" s="25"/>
      <c r="H789" s="25"/>
    </row>
    <row r="790" spans="1:8" x14ac:dyDescent="0.35">
      <c r="A790" s="25"/>
      <c r="B790" s="78"/>
      <c r="G790" s="25"/>
      <c r="H790" s="25"/>
    </row>
    <row r="791" spans="1:8" x14ac:dyDescent="0.35">
      <c r="A791" s="25"/>
      <c r="B791" s="78"/>
      <c r="G791" s="25"/>
      <c r="H791" s="25"/>
    </row>
    <row r="792" spans="1:8" x14ac:dyDescent="0.35">
      <c r="A792" s="25"/>
      <c r="B792" s="78"/>
      <c r="G792" s="25"/>
      <c r="H792" s="25"/>
    </row>
    <row r="793" spans="1:8" x14ac:dyDescent="0.35">
      <c r="A793" s="25"/>
      <c r="B793" s="78"/>
      <c r="G793" s="25"/>
      <c r="H793" s="25"/>
    </row>
    <row r="794" spans="1:8" x14ac:dyDescent="0.35">
      <c r="A794" s="25"/>
      <c r="B794" s="78"/>
      <c r="G794" s="25"/>
      <c r="H794" s="25"/>
    </row>
    <row r="795" spans="1:8" x14ac:dyDescent="0.35">
      <c r="A795" s="25"/>
      <c r="B795" s="78"/>
      <c r="G795" s="25"/>
      <c r="H795" s="25"/>
    </row>
    <row r="796" spans="1:8" x14ac:dyDescent="0.35">
      <c r="A796" s="25"/>
      <c r="B796" s="78"/>
      <c r="G796" s="25"/>
      <c r="H796" s="25"/>
    </row>
    <row r="797" spans="1:8" x14ac:dyDescent="0.35">
      <c r="A797" s="25"/>
      <c r="B797" s="78"/>
      <c r="G797" s="25"/>
      <c r="H797" s="25"/>
    </row>
    <row r="798" spans="1:8" x14ac:dyDescent="0.35">
      <c r="A798" s="25"/>
      <c r="B798" s="78"/>
      <c r="G798" s="25"/>
      <c r="H798" s="25"/>
    </row>
    <row r="799" spans="1:8" x14ac:dyDescent="0.35">
      <c r="A799" s="25"/>
      <c r="B799" s="78"/>
      <c r="G799" s="25"/>
      <c r="H799" s="25"/>
    </row>
    <row r="800" spans="1:8" x14ac:dyDescent="0.35">
      <c r="A800" s="25"/>
      <c r="B800" s="78"/>
      <c r="G800" s="25"/>
      <c r="H800" s="25"/>
    </row>
    <row r="801" spans="1:8" x14ac:dyDescent="0.35">
      <c r="A801" s="25"/>
      <c r="B801" s="78"/>
      <c r="G801" s="25"/>
      <c r="H801" s="25"/>
    </row>
    <row r="802" spans="1:8" x14ac:dyDescent="0.35">
      <c r="A802" s="25"/>
      <c r="B802" s="78"/>
      <c r="G802" s="25"/>
      <c r="H802" s="25"/>
    </row>
    <row r="803" spans="1:8" x14ac:dyDescent="0.35">
      <c r="A803" s="25"/>
      <c r="B803" s="78"/>
      <c r="G803" s="25"/>
      <c r="H803" s="25"/>
    </row>
    <row r="804" spans="1:8" x14ac:dyDescent="0.35">
      <c r="A804" s="25"/>
      <c r="B804" s="78"/>
      <c r="G804" s="25"/>
      <c r="H804" s="25"/>
    </row>
    <row r="805" spans="1:8" x14ac:dyDescent="0.35">
      <c r="A805" s="25"/>
      <c r="B805" s="78"/>
      <c r="G805" s="25"/>
      <c r="H805" s="25"/>
    </row>
    <row r="806" spans="1:8" x14ac:dyDescent="0.35">
      <c r="A806" s="25"/>
      <c r="B806" s="78"/>
      <c r="G806" s="25"/>
      <c r="H806" s="25"/>
    </row>
    <row r="807" spans="1:8" x14ac:dyDescent="0.35">
      <c r="A807" s="25"/>
      <c r="B807" s="78"/>
      <c r="G807" s="25"/>
      <c r="H807" s="25"/>
    </row>
    <row r="808" spans="1:8" x14ac:dyDescent="0.35">
      <c r="A808" s="25"/>
      <c r="B808" s="78"/>
      <c r="G808" s="25"/>
      <c r="H808" s="25"/>
    </row>
    <row r="809" spans="1:8" x14ac:dyDescent="0.35">
      <c r="A809" s="25"/>
      <c r="B809" s="78"/>
      <c r="G809" s="25"/>
      <c r="H809" s="25"/>
    </row>
    <row r="810" spans="1:8" x14ac:dyDescent="0.35">
      <c r="A810" s="25"/>
      <c r="B810" s="78"/>
      <c r="G810" s="25"/>
      <c r="H810" s="25"/>
    </row>
    <row r="811" spans="1:8" x14ac:dyDescent="0.35">
      <c r="A811" s="25"/>
      <c r="B811" s="78"/>
      <c r="G811" s="25"/>
      <c r="H811" s="25"/>
    </row>
    <row r="812" spans="1:8" x14ac:dyDescent="0.35">
      <c r="A812" s="25"/>
      <c r="B812" s="78"/>
      <c r="G812" s="25"/>
      <c r="H812" s="25"/>
    </row>
    <row r="813" spans="1:8" x14ac:dyDescent="0.35">
      <c r="A813" s="25"/>
      <c r="B813" s="78"/>
      <c r="G813" s="25"/>
      <c r="H813" s="25"/>
    </row>
    <row r="814" spans="1:8" x14ac:dyDescent="0.35">
      <c r="A814" s="25"/>
      <c r="B814" s="78"/>
      <c r="G814" s="25"/>
      <c r="H814" s="25"/>
    </row>
    <row r="815" spans="1:8" x14ac:dyDescent="0.35">
      <c r="A815" s="25"/>
      <c r="G815" s="25"/>
      <c r="H815" s="25"/>
    </row>
    <row r="816" spans="1:8" x14ac:dyDescent="0.35">
      <c r="A816" s="25"/>
      <c r="G816" s="25"/>
      <c r="H816" s="25"/>
    </row>
    <row r="817" spans="1:8" x14ac:dyDescent="0.35">
      <c r="A817" s="25"/>
      <c r="G817" s="25"/>
      <c r="H817" s="25"/>
    </row>
    <row r="818" spans="1:8" x14ac:dyDescent="0.35">
      <c r="A818" s="25"/>
      <c r="B818" s="25"/>
      <c r="G818" s="25"/>
      <c r="H818" s="25"/>
    </row>
    <row r="819" spans="1:8" x14ac:dyDescent="0.35">
      <c r="A819" s="25"/>
      <c r="B819" s="25"/>
      <c r="G819" s="25"/>
      <c r="H819" s="25"/>
    </row>
    <row r="820" spans="1:8" x14ac:dyDescent="0.35">
      <c r="A820" s="25"/>
      <c r="B820" s="25"/>
      <c r="G820" s="25"/>
      <c r="H820" s="25"/>
    </row>
    <row r="821" spans="1:8" x14ac:dyDescent="0.35">
      <c r="A821" s="25"/>
      <c r="B821" s="25"/>
      <c r="G821" s="25"/>
      <c r="H821" s="25"/>
    </row>
    <row r="822" spans="1:8" x14ac:dyDescent="0.35">
      <c r="A822" s="25"/>
      <c r="B822" s="25"/>
      <c r="G822" s="25"/>
      <c r="H822" s="25"/>
    </row>
    <row r="823" spans="1:8" x14ac:dyDescent="0.35">
      <c r="A823" s="25"/>
      <c r="B823" s="25"/>
      <c r="G823" s="25"/>
      <c r="H823" s="25"/>
    </row>
    <row r="824" spans="1:8" x14ac:dyDescent="0.35">
      <c r="A824" s="25"/>
      <c r="B824" s="25"/>
      <c r="G824" s="25"/>
      <c r="H824" s="25"/>
    </row>
    <row r="825" spans="1:8" x14ac:dyDescent="0.35">
      <c r="A825" s="25"/>
      <c r="B825" s="25"/>
      <c r="G825" s="25"/>
      <c r="H825" s="25"/>
    </row>
    <row r="826" spans="1:8" x14ac:dyDescent="0.35">
      <c r="A826" s="25"/>
      <c r="B826" s="25"/>
      <c r="G826" s="25"/>
      <c r="H826" s="25"/>
    </row>
    <row r="827" spans="1:8" x14ac:dyDescent="0.35">
      <c r="A827" s="25"/>
      <c r="B827" s="25"/>
      <c r="G827" s="25"/>
      <c r="H827" s="25"/>
    </row>
    <row r="828" spans="1:8" x14ac:dyDescent="0.35">
      <c r="A828" s="25"/>
      <c r="B828" s="25"/>
      <c r="G828" s="25"/>
      <c r="H828" s="25"/>
    </row>
    <row r="829" spans="1:8" x14ac:dyDescent="0.35">
      <c r="A829" s="25"/>
      <c r="B829" s="25"/>
      <c r="G829" s="25"/>
      <c r="H829" s="25"/>
    </row>
    <row r="830" spans="1:8" x14ac:dyDescent="0.35">
      <c r="A830" s="25"/>
      <c r="B830" s="25"/>
      <c r="G830" s="25"/>
      <c r="H830" s="25"/>
    </row>
    <row r="831" spans="1:8" x14ac:dyDescent="0.35">
      <c r="A831" s="25"/>
      <c r="B831" s="25"/>
      <c r="G831" s="25"/>
      <c r="H831" s="25"/>
    </row>
    <row r="832" spans="1:8" x14ac:dyDescent="0.35">
      <c r="A832" s="25"/>
      <c r="B832" s="25"/>
      <c r="G832" s="25"/>
      <c r="H832" s="25"/>
    </row>
    <row r="833" spans="1:8" x14ac:dyDescent="0.35">
      <c r="A833" s="25"/>
      <c r="B833" s="25"/>
      <c r="G833" s="25"/>
      <c r="H833" s="25"/>
    </row>
    <row r="834" spans="1:8" x14ac:dyDescent="0.35">
      <c r="A834" s="25"/>
      <c r="B834" s="25"/>
      <c r="G834" s="25"/>
      <c r="H834" s="25"/>
    </row>
    <row r="835" spans="1:8" x14ac:dyDescent="0.35">
      <c r="A835" s="25"/>
      <c r="B835" s="25"/>
      <c r="G835" s="25"/>
      <c r="H835" s="25"/>
    </row>
    <row r="836" spans="1:8" x14ac:dyDescent="0.35">
      <c r="A836" s="25"/>
      <c r="B836" s="25"/>
      <c r="G836" s="25"/>
      <c r="H836" s="25"/>
    </row>
    <row r="837" spans="1:8" x14ac:dyDescent="0.35">
      <c r="A837" s="25"/>
      <c r="B837" s="25"/>
      <c r="G837" s="25"/>
      <c r="H837" s="25"/>
    </row>
    <row r="838" spans="1:8" x14ac:dyDescent="0.35">
      <c r="A838" s="25"/>
      <c r="B838" s="25"/>
      <c r="G838" s="25"/>
      <c r="H838" s="25"/>
    </row>
    <row r="839" spans="1:8" x14ac:dyDescent="0.35">
      <c r="A839" s="25"/>
      <c r="B839" s="25"/>
      <c r="G839" s="25"/>
      <c r="H839" s="25"/>
    </row>
    <row r="840" spans="1:8" x14ac:dyDescent="0.35">
      <c r="A840" s="25"/>
      <c r="B840" s="25"/>
      <c r="G840" s="25"/>
      <c r="H840" s="25"/>
    </row>
    <row r="841" spans="1:8" x14ac:dyDescent="0.35">
      <c r="A841" s="25"/>
      <c r="B841" s="25"/>
      <c r="G841" s="25"/>
      <c r="H841" s="25"/>
    </row>
    <row r="842" spans="1:8" x14ac:dyDescent="0.35">
      <c r="A842" s="25"/>
      <c r="B842" s="25"/>
      <c r="G842" s="25"/>
      <c r="H842" s="25"/>
    </row>
    <row r="843" spans="1:8" x14ac:dyDescent="0.35">
      <c r="A843" s="25"/>
      <c r="B843" s="25"/>
      <c r="G843" s="25"/>
      <c r="H843" s="25"/>
    </row>
    <row r="844" spans="1:8" x14ac:dyDescent="0.35">
      <c r="A844" s="25"/>
      <c r="B844" s="25"/>
      <c r="G844" s="25"/>
      <c r="H844" s="25"/>
    </row>
    <row r="845" spans="1:8" x14ac:dyDescent="0.35">
      <c r="A845" s="25"/>
      <c r="B845" s="25"/>
      <c r="G845" s="25"/>
      <c r="H845" s="25"/>
    </row>
    <row r="846" spans="1:8" x14ac:dyDescent="0.35">
      <c r="A846" s="25"/>
      <c r="B846" s="25"/>
      <c r="G846" s="25"/>
      <c r="H846" s="25"/>
    </row>
    <row r="847" spans="1:8" x14ac:dyDescent="0.35">
      <c r="A847" s="25"/>
      <c r="B847" s="25"/>
      <c r="G847" s="25"/>
      <c r="H847" s="25"/>
    </row>
    <row r="848" spans="1:8" x14ac:dyDescent="0.35">
      <c r="A848" s="25"/>
      <c r="B848" s="25"/>
      <c r="G848" s="25"/>
      <c r="H848" s="25"/>
    </row>
    <row r="849" spans="1:8" x14ac:dyDescent="0.35">
      <c r="A849" s="25"/>
      <c r="B849" s="25"/>
      <c r="G849" s="25"/>
      <c r="H849" s="25"/>
    </row>
    <row r="850" spans="1:8" x14ac:dyDescent="0.35">
      <c r="A850" s="25"/>
      <c r="B850" s="25"/>
      <c r="G850" s="25"/>
      <c r="H850" s="25"/>
    </row>
    <row r="851" spans="1:8" x14ac:dyDescent="0.35">
      <c r="A851" s="25"/>
      <c r="B851" s="25"/>
      <c r="G851" s="25"/>
      <c r="H851" s="25"/>
    </row>
    <row r="852" spans="1:8" x14ac:dyDescent="0.35">
      <c r="A852" s="25"/>
      <c r="B852" s="25"/>
      <c r="G852" s="25"/>
      <c r="H852" s="25"/>
    </row>
    <row r="853" spans="1:8" x14ac:dyDescent="0.35">
      <c r="A853" s="25"/>
      <c r="B853" s="25"/>
      <c r="G853" s="25"/>
      <c r="H853" s="25"/>
    </row>
    <row r="854" spans="1:8" x14ac:dyDescent="0.35">
      <c r="A854" s="25"/>
      <c r="B854" s="25"/>
      <c r="G854" s="25"/>
      <c r="H854" s="25"/>
    </row>
    <row r="855" spans="1:8" x14ac:dyDescent="0.35">
      <c r="A855" s="25"/>
      <c r="B855" s="25"/>
      <c r="G855" s="25"/>
      <c r="H855" s="25"/>
    </row>
    <row r="856" spans="1:8" x14ac:dyDescent="0.35">
      <c r="A856" s="25"/>
      <c r="B856" s="25"/>
      <c r="G856" s="25"/>
      <c r="H856" s="25"/>
    </row>
    <row r="857" spans="1:8" x14ac:dyDescent="0.35">
      <c r="A857" s="25"/>
      <c r="B857" s="25"/>
      <c r="G857" s="25"/>
      <c r="H857" s="25"/>
    </row>
    <row r="858" spans="1:8" x14ac:dyDescent="0.35">
      <c r="A858" s="25"/>
      <c r="B858" s="25"/>
      <c r="G858" s="25"/>
      <c r="H858" s="25"/>
    </row>
    <row r="859" spans="1:8" x14ac:dyDescent="0.35">
      <c r="A859" s="25"/>
      <c r="B859" s="25"/>
      <c r="G859" s="25"/>
      <c r="H859" s="25"/>
    </row>
    <row r="860" spans="1:8" x14ac:dyDescent="0.35">
      <c r="A860" s="25"/>
      <c r="B860" s="25"/>
      <c r="G860" s="25"/>
      <c r="H860" s="25"/>
    </row>
    <row r="861" spans="1:8" x14ac:dyDescent="0.35">
      <c r="A861" s="25"/>
      <c r="B861" s="25"/>
      <c r="G861" s="25"/>
      <c r="H861" s="25"/>
    </row>
    <row r="862" spans="1:8" x14ac:dyDescent="0.35">
      <c r="A862" s="25"/>
      <c r="B862" s="25"/>
      <c r="G862" s="25"/>
      <c r="H862" s="25"/>
    </row>
    <row r="863" spans="1:8" x14ac:dyDescent="0.35">
      <c r="A863" s="25"/>
      <c r="B863" s="25"/>
      <c r="G863" s="25"/>
      <c r="H863" s="25"/>
    </row>
    <row r="864" spans="1:8" x14ac:dyDescent="0.35">
      <c r="A864" s="25"/>
      <c r="B864" s="25"/>
      <c r="G864" s="25"/>
      <c r="H864" s="25"/>
    </row>
    <row r="865" spans="1:8" x14ac:dyDescent="0.35">
      <c r="A865" s="25"/>
      <c r="B865" s="25"/>
      <c r="G865" s="25"/>
      <c r="H865" s="25"/>
    </row>
    <row r="866" spans="1:8" x14ac:dyDescent="0.35">
      <c r="A866" s="25"/>
      <c r="B866" s="25"/>
      <c r="G866" s="25"/>
      <c r="H866" s="25"/>
    </row>
    <row r="867" spans="1:8" x14ac:dyDescent="0.35">
      <c r="A867" s="25"/>
      <c r="B867" s="25"/>
      <c r="G867" s="25"/>
      <c r="H867" s="25"/>
    </row>
    <row r="868" spans="1:8" x14ac:dyDescent="0.35">
      <c r="A868" s="25"/>
      <c r="B868" s="25"/>
      <c r="G868" s="25"/>
      <c r="H868" s="25"/>
    </row>
    <row r="869" spans="1:8" x14ac:dyDescent="0.35">
      <c r="A869" s="25"/>
      <c r="B869" s="25"/>
      <c r="G869" s="25"/>
      <c r="H869" s="25"/>
    </row>
    <row r="870" spans="1:8" x14ac:dyDescent="0.35">
      <c r="A870" s="25"/>
      <c r="B870" s="25"/>
      <c r="G870" s="25"/>
      <c r="H870" s="25"/>
    </row>
    <row r="871" spans="1:8" x14ac:dyDescent="0.35">
      <c r="A871" s="25"/>
      <c r="B871" s="25"/>
      <c r="G871" s="25"/>
      <c r="H871" s="25"/>
    </row>
    <row r="872" spans="1:8" x14ac:dyDescent="0.35">
      <c r="A872" s="25"/>
      <c r="B872" s="25"/>
      <c r="G872" s="25"/>
      <c r="H872" s="25"/>
    </row>
    <row r="873" spans="1:8" x14ac:dyDescent="0.35">
      <c r="A873" s="25"/>
      <c r="B873" s="25"/>
      <c r="G873" s="25"/>
      <c r="H873" s="25"/>
    </row>
    <row r="874" spans="1:8" x14ac:dyDescent="0.35">
      <c r="A874" s="25"/>
      <c r="B874" s="25"/>
      <c r="G874" s="25"/>
      <c r="H874" s="25"/>
    </row>
    <row r="875" spans="1:8" x14ac:dyDescent="0.35">
      <c r="A875" s="25"/>
      <c r="B875" s="25"/>
      <c r="G875" s="25"/>
      <c r="H875" s="25"/>
    </row>
    <row r="876" spans="1:8" x14ac:dyDescent="0.35">
      <c r="A876" s="25"/>
      <c r="B876" s="25"/>
      <c r="G876" s="25"/>
      <c r="H876" s="25"/>
    </row>
    <row r="877" spans="1:8" x14ac:dyDescent="0.35">
      <c r="A877" s="25"/>
      <c r="B877" s="25"/>
      <c r="G877" s="25"/>
      <c r="H877" s="25"/>
    </row>
    <row r="878" spans="1:8" x14ac:dyDescent="0.35">
      <c r="A878" s="25"/>
      <c r="B878" s="25"/>
      <c r="G878" s="25"/>
      <c r="H878" s="25"/>
    </row>
    <row r="879" spans="1:8" x14ac:dyDescent="0.35">
      <c r="A879" s="25"/>
      <c r="B879" s="25"/>
      <c r="G879" s="25"/>
      <c r="H879" s="25"/>
    </row>
    <row r="880" spans="1:8" x14ac:dyDescent="0.35">
      <c r="A880" s="25"/>
      <c r="B880" s="25"/>
      <c r="G880" s="25"/>
      <c r="H880" s="25"/>
    </row>
    <row r="881" spans="1:8" x14ac:dyDescent="0.35">
      <c r="A881" s="25"/>
      <c r="B881" s="25"/>
      <c r="G881" s="25"/>
      <c r="H881" s="25"/>
    </row>
    <row r="882" spans="1:8" x14ac:dyDescent="0.35">
      <c r="A882" s="25"/>
      <c r="B882" s="25"/>
      <c r="G882" s="25"/>
      <c r="H882" s="25"/>
    </row>
    <row r="883" spans="1:8" x14ac:dyDescent="0.35">
      <c r="A883" s="25"/>
      <c r="B883" s="25"/>
      <c r="G883" s="25"/>
      <c r="H883" s="25"/>
    </row>
    <row r="884" spans="1:8" x14ac:dyDescent="0.35">
      <c r="A884" s="25"/>
      <c r="B884" s="25"/>
      <c r="G884" s="25"/>
      <c r="H884" s="25"/>
    </row>
    <row r="885" spans="1:8" x14ac:dyDescent="0.35">
      <c r="A885" s="25"/>
      <c r="B885" s="25"/>
      <c r="G885" s="25"/>
      <c r="H885" s="25"/>
    </row>
    <row r="886" spans="1:8" x14ac:dyDescent="0.35">
      <c r="A886" s="25"/>
      <c r="B886" s="25"/>
      <c r="G886" s="25"/>
      <c r="H886" s="25"/>
    </row>
    <row r="887" spans="1:8" x14ac:dyDescent="0.35">
      <c r="A887" s="25"/>
      <c r="B887" s="25"/>
      <c r="G887" s="25"/>
      <c r="H887" s="25"/>
    </row>
    <row r="888" spans="1:8" x14ac:dyDescent="0.35">
      <c r="A888" s="25"/>
      <c r="B888" s="25"/>
      <c r="G888" s="25"/>
      <c r="H888" s="25"/>
    </row>
    <row r="889" spans="1:8" x14ac:dyDescent="0.35">
      <c r="A889" s="25"/>
      <c r="B889" s="25"/>
      <c r="G889" s="25"/>
      <c r="H889" s="25"/>
    </row>
    <row r="890" spans="1:8" x14ac:dyDescent="0.35">
      <c r="A890" s="25"/>
      <c r="B890" s="25"/>
      <c r="G890" s="25"/>
      <c r="H890" s="25"/>
    </row>
    <row r="891" spans="1:8" x14ac:dyDescent="0.35">
      <c r="A891" s="25"/>
      <c r="B891" s="25"/>
      <c r="G891" s="25"/>
      <c r="H891" s="25"/>
    </row>
    <row r="892" spans="1:8" x14ac:dyDescent="0.35">
      <c r="A892" s="25"/>
      <c r="B892" s="25"/>
      <c r="G892" s="25"/>
      <c r="H892" s="25"/>
    </row>
    <row r="893" spans="1:8" x14ac:dyDescent="0.35">
      <c r="A893" s="25"/>
      <c r="B893" s="25"/>
      <c r="G893" s="25"/>
      <c r="H893" s="25"/>
    </row>
    <row r="894" spans="1:8" x14ac:dyDescent="0.35">
      <c r="A894" s="25"/>
      <c r="B894" s="25"/>
      <c r="G894" s="25"/>
      <c r="H894" s="25"/>
    </row>
    <row r="895" spans="1:8" x14ac:dyDescent="0.35">
      <c r="A895" s="25"/>
      <c r="B895" s="25"/>
      <c r="G895" s="25"/>
      <c r="H895" s="25"/>
    </row>
    <row r="896" spans="1:8" x14ac:dyDescent="0.35">
      <c r="A896" s="25"/>
      <c r="B896" s="25"/>
      <c r="G896" s="25"/>
      <c r="H896" s="25"/>
    </row>
    <row r="897" spans="1:8" x14ac:dyDescent="0.35">
      <c r="A897" s="25"/>
      <c r="B897" s="25"/>
      <c r="G897" s="25"/>
      <c r="H897" s="25"/>
    </row>
    <row r="898" spans="1:8" x14ac:dyDescent="0.35">
      <c r="A898" s="25"/>
      <c r="B898" s="25"/>
      <c r="G898" s="25"/>
      <c r="H898" s="25"/>
    </row>
    <row r="899" spans="1:8" x14ac:dyDescent="0.35">
      <c r="A899" s="25"/>
      <c r="B899" s="25"/>
      <c r="G899" s="25"/>
      <c r="H899" s="25"/>
    </row>
    <row r="900" spans="1:8" x14ac:dyDescent="0.35">
      <c r="A900" s="25"/>
      <c r="B900" s="25"/>
      <c r="G900" s="25"/>
      <c r="H900" s="25"/>
    </row>
    <row r="901" spans="1:8" x14ac:dyDescent="0.35">
      <c r="A901" s="25"/>
      <c r="B901" s="25"/>
      <c r="G901" s="25"/>
      <c r="H901" s="25"/>
    </row>
    <row r="902" spans="1:8" x14ac:dyDescent="0.35">
      <c r="A902" s="25"/>
      <c r="B902" s="25"/>
      <c r="G902" s="25"/>
      <c r="H902" s="25"/>
    </row>
    <row r="903" spans="1:8" x14ac:dyDescent="0.35">
      <c r="A903" s="25"/>
      <c r="B903" s="25"/>
      <c r="G903" s="25"/>
      <c r="H903" s="25"/>
    </row>
    <row r="904" spans="1:8" x14ac:dyDescent="0.35">
      <c r="A904" s="25"/>
      <c r="B904" s="25"/>
      <c r="G904" s="25"/>
      <c r="H904" s="25"/>
    </row>
    <row r="905" spans="1:8" x14ac:dyDescent="0.35">
      <c r="A905" s="25"/>
      <c r="B905" s="25"/>
      <c r="G905" s="25"/>
      <c r="H905" s="25"/>
    </row>
    <row r="906" spans="1:8" x14ac:dyDescent="0.35">
      <c r="A906" s="25"/>
      <c r="B906" s="25"/>
      <c r="G906" s="25"/>
      <c r="H906" s="25"/>
    </row>
    <row r="907" spans="1:8" x14ac:dyDescent="0.35">
      <c r="A907" s="25"/>
      <c r="B907" s="25"/>
      <c r="G907" s="25"/>
      <c r="H907" s="25"/>
    </row>
    <row r="908" spans="1:8" x14ac:dyDescent="0.35">
      <c r="A908" s="25"/>
      <c r="B908" s="25"/>
      <c r="G908" s="25"/>
      <c r="H908" s="25"/>
    </row>
    <row r="909" spans="1:8" x14ac:dyDescent="0.35">
      <c r="A909" s="25"/>
      <c r="B909" s="25"/>
      <c r="G909" s="25"/>
      <c r="H909" s="25"/>
    </row>
    <row r="910" spans="1:8" x14ac:dyDescent="0.35">
      <c r="A910" s="25"/>
      <c r="B910" s="25"/>
      <c r="G910" s="25"/>
      <c r="H910" s="25"/>
    </row>
    <row r="911" spans="1:8" x14ac:dyDescent="0.35">
      <c r="A911" s="25"/>
      <c r="B911" s="25"/>
      <c r="G911" s="25"/>
      <c r="H911" s="25"/>
    </row>
    <row r="912" spans="1:8" x14ac:dyDescent="0.35">
      <c r="A912" s="25"/>
      <c r="B912" s="25"/>
      <c r="G912" s="25"/>
      <c r="H912" s="25"/>
    </row>
    <row r="913" spans="1:8" x14ac:dyDescent="0.35">
      <c r="A913" s="25"/>
      <c r="B913" s="25"/>
      <c r="G913" s="25"/>
      <c r="H913" s="25"/>
    </row>
    <row r="914" spans="1:8" x14ac:dyDescent="0.35">
      <c r="A914" s="25"/>
      <c r="B914" s="25"/>
      <c r="G914" s="25"/>
      <c r="H914" s="25"/>
    </row>
    <row r="915" spans="1:8" x14ac:dyDescent="0.35">
      <c r="A915" s="25"/>
      <c r="B915" s="25"/>
      <c r="G915" s="25"/>
      <c r="H915" s="25"/>
    </row>
    <row r="916" spans="1:8" x14ac:dyDescent="0.35">
      <c r="A916" s="25"/>
      <c r="B916" s="25"/>
      <c r="G916" s="25"/>
      <c r="H916" s="25"/>
    </row>
    <row r="917" spans="1:8" x14ac:dyDescent="0.35">
      <c r="B917" s="25"/>
      <c r="G917" s="25"/>
      <c r="H917" s="25"/>
    </row>
    <row r="918" spans="1:8" x14ac:dyDescent="0.35">
      <c r="B918" s="25"/>
      <c r="G918" s="25"/>
      <c r="H918" s="25"/>
    </row>
    <row r="919" spans="1:8" x14ac:dyDescent="0.35">
      <c r="B919" s="25"/>
      <c r="G919" s="25"/>
      <c r="H919" s="25"/>
    </row>
    <row r="920" spans="1:8" x14ac:dyDescent="0.35">
      <c r="B920" s="25"/>
      <c r="G920" s="25"/>
      <c r="H920" s="25"/>
    </row>
    <row r="921" spans="1:8" x14ac:dyDescent="0.35">
      <c r="B921" s="25"/>
      <c r="G921" s="25"/>
      <c r="H921" s="25"/>
    </row>
    <row r="922" spans="1:8" x14ac:dyDescent="0.35">
      <c r="B922" s="25"/>
      <c r="G922" s="25"/>
      <c r="H922" s="25"/>
    </row>
    <row r="923" spans="1:8" x14ac:dyDescent="0.35">
      <c r="B923" s="25"/>
      <c r="G923" s="25"/>
      <c r="H923" s="25"/>
    </row>
    <row r="924" spans="1:8" x14ac:dyDescent="0.35">
      <c r="B924" s="25"/>
      <c r="G924" s="25"/>
      <c r="H924" s="25"/>
    </row>
    <row r="925" spans="1:8" x14ac:dyDescent="0.35">
      <c r="B925" s="25"/>
      <c r="G925" s="25"/>
      <c r="H925" s="25"/>
    </row>
    <row r="926" spans="1:8" x14ac:dyDescent="0.35">
      <c r="B926" s="25"/>
      <c r="G926" s="25"/>
      <c r="H926" s="25"/>
    </row>
    <row r="927" spans="1:8" x14ac:dyDescent="0.35">
      <c r="B927" s="25"/>
      <c r="G927" s="25"/>
      <c r="H927" s="25"/>
    </row>
    <row r="928" spans="1:8" x14ac:dyDescent="0.35">
      <c r="B928" s="25"/>
      <c r="G928" s="25"/>
      <c r="H928" s="25"/>
    </row>
    <row r="929" spans="2:8" x14ac:dyDescent="0.35">
      <c r="B929" s="25"/>
      <c r="G929" s="25"/>
      <c r="H929" s="25"/>
    </row>
    <row r="930" spans="2:8" x14ac:dyDescent="0.35">
      <c r="B930" s="25"/>
      <c r="G930" s="25"/>
      <c r="H930" s="25"/>
    </row>
    <row r="931" spans="2:8" x14ac:dyDescent="0.35">
      <c r="B931" s="25"/>
      <c r="G931" s="25"/>
      <c r="H931" s="25"/>
    </row>
    <row r="932" spans="2:8" x14ac:dyDescent="0.35">
      <c r="B932" s="25"/>
      <c r="G932" s="25"/>
      <c r="H932" s="25"/>
    </row>
    <row r="933" spans="2:8" x14ac:dyDescent="0.35">
      <c r="B933" s="25"/>
      <c r="G933" s="25"/>
      <c r="H933" s="25"/>
    </row>
    <row r="934" spans="2:8" x14ac:dyDescent="0.35">
      <c r="B934" s="25"/>
      <c r="G934" s="25"/>
      <c r="H934" s="25"/>
    </row>
    <row r="935" spans="2:8" x14ac:dyDescent="0.35">
      <c r="B935" s="25"/>
      <c r="G935" s="25"/>
      <c r="H935" s="25"/>
    </row>
    <row r="936" spans="2:8" x14ac:dyDescent="0.35">
      <c r="B936" s="25"/>
      <c r="G936" s="25"/>
      <c r="H936" s="25"/>
    </row>
    <row r="937" spans="2:8" x14ac:dyDescent="0.35">
      <c r="B937" s="25"/>
      <c r="G937" s="25"/>
      <c r="H937" s="25"/>
    </row>
    <row r="938" spans="2:8" x14ac:dyDescent="0.35">
      <c r="B938" s="25"/>
      <c r="G938" s="25"/>
      <c r="H938" s="25"/>
    </row>
    <row r="939" spans="2:8" x14ac:dyDescent="0.35">
      <c r="B939" s="25"/>
      <c r="G939" s="25"/>
      <c r="H939" s="25"/>
    </row>
    <row r="940" spans="2:8" x14ac:dyDescent="0.35">
      <c r="B940" s="25"/>
      <c r="G940" s="25"/>
      <c r="H940" s="25"/>
    </row>
    <row r="941" spans="2:8" x14ac:dyDescent="0.35">
      <c r="B941" s="25"/>
      <c r="G941" s="25"/>
      <c r="H941" s="25"/>
    </row>
    <row r="942" spans="2:8" x14ac:dyDescent="0.35">
      <c r="B942" s="25"/>
      <c r="G942" s="25"/>
      <c r="H942" s="25"/>
    </row>
    <row r="943" spans="2:8" x14ac:dyDescent="0.35">
      <c r="B943" s="25"/>
      <c r="G943" s="25"/>
      <c r="H943" s="25"/>
    </row>
    <row r="944" spans="2:8" x14ac:dyDescent="0.35">
      <c r="B944" s="25"/>
      <c r="G944" s="25"/>
      <c r="H944" s="25"/>
    </row>
    <row r="945" spans="2:8" x14ac:dyDescent="0.35">
      <c r="B945" s="25"/>
      <c r="G945" s="25"/>
      <c r="H945" s="25"/>
    </row>
    <row r="946" spans="2:8" x14ac:dyDescent="0.35">
      <c r="B946" s="25"/>
      <c r="G946" s="25"/>
      <c r="H946" s="25"/>
    </row>
    <row r="947" spans="2:8" x14ac:dyDescent="0.35">
      <c r="B947" s="25"/>
    </row>
    <row r="948" spans="2:8" x14ac:dyDescent="0.35">
      <c r="B948" s="25"/>
    </row>
    <row r="949" spans="2:8" x14ac:dyDescent="0.35">
      <c r="B949" s="25"/>
    </row>
    <row r="950" spans="2:8" x14ac:dyDescent="0.35">
      <c r="B950" s="25"/>
    </row>
    <row r="951" spans="2:8" x14ac:dyDescent="0.35">
      <c r="B951" s="25"/>
    </row>
    <row r="952" spans="2:8" x14ac:dyDescent="0.35">
      <c r="B952" s="25"/>
    </row>
    <row r="953" spans="2:8" x14ac:dyDescent="0.35">
      <c r="B953" s="25"/>
    </row>
    <row r="954" spans="2:8" x14ac:dyDescent="0.35">
      <c r="B954" s="25"/>
    </row>
    <row r="955" spans="2:8" x14ac:dyDescent="0.35">
      <c r="B955" s="25"/>
    </row>
    <row r="956" spans="2:8" x14ac:dyDescent="0.35">
      <c r="B956" s="25"/>
    </row>
    <row r="957" spans="2:8" x14ac:dyDescent="0.35">
      <c r="B957" s="25"/>
    </row>
    <row r="958" spans="2:8" x14ac:dyDescent="0.35">
      <c r="B958" s="25"/>
    </row>
    <row r="959" spans="2:8" x14ac:dyDescent="0.35">
      <c r="B959" s="25"/>
    </row>
    <row r="960" spans="2:8" x14ac:dyDescent="0.35">
      <c r="B960" s="25"/>
    </row>
    <row r="961" spans="2:2" x14ac:dyDescent="0.35">
      <c r="B961" s="25"/>
    </row>
    <row r="962" spans="2:2" x14ac:dyDescent="0.35">
      <c r="B962" s="25"/>
    </row>
    <row r="963" spans="2:2" x14ac:dyDescent="0.35">
      <c r="B963" s="25"/>
    </row>
    <row r="964" spans="2:2" x14ac:dyDescent="0.35">
      <c r="B964" s="25"/>
    </row>
    <row r="965" spans="2:2" x14ac:dyDescent="0.35">
      <c r="B965" s="25"/>
    </row>
    <row r="966" spans="2:2" x14ac:dyDescent="0.35">
      <c r="B966" s="25"/>
    </row>
    <row r="967" spans="2:2" x14ac:dyDescent="0.35">
      <c r="B967" s="25"/>
    </row>
    <row r="968" spans="2:2" x14ac:dyDescent="0.35">
      <c r="B968" s="25"/>
    </row>
    <row r="969" spans="2:2" x14ac:dyDescent="0.35">
      <c r="B969" s="25"/>
    </row>
    <row r="970" spans="2:2" x14ac:dyDescent="0.35">
      <c r="B970" s="25"/>
    </row>
    <row r="971" spans="2:2" x14ac:dyDescent="0.35">
      <c r="B971" s="25"/>
    </row>
    <row r="972" spans="2:2" x14ac:dyDescent="0.35">
      <c r="B972" s="25"/>
    </row>
    <row r="973" spans="2:2" x14ac:dyDescent="0.35">
      <c r="B973" s="25"/>
    </row>
    <row r="974" spans="2:2" x14ac:dyDescent="0.35">
      <c r="B974" s="25"/>
    </row>
    <row r="975" spans="2:2" x14ac:dyDescent="0.35">
      <c r="B975" s="25"/>
    </row>
    <row r="976" spans="2:2" x14ac:dyDescent="0.35">
      <c r="B976" s="25"/>
    </row>
    <row r="977" spans="2:2" x14ac:dyDescent="0.35">
      <c r="B977" s="25"/>
    </row>
    <row r="978" spans="2:2" x14ac:dyDescent="0.35">
      <c r="B978" s="25"/>
    </row>
    <row r="979" spans="2:2" x14ac:dyDescent="0.35">
      <c r="B979" s="25"/>
    </row>
    <row r="980" spans="2:2" x14ac:dyDescent="0.35">
      <c r="B980" s="25"/>
    </row>
    <row r="981" spans="2:2" x14ac:dyDescent="0.35">
      <c r="B981" s="25"/>
    </row>
    <row r="982" spans="2:2" x14ac:dyDescent="0.35">
      <c r="B982" s="25"/>
    </row>
    <row r="983" spans="2:2" x14ac:dyDescent="0.35">
      <c r="B983" s="25"/>
    </row>
    <row r="984" spans="2:2" x14ac:dyDescent="0.35">
      <c r="B984" s="25"/>
    </row>
    <row r="985" spans="2:2" x14ac:dyDescent="0.35">
      <c r="B985" s="25"/>
    </row>
    <row r="986" spans="2:2" x14ac:dyDescent="0.35">
      <c r="B986" s="25"/>
    </row>
    <row r="987" spans="2:2" x14ac:dyDescent="0.35">
      <c r="B987" s="25"/>
    </row>
    <row r="988" spans="2:2" x14ac:dyDescent="0.35">
      <c r="B988" s="25"/>
    </row>
    <row r="989" spans="2:2" x14ac:dyDescent="0.35">
      <c r="B989" s="25"/>
    </row>
    <row r="990" spans="2:2" x14ac:dyDescent="0.35">
      <c r="B990" s="25"/>
    </row>
    <row r="991" spans="2:2" x14ac:dyDescent="0.35">
      <c r="B991" s="25"/>
    </row>
    <row r="992" spans="2:2" x14ac:dyDescent="0.35">
      <c r="B992" s="25"/>
    </row>
    <row r="993" spans="2:2" x14ac:dyDescent="0.35">
      <c r="B993" s="25"/>
    </row>
    <row r="994" spans="2:2" x14ac:dyDescent="0.35">
      <c r="B994" s="25"/>
    </row>
    <row r="995" spans="2:2" x14ac:dyDescent="0.35">
      <c r="B995" s="25"/>
    </row>
    <row r="996" spans="2:2" x14ac:dyDescent="0.35">
      <c r="B996" s="25"/>
    </row>
    <row r="997" spans="2:2" x14ac:dyDescent="0.35">
      <c r="B997" s="25"/>
    </row>
    <row r="998" spans="2:2" x14ac:dyDescent="0.35">
      <c r="B998" s="25"/>
    </row>
    <row r="999" spans="2:2" x14ac:dyDescent="0.35">
      <c r="B999" s="25"/>
    </row>
    <row r="1000" spans="2:2" x14ac:dyDescent="0.35">
      <c r="B1000" s="25"/>
    </row>
    <row r="1001" spans="2:2" x14ac:dyDescent="0.35">
      <c r="B1001" s="25"/>
    </row>
    <row r="1002" spans="2:2" x14ac:dyDescent="0.35">
      <c r="B1002" s="25"/>
    </row>
    <row r="1003" spans="2:2" x14ac:dyDescent="0.35">
      <c r="B1003" s="25"/>
    </row>
    <row r="1004" spans="2:2" x14ac:dyDescent="0.35">
      <c r="B1004" s="25"/>
    </row>
    <row r="1005" spans="2:2" x14ac:dyDescent="0.35">
      <c r="B1005" s="25"/>
    </row>
    <row r="1006" spans="2:2" x14ac:dyDescent="0.35">
      <c r="B1006" s="25"/>
    </row>
    <row r="1007" spans="2:2" x14ac:dyDescent="0.35">
      <c r="B1007" s="25"/>
    </row>
    <row r="1008" spans="2:2" x14ac:dyDescent="0.35">
      <c r="B1008" s="25"/>
    </row>
    <row r="1009" spans="2:2" x14ac:dyDescent="0.35">
      <c r="B1009" s="25"/>
    </row>
    <row r="1010" spans="2:2" x14ac:dyDescent="0.35">
      <c r="B1010" s="25"/>
    </row>
    <row r="1011" spans="2:2" x14ac:dyDescent="0.35">
      <c r="B1011" s="25"/>
    </row>
    <row r="1012" spans="2:2" x14ac:dyDescent="0.35">
      <c r="B1012" s="25"/>
    </row>
    <row r="1013" spans="2:2" x14ac:dyDescent="0.35">
      <c r="B1013" s="25"/>
    </row>
    <row r="1014" spans="2:2" x14ac:dyDescent="0.35">
      <c r="B1014" s="25"/>
    </row>
    <row r="1015" spans="2:2" x14ac:dyDescent="0.35">
      <c r="B1015" s="25"/>
    </row>
    <row r="1016" spans="2:2" x14ac:dyDescent="0.35">
      <c r="B1016" s="25"/>
    </row>
    <row r="1017" spans="2:2" x14ac:dyDescent="0.35">
      <c r="B1017" s="25"/>
    </row>
    <row r="1018" spans="2:2" x14ac:dyDescent="0.35">
      <c r="B1018" s="25"/>
    </row>
    <row r="1019" spans="2:2" x14ac:dyDescent="0.35">
      <c r="B1019" s="25"/>
    </row>
    <row r="1020" spans="2:2" x14ac:dyDescent="0.35">
      <c r="B1020" s="25"/>
    </row>
    <row r="1021" spans="2:2" x14ac:dyDescent="0.35">
      <c r="B1021" s="25"/>
    </row>
    <row r="1022" spans="2:2" x14ac:dyDescent="0.35">
      <c r="B1022" s="25"/>
    </row>
    <row r="1023" spans="2:2" x14ac:dyDescent="0.35">
      <c r="B1023" s="25"/>
    </row>
    <row r="1024" spans="2:2" x14ac:dyDescent="0.35">
      <c r="B1024" s="25"/>
    </row>
    <row r="1025" spans="2:2" x14ac:dyDescent="0.35">
      <c r="B1025" s="25"/>
    </row>
    <row r="1026" spans="2:2" x14ac:dyDescent="0.35">
      <c r="B1026" s="25"/>
    </row>
    <row r="1027" spans="2:2" x14ac:dyDescent="0.35">
      <c r="B1027" s="25"/>
    </row>
    <row r="1028" spans="2:2" x14ac:dyDescent="0.35">
      <c r="B1028" s="25"/>
    </row>
    <row r="1029" spans="2:2" x14ac:dyDescent="0.35">
      <c r="B1029" s="25"/>
    </row>
    <row r="1030" spans="2:2" x14ac:dyDescent="0.35">
      <c r="B1030" s="25"/>
    </row>
    <row r="1031" spans="2:2" x14ac:dyDescent="0.35">
      <c r="B1031" s="25"/>
    </row>
    <row r="1032" spans="2:2" x14ac:dyDescent="0.35">
      <c r="B1032" s="25"/>
    </row>
    <row r="1033" spans="2:2" x14ac:dyDescent="0.35">
      <c r="B1033" s="25"/>
    </row>
    <row r="1034" spans="2:2" x14ac:dyDescent="0.35">
      <c r="B1034" s="25"/>
    </row>
    <row r="1035" spans="2:2" x14ac:dyDescent="0.35">
      <c r="B1035" s="25"/>
    </row>
    <row r="1036" spans="2:2" x14ac:dyDescent="0.35">
      <c r="B1036" s="25"/>
    </row>
    <row r="1037" spans="2:2" x14ac:dyDescent="0.35">
      <c r="B1037" s="25"/>
    </row>
    <row r="1038" spans="2:2" x14ac:dyDescent="0.35">
      <c r="B1038" s="25"/>
    </row>
    <row r="1039" spans="2:2" x14ac:dyDescent="0.35">
      <c r="B1039" s="25"/>
    </row>
    <row r="1040" spans="2:2" x14ac:dyDescent="0.35">
      <c r="B1040" s="25"/>
    </row>
    <row r="1041" spans="2:2" x14ac:dyDescent="0.35">
      <c r="B1041" s="25"/>
    </row>
    <row r="1042" spans="2:2" x14ac:dyDescent="0.35">
      <c r="B1042" s="25"/>
    </row>
    <row r="1043" spans="2:2" x14ac:dyDescent="0.35">
      <c r="B1043" s="25"/>
    </row>
    <row r="1044" spans="2:2" x14ac:dyDescent="0.35">
      <c r="B1044" s="25"/>
    </row>
    <row r="1045" spans="2:2" x14ac:dyDescent="0.35">
      <c r="B1045" s="25"/>
    </row>
    <row r="1046" spans="2:2" x14ac:dyDescent="0.35">
      <c r="B1046" s="25"/>
    </row>
    <row r="1047" spans="2:2" x14ac:dyDescent="0.35">
      <c r="B1047" s="25"/>
    </row>
    <row r="1048" spans="2:2" x14ac:dyDescent="0.35">
      <c r="B1048" s="25"/>
    </row>
    <row r="1049" spans="2:2" x14ac:dyDescent="0.35">
      <c r="B1049" s="25"/>
    </row>
    <row r="1050" spans="2:2" x14ac:dyDescent="0.35">
      <c r="B1050" s="25"/>
    </row>
    <row r="1051" spans="2:2" x14ac:dyDescent="0.35">
      <c r="B1051" s="25"/>
    </row>
    <row r="1052" spans="2:2" x14ac:dyDescent="0.35">
      <c r="B1052" s="25"/>
    </row>
    <row r="1053" spans="2:2" x14ac:dyDescent="0.35">
      <c r="B1053" s="25"/>
    </row>
    <row r="1054" spans="2:2" x14ac:dyDescent="0.35">
      <c r="B1054" s="25"/>
    </row>
    <row r="1055" spans="2:2" x14ac:dyDescent="0.35">
      <c r="B1055" s="25"/>
    </row>
    <row r="1056" spans="2:2" x14ac:dyDescent="0.35">
      <c r="B1056" s="25"/>
    </row>
    <row r="1057" spans="1:2" x14ac:dyDescent="0.35">
      <c r="B1057" s="25"/>
    </row>
    <row r="1058" spans="1:2" x14ac:dyDescent="0.35">
      <c r="B1058" s="25"/>
    </row>
    <row r="1059" spans="1:2" x14ac:dyDescent="0.35">
      <c r="B1059" s="25"/>
    </row>
    <row r="1060" spans="1:2" x14ac:dyDescent="0.35">
      <c r="B1060" s="25"/>
    </row>
    <row r="1061" spans="1:2" x14ac:dyDescent="0.35">
      <c r="A1061" s="25"/>
      <c r="B1061" s="25"/>
    </row>
    <row r="1062" spans="1:2" x14ac:dyDescent="0.35">
      <c r="A1062" s="25"/>
      <c r="B1062" s="25"/>
    </row>
    <row r="1063" spans="1:2" x14ac:dyDescent="0.35">
      <c r="A1063" s="25"/>
      <c r="B1063" s="25"/>
    </row>
    <row r="1064" spans="1:2" x14ac:dyDescent="0.35">
      <c r="A1064" s="25"/>
      <c r="B1064" s="25"/>
    </row>
    <row r="1065" spans="1:2" x14ac:dyDescent="0.35">
      <c r="A1065" s="25"/>
      <c r="B1065" s="25"/>
    </row>
    <row r="1066" spans="1:2" x14ac:dyDescent="0.35">
      <c r="A1066" s="25"/>
      <c r="B1066" s="25"/>
    </row>
    <row r="1067" spans="1:2" x14ac:dyDescent="0.35">
      <c r="A1067" s="25"/>
      <c r="B1067" s="25"/>
    </row>
    <row r="1068" spans="1:2" x14ac:dyDescent="0.35">
      <c r="A1068" s="25"/>
      <c r="B1068" s="25"/>
    </row>
    <row r="1069" spans="1:2" x14ac:dyDescent="0.35">
      <c r="A1069" s="25"/>
      <c r="B1069" s="25"/>
    </row>
    <row r="1070" spans="1:2" x14ac:dyDescent="0.35">
      <c r="A1070" s="25"/>
      <c r="B1070" s="25"/>
    </row>
    <row r="1071" spans="1:2" x14ac:dyDescent="0.35">
      <c r="A1071" s="25"/>
      <c r="B1071" s="25"/>
    </row>
    <row r="1072" spans="1:2" x14ac:dyDescent="0.35">
      <c r="A1072" s="25"/>
      <c r="B1072" s="25"/>
    </row>
    <row r="1073" spans="1:2" x14ac:dyDescent="0.35">
      <c r="A1073" s="25"/>
      <c r="B1073" s="25"/>
    </row>
    <row r="1074" spans="1:2" x14ac:dyDescent="0.35">
      <c r="A1074" s="25"/>
      <c r="B1074" s="25"/>
    </row>
    <row r="1075" spans="1:2" x14ac:dyDescent="0.35">
      <c r="A1075" s="25"/>
      <c r="B1075" s="25"/>
    </row>
    <row r="1076" spans="1:2" x14ac:dyDescent="0.35">
      <c r="A1076" s="25"/>
      <c r="B1076" s="25"/>
    </row>
    <row r="1077" spans="1:2" x14ac:dyDescent="0.35">
      <c r="A1077" s="25"/>
      <c r="B1077" s="25"/>
    </row>
    <row r="1078" spans="1:2" x14ac:dyDescent="0.35">
      <c r="A1078" s="25"/>
      <c r="B1078" s="25"/>
    </row>
    <row r="1079" spans="1:2" x14ac:dyDescent="0.35">
      <c r="A1079" s="25"/>
      <c r="B1079" s="25"/>
    </row>
    <row r="1080" spans="1:2" x14ac:dyDescent="0.35">
      <c r="A1080" s="25"/>
      <c r="B1080" s="25"/>
    </row>
    <row r="1081" spans="1:2" x14ac:dyDescent="0.35">
      <c r="A1081" s="25"/>
      <c r="B1081" s="25"/>
    </row>
    <row r="1082" spans="1:2" x14ac:dyDescent="0.35">
      <c r="A1082" s="25"/>
      <c r="B1082" s="25"/>
    </row>
    <row r="1083" spans="1:2" x14ac:dyDescent="0.35">
      <c r="A1083" s="25"/>
      <c r="B1083" s="25"/>
    </row>
    <row r="1084" spans="1:2" x14ac:dyDescent="0.35">
      <c r="A1084" s="25"/>
      <c r="B1084" s="25"/>
    </row>
    <row r="1085" spans="1:2" x14ac:dyDescent="0.35">
      <c r="A1085" s="25"/>
      <c r="B1085" s="25"/>
    </row>
    <row r="1086" spans="1:2" x14ac:dyDescent="0.35">
      <c r="A1086" s="25"/>
      <c r="B1086" s="25"/>
    </row>
    <row r="1087" spans="1:2" x14ac:dyDescent="0.35">
      <c r="A1087" s="25"/>
      <c r="B1087" s="25"/>
    </row>
    <row r="1088" spans="1:2" x14ac:dyDescent="0.35">
      <c r="A1088" s="25"/>
      <c r="B1088" s="25"/>
    </row>
    <row r="1089" spans="1:2" x14ac:dyDescent="0.35">
      <c r="A1089" s="25"/>
      <c r="B1089" s="25"/>
    </row>
    <row r="1090" spans="1:2" x14ac:dyDescent="0.35">
      <c r="A1090" s="25"/>
      <c r="B1090" s="25"/>
    </row>
    <row r="1091" spans="1:2" x14ac:dyDescent="0.35">
      <c r="A1091" s="25"/>
      <c r="B1091" s="25"/>
    </row>
    <row r="1092" spans="1:2" x14ac:dyDescent="0.35">
      <c r="A1092" s="25"/>
      <c r="B1092" s="25"/>
    </row>
    <row r="1093" spans="1:2" x14ac:dyDescent="0.35">
      <c r="A1093" s="25"/>
      <c r="B1093" s="25"/>
    </row>
    <row r="1094" spans="1:2" x14ac:dyDescent="0.35">
      <c r="A1094" s="25"/>
      <c r="B1094" s="25"/>
    </row>
    <row r="1095" spans="1:2" x14ac:dyDescent="0.35">
      <c r="A1095" s="25"/>
      <c r="B1095" s="25"/>
    </row>
    <row r="1096" spans="1:2" x14ac:dyDescent="0.35">
      <c r="A1096" s="25"/>
      <c r="B1096" s="25"/>
    </row>
    <row r="1097" spans="1:2" x14ac:dyDescent="0.35">
      <c r="A1097" s="25"/>
      <c r="B1097" s="25"/>
    </row>
    <row r="1098" spans="1:2" x14ac:dyDescent="0.35">
      <c r="A1098" s="25"/>
      <c r="B1098" s="25"/>
    </row>
    <row r="1099" spans="1:2" x14ac:dyDescent="0.35">
      <c r="A1099" s="25"/>
      <c r="B1099" s="25"/>
    </row>
    <row r="1100" spans="1:2" x14ac:dyDescent="0.35">
      <c r="A1100" s="25"/>
      <c r="B1100" s="25"/>
    </row>
    <row r="1101" spans="1:2" x14ac:dyDescent="0.35">
      <c r="A1101" s="25"/>
      <c r="B1101" s="25"/>
    </row>
    <row r="1102" spans="1:2" x14ac:dyDescent="0.35">
      <c r="A1102" s="25"/>
      <c r="B1102" s="25"/>
    </row>
    <row r="1103" spans="1:2" x14ac:dyDescent="0.35">
      <c r="A1103" s="25"/>
      <c r="B1103" s="25"/>
    </row>
    <row r="1104" spans="1:2" x14ac:dyDescent="0.35">
      <c r="A1104" s="25"/>
      <c r="B1104" s="25"/>
    </row>
    <row r="1105" spans="1:2" x14ac:dyDescent="0.35">
      <c r="A1105" s="25"/>
      <c r="B1105" s="25"/>
    </row>
    <row r="1106" spans="1:2" x14ac:dyDescent="0.35">
      <c r="A1106" s="25"/>
      <c r="B1106" s="25"/>
    </row>
    <row r="1107" spans="1:2" x14ac:dyDescent="0.35">
      <c r="A1107" s="25"/>
      <c r="B1107" s="25"/>
    </row>
    <row r="1108" spans="1:2" x14ac:dyDescent="0.35">
      <c r="A1108" s="25"/>
      <c r="B1108" s="25"/>
    </row>
    <row r="1109" spans="1:2" x14ac:dyDescent="0.35">
      <c r="A1109" s="25"/>
      <c r="B1109" s="25"/>
    </row>
    <row r="1110" spans="1:2" x14ac:dyDescent="0.35">
      <c r="A1110" s="25"/>
      <c r="B1110" s="25"/>
    </row>
    <row r="1111" spans="1:2" x14ac:dyDescent="0.35">
      <c r="A1111" s="25"/>
      <c r="B1111" s="25"/>
    </row>
    <row r="1112" spans="1:2" x14ac:dyDescent="0.35">
      <c r="A1112" s="25"/>
      <c r="B1112" s="25"/>
    </row>
    <row r="1113" spans="1:2" x14ac:dyDescent="0.35">
      <c r="A1113" s="25"/>
      <c r="B1113" s="25"/>
    </row>
    <row r="1114" spans="1:2" x14ac:dyDescent="0.35">
      <c r="A1114" s="25"/>
      <c r="B1114" s="25"/>
    </row>
    <row r="1115" spans="1:2" x14ac:dyDescent="0.35">
      <c r="A1115" s="25"/>
      <c r="B1115" s="25"/>
    </row>
    <row r="1116" spans="1:2" x14ac:dyDescent="0.35">
      <c r="A1116" s="25"/>
      <c r="B1116" s="25"/>
    </row>
    <row r="1117" spans="1:2" x14ac:dyDescent="0.35">
      <c r="A1117" s="25"/>
      <c r="B1117" s="25"/>
    </row>
    <row r="1118" spans="1:2" x14ac:dyDescent="0.35">
      <c r="A1118" s="25"/>
      <c r="B1118" s="25"/>
    </row>
    <row r="1119" spans="1:2" x14ac:dyDescent="0.35">
      <c r="A1119" s="25"/>
      <c r="B1119" s="25"/>
    </row>
    <row r="1120" spans="1:2" x14ac:dyDescent="0.35">
      <c r="A1120" s="25"/>
      <c r="B1120" s="25"/>
    </row>
    <row r="1121" spans="1:2" x14ac:dyDescent="0.35">
      <c r="A1121" s="25"/>
      <c r="B1121" s="25"/>
    </row>
    <row r="1122" spans="1:2" x14ac:dyDescent="0.35">
      <c r="A1122" s="25"/>
      <c r="B1122" s="25"/>
    </row>
    <row r="1123" spans="1:2" x14ac:dyDescent="0.35">
      <c r="A1123" s="25"/>
      <c r="B1123" s="25"/>
    </row>
    <row r="1124" spans="1:2" x14ac:dyDescent="0.35">
      <c r="A1124" s="25"/>
      <c r="B1124" s="25"/>
    </row>
    <row r="1125" spans="1:2" x14ac:dyDescent="0.35">
      <c r="A1125" s="25"/>
      <c r="B1125" s="25"/>
    </row>
    <row r="1126" spans="1:2" x14ac:dyDescent="0.35">
      <c r="A1126" s="25"/>
      <c r="B1126" s="25"/>
    </row>
    <row r="1127" spans="1:2" x14ac:dyDescent="0.35">
      <c r="A1127" s="25"/>
      <c r="B1127" s="25"/>
    </row>
    <row r="1128" spans="1:2" x14ac:dyDescent="0.35">
      <c r="A1128" s="25"/>
      <c r="B1128" s="25"/>
    </row>
    <row r="1129" spans="1:2" x14ac:dyDescent="0.35">
      <c r="A1129" s="25"/>
      <c r="B1129" s="25"/>
    </row>
    <row r="1130" spans="1:2" x14ac:dyDescent="0.35">
      <c r="A1130" s="25"/>
      <c r="B1130" s="25"/>
    </row>
    <row r="1131" spans="1:2" x14ac:dyDescent="0.35">
      <c r="A1131" s="25"/>
      <c r="B1131" s="25"/>
    </row>
    <row r="1132" spans="1:2" x14ac:dyDescent="0.35">
      <c r="A1132" s="25"/>
      <c r="B1132" s="25"/>
    </row>
    <row r="1133" spans="1:2" x14ac:dyDescent="0.35">
      <c r="A1133" s="25"/>
      <c r="B1133" s="25"/>
    </row>
    <row r="1134" spans="1:2" x14ac:dyDescent="0.35">
      <c r="A1134" s="25"/>
      <c r="B1134" s="25"/>
    </row>
    <row r="1135" spans="1:2" x14ac:dyDescent="0.35">
      <c r="A1135" s="25"/>
      <c r="B1135" s="25"/>
    </row>
    <row r="1136" spans="1:2" x14ac:dyDescent="0.35">
      <c r="A1136" s="25"/>
      <c r="B1136" s="25"/>
    </row>
    <row r="1137" spans="1:2" x14ac:dyDescent="0.35">
      <c r="A1137" s="25"/>
      <c r="B1137" s="25"/>
    </row>
    <row r="1138" spans="1:2" x14ac:dyDescent="0.35">
      <c r="A1138" s="25"/>
      <c r="B1138" s="25"/>
    </row>
    <row r="1139" spans="1:2" x14ac:dyDescent="0.35">
      <c r="A1139" s="25"/>
      <c r="B1139" s="25"/>
    </row>
    <row r="1140" spans="1:2" x14ac:dyDescent="0.35">
      <c r="A1140" s="25"/>
      <c r="B1140" s="25"/>
    </row>
    <row r="1141" spans="1:2" x14ac:dyDescent="0.35">
      <c r="A1141" s="25"/>
      <c r="B1141" s="25"/>
    </row>
    <row r="1142" spans="1:2" x14ac:dyDescent="0.35">
      <c r="A1142" s="25"/>
      <c r="B1142" s="25"/>
    </row>
    <row r="1143" spans="1:2" x14ac:dyDescent="0.35">
      <c r="A1143" s="25"/>
      <c r="B1143" s="25"/>
    </row>
    <row r="1144" spans="1:2" x14ac:dyDescent="0.35">
      <c r="A1144" s="25"/>
      <c r="B1144" s="25"/>
    </row>
    <row r="1145" spans="1:2" x14ac:dyDescent="0.35">
      <c r="A1145" s="25"/>
      <c r="B1145" s="25"/>
    </row>
    <row r="1146" spans="1:2" x14ac:dyDescent="0.35">
      <c r="A1146" s="25"/>
      <c r="B1146" s="25"/>
    </row>
    <row r="1147" spans="1:2" x14ac:dyDescent="0.35">
      <c r="A1147" s="25"/>
      <c r="B1147" s="25"/>
    </row>
    <row r="1148" spans="1:2" x14ac:dyDescent="0.35">
      <c r="A1148" s="25"/>
      <c r="B1148" s="25"/>
    </row>
    <row r="1149" spans="1:2" x14ac:dyDescent="0.35">
      <c r="A1149" s="25"/>
      <c r="B1149" s="25"/>
    </row>
    <row r="1150" spans="1:2" x14ac:dyDescent="0.35">
      <c r="A1150" s="25"/>
      <c r="B1150" s="25"/>
    </row>
    <row r="1151" spans="1:2" x14ac:dyDescent="0.35">
      <c r="A1151" s="25"/>
      <c r="B1151" s="25"/>
    </row>
    <row r="1152" spans="1:2" x14ac:dyDescent="0.35">
      <c r="A1152" s="25"/>
      <c r="B1152" s="25"/>
    </row>
    <row r="1153" spans="1:2" x14ac:dyDescent="0.35">
      <c r="A1153" s="25"/>
      <c r="B1153" s="25"/>
    </row>
    <row r="1154" spans="1:2" x14ac:dyDescent="0.35">
      <c r="A1154" s="25"/>
      <c r="B1154" s="25"/>
    </row>
    <row r="1155" spans="1:2" x14ac:dyDescent="0.35">
      <c r="A1155" s="25"/>
      <c r="B1155" s="25"/>
    </row>
    <row r="1156" spans="1:2" x14ac:dyDescent="0.35">
      <c r="A1156" s="25"/>
      <c r="B1156" s="25"/>
    </row>
    <row r="1157" spans="1:2" x14ac:dyDescent="0.35">
      <c r="A1157" s="25"/>
      <c r="B1157" s="25"/>
    </row>
    <row r="1158" spans="1:2" x14ac:dyDescent="0.35">
      <c r="A1158" s="25"/>
      <c r="B1158" s="25"/>
    </row>
    <row r="1159" spans="1:2" x14ac:dyDescent="0.35">
      <c r="A1159" s="25"/>
      <c r="B1159" s="25"/>
    </row>
    <row r="1160" spans="1:2" x14ac:dyDescent="0.35">
      <c r="A1160" s="25"/>
      <c r="B1160" s="25"/>
    </row>
    <row r="1161" spans="1:2" x14ac:dyDescent="0.35">
      <c r="A1161" s="25"/>
      <c r="B1161" s="25"/>
    </row>
    <row r="1162" spans="1:2" x14ac:dyDescent="0.35">
      <c r="A1162" s="25"/>
      <c r="B1162" s="25"/>
    </row>
    <row r="1163" spans="1:2" x14ac:dyDescent="0.35">
      <c r="A1163" s="25"/>
      <c r="B1163" s="25"/>
    </row>
    <row r="1164" spans="1:2" x14ac:dyDescent="0.35">
      <c r="A1164" s="25"/>
      <c r="B1164" s="25"/>
    </row>
    <row r="1165" spans="1:2" x14ac:dyDescent="0.35">
      <c r="A1165" s="25"/>
      <c r="B1165" s="25"/>
    </row>
    <row r="1166" spans="1:2" x14ac:dyDescent="0.35">
      <c r="A1166" s="25"/>
      <c r="B1166" s="25"/>
    </row>
    <row r="1167" spans="1:2" x14ac:dyDescent="0.35">
      <c r="A1167" s="25"/>
      <c r="B1167" s="25"/>
    </row>
    <row r="1168" spans="1:2" x14ac:dyDescent="0.35">
      <c r="A1168" s="25"/>
      <c r="B1168" s="25"/>
    </row>
    <row r="1169" spans="1:2" x14ac:dyDescent="0.35">
      <c r="A1169" s="25"/>
      <c r="B1169" s="25"/>
    </row>
    <row r="1170" spans="1:2" x14ac:dyDescent="0.35">
      <c r="A1170" s="25"/>
      <c r="B1170" s="25"/>
    </row>
    <row r="1171" spans="1:2" x14ac:dyDescent="0.35">
      <c r="A1171" s="25"/>
      <c r="B1171" s="25"/>
    </row>
    <row r="1172" spans="1:2" x14ac:dyDescent="0.35">
      <c r="A1172" s="25"/>
      <c r="B1172" s="25"/>
    </row>
    <row r="1173" spans="1:2" x14ac:dyDescent="0.35">
      <c r="A1173" s="25"/>
      <c r="B1173" s="25"/>
    </row>
    <row r="1174" spans="1:2" x14ac:dyDescent="0.35">
      <c r="A1174" s="25"/>
      <c r="B1174" s="25"/>
    </row>
    <row r="1175" spans="1:2" x14ac:dyDescent="0.35">
      <c r="A1175" s="25"/>
      <c r="B1175" s="25"/>
    </row>
    <row r="1176" spans="1:2" x14ac:dyDescent="0.35">
      <c r="A1176" s="25"/>
      <c r="B1176" s="25"/>
    </row>
    <row r="1177" spans="1:2" x14ac:dyDescent="0.35">
      <c r="A1177" s="25"/>
      <c r="B1177" s="25"/>
    </row>
    <row r="1178" spans="1:2" x14ac:dyDescent="0.35">
      <c r="A1178" s="25"/>
      <c r="B1178" s="25"/>
    </row>
    <row r="1179" spans="1:2" x14ac:dyDescent="0.35">
      <c r="A1179" s="25"/>
      <c r="B1179" s="25"/>
    </row>
    <row r="1180" spans="1:2" x14ac:dyDescent="0.35">
      <c r="A1180" s="25"/>
      <c r="B1180" s="25"/>
    </row>
    <row r="1181" spans="1:2" x14ac:dyDescent="0.35">
      <c r="A1181" s="25"/>
      <c r="B1181" s="25"/>
    </row>
    <row r="1182" spans="1:2" x14ac:dyDescent="0.35">
      <c r="A1182" s="25"/>
      <c r="B1182" s="25"/>
    </row>
    <row r="1183" spans="1:2" x14ac:dyDescent="0.35">
      <c r="A1183" s="25"/>
      <c r="B1183" s="25"/>
    </row>
    <row r="1184" spans="1:2" x14ac:dyDescent="0.35">
      <c r="A1184" s="25"/>
      <c r="B1184" s="25"/>
    </row>
    <row r="1185" spans="1:2" x14ac:dyDescent="0.35">
      <c r="A1185" s="25"/>
      <c r="B1185" s="25"/>
    </row>
    <row r="1186" spans="1:2" x14ac:dyDescent="0.35">
      <c r="A1186" s="25"/>
      <c r="B1186" s="25"/>
    </row>
    <row r="1187" spans="1:2" x14ac:dyDescent="0.35">
      <c r="A1187" s="25"/>
      <c r="B1187" s="25"/>
    </row>
    <row r="1188" spans="1:2" x14ac:dyDescent="0.35">
      <c r="A1188" s="25"/>
      <c r="B1188" s="25"/>
    </row>
    <row r="1189" spans="1:2" x14ac:dyDescent="0.35">
      <c r="A1189" s="25"/>
      <c r="B1189" s="25"/>
    </row>
    <row r="1190" spans="1:2" x14ac:dyDescent="0.35">
      <c r="A1190" s="25"/>
      <c r="B1190" s="25"/>
    </row>
    <row r="1191" spans="1:2" x14ac:dyDescent="0.35">
      <c r="A1191" s="25"/>
      <c r="B1191" s="25"/>
    </row>
    <row r="1192" spans="1:2" x14ac:dyDescent="0.35">
      <c r="A1192" s="25"/>
      <c r="B1192" s="25"/>
    </row>
    <row r="1193" spans="1:2" x14ac:dyDescent="0.35">
      <c r="A1193" s="25"/>
      <c r="B1193" s="25"/>
    </row>
    <row r="1194" spans="1:2" x14ac:dyDescent="0.35">
      <c r="A1194" s="25"/>
      <c r="B1194" s="25"/>
    </row>
    <row r="1195" spans="1:2" x14ac:dyDescent="0.35">
      <c r="A1195" s="25"/>
      <c r="B1195" s="25"/>
    </row>
    <row r="1196" spans="1:2" x14ac:dyDescent="0.35">
      <c r="A1196" s="25"/>
      <c r="B1196" s="25"/>
    </row>
    <row r="1197" spans="1:2" x14ac:dyDescent="0.35">
      <c r="A1197" s="25"/>
      <c r="B1197" s="25"/>
    </row>
    <row r="1198" spans="1:2" x14ac:dyDescent="0.35">
      <c r="A1198" s="25"/>
      <c r="B1198" s="25"/>
    </row>
    <row r="1199" spans="1:2" x14ac:dyDescent="0.35">
      <c r="A1199" s="25"/>
      <c r="B1199" s="25"/>
    </row>
    <row r="1200" spans="1:2" x14ac:dyDescent="0.35">
      <c r="A1200" s="25"/>
      <c r="B1200" s="25"/>
    </row>
    <row r="1201" spans="1:2" x14ac:dyDescent="0.35">
      <c r="A1201" s="25"/>
      <c r="B1201" s="25"/>
    </row>
    <row r="1202" spans="1:2" x14ac:dyDescent="0.35">
      <c r="A1202" s="25"/>
      <c r="B1202" s="25"/>
    </row>
    <row r="1203" spans="1:2" x14ac:dyDescent="0.35">
      <c r="A1203" s="25"/>
      <c r="B1203" s="25"/>
    </row>
    <row r="1204" spans="1:2" x14ac:dyDescent="0.35">
      <c r="A1204" s="25"/>
      <c r="B1204" s="25"/>
    </row>
    <row r="1205" spans="1:2" x14ac:dyDescent="0.35">
      <c r="A1205" s="25"/>
      <c r="B1205" s="25"/>
    </row>
    <row r="1206" spans="1:2" x14ac:dyDescent="0.35">
      <c r="A1206" s="25"/>
      <c r="B1206" s="25"/>
    </row>
    <row r="1207" spans="1:2" x14ac:dyDescent="0.35">
      <c r="A1207" s="25"/>
      <c r="B1207" s="25"/>
    </row>
    <row r="1208" spans="1:2" x14ac:dyDescent="0.35">
      <c r="A1208" s="25"/>
      <c r="B1208" s="25"/>
    </row>
    <row r="1209" spans="1:2" x14ac:dyDescent="0.35">
      <c r="A1209" s="25"/>
      <c r="B1209" s="25"/>
    </row>
    <row r="1210" spans="1:2" x14ac:dyDescent="0.35">
      <c r="A1210" s="25"/>
      <c r="B1210" s="25"/>
    </row>
    <row r="1211" spans="1:2" x14ac:dyDescent="0.35">
      <c r="A1211" s="25"/>
      <c r="B1211" s="25"/>
    </row>
    <row r="1212" spans="1:2" x14ac:dyDescent="0.35">
      <c r="A1212" s="25"/>
      <c r="B1212" s="25"/>
    </row>
    <row r="1213" spans="1:2" x14ac:dyDescent="0.35">
      <c r="A1213" s="25"/>
      <c r="B1213" s="25"/>
    </row>
    <row r="1214" spans="1:2" x14ac:dyDescent="0.35">
      <c r="A1214" s="25"/>
      <c r="B1214" s="25"/>
    </row>
    <row r="1215" spans="1:2" x14ac:dyDescent="0.35">
      <c r="A1215" s="25"/>
      <c r="B1215" s="25"/>
    </row>
    <row r="1216" spans="1:2" x14ac:dyDescent="0.35">
      <c r="A1216" s="25"/>
      <c r="B1216" s="25"/>
    </row>
    <row r="1217" spans="1:2" x14ac:dyDescent="0.35">
      <c r="A1217" s="25"/>
      <c r="B1217" s="25"/>
    </row>
    <row r="1218" spans="1:2" x14ac:dyDescent="0.35">
      <c r="A1218" s="25"/>
      <c r="B1218" s="25"/>
    </row>
    <row r="1219" spans="1:2" x14ac:dyDescent="0.35">
      <c r="A1219" s="25"/>
      <c r="B1219" s="25"/>
    </row>
    <row r="1220" spans="1:2" x14ac:dyDescent="0.35">
      <c r="A1220" s="25"/>
      <c r="B1220" s="25"/>
    </row>
    <row r="1221" spans="1:2" x14ac:dyDescent="0.35">
      <c r="A1221" s="25"/>
      <c r="B1221" s="25"/>
    </row>
    <row r="1222" spans="1:2" x14ac:dyDescent="0.35">
      <c r="A1222" s="25"/>
      <c r="B1222" s="25"/>
    </row>
    <row r="1223" spans="1:2" x14ac:dyDescent="0.35">
      <c r="A1223" s="25"/>
      <c r="B1223" s="25"/>
    </row>
    <row r="1224" spans="1:2" x14ac:dyDescent="0.35">
      <c r="A1224" s="25"/>
      <c r="B1224" s="25"/>
    </row>
    <row r="1225" spans="1:2" x14ac:dyDescent="0.35">
      <c r="A1225" s="25"/>
      <c r="B1225" s="25"/>
    </row>
    <row r="1226" spans="1:2" x14ac:dyDescent="0.35">
      <c r="A1226" s="25"/>
      <c r="B1226" s="25"/>
    </row>
    <row r="1227" spans="1:2" x14ac:dyDescent="0.35">
      <c r="A1227" s="25"/>
      <c r="B1227" s="25"/>
    </row>
    <row r="1228" spans="1:2" x14ac:dyDescent="0.35">
      <c r="A1228" s="25"/>
      <c r="B1228" s="25"/>
    </row>
    <row r="1229" spans="1:2" x14ac:dyDescent="0.35">
      <c r="A1229" s="25"/>
      <c r="B1229" s="25"/>
    </row>
    <row r="1230" spans="1:2" x14ac:dyDescent="0.35">
      <c r="A1230" s="25"/>
      <c r="B1230" s="25"/>
    </row>
    <row r="1231" spans="1:2" x14ac:dyDescent="0.35">
      <c r="A1231" s="25"/>
      <c r="B1231" s="25"/>
    </row>
    <row r="1232" spans="1:2" x14ac:dyDescent="0.35">
      <c r="A1232" s="25"/>
      <c r="B1232" s="25"/>
    </row>
    <row r="1233" spans="1:2" x14ac:dyDescent="0.35">
      <c r="A1233" s="25"/>
      <c r="B1233" s="25"/>
    </row>
    <row r="1234" spans="1:2" x14ac:dyDescent="0.35">
      <c r="A1234" s="25"/>
      <c r="B1234" s="25"/>
    </row>
    <row r="1235" spans="1:2" x14ac:dyDescent="0.35">
      <c r="A1235" s="25"/>
      <c r="B1235" s="25"/>
    </row>
    <row r="1236" spans="1:2" x14ac:dyDescent="0.35">
      <c r="A1236" s="25"/>
      <c r="B1236" s="25"/>
    </row>
    <row r="1237" spans="1:2" x14ac:dyDescent="0.35">
      <c r="A1237" s="25"/>
      <c r="B1237" s="25"/>
    </row>
    <row r="1238" spans="1:2" x14ac:dyDescent="0.35">
      <c r="A1238" s="25"/>
      <c r="B1238" s="25"/>
    </row>
    <row r="1239" spans="1:2" x14ac:dyDescent="0.35">
      <c r="A1239" s="25"/>
      <c r="B1239" s="25"/>
    </row>
    <row r="1240" spans="1:2" x14ac:dyDescent="0.35">
      <c r="A1240" s="25"/>
      <c r="B1240" s="25"/>
    </row>
    <row r="1241" spans="1:2" x14ac:dyDescent="0.35">
      <c r="A1241" s="25"/>
      <c r="B1241" s="25"/>
    </row>
    <row r="1242" spans="1:2" x14ac:dyDescent="0.35">
      <c r="A1242" s="25"/>
      <c r="B1242" s="25"/>
    </row>
    <row r="1243" spans="1:2" x14ac:dyDescent="0.35">
      <c r="A1243" s="25"/>
      <c r="B1243" s="25"/>
    </row>
    <row r="1244" spans="1:2" x14ac:dyDescent="0.35">
      <c r="A1244" s="25"/>
      <c r="B1244" s="25"/>
    </row>
    <row r="1245" spans="1:2" x14ac:dyDescent="0.35">
      <c r="A1245" s="25"/>
      <c r="B1245" s="25"/>
    </row>
    <row r="1246" spans="1:2" x14ac:dyDescent="0.35">
      <c r="A1246" s="25"/>
      <c r="B1246" s="25"/>
    </row>
    <row r="1247" spans="1:2" x14ac:dyDescent="0.35">
      <c r="A1247" s="25"/>
      <c r="B1247" s="25"/>
    </row>
    <row r="1248" spans="1:2" x14ac:dyDescent="0.35">
      <c r="A1248" s="25"/>
      <c r="B1248" s="25"/>
    </row>
    <row r="1249" spans="1:2" x14ac:dyDescent="0.35">
      <c r="A1249" s="25"/>
      <c r="B1249" s="25"/>
    </row>
    <row r="1250" spans="1:2" x14ac:dyDescent="0.35">
      <c r="A1250" s="25"/>
      <c r="B1250" s="25"/>
    </row>
    <row r="1251" spans="1:2" x14ac:dyDescent="0.35">
      <c r="A1251" s="25"/>
      <c r="B1251" s="25"/>
    </row>
    <row r="1252" spans="1:2" x14ac:dyDescent="0.35">
      <c r="A1252" s="25"/>
      <c r="B1252" s="25"/>
    </row>
    <row r="1253" spans="1:2" x14ac:dyDescent="0.35">
      <c r="A1253" s="25"/>
      <c r="B1253" s="25"/>
    </row>
    <row r="1254" spans="1:2" x14ac:dyDescent="0.35">
      <c r="A1254" s="25"/>
      <c r="B1254" s="25"/>
    </row>
    <row r="1255" spans="1:2" x14ac:dyDescent="0.35">
      <c r="A1255" s="25"/>
      <c r="B1255" s="25"/>
    </row>
    <row r="1256" spans="1:2" x14ac:dyDescent="0.35">
      <c r="A1256" s="25"/>
      <c r="B1256" s="25"/>
    </row>
    <row r="1257" spans="1:2" x14ac:dyDescent="0.35">
      <c r="A1257" s="25"/>
      <c r="B1257" s="25"/>
    </row>
    <row r="1258" spans="1:2" x14ac:dyDescent="0.35">
      <c r="A1258" s="25"/>
      <c r="B1258" s="25"/>
    </row>
    <row r="1259" spans="1:2" x14ac:dyDescent="0.35">
      <c r="A1259" s="25"/>
      <c r="B1259" s="25"/>
    </row>
    <row r="1260" spans="1:2" x14ac:dyDescent="0.35">
      <c r="A1260" s="25"/>
      <c r="B1260" s="25"/>
    </row>
    <row r="1261" spans="1:2" x14ac:dyDescent="0.35">
      <c r="A1261" s="25"/>
      <c r="B1261" s="25"/>
    </row>
    <row r="1262" spans="1:2" x14ac:dyDescent="0.35">
      <c r="A1262" s="25"/>
      <c r="B1262" s="25"/>
    </row>
    <row r="1263" spans="1:2" x14ac:dyDescent="0.35">
      <c r="A1263" s="25"/>
      <c r="B1263" s="25"/>
    </row>
    <row r="1264" spans="1:2" x14ac:dyDescent="0.35">
      <c r="A1264" s="25"/>
      <c r="B1264" s="25"/>
    </row>
    <row r="1265" spans="1:2" x14ac:dyDescent="0.35">
      <c r="A1265" s="25"/>
      <c r="B1265" s="25"/>
    </row>
    <row r="1266" spans="1:2" x14ac:dyDescent="0.35">
      <c r="A1266" s="25"/>
      <c r="B1266" s="25"/>
    </row>
    <row r="1267" spans="1:2" x14ac:dyDescent="0.35">
      <c r="A1267" s="25"/>
      <c r="B1267" s="25"/>
    </row>
    <row r="1268" spans="1:2" x14ac:dyDescent="0.35">
      <c r="A1268" s="25"/>
      <c r="B1268" s="25"/>
    </row>
    <row r="1269" spans="1:2" x14ac:dyDescent="0.35">
      <c r="A1269" s="25"/>
      <c r="B1269" s="25"/>
    </row>
    <row r="1270" spans="1:2" x14ac:dyDescent="0.35">
      <c r="A1270" s="25"/>
      <c r="B1270" s="25"/>
    </row>
    <row r="1271" spans="1:2" x14ac:dyDescent="0.35">
      <c r="A1271" s="25"/>
      <c r="B1271" s="25"/>
    </row>
    <row r="1272" spans="1:2" x14ac:dyDescent="0.35">
      <c r="A1272" s="25"/>
      <c r="B1272" s="25"/>
    </row>
    <row r="1273" spans="1:2" x14ac:dyDescent="0.35">
      <c r="A1273" s="25"/>
      <c r="B1273" s="25"/>
    </row>
    <row r="1274" spans="1:2" x14ac:dyDescent="0.35">
      <c r="A1274" s="25"/>
      <c r="B1274" s="25"/>
    </row>
    <row r="1275" spans="1:2" x14ac:dyDescent="0.35">
      <c r="A1275" s="25"/>
      <c r="B1275" s="25"/>
    </row>
    <row r="1276" spans="1:2" x14ac:dyDescent="0.35">
      <c r="A1276" s="25"/>
      <c r="B1276" s="25"/>
    </row>
    <row r="1277" spans="1:2" x14ac:dyDescent="0.35">
      <c r="A1277" s="25"/>
      <c r="B1277" s="25"/>
    </row>
    <row r="1278" spans="1:2" x14ac:dyDescent="0.35">
      <c r="A1278" s="25"/>
      <c r="B1278" s="25"/>
    </row>
    <row r="1279" spans="1:2" x14ac:dyDescent="0.35">
      <c r="A1279" s="25"/>
      <c r="B1279" s="25"/>
    </row>
    <row r="1280" spans="1:2" x14ac:dyDescent="0.35">
      <c r="A1280" s="25"/>
      <c r="B1280" s="25"/>
    </row>
    <row r="1281" spans="1:2" x14ac:dyDescent="0.35">
      <c r="A1281" s="25"/>
      <c r="B1281" s="25"/>
    </row>
    <row r="1282" spans="1:2" x14ac:dyDescent="0.35">
      <c r="A1282" s="25"/>
      <c r="B1282" s="25"/>
    </row>
    <row r="1283" spans="1:2" x14ac:dyDescent="0.35">
      <c r="A1283" s="25"/>
      <c r="B1283" s="25"/>
    </row>
    <row r="1284" spans="1:2" x14ac:dyDescent="0.35">
      <c r="A1284" s="25"/>
      <c r="B1284" s="25"/>
    </row>
    <row r="1285" spans="1:2" x14ac:dyDescent="0.35">
      <c r="A1285" s="25"/>
      <c r="B1285" s="25"/>
    </row>
    <row r="1286" spans="1:2" x14ac:dyDescent="0.35">
      <c r="A1286" s="25"/>
      <c r="B1286" s="25"/>
    </row>
    <row r="1287" spans="1:2" x14ac:dyDescent="0.35">
      <c r="A1287" s="25"/>
      <c r="B1287" s="25"/>
    </row>
    <row r="1288" spans="1:2" x14ac:dyDescent="0.35">
      <c r="A1288" s="25"/>
      <c r="B1288" s="25"/>
    </row>
    <row r="1289" spans="1:2" x14ac:dyDescent="0.35">
      <c r="A1289" s="25"/>
      <c r="B1289" s="25"/>
    </row>
    <row r="1290" spans="1:2" x14ac:dyDescent="0.35">
      <c r="A1290" s="25"/>
      <c r="B1290" s="25"/>
    </row>
    <row r="1291" spans="1:2" x14ac:dyDescent="0.35">
      <c r="A1291" s="25"/>
      <c r="B1291" s="25"/>
    </row>
    <row r="1292" spans="1:2" x14ac:dyDescent="0.35">
      <c r="A1292" s="25"/>
      <c r="B1292" s="25"/>
    </row>
    <row r="1293" spans="1:2" x14ac:dyDescent="0.35">
      <c r="A1293" s="25"/>
      <c r="B1293" s="25"/>
    </row>
    <row r="1294" spans="1:2" x14ac:dyDescent="0.35">
      <c r="A1294" s="25"/>
      <c r="B1294" s="25"/>
    </row>
    <row r="1295" spans="1:2" x14ac:dyDescent="0.35">
      <c r="A1295" s="25"/>
      <c r="B1295" s="25"/>
    </row>
    <row r="1296" spans="1:2" x14ac:dyDescent="0.35">
      <c r="A1296" s="25"/>
      <c r="B1296" s="25"/>
    </row>
    <row r="1297" spans="1:2" x14ac:dyDescent="0.35">
      <c r="A1297" s="25"/>
      <c r="B1297" s="25"/>
    </row>
    <row r="1298" spans="1:2" x14ac:dyDescent="0.35">
      <c r="A1298" s="25"/>
      <c r="B1298" s="25"/>
    </row>
    <row r="1299" spans="1:2" x14ac:dyDescent="0.35">
      <c r="A1299" s="25"/>
      <c r="B1299" s="25"/>
    </row>
    <row r="1300" spans="1:2" x14ac:dyDescent="0.35">
      <c r="A1300" s="25"/>
      <c r="B1300" s="25"/>
    </row>
    <row r="1301" spans="1:2" x14ac:dyDescent="0.35">
      <c r="A1301" s="25"/>
      <c r="B1301" s="25"/>
    </row>
    <row r="1302" spans="1:2" x14ac:dyDescent="0.35">
      <c r="A1302" s="25"/>
      <c r="B1302" s="25"/>
    </row>
    <row r="1303" spans="1:2" x14ac:dyDescent="0.35">
      <c r="A1303" s="25"/>
      <c r="B1303" s="25"/>
    </row>
    <row r="1304" spans="1:2" x14ac:dyDescent="0.35">
      <c r="A1304" s="25"/>
      <c r="B1304" s="25"/>
    </row>
    <row r="1305" spans="1:2" x14ac:dyDescent="0.35">
      <c r="A1305" s="25"/>
      <c r="B1305" s="25"/>
    </row>
    <row r="1306" spans="1:2" x14ac:dyDescent="0.35">
      <c r="A1306" s="25"/>
      <c r="B1306" s="25"/>
    </row>
    <row r="1307" spans="1:2" x14ac:dyDescent="0.35">
      <c r="A1307" s="25"/>
      <c r="B1307" s="25"/>
    </row>
    <row r="1308" spans="1:2" x14ac:dyDescent="0.35">
      <c r="A1308" s="25"/>
      <c r="B1308" s="25"/>
    </row>
    <row r="1309" spans="1:2" x14ac:dyDescent="0.35">
      <c r="A1309" s="25"/>
      <c r="B1309" s="25"/>
    </row>
    <row r="1310" spans="1:2" x14ac:dyDescent="0.35">
      <c r="A1310" s="25"/>
      <c r="B1310" s="25"/>
    </row>
    <row r="1311" spans="1:2" x14ac:dyDescent="0.35">
      <c r="A1311" s="25"/>
      <c r="B1311" s="25"/>
    </row>
    <row r="1312" spans="1:2" x14ac:dyDescent="0.35">
      <c r="A1312" s="25"/>
      <c r="B1312" s="25"/>
    </row>
    <row r="1313" spans="1:2" x14ac:dyDescent="0.35">
      <c r="A1313" s="25"/>
      <c r="B1313" s="25"/>
    </row>
    <row r="1314" spans="1:2" x14ac:dyDescent="0.35">
      <c r="A1314" s="25"/>
      <c r="B1314" s="25"/>
    </row>
    <row r="1315" spans="1:2" x14ac:dyDescent="0.35">
      <c r="A1315" s="25"/>
      <c r="B1315" s="25"/>
    </row>
    <row r="1316" spans="1:2" x14ac:dyDescent="0.35">
      <c r="A1316" s="25"/>
      <c r="B1316" s="25"/>
    </row>
    <row r="1317" spans="1:2" x14ac:dyDescent="0.35">
      <c r="A1317" s="25"/>
      <c r="B1317" s="25"/>
    </row>
    <row r="1318" spans="1:2" x14ac:dyDescent="0.35">
      <c r="A1318" s="25"/>
      <c r="B1318" s="25"/>
    </row>
    <row r="1319" spans="1:2" x14ac:dyDescent="0.35">
      <c r="A1319" s="25"/>
      <c r="B1319" s="25"/>
    </row>
    <row r="1320" spans="1:2" x14ac:dyDescent="0.35">
      <c r="A1320" s="25"/>
      <c r="B1320" s="25"/>
    </row>
    <row r="1321" spans="1:2" x14ac:dyDescent="0.35">
      <c r="A1321" s="25"/>
      <c r="B1321" s="25"/>
    </row>
    <row r="1322" spans="1:2" x14ac:dyDescent="0.35">
      <c r="A1322" s="25"/>
      <c r="B1322" s="25"/>
    </row>
    <row r="1323" spans="1:2" x14ac:dyDescent="0.35">
      <c r="A1323" s="25"/>
      <c r="B1323" s="25"/>
    </row>
    <row r="1324" spans="1:2" x14ac:dyDescent="0.35">
      <c r="A1324" s="25"/>
      <c r="B1324" s="25"/>
    </row>
    <row r="1325" spans="1:2" x14ac:dyDescent="0.35">
      <c r="A1325" s="25"/>
      <c r="B1325" s="25"/>
    </row>
    <row r="1326" spans="1:2" x14ac:dyDescent="0.35">
      <c r="A1326" s="25"/>
      <c r="B1326" s="25"/>
    </row>
    <row r="1327" spans="1:2" x14ac:dyDescent="0.35">
      <c r="A1327" s="25"/>
      <c r="B1327" s="25"/>
    </row>
    <row r="1328" spans="1:2" x14ac:dyDescent="0.35">
      <c r="A1328" s="25"/>
      <c r="B1328" s="25"/>
    </row>
    <row r="1329" spans="1:2" x14ac:dyDescent="0.35">
      <c r="A1329" s="25"/>
      <c r="B1329" s="25"/>
    </row>
    <row r="1330" spans="1:2" x14ac:dyDescent="0.35">
      <c r="A1330" s="25"/>
      <c r="B1330" s="25"/>
    </row>
    <row r="1331" spans="1:2" x14ac:dyDescent="0.35">
      <c r="A1331" s="25"/>
      <c r="B1331" s="25"/>
    </row>
    <row r="1332" spans="1:2" x14ac:dyDescent="0.35">
      <c r="A1332" s="25"/>
      <c r="B1332" s="25"/>
    </row>
    <row r="1333" spans="1:2" x14ac:dyDescent="0.35">
      <c r="A1333" s="25"/>
      <c r="B1333" s="25"/>
    </row>
    <row r="1334" spans="1:2" x14ac:dyDescent="0.35">
      <c r="A1334" s="25"/>
      <c r="B1334" s="25"/>
    </row>
    <row r="1335" spans="1:2" x14ac:dyDescent="0.35">
      <c r="A1335" s="25"/>
      <c r="B1335" s="25"/>
    </row>
    <row r="1336" spans="1:2" x14ac:dyDescent="0.35">
      <c r="A1336" s="25"/>
      <c r="B1336" s="25"/>
    </row>
    <row r="1337" spans="1:2" x14ac:dyDescent="0.35">
      <c r="A1337" s="25"/>
      <c r="B1337" s="25"/>
    </row>
    <row r="1338" spans="1:2" x14ac:dyDescent="0.35">
      <c r="A1338" s="25"/>
      <c r="B1338" s="25"/>
    </row>
    <row r="1339" spans="1:2" x14ac:dyDescent="0.35">
      <c r="A1339" s="25"/>
      <c r="B1339" s="25"/>
    </row>
    <row r="1340" spans="1:2" x14ac:dyDescent="0.35">
      <c r="A1340" s="25"/>
      <c r="B1340" s="25"/>
    </row>
    <row r="1341" spans="1:2" x14ac:dyDescent="0.35">
      <c r="A1341" s="25"/>
      <c r="B1341" s="25"/>
    </row>
    <row r="1342" spans="1:2" x14ac:dyDescent="0.35">
      <c r="A1342" s="25"/>
      <c r="B1342" s="25"/>
    </row>
    <row r="1343" spans="1:2" x14ac:dyDescent="0.35">
      <c r="A1343" s="25"/>
      <c r="B1343" s="25"/>
    </row>
    <row r="1344" spans="1:2" x14ac:dyDescent="0.35">
      <c r="A1344" s="25"/>
      <c r="B1344" s="25"/>
    </row>
    <row r="1345" spans="1:2" x14ac:dyDescent="0.35">
      <c r="A1345" s="25"/>
      <c r="B1345" s="25"/>
    </row>
    <row r="1346" spans="1:2" x14ac:dyDescent="0.35">
      <c r="A1346" s="25"/>
      <c r="B1346" s="25"/>
    </row>
    <row r="1347" spans="1:2" x14ac:dyDescent="0.35">
      <c r="A1347" s="25"/>
      <c r="B1347" s="25"/>
    </row>
    <row r="1348" spans="1:2" x14ac:dyDescent="0.35">
      <c r="A1348" s="25"/>
      <c r="B1348" s="25"/>
    </row>
    <row r="1349" spans="1:2" x14ac:dyDescent="0.35">
      <c r="A1349" s="25"/>
      <c r="B1349" s="25"/>
    </row>
    <row r="1350" spans="1:2" x14ac:dyDescent="0.35">
      <c r="A1350" s="25"/>
      <c r="B1350" s="25"/>
    </row>
    <row r="1351" spans="1:2" x14ac:dyDescent="0.35">
      <c r="A1351" s="25"/>
      <c r="B1351" s="25"/>
    </row>
    <row r="1352" spans="1:2" x14ac:dyDescent="0.35">
      <c r="A1352" s="25"/>
      <c r="B1352" s="25"/>
    </row>
    <row r="1353" spans="1:2" x14ac:dyDescent="0.35">
      <c r="A1353" s="25"/>
      <c r="B1353" s="25"/>
    </row>
    <row r="1354" spans="1:2" x14ac:dyDescent="0.35">
      <c r="A1354" s="25"/>
      <c r="B1354" s="25"/>
    </row>
    <row r="1355" spans="1:2" x14ac:dyDescent="0.35">
      <c r="A1355" s="25"/>
      <c r="B1355" s="25"/>
    </row>
    <row r="1356" spans="1:2" x14ac:dyDescent="0.35">
      <c r="A1356" s="25"/>
      <c r="B1356" s="25"/>
    </row>
    <row r="1357" spans="1:2" x14ac:dyDescent="0.35">
      <c r="A1357" s="25"/>
      <c r="B1357" s="25"/>
    </row>
    <row r="1358" spans="1:2" x14ac:dyDescent="0.35">
      <c r="A1358" s="25"/>
      <c r="B1358" s="25"/>
    </row>
    <row r="1359" spans="1:2" x14ac:dyDescent="0.35">
      <c r="A1359" s="25"/>
      <c r="B1359" s="25"/>
    </row>
    <row r="1360" spans="1:2" x14ac:dyDescent="0.35">
      <c r="A1360" s="25"/>
      <c r="B1360" s="25"/>
    </row>
    <row r="1361" spans="1:2" x14ac:dyDescent="0.35">
      <c r="A1361" s="25"/>
      <c r="B1361" s="25"/>
    </row>
    <row r="1362" spans="1:2" x14ac:dyDescent="0.35">
      <c r="A1362" s="25"/>
      <c r="B1362" s="25"/>
    </row>
    <row r="1363" spans="1:2" x14ac:dyDescent="0.35">
      <c r="A1363" s="25"/>
      <c r="B1363" s="25"/>
    </row>
    <row r="1364" spans="1:2" x14ac:dyDescent="0.35">
      <c r="A1364" s="25"/>
      <c r="B1364" s="25"/>
    </row>
    <row r="1365" spans="1:2" x14ac:dyDescent="0.35">
      <c r="A1365" s="25"/>
      <c r="B1365" s="25"/>
    </row>
    <row r="1366" spans="1:2" x14ac:dyDescent="0.35">
      <c r="A1366" s="25"/>
      <c r="B1366" s="25"/>
    </row>
    <row r="1367" spans="1:2" x14ac:dyDescent="0.35">
      <c r="A1367" s="25"/>
      <c r="B1367" s="25"/>
    </row>
    <row r="1368" spans="1:2" x14ac:dyDescent="0.35">
      <c r="A1368" s="25"/>
      <c r="B1368" s="25"/>
    </row>
    <row r="1369" spans="1:2" x14ac:dyDescent="0.35">
      <c r="A1369" s="25"/>
      <c r="B1369" s="25"/>
    </row>
    <row r="1370" spans="1:2" x14ac:dyDescent="0.35">
      <c r="A1370" s="25"/>
      <c r="B1370" s="25"/>
    </row>
    <row r="1371" spans="1:2" x14ac:dyDescent="0.35">
      <c r="A1371" s="25"/>
      <c r="B1371" s="25"/>
    </row>
    <row r="1372" spans="1:2" x14ac:dyDescent="0.35">
      <c r="A1372" s="25"/>
      <c r="B1372" s="25"/>
    </row>
    <row r="1373" spans="1:2" x14ac:dyDescent="0.35">
      <c r="A1373" s="25"/>
      <c r="B1373" s="25"/>
    </row>
    <row r="1374" spans="1:2" x14ac:dyDescent="0.35">
      <c r="A1374" s="25"/>
      <c r="B1374" s="25"/>
    </row>
    <row r="1375" spans="1:2" x14ac:dyDescent="0.35">
      <c r="A1375" s="25"/>
      <c r="B1375" s="25"/>
    </row>
    <row r="1376" spans="1:2" x14ac:dyDescent="0.35">
      <c r="A1376" s="25"/>
      <c r="B1376" s="25"/>
    </row>
    <row r="1377" spans="1:2" x14ac:dyDescent="0.35">
      <c r="A1377" s="25"/>
      <c r="B1377" s="25"/>
    </row>
    <row r="1378" spans="1:2" x14ac:dyDescent="0.35">
      <c r="A1378" s="25"/>
      <c r="B1378" s="25"/>
    </row>
    <row r="1379" spans="1:2" x14ac:dyDescent="0.35">
      <c r="A1379" s="25"/>
      <c r="B1379" s="25"/>
    </row>
    <row r="1380" spans="1:2" x14ac:dyDescent="0.35">
      <c r="A1380" s="25"/>
      <c r="B1380" s="25"/>
    </row>
    <row r="1381" spans="1:2" x14ac:dyDescent="0.35">
      <c r="A1381" s="25"/>
      <c r="B1381" s="25"/>
    </row>
    <row r="1382" spans="1:2" x14ac:dyDescent="0.35">
      <c r="A1382" s="25"/>
      <c r="B1382" s="25"/>
    </row>
    <row r="1383" spans="1:2" x14ac:dyDescent="0.35">
      <c r="A1383" s="25"/>
      <c r="B1383" s="25"/>
    </row>
    <row r="1384" spans="1:2" x14ac:dyDescent="0.35">
      <c r="A1384" s="25"/>
      <c r="B1384" s="25"/>
    </row>
    <row r="1385" spans="1:2" x14ac:dyDescent="0.35">
      <c r="A1385" s="25"/>
      <c r="B1385" s="25"/>
    </row>
    <row r="1386" spans="1:2" x14ac:dyDescent="0.35">
      <c r="A1386" s="25"/>
      <c r="B1386" s="25"/>
    </row>
    <row r="1387" spans="1:2" x14ac:dyDescent="0.35">
      <c r="A1387" s="25"/>
      <c r="B1387" s="25"/>
    </row>
    <row r="1388" spans="1:2" x14ac:dyDescent="0.35">
      <c r="A1388" s="25"/>
      <c r="B1388" s="25"/>
    </row>
    <row r="1389" spans="1:2" x14ac:dyDescent="0.35">
      <c r="A1389" s="25"/>
      <c r="B1389" s="25"/>
    </row>
    <row r="1390" spans="1:2" x14ac:dyDescent="0.35">
      <c r="A1390" s="25"/>
      <c r="B1390" s="25"/>
    </row>
    <row r="1391" spans="1:2" x14ac:dyDescent="0.35">
      <c r="A1391" s="25"/>
      <c r="B1391" s="25"/>
    </row>
    <row r="1392" spans="1:2" x14ac:dyDescent="0.35">
      <c r="A1392" s="25"/>
      <c r="B1392" s="25"/>
    </row>
    <row r="1393" spans="1:2" x14ac:dyDescent="0.35">
      <c r="A1393" s="25"/>
      <c r="B1393" s="25"/>
    </row>
    <row r="1394" spans="1:2" x14ac:dyDescent="0.35">
      <c r="A1394" s="25"/>
      <c r="B1394" s="25"/>
    </row>
    <row r="1395" spans="1:2" x14ac:dyDescent="0.35">
      <c r="A1395" s="25"/>
      <c r="B1395" s="25"/>
    </row>
    <row r="1396" spans="1:2" x14ac:dyDescent="0.35">
      <c r="A1396" s="25"/>
      <c r="B1396" s="25"/>
    </row>
    <row r="1397" spans="1:2" x14ac:dyDescent="0.35">
      <c r="A1397" s="25"/>
      <c r="B1397" s="25"/>
    </row>
    <row r="1398" spans="1:2" x14ac:dyDescent="0.35">
      <c r="A1398" s="25"/>
      <c r="B1398" s="25"/>
    </row>
    <row r="1399" spans="1:2" x14ac:dyDescent="0.35">
      <c r="A1399" s="25"/>
      <c r="B1399" s="25"/>
    </row>
    <row r="1400" spans="1:2" x14ac:dyDescent="0.35">
      <c r="A1400" s="25"/>
      <c r="B1400" s="25"/>
    </row>
    <row r="1401" spans="1:2" x14ac:dyDescent="0.35">
      <c r="A1401" s="25"/>
      <c r="B1401" s="25"/>
    </row>
    <row r="1402" spans="1:2" x14ac:dyDescent="0.35">
      <c r="A1402" s="25"/>
      <c r="B1402" s="25"/>
    </row>
    <row r="1403" spans="1:2" x14ac:dyDescent="0.35">
      <c r="A1403" s="25"/>
      <c r="B1403" s="25"/>
    </row>
    <row r="1404" spans="1:2" x14ac:dyDescent="0.35">
      <c r="A1404" s="25"/>
      <c r="B1404" s="25"/>
    </row>
    <row r="1405" spans="1:2" x14ac:dyDescent="0.35">
      <c r="A1405" s="25"/>
      <c r="B1405" s="25"/>
    </row>
    <row r="1406" spans="1:2" x14ac:dyDescent="0.35">
      <c r="A1406" s="25"/>
      <c r="B1406" s="25"/>
    </row>
    <row r="1407" spans="1:2" x14ac:dyDescent="0.35">
      <c r="A1407" s="25"/>
      <c r="B1407" s="25"/>
    </row>
    <row r="1408" spans="1:2" x14ac:dyDescent="0.35">
      <c r="A1408" s="25"/>
      <c r="B1408" s="25"/>
    </row>
    <row r="1409" spans="1:2" x14ac:dyDescent="0.35">
      <c r="A1409" s="25"/>
      <c r="B1409" s="25"/>
    </row>
    <row r="1410" spans="1:2" x14ac:dyDescent="0.35">
      <c r="A1410" s="25"/>
      <c r="B1410" s="25"/>
    </row>
    <row r="1411" spans="1:2" x14ac:dyDescent="0.35">
      <c r="A1411" s="25"/>
      <c r="B1411" s="25"/>
    </row>
    <row r="1412" spans="1:2" x14ac:dyDescent="0.35">
      <c r="A1412" s="25"/>
      <c r="B1412" s="25"/>
    </row>
    <row r="1413" spans="1:2" x14ac:dyDescent="0.35">
      <c r="A1413" s="25"/>
      <c r="B1413" s="25"/>
    </row>
    <row r="1414" spans="1:2" x14ac:dyDescent="0.35">
      <c r="A1414" s="25"/>
      <c r="B1414" s="25"/>
    </row>
    <row r="1415" spans="1:2" x14ac:dyDescent="0.35">
      <c r="A1415" s="25"/>
      <c r="B1415" s="25"/>
    </row>
    <row r="1416" spans="1:2" x14ac:dyDescent="0.35">
      <c r="A1416" s="25"/>
      <c r="B1416" s="25"/>
    </row>
    <row r="1417" spans="1:2" x14ac:dyDescent="0.35">
      <c r="A1417" s="25"/>
      <c r="B1417" s="25"/>
    </row>
    <row r="1418" spans="1:2" x14ac:dyDescent="0.35">
      <c r="A1418" s="25"/>
      <c r="B1418" s="25"/>
    </row>
    <row r="1419" spans="1:2" x14ac:dyDescent="0.35">
      <c r="A1419" s="25"/>
      <c r="B1419" s="25"/>
    </row>
    <row r="1420" spans="1:2" x14ac:dyDescent="0.35">
      <c r="A1420" s="25"/>
      <c r="B1420" s="25"/>
    </row>
    <row r="1421" spans="1:2" x14ac:dyDescent="0.35">
      <c r="A1421" s="25"/>
      <c r="B1421" s="25"/>
    </row>
    <row r="1422" spans="1:2" x14ac:dyDescent="0.35">
      <c r="A1422" s="25"/>
      <c r="B1422" s="25"/>
    </row>
    <row r="1423" spans="1:2" x14ac:dyDescent="0.35">
      <c r="A1423" s="25"/>
      <c r="B1423" s="25"/>
    </row>
    <row r="1424" spans="1:2" x14ac:dyDescent="0.35">
      <c r="A1424" s="25"/>
      <c r="B1424" s="25"/>
    </row>
    <row r="1425" spans="1:2" x14ac:dyDescent="0.35">
      <c r="A1425" s="25"/>
      <c r="B1425" s="25"/>
    </row>
    <row r="1426" spans="1:2" x14ac:dyDescent="0.35">
      <c r="A1426" s="25"/>
      <c r="B1426" s="25"/>
    </row>
    <row r="1427" spans="1:2" x14ac:dyDescent="0.35">
      <c r="A1427" s="25"/>
      <c r="B1427" s="25"/>
    </row>
    <row r="1428" spans="1:2" x14ac:dyDescent="0.35">
      <c r="A1428" s="25"/>
      <c r="B1428" s="25"/>
    </row>
    <row r="1429" spans="1:2" x14ac:dyDescent="0.35">
      <c r="A1429" s="25"/>
      <c r="B1429" s="25"/>
    </row>
    <row r="1430" spans="1:2" x14ac:dyDescent="0.35">
      <c r="A1430" s="25"/>
      <c r="B1430" s="25"/>
    </row>
    <row r="1431" spans="1:2" x14ac:dyDescent="0.35">
      <c r="A1431" s="25"/>
      <c r="B1431" s="25"/>
    </row>
    <row r="1432" spans="1:2" x14ac:dyDescent="0.35">
      <c r="A1432" s="25"/>
      <c r="B1432" s="25"/>
    </row>
    <row r="1433" spans="1:2" x14ac:dyDescent="0.35">
      <c r="A1433" s="25"/>
      <c r="B1433" s="25"/>
    </row>
    <row r="1434" spans="1:2" x14ac:dyDescent="0.35">
      <c r="A1434" s="25"/>
      <c r="B1434" s="25"/>
    </row>
    <row r="1435" spans="1:2" x14ac:dyDescent="0.35">
      <c r="A1435" s="25"/>
      <c r="B1435" s="25"/>
    </row>
    <row r="1436" spans="1:2" x14ac:dyDescent="0.35">
      <c r="A1436" s="25"/>
      <c r="B1436" s="25"/>
    </row>
    <row r="1437" spans="1:2" x14ac:dyDescent="0.35">
      <c r="A1437" s="25"/>
      <c r="B1437" s="25"/>
    </row>
    <row r="1438" spans="1:2" x14ac:dyDescent="0.35">
      <c r="A1438" s="25"/>
      <c r="B1438" s="25"/>
    </row>
    <row r="1439" spans="1:2" x14ac:dyDescent="0.35">
      <c r="A1439" s="25"/>
      <c r="B1439" s="25"/>
    </row>
    <row r="1440" spans="1:2" x14ac:dyDescent="0.35">
      <c r="A1440" s="25"/>
      <c r="B1440" s="25"/>
    </row>
    <row r="1441" spans="1:2" x14ac:dyDescent="0.35">
      <c r="A1441" s="25"/>
      <c r="B1441" s="25"/>
    </row>
    <row r="1442" spans="1:2" x14ac:dyDescent="0.35">
      <c r="A1442" s="25"/>
      <c r="B1442" s="25"/>
    </row>
    <row r="1443" spans="1:2" x14ac:dyDescent="0.35">
      <c r="A1443" s="25"/>
      <c r="B1443" s="25"/>
    </row>
    <row r="1444" spans="1:2" x14ac:dyDescent="0.35">
      <c r="A1444" s="25"/>
      <c r="B1444" s="25"/>
    </row>
    <row r="1445" spans="1:2" x14ac:dyDescent="0.35">
      <c r="A1445" s="25"/>
      <c r="B1445" s="25"/>
    </row>
    <row r="1446" spans="1:2" x14ac:dyDescent="0.35">
      <c r="A1446" s="25"/>
      <c r="B1446" s="25"/>
    </row>
    <row r="1447" spans="1:2" x14ac:dyDescent="0.35">
      <c r="A1447" s="25"/>
      <c r="B1447" s="25"/>
    </row>
    <row r="1448" spans="1:2" x14ac:dyDescent="0.35">
      <c r="A1448" s="25"/>
      <c r="B1448" s="25"/>
    </row>
    <row r="1449" spans="1:2" x14ac:dyDescent="0.35">
      <c r="A1449" s="25"/>
      <c r="B1449" s="25"/>
    </row>
    <row r="1450" spans="1:2" x14ac:dyDescent="0.35">
      <c r="A1450" s="25"/>
      <c r="B1450" s="25"/>
    </row>
    <row r="1451" spans="1:2" x14ac:dyDescent="0.35">
      <c r="A1451" s="25"/>
      <c r="B1451" s="25"/>
    </row>
    <row r="1452" spans="1:2" x14ac:dyDescent="0.35">
      <c r="A1452" s="25"/>
      <c r="B1452" s="25"/>
    </row>
    <row r="1453" spans="1:2" x14ac:dyDescent="0.35">
      <c r="A1453" s="25"/>
      <c r="B1453" s="25"/>
    </row>
    <row r="1454" spans="1:2" x14ac:dyDescent="0.35">
      <c r="A1454" s="25"/>
      <c r="B1454" s="25"/>
    </row>
    <row r="1455" spans="1:2" x14ac:dyDescent="0.35">
      <c r="A1455" s="25"/>
      <c r="B1455" s="25"/>
    </row>
    <row r="1456" spans="1:2" x14ac:dyDescent="0.35">
      <c r="A1456" s="25"/>
      <c r="B1456" s="25"/>
    </row>
    <row r="1457" spans="1:2" x14ac:dyDescent="0.35">
      <c r="A1457" s="25"/>
      <c r="B1457" s="25"/>
    </row>
    <row r="1458" spans="1:2" x14ac:dyDescent="0.35">
      <c r="A1458" s="25"/>
      <c r="B1458" s="25"/>
    </row>
    <row r="1459" spans="1:2" x14ac:dyDescent="0.35">
      <c r="A1459" s="25"/>
      <c r="B1459" s="25"/>
    </row>
    <row r="1460" spans="1:2" x14ac:dyDescent="0.35">
      <c r="A1460" s="25"/>
      <c r="B1460" s="25"/>
    </row>
    <row r="1461" spans="1:2" x14ac:dyDescent="0.35">
      <c r="A1461" s="25"/>
      <c r="B1461" s="25"/>
    </row>
    <row r="1462" spans="1:2" x14ac:dyDescent="0.35">
      <c r="A1462" s="25"/>
      <c r="B1462" s="25"/>
    </row>
    <row r="1463" spans="1:2" x14ac:dyDescent="0.35">
      <c r="A1463" s="25"/>
      <c r="B1463" s="25"/>
    </row>
    <row r="1464" spans="1:2" x14ac:dyDescent="0.35">
      <c r="A1464" s="25"/>
      <c r="B1464" s="25"/>
    </row>
    <row r="1465" spans="1:2" x14ac:dyDescent="0.35">
      <c r="A1465" s="25"/>
      <c r="B1465" s="25"/>
    </row>
    <row r="1466" spans="1:2" x14ac:dyDescent="0.35">
      <c r="A1466" s="25"/>
      <c r="B1466" s="25"/>
    </row>
    <row r="1467" spans="1:2" x14ac:dyDescent="0.35">
      <c r="A1467" s="25"/>
      <c r="B1467" s="25"/>
    </row>
    <row r="1468" spans="1:2" x14ac:dyDescent="0.35">
      <c r="A1468" s="25"/>
      <c r="B1468" s="25"/>
    </row>
    <row r="1469" spans="1:2" x14ac:dyDescent="0.35">
      <c r="A1469" s="25"/>
      <c r="B1469" s="25"/>
    </row>
    <row r="1470" spans="1:2" x14ac:dyDescent="0.35">
      <c r="A1470" s="25"/>
      <c r="B1470" s="25"/>
    </row>
    <row r="1471" spans="1:2" x14ac:dyDescent="0.35">
      <c r="A1471" s="25"/>
      <c r="B1471" s="25"/>
    </row>
    <row r="1472" spans="1:2" x14ac:dyDescent="0.35">
      <c r="A1472" s="25"/>
      <c r="B1472" s="25"/>
    </row>
    <row r="1473" spans="1:2" x14ac:dyDescent="0.35">
      <c r="A1473" s="25"/>
      <c r="B1473" s="25"/>
    </row>
    <row r="1474" spans="1:2" x14ac:dyDescent="0.35">
      <c r="A1474" s="25"/>
      <c r="B1474" s="25"/>
    </row>
    <row r="1475" spans="1:2" x14ac:dyDescent="0.35">
      <c r="A1475" s="25"/>
      <c r="B1475" s="25"/>
    </row>
    <row r="1476" spans="1:2" x14ac:dyDescent="0.35">
      <c r="A1476" s="25"/>
      <c r="B1476" s="25"/>
    </row>
    <row r="1477" spans="1:2" x14ac:dyDescent="0.35">
      <c r="A1477" s="25"/>
      <c r="B1477" s="25"/>
    </row>
    <row r="1478" spans="1:2" x14ac:dyDescent="0.35">
      <c r="A1478" s="25"/>
      <c r="B1478" s="25"/>
    </row>
    <row r="1479" spans="1:2" x14ac:dyDescent="0.35">
      <c r="A1479" s="25"/>
      <c r="B1479" s="25"/>
    </row>
    <row r="1480" spans="1:2" x14ac:dyDescent="0.35">
      <c r="A1480" s="25"/>
      <c r="B1480" s="25"/>
    </row>
    <row r="1481" spans="1:2" x14ac:dyDescent="0.35">
      <c r="A1481" s="25"/>
      <c r="B1481" s="25"/>
    </row>
    <row r="1482" spans="1:2" x14ac:dyDescent="0.35">
      <c r="A1482" s="25"/>
      <c r="B1482" s="25"/>
    </row>
    <row r="1483" spans="1:2" x14ac:dyDescent="0.35">
      <c r="A1483" s="25"/>
      <c r="B1483" s="25"/>
    </row>
    <row r="1484" spans="1:2" x14ac:dyDescent="0.35">
      <c r="A1484" s="25"/>
      <c r="B1484" s="25"/>
    </row>
    <row r="1485" spans="1:2" x14ac:dyDescent="0.35">
      <c r="A1485" s="25"/>
      <c r="B1485" s="25"/>
    </row>
    <row r="1486" spans="1:2" x14ac:dyDescent="0.35">
      <c r="A1486" s="25"/>
      <c r="B1486" s="25"/>
    </row>
    <row r="1487" spans="1:2" x14ac:dyDescent="0.35">
      <c r="A1487" s="25"/>
      <c r="B1487" s="25"/>
    </row>
    <row r="1488" spans="1:2" x14ac:dyDescent="0.35">
      <c r="A1488" s="25"/>
      <c r="B1488" s="25"/>
    </row>
    <row r="1489" spans="1:2" x14ac:dyDescent="0.35">
      <c r="A1489" s="25"/>
      <c r="B1489" s="25"/>
    </row>
    <row r="1490" spans="1:2" x14ac:dyDescent="0.35">
      <c r="A1490" s="25"/>
      <c r="B1490" s="25"/>
    </row>
    <row r="1491" spans="1:2" x14ac:dyDescent="0.35">
      <c r="A1491" s="25"/>
      <c r="B1491" s="25"/>
    </row>
    <row r="1492" spans="1:2" x14ac:dyDescent="0.35">
      <c r="A1492" s="25"/>
      <c r="B1492" s="25"/>
    </row>
    <row r="1493" spans="1:2" x14ac:dyDescent="0.35">
      <c r="A1493" s="25"/>
      <c r="B1493" s="25"/>
    </row>
    <row r="1494" spans="1:2" x14ac:dyDescent="0.35">
      <c r="A1494" s="25"/>
      <c r="B1494" s="25"/>
    </row>
    <row r="1495" spans="1:2" x14ac:dyDescent="0.35">
      <c r="A1495" s="25"/>
      <c r="B1495" s="25"/>
    </row>
    <row r="1496" spans="1:2" x14ac:dyDescent="0.35">
      <c r="A1496" s="25"/>
      <c r="B1496" s="25"/>
    </row>
    <row r="1497" spans="1:2" x14ac:dyDescent="0.35">
      <c r="A1497" s="25"/>
      <c r="B1497" s="25"/>
    </row>
    <row r="1498" spans="1:2" x14ac:dyDescent="0.35">
      <c r="A1498" s="25"/>
      <c r="B1498" s="25"/>
    </row>
    <row r="1499" spans="1:2" x14ac:dyDescent="0.35">
      <c r="A1499" s="25"/>
      <c r="B1499" s="25"/>
    </row>
    <row r="1500" spans="1:2" x14ac:dyDescent="0.35">
      <c r="B1500" s="25"/>
    </row>
    <row r="1501" spans="1:2" x14ac:dyDescent="0.35">
      <c r="B1501" s="25"/>
    </row>
    <row r="1502" spans="1:2" x14ac:dyDescent="0.35">
      <c r="B1502" s="25"/>
    </row>
    <row r="1503" spans="1:2" x14ac:dyDescent="0.35">
      <c r="B1503" s="25"/>
    </row>
    <row r="1504" spans="1:2" x14ac:dyDescent="0.35">
      <c r="B1504" s="25"/>
    </row>
    <row r="1505" spans="2:2" x14ac:dyDescent="0.35">
      <c r="B1505" s="25"/>
    </row>
    <row r="1506" spans="2:2" x14ac:dyDescent="0.35">
      <c r="B1506" s="25"/>
    </row>
    <row r="1507" spans="2:2" x14ac:dyDescent="0.35">
      <c r="B1507" s="25"/>
    </row>
    <row r="1508" spans="2:2" x14ac:dyDescent="0.35">
      <c r="B1508" s="25"/>
    </row>
    <row r="1509" spans="2:2" x14ac:dyDescent="0.35">
      <c r="B1509" s="25"/>
    </row>
    <row r="1510" spans="2:2" x14ac:dyDescent="0.35">
      <c r="B1510" s="25"/>
    </row>
    <row r="1511" spans="2:2" x14ac:dyDescent="0.35">
      <c r="B1511" s="25"/>
    </row>
    <row r="1512" spans="2:2" x14ac:dyDescent="0.35">
      <c r="B1512" s="25"/>
    </row>
    <row r="1513" spans="2:2" x14ac:dyDescent="0.35">
      <c r="B1513" s="25"/>
    </row>
    <row r="1514" spans="2:2" x14ac:dyDescent="0.35">
      <c r="B1514" s="25"/>
    </row>
    <row r="1515" spans="2:2" x14ac:dyDescent="0.35">
      <c r="B1515" s="25"/>
    </row>
    <row r="1516" spans="2:2" x14ac:dyDescent="0.35">
      <c r="B1516" s="25"/>
    </row>
    <row r="1517" spans="2:2" x14ac:dyDescent="0.35">
      <c r="B1517" s="25"/>
    </row>
    <row r="1518" spans="2:2" x14ac:dyDescent="0.35">
      <c r="B1518" s="25"/>
    </row>
    <row r="1519" spans="2:2" x14ac:dyDescent="0.35">
      <c r="B1519" s="25"/>
    </row>
    <row r="1520" spans="2:2" x14ac:dyDescent="0.35">
      <c r="B1520" s="25"/>
    </row>
    <row r="1521" spans="2:2" x14ac:dyDescent="0.35">
      <c r="B1521" s="25"/>
    </row>
    <row r="1522" spans="2:2" x14ac:dyDescent="0.35">
      <c r="B1522" s="25"/>
    </row>
    <row r="1523" spans="2:2" x14ac:dyDescent="0.35">
      <c r="B1523" s="25"/>
    </row>
    <row r="1524" spans="2:2" x14ac:dyDescent="0.35">
      <c r="B1524" s="25"/>
    </row>
    <row r="1525" spans="2:2" x14ac:dyDescent="0.35">
      <c r="B1525" s="25"/>
    </row>
    <row r="1526" spans="2:2" x14ac:dyDescent="0.35">
      <c r="B1526" s="25"/>
    </row>
    <row r="1527" spans="2:2" x14ac:dyDescent="0.35">
      <c r="B1527" s="25"/>
    </row>
    <row r="1528" spans="2:2" x14ac:dyDescent="0.35">
      <c r="B1528" s="25"/>
    </row>
    <row r="1529" spans="2:2" x14ac:dyDescent="0.35">
      <c r="B1529" s="25"/>
    </row>
    <row r="1530" spans="2:2" x14ac:dyDescent="0.35">
      <c r="B1530" s="25"/>
    </row>
    <row r="1531" spans="2:2" x14ac:dyDescent="0.35">
      <c r="B1531" s="25"/>
    </row>
    <row r="1532" spans="2:2" x14ac:dyDescent="0.35">
      <c r="B1532" s="25"/>
    </row>
    <row r="1533" spans="2:2" x14ac:dyDescent="0.35">
      <c r="B1533" s="25"/>
    </row>
    <row r="1534" spans="2:2" x14ac:dyDescent="0.35">
      <c r="B1534" s="25"/>
    </row>
    <row r="1535" spans="2:2" x14ac:dyDescent="0.35">
      <c r="B1535" s="25"/>
    </row>
    <row r="1536" spans="2:2" x14ac:dyDescent="0.35">
      <c r="B1536" s="25"/>
    </row>
    <row r="1537" spans="2:2" x14ac:dyDescent="0.35">
      <c r="B1537" s="25"/>
    </row>
    <row r="1538" spans="2:2" x14ac:dyDescent="0.35">
      <c r="B1538" s="25"/>
    </row>
    <row r="1539" spans="2:2" x14ac:dyDescent="0.35">
      <c r="B1539" s="25"/>
    </row>
    <row r="1540" spans="2:2" x14ac:dyDescent="0.35">
      <c r="B1540" s="25"/>
    </row>
    <row r="1541" spans="2:2" x14ac:dyDescent="0.35">
      <c r="B1541" s="25"/>
    </row>
    <row r="1542" spans="2:2" x14ac:dyDescent="0.35">
      <c r="B1542" s="25"/>
    </row>
    <row r="1543" spans="2:2" x14ac:dyDescent="0.35">
      <c r="B1543" s="25"/>
    </row>
    <row r="1544" spans="2:2" x14ac:dyDescent="0.35">
      <c r="B1544" s="25"/>
    </row>
    <row r="1545" spans="2:2" x14ac:dyDescent="0.35">
      <c r="B1545" s="25"/>
    </row>
    <row r="1546" spans="2:2" x14ac:dyDescent="0.35">
      <c r="B1546" s="25"/>
    </row>
    <row r="1547" spans="2:2" x14ac:dyDescent="0.35">
      <c r="B1547" s="25"/>
    </row>
    <row r="1548" spans="2:2" x14ac:dyDescent="0.35">
      <c r="B1548" s="25"/>
    </row>
    <row r="1549" spans="2:2" x14ac:dyDescent="0.35">
      <c r="B1549" s="25"/>
    </row>
    <row r="1550" spans="2:2" x14ac:dyDescent="0.35">
      <c r="B1550" s="25"/>
    </row>
    <row r="1551" spans="2:2" x14ac:dyDescent="0.35">
      <c r="B1551" s="25"/>
    </row>
    <row r="1552" spans="2:2" x14ac:dyDescent="0.35">
      <c r="B1552" s="25"/>
    </row>
    <row r="1553" spans="2:2" x14ac:dyDescent="0.35">
      <c r="B1553" s="25"/>
    </row>
    <row r="1554" spans="2:2" x14ac:dyDescent="0.35">
      <c r="B1554" s="25"/>
    </row>
    <row r="1555" spans="2:2" x14ac:dyDescent="0.35">
      <c r="B1555" s="25"/>
    </row>
    <row r="1556" spans="2:2" x14ac:dyDescent="0.35">
      <c r="B1556" s="25"/>
    </row>
    <row r="1557" spans="2:2" x14ac:dyDescent="0.35">
      <c r="B1557" s="25"/>
    </row>
    <row r="1558" spans="2:2" x14ac:dyDescent="0.35">
      <c r="B1558" s="25"/>
    </row>
    <row r="1559" spans="2:2" x14ac:dyDescent="0.35">
      <c r="B1559" s="25"/>
    </row>
    <row r="1560" spans="2:2" x14ac:dyDescent="0.35">
      <c r="B1560" s="25"/>
    </row>
    <row r="1561" spans="2:2" x14ac:dyDescent="0.35">
      <c r="B1561" s="25"/>
    </row>
    <row r="1562" spans="2:2" x14ac:dyDescent="0.35">
      <c r="B1562" s="25"/>
    </row>
  </sheetData>
  <phoneticPr fontId="26" type="noConversion"/>
  <printOptions gridLines="1"/>
  <pageMargins left="0.96" right="0.61" top="0.48" bottom="0.89" header="0.41" footer="0.68"/>
  <pageSetup paperSize="9" orientation="portrait" horizontalDpi="300" verticalDpi="300" r:id="rId1"/>
  <headerFooter alignWithMargins="0">
    <oddFooter>&amp;L&amp;P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Tekst"/>
  <dimension ref="A1:FIO79"/>
  <sheetViews>
    <sheetView showGridLines="0" showRowColHeaders="0" topLeftCell="A10" workbookViewId="0">
      <selection activeCell="C59" sqref="C59"/>
    </sheetView>
  </sheetViews>
  <sheetFormatPr defaultRowHeight="12.85" x14ac:dyDescent="0.35"/>
  <cols>
    <col min="1" max="1" width="21.86328125" customWidth="1"/>
    <col min="2" max="2" width="6.265625" customWidth="1"/>
    <col min="3" max="3" width="62.1328125" customWidth="1"/>
  </cols>
  <sheetData>
    <row r="1" spans="1:3 4305:4305" x14ac:dyDescent="0.35">
      <c r="A1" t="s">
        <v>2920</v>
      </c>
      <c r="B1" s="347" t="s">
        <v>4852</v>
      </c>
      <c r="C1" s="346" t="e">
        <f>AfsprakenCMV!F2&amp;" geb: "&amp;TEXT(AfsprakenCMV!F3,"dd-mmm-jj")&amp;". Gewicht: "&amp;ROUND(Gewicht/10,1)&amp;" kg"</f>
        <v>#REF!</v>
      </c>
    </row>
    <row r="2" spans="1:3 4305:4305" x14ac:dyDescent="0.35">
      <c r="A2" t="s">
        <v>2920</v>
      </c>
      <c r="B2" s="348" t="s">
        <v>4853</v>
      </c>
      <c r="C2" s="346" t="str">
        <f>AchterNaam</f>
        <v>Achternaam</v>
      </c>
      <c r="FIO2">
        <v>30</v>
      </c>
    </row>
    <row r="3" spans="1:3 4305:4305" x14ac:dyDescent="0.35">
      <c r="A3" t="s">
        <v>2920</v>
      </c>
      <c r="B3" s="348" t="s">
        <v>4854</v>
      </c>
      <c r="C3" s="346" t="str">
        <f>VoorNaam</f>
        <v>Voornaam</v>
      </c>
    </row>
    <row r="4" spans="1:3 4305:4305" x14ac:dyDescent="0.35">
      <c r="A4" t="s">
        <v>2920</v>
      </c>
      <c r="B4" s="348" t="s">
        <v>4855</v>
      </c>
      <c r="C4" s="346" t="e">
        <f>TEXT(AfsprakenCMV!F3,"dd-mmm-jj")</f>
        <v>#REF!</v>
      </c>
    </row>
    <row r="5" spans="1:3 4305:4305" x14ac:dyDescent="0.35">
      <c r="A5" t="s">
        <v>2920</v>
      </c>
      <c r="B5" s="348" t="s">
        <v>4856</v>
      </c>
      <c r="C5" s="25">
        <f>PatNummer</f>
        <v>0</v>
      </c>
    </row>
    <row r="6" spans="1:3 4305:4305" x14ac:dyDescent="0.35">
      <c r="A6" t="s">
        <v>5068</v>
      </c>
      <c r="B6" s="348" t="s">
        <v>4852</v>
      </c>
      <c r="C6" t="str">
        <f>IF(AfsprakenCMV!C84&lt;&gt;0,AfsprakenCMV!C84&amp;" "&amp;AfsprakenCMV!E84&amp;" "&amp;AfsprakenCMV!F84&amp;" "&amp;AfsprakenCMV!G84&amp;", totaal "&amp;AfsprakenCMV!J84&amp;" "&amp;AfsprakenCMV!I84,"")</f>
        <v/>
      </c>
    </row>
    <row r="7" spans="1:3 4305:4305" x14ac:dyDescent="0.35">
      <c r="A7" t="s">
        <v>5068</v>
      </c>
      <c r="B7" s="348" t="s">
        <v>4853</v>
      </c>
      <c r="C7" t="str">
        <f>IF(AfsprakenCMV!C85&lt;&gt;0,AfsprakenCMV!C85&amp;" "&amp;AfsprakenCMV!E85&amp;" "&amp;AfsprakenCMV!F85&amp;" "&amp;AfsprakenCMV!G85&amp;", totaal "&amp;AfsprakenCMV!J85&amp;" "&amp;AfsprakenCMV!I85,"")</f>
        <v/>
      </c>
    </row>
    <row r="8" spans="1:3 4305:4305" x14ac:dyDescent="0.35">
      <c r="A8" t="s">
        <v>5068</v>
      </c>
      <c r="B8" s="348" t="s">
        <v>4854</v>
      </c>
      <c r="C8" t="str">
        <f>IF(AfsprakenCMV!C86&lt;&gt;0,AfsprakenCMV!C86&amp;" "&amp;AfsprakenCMV!E86&amp;" "&amp;AfsprakenCMV!F86&amp;" "&amp;AfsprakenCMV!G86&amp;", totaal "&amp;AfsprakenCMV!J86&amp;" "&amp;AfsprakenCMV!I86,"")</f>
        <v/>
      </c>
    </row>
    <row r="9" spans="1:3 4305:4305" x14ac:dyDescent="0.35">
      <c r="A9" t="s">
        <v>5068</v>
      </c>
      <c r="B9" s="347" t="s">
        <v>4855</v>
      </c>
      <c r="C9" t="str">
        <f>IF(AfsprakenCMV!C87&lt;&gt;0,AfsprakenCMV!C87&amp;" "&amp;AfsprakenCMV!E87&amp;" "&amp;AfsprakenCMV!F87&amp;" "&amp;AfsprakenCMV!G87&amp;", totaal "&amp;AfsprakenCMV!J87&amp;" "&amp;AfsprakenCMV!I87,"")</f>
        <v/>
      </c>
    </row>
    <row r="10" spans="1:3 4305:4305" x14ac:dyDescent="0.35">
      <c r="A10" t="s">
        <v>5068</v>
      </c>
      <c r="B10" s="347" t="s">
        <v>4856</v>
      </c>
      <c r="C10" t="str">
        <f>IF(AfsprakenCMV!C88&lt;&gt;0,AfsprakenCMV!C88&amp;" "&amp;AfsprakenCMV!E88&amp;" "&amp;AfsprakenCMV!F88&amp;" "&amp;AfsprakenCMV!G88&amp;", totaal "&amp;AfsprakenCMV!J88&amp;" "&amp;AfsprakenCMV!I88,"")</f>
        <v/>
      </c>
    </row>
    <row r="11" spans="1:3 4305:4305" x14ac:dyDescent="0.35">
      <c r="A11" t="s">
        <v>5068</v>
      </c>
      <c r="B11" s="347" t="s">
        <v>4857</v>
      </c>
      <c r="C11" t="str">
        <f>IF(AfsprakenCMV!C89&lt;&gt;0,AfsprakenCMV!C89&amp;" "&amp;AfsprakenCMV!E89&amp;" "&amp;AfsprakenCMV!F89&amp;" "&amp;AfsprakenCMV!G89&amp;", totaal "&amp;AfsprakenCMV!J89&amp;" "&amp;AfsprakenCMV!I89,"")</f>
        <v/>
      </c>
    </row>
    <row r="12" spans="1:3 4305:4305" x14ac:dyDescent="0.35">
      <c r="A12" t="s">
        <v>5068</v>
      </c>
      <c r="B12" s="347" t="s">
        <v>4858</v>
      </c>
      <c r="C12" t="str">
        <f>IF(AfsprakenCMV!C90&lt;&gt;0,AfsprakenCMV!C90&amp;" "&amp;AfsprakenCMV!E90&amp;" "&amp;AfsprakenCMV!F90&amp;" "&amp;AfsprakenCMV!G90&amp;", totaal "&amp;AfsprakenCMV!J90&amp;" "&amp;AfsprakenCMV!I90,"")</f>
        <v/>
      </c>
    </row>
    <row r="13" spans="1:3 4305:4305" x14ac:dyDescent="0.35">
      <c r="A13" t="s">
        <v>5068</v>
      </c>
      <c r="B13" s="347" t="s">
        <v>4859</v>
      </c>
      <c r="C13" t="str">
        <f>IF(AfsprakenCMV!C91&lt;&gt;0,AfsprakenCMV!C91&amp;" "&amp;AfsprakenCMV!E91&amp;" "&amp;AfsprakenCMV!F91&amp;" "&amp;AfsprakenCMV!G91&amp;", totaal "&amp;AfsprakenCMV!J91&amp;" "&amp;AfsprakenCMV!I91,"")</f>
        <v/>
      </c>
    </row>
    <row r="14" spans="1:3 4305:4305" x14ac:dyDescent="0.35">
      <c r="A14" t="s">
        <v>5068</v>
      </c>
      <c r="B14" s="347" t="s">
        <v>4860</v>
      </c>
      <c r="C14" t="str">
        <f>IF(AfsprakenCMV!C92&lt;&gt;0,AfsprakenCMV!C92&amp;" "&amp;AfsprakenCMV!E92&amp;" "&amp;AfsprakenCMV!F92&amp;" "&amp;AfsprakenCMV!G92&amp;", totaal "&amp;AfsprakenCMV!J92&amp;" "&amp;AfsprakenCMV!I92,"")</f>
        <v/>
      </c>
    </row>
    <row r="15" spans="1:3 4305:4305" x14ac:dyDescent="0.35">
      <c r="A15" t="s">
        <v>5068</v>
      </c>
      <c r="B15" s="347">
        <v>10</v>
      </c>
      <c r="C15" t="str">
        <f>IF(AfsprakenCMV!C93&lt;&gt;0,AfsprakenCMV!C93&amp;" "&amp;AfsprakenCMV!E93&amp;" "&amp;AfsprakenCMV!F93&amp;" "&amp;AfsprakenCMV!G93&amp;", totaal "&amp;AfsprakenCMV!J93&amp;" "&amp;AfsprakenCMV!I93,"")</f>
        <v/>
      </c>
    </row>
    <row r="16" spans="1:3 4305:4305" x14ac:dyDescent="0.35">
      <c r="A16" t="s">
        <v>5068</v>
      </c>
      <c r="B16" s="347">
        <v>11</v>
      </c>
      <c r="C16" t="str">
        <f>IF(AfsprakenCMV!C94&lt;&gt;0,AfsprakenCMV!C94&amp;" "&amp;AfsprakenCMV!E94&amp;" "&amp;AfsprakenCMV!F94&amp;" "&amp;AfsprakenCMV!G94&amp;", totaal "&amp;AfsprakenCMV!J94&amp;" "&amp;AfsprakenCMV!I94,"")</f>
        <v/>
      </c>
    </row>
    <row r="17" spans="1:3" x14ac:dyDescent="0.35">
      <c r="A17" t="s">
        <v>5068</v>
      </c>
      <c r="B17" s="347">
        <v>12</v>
      </c>
      <c r="C17" t="str">
        <f>IF(AfsprakenCMV!C95&lt;&gt;0,AfsprakenCMV!C95&amp;" "&amp;AfsprakenCMV!E95&amp;" "&amp;AfsprakenCMV!F95&amp;" "&amp;AfsprakenCMV!G95&amp;", totaal "&amp;AfsprakenCMV!J95&amp;" "&amp;AfsprakenCMV!I95,"")</f>
        <v/>
      </c>
    </row>
    <row r="18" spans="1:3" x14ac:dyDescent="0.35">
      <c r="A18" t="s">
        <v>5068</v>
      </c>
      <c r="B18" s="347">
        <v>13</v>
      </c>
      <c r="C18" t="str">
        <f>IF(AfsprakenCMV!C96&lt;&gt;0,AfsprakenCMV!C96&amp;" "&amp;AfsprakenCMV!E96&amp;" "&amp;AfsprakenCMV!F96&amp;" "&amp;AfsprakenCMV!G96&amp;", totaal "&amp;AfsprakenCMV!J96&amp;" "&amp;AfsprakenCMV!I96,"")</f>
        <v/>
      </c>
    </row>
    <row r="19" spans="1:3" x14ac:dyDescent="0.35">
      <c r="A19" t="s">
        <v>5068</v>
      </c>
      <c r="B19" s="347">
        <v>14</v>
      </c>
      <c r="C19" t="str">
        <f>IF(AfsprakenCMV!C97&lt;&gt;0,AfsprakenCMV!C97&amp;" "&amp;AfsprakenCMV!E97&amp;" "&amp;AfsprakenCMV!F97&amp;" "&amp;AfsprakenCMV!G97&amp;", totaal "&amp;AfsprakenCMV!J97&amp;" "&amp;AfsprakenCMV!I97,"")</f>
        <v/>
      </c>
    </row>
    <row r="20" spans="1:3" x14ac:dyDescent="0.35">
      <c r="A20" t="s">
        <v>5068</v>
      </c>
      <c r="B20" s="347">
        <v>15</v>
      </c>
      <c r="C20" t="str">
        <f>IF(AfsprakenCMV!C98&lt;&gt;0,AfsprakenCMV!C98&amp;" "&amp;AfsprakenCMV!E98&amp;" "&amp;AfsprakenCMV!F98&amp;" "&amp;AfsprakenCMV!G98&amp;", totaal "&amp;AfsprakenCMV!J98&amp;" "&amp;AfsprakenCMV!I98,"")</f>
        <v/>
      </c>
    </row>
    <row r="21" spans="1:3" x14ac:dyDescent="0.35">
      <c r="A21" t="s">
        <v>5068</v>
      </c>
      <c r="B21" s="347">
        <v>16</v>
      </c>
      <c r="C21" t="str">
        <f>IF(ber_Opm!C4&lt;&gt;0,AfsprakenCMV!C100&amp;" "&amp;ber_Opm!C4,"")</f>
        <v/>
      </c>
    </row>
    <row r="22" spans="1:3" x14ac:dyDescent="0.35">
      <c r="A22" t="s">
        <v>5069</v>
      </c>
      <c r="B22" s="347" t="s">
        <v>4852</v>
      </c>
      <c r="C22" t="str">
        <f>ber_Med_disc!AB2</f>
        <v/>
      </c>
    </row>
    <row r="23" spans="1:3" x14ac:dyDescent="0.35">
      <c r="A23" t="s">
        <v>5069</v>
      </c>
      <c r="B23" s="347" t="s">
        <v>4853</v>
      </c>
      <c r="C23" t="str">
        <f>ber_Med_disc!AB3</f>
        <v/>
      </c>
    </row>
    <row r="24" spans="1:3" x14ac:dyDescent="0.35">
      <c r="A24" t="s">
        <v>5069</v>
      </c>
      <c r="B24" s="347" t="s">
        <v>4854</v>
      </c>
      <c r="C24" t="str">
        <f>ber_Med_disc!AB4</f>
        <v/>
      </c>
    </row>
    <row r="25" spans="1:3" x14ac:dyDescent="0.35">
      <c r="A25" t="s">
        <v>5069</v>
      </c>
      <c r="B25" s="347" t="s">
        <v>4855</v>
      </c>
      <c r="C25" t="str">
        <f>ber_Med_disc!AB5</f>
        <v/>
      </c>
    </row>
    <row r="26" spans="1:3" x14ac:dyDescent="0.35">
      <c r="A26" t="s">
        <v>5069</v>
      </c>
      <c r="B26" s="347" t="s">
        <v>4856</v>
      </c>
      <c r="C26" t="str">
        <f>ber_Med_disc!AB6</f>
        <v/>
      </c>
    </row>
    <row r="27" spans="1:3" x14ac:dyDescent="0.35">
      <c r="A27" t="s">
        <v>5069</v>
      </c>
      <c r="B27" s="347" t="s">
        <v>4857</v>
      </c>
      <c r="C27" t="str">
        <f>ber_Med_disc!AB7</f>
        <v/>
      </c>
    </row>
    <row r="28" spans="1:3" x14ac:dyDescent="0.35">
      <c r="A28" t="s">
        <v>5069</v>
      </c>
      <c r="B28" s="347" t="s">
        <v>4858</v>
      </c>
      <c r="C28" t="str">
        <f>ber_Med_disc!AB8</f>
        <v/>
      </c>
    </row>
    <row r="29" spans="1:3" x14ac:dyDescent="0.35">
      <c r="A29" t="s">
        <v>5069</v>
      </c>
      <c r="B29" s="347" t="s">
        <v>4859</v>
      </c>
      <c r="C29" t="str">
        <f>ber_Med_disc!AB9</f>
        <v/>
      </c>
    </row>
    <row r="30" spans="1:3" x14ac:dyDescent="0.35">
      <c r="A30" t="s">
        <v>5069</v>
      </c>
      <c r="B30" s="347" t="s">
        <v>4860</v>
      </c>
      <c r="C30" t="str">
        <f>ber_Med_disc!AB10</f>
        <v/>
      </c>
    </row>
    <row r="31" spans="1:3" x14ac:dyDescent="0.35">
      <c r="A31" t="s">
        <v>5069</v>
      </c>
      <c r="B31" s="347">
        <v>10</v>
      </c>
      <c r="C31" t="str">
        <f>ber_Med_disc!AB11</f>
        <v/>
      </c>
    </row>
    <row r="32" spans="1:3" x14ac:dyDescent="0.35">
      <c r="A32" t="s">
        <v>5069</v>
      </c>
      <c r="B32" s="347">
        <v>11</v>
      </c>
      <c r="C32" t="str">
        <f>ber_Med_disc!AB12</f>
        <v/>
      </c>
    </row>
    <row r="33" spans="1:3" x14ac:dyDescent="0.35">
      <c r="A33" t="s">
        <v>5069</v>
      </c>
      <c r="B33" s="347">
        <v>12</v>
      </c>
      <c r="C33" t="str">
        <f>ber_Med_disc!AB13</f>
        <v/>
      </c>
    </row>
    <row r="34" spans="1:3" x14ac:dyDescent="0.35">
      <c r="A34" t="s">
        <v>5069</v>
      </c>
      <c r="B34" s="347">
        <v>13</v>
      </c>
      <c r="C34" t="str">
        <f>ber_Med_disc!AB14</f>
        <v/>
      </c>
    </row>
    <row r="35" spans="1:3" x14ac:dyDescent="0.35">
      <c r="A35" t="s">
        <v>5069</v>
      </c>
      <c r="B35" s="347">
        <v>14</v>
      </c>
      <c r="C35" t="str">
        <f>ber_Med_disc!AB15</f>
        <v/>
      </c>
    </row>
    <row r="36" spans="1:3" x14ac:dyDescent="0.35">
      <c r="A36" t="s">
        <v>5069</v>
      </c>
      <c r="B36" s="347">
        <v>15</v>
      </c>
      <c r="C36" t="str">
        <f>ber_Med_disc!AB16</f>
        <v/>
      </c>
    </row>
    <row r="37" spans="1:3" x14ac:dyDescent="0.35">
      <c r="A37" t="s">
        <v>5069</v>
      </c>
      <c r="B37" s="347">
        <v>16</v>
      </c>
      <c r="C37" t="str">
        <f>ber_Med_disc!AB17</f>
        <v/>
      </c>
    </row>
    <row r="38" spans="1:3" x14ac:dyDescent="0.35">
      <c r="A38" t="s">
        <v>5069</v>
      </c>
      <c r="B38" s="347">
        <v>17</v>
      </c>
      <c r="C38" t="str">
        <f>ber_Med_disc!AB18</f>
        <v/>
      </c>
    </row>
    <row r="39" spans="1:3" x14ac:dyDescent="0.35">
      <c r="A39" t="s">
        <v>5069</v>
      </c>
      <c r="B39" s="347">
        <v>18</v>
      </c>
      <c r="C39" t="str">
        <f>ber_Med_disc!AB19</f>
        <v/>
      </c>
    </row>
    <row r="40" spans="1:3" x14ac:dyDescent="0.35">
      <c r="A40" t="s">
        <v>5069</v>
      </c>
      <c r="B40" s="347">
        <v>19</v>
      </c>
      <c r="C40" t="str">
        <f>ber_Med_disc!AB20</f>
        <v/>
      </c>
    </row>
    <row r="41" spans="1:3" x14ac:dyDescent="0.35">
      <c r="A41" t="s">
        <v>5069</v>
      </c>
      <c r="B41" s="347">
        <v>20</v>
      </c>
      <c r="C41" t="str">
        <f>ber_Med_disc!AB21</f>
        <v/>
      </c>
    </row>
    <row r="42" spans="1:3" x14ac:dyDescent="0.35">
      <c r="A42" t="s">
        <v>5070</v>
      </c>
      <c r="B42" s="347" t="s">
        <v>4852</v>
      </c>
      <c r="C42" t="str">
        <f>IF(AfsprakenCMV!C49&lt;&gt;0,AfsprakenCMV!C49,"")</f>
        <v/>
      </c>
    </row>
    <row r="43" spans="1:3" x14ac:dyDescent="0.35">
      <c r="A43" t="s">
        <v>5070</v>
      </c>
      <c r="B43" s="347" t="s">
        <v>4853</v>
      </c>
      <c r="C43" t="str">
        <f>IF(AfsprakenCMV!C50&lt;&gt;0,AfsprakenCMV!C50,"")</f>
        <v/>
      </c>
    </row>
    <row r="44" spans="1:3" x14ac:dyDescent="0.35">
      <c r="A44" t="s">
        <v>5070</v>
      </c>
      <c r="B44" s="347" t="s">
        <v>4854</v>
      </c>
      <c r="C44" t="str">
        <f>IF(AfsprakenCMV!C51&lt;&gt;0,AfsprakenCMV!C51,"")</f>
        <v/>
      </c>
    </row>
    <row r="45" spans="1:3" x14ac:dyDescent="0.35">
      <c r="A45" t="s">
        <v>5070</v>
      </c>
      <c r="B45" s="347" t="s">
        <v>4855</v>
      </c>
      <c r="C45" t="str">
        <f>IF(AfsprakenCMV!C52&lt;&gt;0,AfsprakenCMV!C52,"")</f>
        <v/>
      </c>
    </row>
    <row r="46" spans="1:3" x14ac:dyDescent="0.35">
      <c r="A46" t="s">
        <v>5070</v>
      </c>
      <c r="B46" s="347" t="s">
        <v>4856</v>
      </c>
      <c r="C46" t="str">
        <f>IF(AfsprakenCMV!C53&lt;&gt;0,AfsprakenCMV!C53,"")</f>
        <v/>
      </c>
    </row>
    <row r="47" spans="1:3" x14ac:dyDescent="0.35">
      <c r="A47" t="s">
        <v>5070</v>
      </c>
      <c r="B47" s="347" t="s">
        <v>4857</v>
      </c>
      <c r="C47" t="str">
        <f>IF(AfsprakenCMV!C54&lt;&gt;0,AfsprakenCMV!C54,"")</f>
        <v/>
      </c>
    </row>
    <row r="48" spans="1:3" x14ac:dyDescent="0.35">
      <c r="A48" t="s">
        <v>5070</v>
      </c>
      <c r="B48" s="347" t="s">
        <v>4858</v>
      </c>
      <c r="C48" t="str">
        <f>IF(AfsprakenCMV!C56&lt;&gt;0,"Opmerkingen: "&amp;AfsprakenCMV!C56,"")</f>
        <v/>
      </c>
    </row>
    <row r="49" spans="1:3" x14ac:dyDescent="0.35">
      <c r="A49" t="s">
        <v>5071</v>
      </c>
      <c r="B49" s="347" t="s">
        <v>4852</v>
      </c>
      <c r="C49" t="str">
        <f>IF(AfsprakenCMV!C72&lt;&gt;0,AfsprakenCMV!C72,"")</f>
        <v/>
      </c>
    </row>
    <row r="50" spans="1:3" x14ac:dyDescent="0.35">
      <c r="A50" t="s">
        <v>5071</v>
      </c>
      <c r="B50" s="347" t="s">
        <v>4853</v>
      </c>
      <c r="C50" t="str">
        <f>IF(AfsprakenCMV!C73&lt;&gt;0,AfsprakenCMV!C73,"")</f>
        <v/>
      </c>
    </row>
    <row r="51" spans="1:3" x14ac:dyDescent="0.35">
      <c r="A51" t="s">
        <v>5071</v>
      </c>
      <c r="B51" s="347" t="s">
        <v>4854</v>
      </c>
      <c r="C51" t="str">
        <f>IF(AfsprakenCMV!C74&lt;&gt;0,AfsprakenCMV!C74,"")</f>
        <v/>
      </c>
    </row>
    <row r="52" spans="1:3" x14ac:dyDescent="0.35">
      <c r="A52" t="s">
        <v>5071</v>
      </c>
      <c r="B52" s="347" t="s">
        <v>4855</v>
      </c>
      <c r="C52" t="str">
        <f>IF(AfsprakenCMV!C75&lt;&gt;0,AfsprakenCMV!C75,"")</f>
        <v/>
      </c>
    </row>
    <row r="53" spans="1:3" x14ac:dyDescent="0.35">
      <c r="A53" t="s">
        <v>5071</v>
      </c>
      <c r="B53" s="347" t="s">
        <v>4856</v>
      </c>
      <c r="C53" t="str">
        <f>IF(AfsprakenCMV!C76&lt;&gt;0,AfsprakenCMV!C76,"")</f>
        <v/>
      </c>
    </row>
    <row r="54" spans="1:3" x14ac:dyDescent="0.35">
      <c r="A54" t="s">
        <v>5071</v>
      </c>
      <c r="B54" s="347" t="s">
        <v>4857</v>
      </c>
      <c r="C54" t="str">
        <f>IF(AfsprakenCMV!C77&lt;&gt;0,AfsprakenCMV!C77,"")</f>
        <v/>
      </c>
    </row>
    <row r="55" spans="1:3" x14ac:dyDescent="0.35">
      <c r="A55" t="s">
        <v>5071</v>
      </c>
      <c r="B55" s="347" t="s">
        <v>4858</v>
      </c>
      <c r="C55" t="str">
        <f>IF(AfsprakenCMV!D100&lt;&gt;0,"Opmerkingen: "&amp;AfsprakenCMV!D100,"")</f>
        <v/>
      </c>
    </row>
    <row r="56" spans="1:3" x14ac:dyDescent="0.35">
      <c r="A56" t="s">
        <v>5072</v>
      </c>
      <c r="B56" s="347" t="s">
        <v>4852</v>
      </c>
      <c r="C56" t="str">
        <f>IF(AfsprakenCMV!E32&lt;&gt;"",AfsprakenCMV!E32&amp;": ","")&amp;IF(AfsprakenCMV!C33&lt;&gt;0,AfsprakenCMV!C33&amp;" ","")&amp;AfsprakenCMV!E33&amp;IF(AfsprakenCMV!F33&lt;&gt;""," "&amp;AfsprakenCMV!F33,"")&amp;IF(AfsprakenCMV!F34&lt;&gt;""," en "&amp;AfsprakenCMV!F34,"")&amp;IF(AfsprakenCMV!F35&lt;&gt;""," en "&amp;AfsprakenCMV!F35,"")</f>
        <v xml:space="preserve">Geen sonde:  </v>
      </c>
    </row>
    <row r="57" spans="1:3" x14ac:dyDescent="0.35">
      <c r="A57" t="s">
        <v>5072</v>
      </c>
      <c r="B57" s="347" t="s">
        <v>4853</v>
      </c>
      <c r="C57" t="str">
        <f>IF(AfsprakenCMV!D37&lt;&gt;0,"Opmerkingen: "&amp;AfsprakenCMV!D37,"")</f>
        <v/>
      </c>
    </row>
    <row r="58" spans="1:3" x14ac:dyDescent="0.35">
      <c r="A58" t="s">
        <v>5072</v>
      </c>
      <c r="B58" s="347" t="s">
        <v>4854</v>
      </c>
      <c r="C58" t="str">
        <f>IF(AfsprakenCMV!E103&lt;&gt;"",AfsprakenCMV!D103&amp;": "&amp;AfsprakenCMV!E103,"")&amp;IF(AfsprakenCMV!F104&lt;&gt;""," met "&amp;AfsprakenCMV!D104&amp;" "&amp;AfsprakenCMV!F104,"")&amp;IF(AfsprakenCMV!F106&lt;&gt;"",", "&amp;AfsprakenCMV!D106&amp;" "&amp;AfsprakenCMV!F106,"")&amp;IF(AfsprakenCMV!F107&lt;&gt;"",", "&amp;AfsprakenCMV!D107&amp;" "&amp;AfsprakenCMV!F107,"")&amp;IF(AfsprakenCMV!F108&lt;&gt; "",", "&amp;AfsprakenCMV!D108&amp;" "&amp;AfsprakenCMV!F108,"")&amp;IF(AfsprakenCMV!E105&lt;&gt; "",", "&amp;AfsprakenCMV!D105&amp;" "&amp;AfsprakenCMV!E105,"")</f>
        <v/>
      </c>
    </row>
    <row r="59" spans="1:3" x14ac:dyDescent="0.35">
      <c r="A59" t="s">
        <v>5072</v>
      </c>
      <c r="B59" s="347" t="s">
        <v>4855</v>
      </c>
      <c r="C59" t="str">
        <f>IF(AfsprakenCMV!E110&lt;&gt;"",AfsprakenCMV!D110&amp;": "&amp;AfsprakenCMV!E110,"")&amp;IF(AfsprakenCMV!F111&lt;&gt;"",", "&amp;AfsprakenCMV!D111&amp;" "&amp;AfsprakenCMV!F111,"")&amp;IF(AfsprakenCMV!F112&lt;&gt;"",", "&amp;AfsprakenCMV!D112&amp;" "&amp;AfsprakenCMV!F112,"")&amp;IF(AfsprakenCMV!F113&lt;&gt;"",", "&amp;AfsprakenCMV!D113&amp;" "&amp;AfsprakenCMV!F113,"")&amp;IF(AfsprakenCMV!F114&lt;&gt;"",", "&amp;AfsprakenCMV!D114&amp;" "&amp;AfsprakenCMV!F114,"")&amp;IF(AfsprakenCMV!F115&lt;&gt;"",", "&amp;AfsprakenCMV!D115&amp;" "&amp;AfsprakenCMV!F115,"")&amp;IF(AfsprakenCMV!F116&lt;&gt;"",", "&amp;AfsprakenCMV!D116&amp;" "&amp;AfsprakenCMV!F116,"")</f>
        <v/>
      </c>
    </row>
    <row r="60" spans="1:3" x14ac:dyDescent="0.35">
      <c r="A60" t="s">
        <v>5072</v>
      </c>
      <c r="B60" s="347" t="s">
        <v>4856</v>
      </c>
      <c r="C60" t="str">
        <f>IF(AfsprakenCMV!E118&lt;&gt;" ",AfsprakenCMV!D118&amp;": "&amp;AfsprakenCMV!E118,"")</f>
        <v/>
      </c>
    </row>
    <row r="61" spans="1:3" x14ac:dyDescent="0.35">
      <c r="A61" t="s">
        <v>5072</v>
      </c>
      <c r="B61" s="347" t="s">
        <v>4857</v>
      </c>
      <c r="C61" t="str">
        <f>IF(AfsprakenCMV!E120&lt;&gt;"",AfsprakenCMV!D120&amp;": "&amp;AfsprakenCMV!E120,"")&amp;IF(AfsprakenCMV!F121&lt;&gt;"",", "&amp;AfsprakenCMV!D121&amp;" "&amp;AfsprakenCMV!F121,"")&amp;IF(AfsprakenCMV!F122&lt;&gt;"",", "&amp;AfsprakenCMV!D122&amp;" "&amp;AfsprakenCMV!F122,"")&amp;IF(AfsprakenCMV!F123&lt;&gt;"",", "&amp;AfsprakenCMV!D123&amp;" "&amp;AfsprakenCMV!F123,"")</f>
        <v/>
      </c>
    </row>
    <row r="62" spans="1:3" x14ac:dyDescent="0.35">
      <c r="A62" t="s">
        <v>5072</v>
      </c>
      <c r="B62" s="347" t="s">
        <v>4858</v>
      </c>
      <c r="C62" t="str">
        <f>IF(AfsprakenCMV!I103&lt;&gt;"",AfsprakenCMV!H103&amp;": "&amp;AfsprakenCMV!I103,"")&amp;IF(AfsprakenCMV!J104&lt;&gt;"",", "&amp;AfsprakenCMV!H104&amp;" "&amp;AfsprakenCMV!J104,"")&amp;IF(AfsprakenCMV!J105&lt;&gt;"",", "&amp;AfsprakenCMV!H105&amp;" "&amp;AfsprakenCMV!J105,"")&amp;IF(AfsprakenCMV!J106&lt;&gt;"",", "&amp;AfsprakenCMV!H106&amp;" "&amp;AfsprakenCMV!J106,"")</f>
        <v/>
      </c>
    </row>
    <row r="63" spans="1:3" x14ac:dyDescent="0.35">
      <c r="A63" t="s">
        <v>5072</v>
      </c>
      <c r="B63" s="348" t="s">
        <v>4859</v>
      </c>
      <c r="C63" t="str">
        <f>IF(Intake!D29&lt;&gt;0,"Opmerkingen: "&amp;Intake!D29,"")</f>
        <v/>
      </c>
    </row>
    <row r="64" spans="1:3" x14ac:dyDescent="0.35">
      <c r="A64" t="s">
        <v>1553</v>
      </c>
      <c r="B64" s="347" t="s">
        <v>4852</v>
      </c>
      <c r="C64" t="str">
        <f>IF(AfsprakenCMV!D40&lt;&gt;"",AfsprakenCMV!C40&amp;": "&amp;AfsprakenCMV!D40,"")</f>
        <v/>
      </c>
    </row>
    <row r="65" spans="1:3" x14ac:dyDescent="0.35">
      <c r="A65" t="s">
        <v>1553</v>
      </c>
      <c r="B65" s="347" t="s">
        <v>4853</v>
      </c>
      <c r="C65" t="str">
        <f>IF(AfsprakenCMV!D41&lt;&gt;"",AfsprakenCMV!C41&amp;": "&amp;AfsprakenCMV!D41,"")</f>
        <v/>
      </c>
    </row>
    <row r="66" spans="1:3" x14ac:dyDescent="0.35">
      <c r="A66" t="s">
        <v>1553</v>
      </c>
      <c r="B66" s="347" t="s">
        <v>4854</v>
      </c>
      <c r="C66" t="str">
        <f>IF(AfsprakenCMV!D42&lt;&gt;"",AfsprakenCMV!C42&amp;": "&amp;AfsprakenCMV!D42,"")</f>
        <v/>
      </c>
    </row>
    <row r="67" spans="1:3" x14ac:dyDescent="0.35">
      <c r="A67" t="s">
        <v>1553</v>
      </c>
      <c r="B67" s="347" t="s">
        <v>4855</v>
      </c>
      <c r="C67" t="str">
        <f>IF(AfsprakenCMV!D43&lt;&gt;"",AfsprakenCMV!C43&amp;": "&amp;AfsprakenCMV!D43,"")</f>
        <v/>
      </c>
    </row>
    <row r="68" spans="1:3" x14ac:dyDescent="0.35">
      <c r="A68" t="s">
        <v>1553</v>
      </c>
      <c r="B68" s="347" t="s">
        <v>4856</v>
      </c>
      <c r="C68" t="str">
        <f>IF(AfsprakenCMV!D44&lt;&gt;"",AfsprakenCMV!C44&amp;": "&amp;AfsprakenCMV!D44,"")</f>
        <v/>
      </c>
    </row>
    <row r="69" spans="1:3" x14ac:dyDescent="0.35">
      <c r="A69" t="s">
        <v>1553</v>
      </c>
      <c r="B69" s="347" t="s">
        <v>4857</v>
      </c>
      <c r="C69" t="str">
        <f>IF(AfsprakenCMV!D45&lt;&gt;0,AfsprakenCMV!C45&amp;": "&amp;AfsprakenCMV!D45,"")</f>
        <v/>
      </c>
    </row>
    <row r="70" spans="1:3" x14ac:dyDescent="0.35">
      <c r="A70" t="s">
        <v>3501</v>
      </c>
      <c r="B70" s="347" t="s">
        <v>4852</v>
      </c>
      <c r="C70" t="str">
        <f>AfsprakenCMV!C129&amp;": "&amp;AfsprakenCMV!D129</f>
        <v>Vocht: 0 ml/kg</v>
      </c>
    </row>
    <row r="71" spans="1:3" x14ac:dyDescent="0.35">
      <c r="A71" t="s">
        <v>3501</v>
      </c>
      <c r="B71" s="347" t="s">
        <v>4853</v>
      </c>
      <c r="C71" t="str">
        <f>AfsprakenCMV!C130&amp;": "&amp;AfsprakenCMV!D130</f>
        <v>Eiwit: 0  gram/kg</v>
      </c>
    </row>
    <row r="72" spans="1:3" x14ac:dyDescent="0.35">
      <c r="A72" t="s">
        <v>3501</v>
      </c>
      <c r="B72" s="347" t="s">
        <v>4854</v>
      </c>
      <c r="C72" t="str">
        <f>AfsprakenCMV!C131&amp;": "&amp;AfsprakenCMV!D131</f>
        <v>Glucose/KH: 0 g/kg</v>
      </c>
    </row>
    <row r="73" spans="1:3" x14ac:dyDescent="0.35">
      <c r="A73" t="s">
        <v>3501</v>
      </c>
      <c r="B73" s="347" t="s">
        <v>4855</v>
      </c>
      <c r="C73" t="str">
        <f>AfsprakenCMV!E129&amp;": "&amp;AfsprakenCMV!F129</f>
        <v>Calorieen: 0 kCal/kg</v>
      </c>
    </row>
    <row r="74" spans="1:3" x14ac:dyDescent="0.35">
      <c r="A74" t="s">
        <v>3501</v>
      </c>
      <c r="B74" s="347" t="s">
        <v>4856</v>
      </c>
      <c r="C74" t="str">
        <f>AfsprakenCMV!E130&amp;": "&amp;AfsprakenCMV!F130</f>
        <v>Vet: 0 gram/kg</v>
      </c>
    </row>
    <row r="75" spans="1:3" x14ac:dyDescent="0.35">
      <c r="A75" t="s">
        <v>3501</v>
      </c>
      <c r="B75" s="347" t="s">
        <v>4857</v>
      </c>
      <c r="C75" t="str">
        <f>AfsprakenCMV!G129&amp;": "&amp;AfsprakenCMV!H129</f>
        <v>Kalium: 0 mmol/kg</v>
      </c>
    </row>
    <row r="76" spans="1:3" x14ac:dyDescent="0.35">
      <c r="A76" t="s">
        <v>3501</v>
      </c>
      <c r="B76" s="347" t="s">
        <v>4858</v>
      </c>
      <c r="C76" t="str">
        <f>AfsprakenCMV!G130&amp;": "&amp;AfsprakenCMV!H130</f>
        <v>Calcium: 0 mmol/kg</v>
      </c>
    </row>
    <row r="77" spans="1:3" x14ac:dyDescent="0.35">
      <c r="A77" t="s">
        <v>3501</v>
      </c>
      <c r="B77" s="347" t="s">
        <v>4859</v>
      </c>
      <c r="C77" t="str">
        <f>AfsprakenCMV!G131&amp;": "&amp;AfsprakenCMV!H131</f>
        <v>Magnesium: 0 mmol/kg</v>
      </c>
    </row>
    <row r="78" spans="1:3" x14ac:dyDescent="0.35">
      <c r="A78" t="s">
        <v>3501</v>
      </c>
      <c r="B78" s="347" t="s">
        <v>4860</v>
      </c>
      <c r="C78" t="str">
        <f>AfsprakenCMV!I129&amp;": "&amp;AfsprakenCMV!J129</f>
        <v>Natrium : 0 mmol/kg</v>
      </c>
    </row>
    <row r="79" spans="1:3" x14ac:dyDescent="0.35">
      <c r="A79" t="s">
        <v>3501</v>
      </c>
      <c r="B79" s="347">
        <v>10</v>
      </c>
      <c r="C79" t="str">
        <f>AfsprakenCMV!I130&amp;": "&amp;AfsprakenCMV!J130</f>
        <v>Fosfaat: 0 mmol/kg</v>
      </c>
    </row>
  </sheetData>
  <phoneticPr fontId="26"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icatieIV">
    <outlinePr showOutlineSymbols="0"/>
  </sheetPr>
  <dimension ref="A1:CC91"/>
  <sheetViews>
    <sheetView showGridLines="0" showRowColHeaders="0" showZeros="0" showOutlineSymbols="0" workbookViewId="0">
      <pane ySplit="4" topLeftCell="A5" activePane="bottomLeft" state="frozen"/>
      <selection pane="bottomLeft" activeCell="G38" sqref="G38"/>
    </sheetView>
  </sheetViews>
  <sheetFormatPr defaultColWidth="9.1328125" defaultRowHeight="12.85" x14ac:dyDescent="0.35"/>
  <cols>
    <col min="1" max="1" width="5.265625" style="20" customWidth="1"/>
    <col min="2" max="2" width="3.59765625" style="20" customWidth="1"/>
    <col min="3" max="3" width="16.86328125" style="20" customWidth="1"/>
    <col min="4" max="4" width="13.3984375" style="20" customWidth="1"/>
    <col min="5" max="5" width="11.1328125" style="20" customWidth="1"/>
    <col min="6" max="6" width="11" style="20" customWidth="1"/>
    <col min="7" max="7" width="16.59765625" style="20" customWidth="1"/>
    <col min="8" max="8" width="20.1328125" style="20" customWidth="1"/>
    <col min="9" max="9" width="9.1328125" style="20"/>
    <col min="10" max="10" width="10.73046875" style="20" bestFit="1" customWidth="1"/>
    <col min="11" max="16384" width="9.1328125" style="20"/>
  </cols>
  <sheetData>
    <row r="1" spans="1:81" ht="7.55" customHeight="1" x14ac:dyDescent="0.35">
      <c r="A1" s="201"/>
      <c r="B1" s="201"/>
      <c r="C1" s="201"/>
      <c r="D1" s="201"/>
      <c r="E1" s="201"/>
      <c r="F1" s="201"/>
      <c r="G1" s="201"/>
      <c r="H1" s="201"/>
      <c r="I1" s="201"/>
      <c r="J1" s="201"/>
      <c r="K1" s="201"/>
      <c r="L1" s="201"/>
      <c r="M1" s="201"/>
      <c r="N1" s="201"/>
      <c r="O1" s="201"/>
      <c r="P1" s="201"/>
      <c r="Q1" s="201"/>
      <c r="R1" s="201"/>
      <c r="S1" s="201"/>
      <c r="T1" s="201"/>
      <c r="U1" s="201"/>
      <c r="V1" s="201"/>
      <c r="W1" s="201"/>
      <c r="X1" s="201"/>
    </row>
    <row r="2" spans="1:81" ht="17.25" customHeight="1" x14ac:dyDescent="0.4">
      <c r="A2" s="201"/>
      <c r="B2" s="201"/>
      <c r="C2" s="217" t="s">
        <v>2977</v>
      </c>
      <c r="D2" s="218" t="e">
        <f ca="1">AfspraakDatum</f>
        <v>#NAME?</v>
      </c>
      <c r="E2" s="219"/>
      <c r="F2" s="217" t="s">
        <v>2978</v>
      </c>
      <c r="G2" s="201"/>
      <c r="H2" s="220">
        <f>OpnDatum</f>
        <v>41363</v>
      </c>
      <c r="I2" s="217" t="e">
        <f ca="1">"ICU-dag: "&amp;AfspraakDatum-OpnDatum+1</f>
        <v>#NAME?</v>
      </c>
      <c r="J2" s="217"/>
      <c r="K2" s="217"/>
      <c r="L2" s="217"/>
      <c r="M2" s="201"/>
      <c r="N2" s="201"/>
      <c r="O2" s="201"/>
      <c r="P2" s="201"/>
      <c r="Q2" s="201"/>
      <c r="R2" s="201"/>
      <c r="S2" s="201"/>
      <c r="T2" s="201"/>
      <c r="U2" s="201"/>
      <c r="V2" s="201"/>
      <c r="W2" s="201"/>
      <c r="X2" s="201"/>
    </row>
    <row r="3" spans="1:81" ht="17.25" customHeight="1" x14ac:dyDescent="0.4">
      <c r="A3" s="201"/>
      <c r="B3" s="216"/>
      <c r="C3" s="217" t="s">
        <v>288</v>
      </c>
      <c r="D3" s="221" t="str">
        <f>AchterNaam&amp;", "&amp;VoorNaam</f>
        <v>Achternaam, Voornaam</v>
      </c>
      <c r="E3" s="221"/>
      <c r="F3" s="217" t="s">
        <v>3073</v>
      </c>
      <c r="G3" s="201"/>
      <c r="H3" s="220">
        <f>GebDatum</f>
        <v>40909</v>
      </c>
      <c r="I3" s="222" t="str">
        <f>"Gewicht: "&amp;Gewicht/10&amp;" kg"</f>
        <v>Gewicht: 10 kg</v>
      </c>
      <c r="J3" s="217"/>
      <c r="K3" s="222" t="str">
        <f>"Lengte: "&amp;Lengte&amp;" cm"</f>
        <v>Lengte: 80 cm</v>
      </c>
      <c r="L3" s="217"/>
      <c r="M3" s="201"/>
      <c r="N3" s="201"/>
      <c r="O3" s="201"/>
      <c r="P3" s="201"/>
      <c r="Q3" s="201"/>
      <c r="R3" s="201"/>
      <c r="S3" s="201"/>
      <c r="T3" s="201"/>
      <c r="U3" s="201"/>
      <c r="V3" s="201"/>
      <c r="W3" s="201"/>
      <c r="X3" s="201"/>
    </row>
    <row r="4" spans="1:81" ht="17.25" customHeight="1" x14ac:dyDescent="0.4">
      <c r="A4" s="223"/>
      <c r="B4" s="223"/>
      <c r="C4" s="217" t="s">
        <v>3443</v>
      </c>
      <c r="D4" s="222">
        <f>PatNummer</f>
        <v>0</v>
      </c>
      <c r="E4" s="219"/>
      <c r="F4" s="217" t="s">
        <v>2746</v>
      </c>
      <c r="G4" s="223"/>
      <c r="H4" s="224" t="e">
        <f ca="1">TRUNC((AfspraakDatum-GebDatum)/365,0)&amp;" jaar en "&amp;TRUNC(((AfspraakDatum-GebDatum)-365*TRUNC((AfspraakDatum-GebDatum)/365,0))/30,0)&amp;" maand(-en)"</f>
        <v>#NAME?</v>
      </c>
      <c r="I4" s="217"/>
      <c r="J4" s="217" t="str">
        <f>"Lichamelijk oppervlak: "&amp;ROUND(POWER(Gewicht/10,0.425)*POWER(((Lengte/100)*100),0.725)*0.007184,2)&amp;" m2"</f>
        <v>Lichamelijk oppervlak: 0.46 m2</v>
      </c>
      <c r="K4" s="217"/>
      <c r="L4" s="217"/>
      <c r="M4" s="223"/>
      <c r="N4" s="223"/>
      <c r="O4" s="223"/>
      <c r="P4" s="223"/>
      <c r="Q4" s="223"/>
      <c r="R4" s="223"/>
      <c r="S4" s="223"/>
      <c r="T4" s="223"/>
      <c r="U4" s="223"/>
      <c r="V4" s="223"/>
      <c r="W4" s="223"/>
      <c r="X4" s="223"/>
      <c r="Y4" s="22"/>
      <c r="Z4" s="22"/>
      <c r="AA4" s="22"/>
      <c r="AB4" s="22"/>
      <c r="AC4" s="22"/>
      <c r="AD4" s="22"/>
      <c r="AE4" s="22"/>
      <c r="AF4" s="22"/>
      <c r="AG4" s="22"/>
      <c r="AH4" s="22"/>
      <c r="AI4" s="22"/>
      <c r="AJ4" s="22"/>
      <c r="AK4" s="22"/>
      <c r="AL4" s="22"/>
      <c r="AM4" s="22"/>
      <c r="AN4" s="22"/>
      <c r="AO4" s="22"/>
      <c r="AP4" s="22"/>
      <c r="AQ4" s="22"/>
      <c r="AR4" s="22"/>
      <c r="AS4" s="22"/>
      <c r="AT4" s="22"/>
      <c r="AU4" s="22"/>
      <c r="AV4" s="22"/>
      <c r="AW4" s="22"/>
      <c r="AX4" s="22"/>
      <c r="AY4" s="22"/>
      <c r="AZ4" s="22"/>
      <c r="BA4" s="22"/>
      <c r="BB4" s="22"/>
      <c r="BC4" s="22"/>
      <c r="BD4" s="22"/>
      <c r="BE4" s="22"/>
      <c r="BF4" s="22"/>
      <c r="BG4" s="22"/>
      <c r="BH4" s="22"/>
      <c r="BI4" s="22"/>
      <c r="BJ4" s="22"/>
      <c r="BK4" s="22"/>
      <c r="BL4" s="22"/>
      <c r="BM4" s="22"/>
      <c r="BN4" s="22"/>
      <c r="BO4" s="22"/>
      <c r="BP4" s="22"/>
      <c r="BQ4" s="22"/>
      <c r="BR4" s="22"/>
      <c r="BS4" s="22"/>
      <c r="BT4" s="22"/>
      <c r="BU4" s="22"/>
      <c r="BV4" s="22"/>
      <c r="BW4" s="22"/>
      <c r="BX4" s="22"/>
      <c r="BY4" s="22"/>
      <c r="BZ4" s="22"/>
      <c r="CA4" s="22"/>
      <c r="CB4" s="22"/>
      <c r="CC4" s="22"/>
    </row>
    <row r="5" spans="1:81" ht="13.2" x14ac:dyDescent="0.4">
      <c r="A5" s="223"/>
      <c r="B5" s="223"/>
      <c r="C5" s="122"/>
      <c r="D5" s="228"/>
      <c r="E5" s="109"/>
      <c r="F5" s="122"/>
      <c r="G5" s="229"/>
      <c r="H5" s="122"/>
      <c r="I5" s="122"/>
      <c r="J5" s="122"/>
      <c r="K5" s="122"/>
      <c r="L5" s="81"/>
      <c r="M5" s="81"/>
      <c r="N5" s="81"/>
      <c r="O5" s="81"/>
      <c r="P5" s="81"/>
      <c r="Q5" s="81"/>
      <c r="R5" s="81"/>
      <c r="S5" s="81"/>
      <c r="T5" s="81"/>
      <c r="U5" s="81"/>
      <c r="V5" s="81"/>
      <c r="W5" s="81"/>
      <c r="X5" s="81"/>
      <c r="Y5" s="22"/>
      <c r="Z5" s="22"/>
      <c r="AA5" s="21"/>
      <c r="AB5" s="21"/>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row>
    <row r="6" spans="1:81" ht="13.2" x14ac:dyDescent="0.4">
      <c r="A6" s="201"/>
      <c r="B6" s="223"/>
      <c r="C6" s="226" t="s">
        <v>3341</v>
      </c>
      <c r="D6" s="241" t="s">
        <v>2114</v>
      </c>
      <c r="E6" s="226" t="s">
        <v>1709</v>
      </c>
      <c r="F6" s="242"/>
      <c r="G6" s="226" t="s">
        <v>588</v>
      </c>
      <c r="H6" s="226" t="s">
        <v>3342</v>
      </c>
      <c r="I6" s="226" t="s">
        <v>3061</v>
      </c>
      <c r="J6" s="226" t="s">
        <v>3225</v>
      </c>
      <c r="K6" s="243"/>
      <c r="L6" s="226"/>
      <c r="M6" s="82"/>
      <c r="N6" s="82"/>
      <c r="O6" s="82"/>
      <c r="P6" s="82"/>
      <c r="Q6" s="82"/>
      <c r="R6" s="82"/>
      <c r="S6" s="82"/>
      <c r="T6" s="82"/>
      <c r="U6" s="82"/>
      <c r="V6" s="82"/>
      <c r="W6" s="82"/>
      <c r="X6" s="82"/>
      <c r="Z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22"/>
      <c r="BT6" s="22"/>
      <c r="BU6" s="22"/>
      <c r="BV6" s="22"/>
      <c r="BW6" s="22"/>
      <c r="BX6" s="22"/>
      <c r="BY6" s="22"/>
      <c r="BZ6" s="22"/>
      <c r="CA6" s="22"/>
      <c r="CB6" s="22"/>
      <c r="CC6" s="22"/>
    </row>
    <row r="7" spans="1:81" ht="6.8" customHeight="1" x14ac:dyDescent="0.35">
      <c r="A7" s="201"/>
      <c r="B7" s="223"/>
      <c r="C7" s="81"/>
      <c r="D7" s="81"/>
      <c r="E7" s="81"/>
      <c r="F7" s="81"/>
      <c r="G7" s="81"/>
      <c r="H7" s="81"/>
      <c r="I7" s="81"/>
      <c r="J7" s="81"/>
      <c r="K7" s="81"/>
      <c r="L7" s="81"/>
      <c r="M7" s="81"/>
      <c r="N7" s="81"/>
      <c r="O7" s="81"/>
      <c r="P7" s="81"/>
      <c r="Q7" s="81"/>
      <c r="R7" s="81"/>
      <c r="S7" s="81"/>
      <c r="T7" s="81"/>
      <c r="U7" s="81"/>
      <c r="V7" s="81"/>
      <c r="W7" s="81"/>
      <c r="X7" s="81"/>
      <c r="Z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c r="BJ7" s="22"/>
      <c r="BK7" s="22"/>
      <c r="BL7" s="22"/>
      <c r="BM7" s="22"/>
      <c r="BN7" s="22"/>
      <c r="BO7" s="22"/>
      <c r="BP7" s="22"/>
      <c r="BQ7" s="22"/>
      <c r="BR7" s="22"/>
      <c r="BS7" s="22"/>
      <c r="BT7" s="22"/>
      <c r="BU7" s="22"/>
      <c r="BV7" s="22"/>
      <c r="BW7" s="22"/>
      <c r="BX7" s="22"/>
      <c r="BY7" s="22"/>
      <c r="BZ7" s="22"/>
      <c r="CA7" s="22"/>
      <c r="CB7" s="22"/>
      <c r="CC7" s="22"/>
    </row>
    <row r="8" spans="1:81" ht="20.100000000000001" customHeight="1" x14ac:dyDescent="0.4">
      <c r="A8" s="201"/>
      <c r="B8" s="223">
        <v>1</v>
      </c>
      <c r="C8" s="230">
        <f>INDEX(tblDoseringen,ber_IVmed!$B31,1)</f>
        <v>0</v>
      </c>
      <c r="D8" s="244" t="str">
        <f>INDEX(tblDoseringen,ber_IVmed!$B31,2)&amp;" "&amp;INDEX(tblDoseringen,ber_IVmed!$B31,9)</f>
        <v xml:space="preserve"> </v>
      </c>
      <c r="E8" s="232" t="str">
        <f>IF(AND(C8&lt;&gt;0,INDEX(tblDoseringen,ber_IVmed!$B31,3)&lt;&gt;""),INDEX(tblDoseringen,ber_IVmed!$B31,3)&amp;" ml","")</f>
        <v/>
      </c>
      <c r="F8" s="225">
        <f>INDEX(tblOplossing,ber_IVmed!D31,1)</f>
        <v>0</v>
      </c>
      <c r="G8" s="232" t="str">
        <f>IF(C8&lt;&gt;0,ber_IVmed!E31/10&amp;" ml/uur","")</f>
        <v/>
      </c>
      <c r="H8" s="232" t="str">
        <f>IF(C8&lt;&gt;0,AC8&amp;" "&amp;INDEX(tblDoseringen,ber_IVmed!$B31,7),"")</f>
        <v/>
      </c>
      <c r="I8" s="233" t="str">
        <f>IF(C8&lt;&gt;0,24*ber_IVmed!E31/10&amp;" ml","")</f>
        <v/>
      </c>
      <c r="J8" s="256">
        <f>INDEX(tblDoseringen,ber_IVmed!$B31,8)</f>
        <v>0</v>
      </c>
      <c r="K8" s="233"/>
      <c r="L8" s="233"/>
      <c r="M8" s="81"/>
      <c r="N8" s="81"/>
      <c r="O8" s="81"/>
      <c r="P8" s="81"/>
      <c r="Q8" s="81"/>
      <c r="R8" s="81"/>
      <c r="S8" s="81"/>
      <c r="T8" s="81"/>
      <c r="U8" s="81"/>
      <c r="V8" s="81"/>
      <c r="W8" s="81"/>
      <c r="X8" s="81"/>
      <c r="Z8" s="22"/>
      <c r="AA8" s="20" t="b">
        <f>IF(C8&lt;&gt;0,INDEX(tblDoseringen,ber_IVmed!$B31,6)*(ber_IVmed!E31/10))</f>
        <v>0</v>
      </c>
      <c r="AB8" s="20">
        <f>IF(AA8&gt;=10,0,IF(AA8&gt;=1,1,IF(AA8&gt;=0,2,IF(AA8&gt;=0.1,3,IF(AA8&gt;=0.01,4,5)))))</f>
        <v>0</v>
      </c>
      <c r="AC8" s="20">
        <f>ROUND(AA8,AB8)</f>
        <v>0</v>
      </c>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c r="BJ8" s="22"/>
      <c r="BK8" s="22"/>
      <c r="BL8" s="22"/>
      <c r="BM8" s="22"/>
      <c r="BN8" s="22"/>
      <c r="BO8" s="22"/>
      <c r="BP8" s="22"/>
      <c r="BQ8" s="22"/>
      <c r="BR8" s="22"/>
      <c r="BS8" s="22"/>
      <c r="BT8" s="22"/>
      <c r="BU8" s="22"/>
      <c r="BV8" s="22"/>
      <c r="BW8" s="22"/>
      <c r="BX8" s="22"/>
      <c r="BY8" s="22"/>
      <c r="BZ8" s="22"/>
      <c r="CA8" s="22"/>
      <c r="CB8" s="22"/>
      <c r="CC8" s="22"/>
    </row>
    <row r="9" spans="1:81" ht="20.100000000000001" customHeight="1" x14ac:dyDescent="0.4">
      <c r="A9" s="201"/>
      <c r="B9" s="223">
        <v>2</v>
      </c>
      <c r="C9" s="230">
        <f>INDEX(tblDoseringen,ber_IVmed!$B32,1)</f>
        <v>0</v>
      </c>
      <c r="D9" s="244" t="str">
        <f>INDEX(tblDoseringen,ber_IVmed!$B32,2)&amp;" "&amp;INDEX(tblDoseringen,ber_IVmed!$B32,9)</f>
        <v xml:space="preserve"> </v>
      </c>
      <c r="E9" s="234" t="str">
        <f>IF(AND(C9&lt;&gt;0,INDEX(tblDoseringen,ber_IVmed!$B32,3)&lt;&gt;""),INDEX(tblDoseringen,ber_IVmed!$B32,3)&amp;" ml","")</f>
        <v/>
      </c>
      <c r="F9" s="225">
        <f>INDEX(tblOplossing,ber_IVmed!D32,1)</f>
        <v>0</v>
      </c>
      <c r="G9" s="234" t="str">
        <f>IF(C9&lt;&gt;0,ber_IVmed!E32/10&amp;" ml/uur","")</f>
        <v/>
      </c>
      <c r="H9" s="232" t="str">
        <f>IF(C9&lt;&gt;0,AC9&amp;" "&amp;INDEX(tblDoseringen,ber_IVmed!$B32,7),"")</f>
        <v/>
      </c>
      <c r="I9" s="235" t="str">
        <f>IF(C9&lt;&gt;0,24*ber_IVmed!E32/10&amp;" ml","")</f>
        <v/>
      </c>
      <c r="J9" s="257">
        <f>INDEX(tblDoseringen,ber_IVmed!$B32,8)</f>
        <v>0</v>
      </c>
      <c r="K9" s="235"/>
      <c r="L9" s="235"/>
      <c r="M9" s="81"/>
      <c r="N9" s="81"/>
      <c r="O9" s="81"/>
      <c r="P9" s="81"/>
      <c r="Q9" s="81"/>
      <c r="R9" s="81"/>
      <c r="S9" s="81"/>
      <c r="T9" s="81"/>
      <c r="U9" s="81"/>
      <c r="V9" s="81"/>
      <c r="W9" s="81"/>
      <c r="X9" s="81"/>
      <c r="Z9" s="22"/>
      <c r="AA9" s="20" t="b">
        <f>IF(C9&lt;&gt;0,INDEX(tblDoseringen,ber_IVmed!$B32,6)*(ber_IVmed!E32/10))</f>
        <v>0</v>
      </c>
      <c r="AB9" s="20">
        <f t="shared" ref="AB9:AB17" si="0">IF(AA9&gt;=10,0,IF(AA9&gt;=1,1,IF(AA9&gt;=0,2,IF(AA9&gt;=0.1,3,IF(AA9&gt;=0.01,4,5)))))</f>
        <v>0</v>
      </c>
      <c r="AC9" s="20">
        <f t="shared" ref="AC9:AC17" si="1">ROUND(AA9,AB9)</f>
        <v>0</v>
      </c>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c r="BJ9" s="22"/>
      <c r="BK9" s="22"/>
      <c r="BL9" s="22"/>
      <c r="BM9" s="22"/>
      <c r="BN9" s="22"/>
      <c r="BO9" s="22"/>
      <c r="BP9" s="22"/>
      <c r="BQ9" s="22"/>
      <c r="BR9" s="22"/>
      <c r="BS9" s="22"/>
      <c r="BT9" s="22"/>
      <c r="BU9" s="22"/>
      <c r="BV9" s="22"/>
      <c r="BW9" s="22"/>
      <c r="BX9" s="22"/>
      <c r="BY9" s="22"/>
      <c r="BZ9" s="22"/>
      <c r="CA9" s="22"/>
      <c r="CB9" s="22"/>
      <c r="CC9" s="22"/>
    </row>
    <row r="10" spans="1:81" ht="20.100000000000001" customHeight="1" x14ac:dyDescent="0.4">
      <c r="A10" s="201"/>
      <c r="B10" s="223">
        <v>3</v>
      </c>
      <c r="C10" s="230">
        <f>INDEX(tblDoseringen,ber_IVmed!$B33,1)</f>
        <v>0</v>
      </c>
      <c r="D10" s="244" t="str">
        <f>INDEX(tblDoseringen,ber_IVmed!$B33,2)&amp;" "&amp;INDEX(tblDoseringen,ber_IVmed!$B33,9)</f>
        <v xml:space="preserve"> </v>
      </c>
      <c r="E10" s="234" t="str">
        <f>IF(AND(C10&lt;&gt;0,INDEX(tblDoseringen,ber_IVmed!$B33,3)&lt;&gt;""),INDEX(tblDoseringen,ber_IVmed!$B33,3)&amp;" ml","")</f>
        <v/>
      </c>
      <c r="F10" s="225">
        <f>INDEX(tblOplossing,ber_IVmed!D33,1)</f>
        <v>0</v>
      </c>
      <c r="G10" s="234" t="str">
        <f>IF(C10&lt;&gt;0,ber_IVmed!E33/10&amp;" ml/uur","")</f>
        <v/>
      </c>
      <c r="H10" s="232" t="str">
        <f>IF(C10&lt;&gt;0,AC10&amp;" "&amp;INDEX(tblDoseringen,ber_IVmed!$B33,7),"")</f>
        <v/>
      </c>
      <c r="I10" s="235" t="str">
        <f>IF(C10&lt;&gt;0,24*ber_IVmed!E33/10&amp;" ml","")</f>
        <v/>
      </c>
      <c r="J10" s="257">
        <f>INDEX(tblDoseringen,ber_IVmed!$B33,8)</f>
        <v>0</v>
      </c>
      <c r="K10" s="235"/>
      <c r="L10" s="235"/>
      <c r="M10" s="81"/>
      <c r="N10" s="81"/>
      <c r="O10" s="81"/>
      <c r="P10" s="81"/>
      <c r="Q10" s="81"/>
      <c r="R10" s="81"/>
      <c r="S10" s="81"/>
      <c r="T10" s="81"/>
      <c r="U10" s="81"/>
      <c r="V10" s="81"/>
      <c r="W10" s="81"/>
      <c r="X10" s="81"/>
      <c r="Z10" s="22"/>
      <c r="AA10" s="20" t="b">
        <f>IF(C10&lt;&gt;0,INDEX(tblDoseringen,ber_IVmed!$B33,6)*(ber_IVmed!E33/10))</f>
        <v>0</v>
      </c>
      <c r="AB10" s="20">
        <f t="shared" si="0"/>
        <v>0</v>
      </c>
      <c r="AC10" s="20">
        <f t="shared" si="1"/>
        <v>0</v>
      </c>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c r="BJ10" s="22"/>
      <c r="BK10" s="22"/>
      <c r="BL10" s="22"/>
      <c r="BM10" s="22"/>
      <c r="BN10" s="22"/>
      <c r="BO10" s="22"/>
      <c r="BP10" s="22"/>
      <c r="BQ10" s="22"/>
      <c r="BR10" s="22"/>
      <c r="BS10" s="22"/>
      <c r="BT10" s="22"/>
      <c r="BU10" s="22"/>
      <c r="BV10" s="22"/>
      <c r="BW10" s="22"/>
      <c r="BX10" s="22"/>
      <c r="BY10" s="22"/>
      <c r="BZ10" s="22"/>
      <c r="CA10" s="22"/>
      <c r="CB10" s="22"/>
      <c r="CC10" s="22"/>
    </row>
    <row r="11" spans="1:81" ht="20.100000000000001" customHeight="1" x14ac:dyDescent="0.4">
      <c r="A11" s="201"/>
      <c r="B11" s="223">
        <v>4</v>
      </c>
      <c r="C11" s="230">
        <f>INDEX(tblDoseringen,ber_IVmed!$B34,1)</f>
        <v>0</v>
      </c>
      <c r="D11" s="244" t="str">
        <f>INDEX(tblDoseringen,ber_IVmed!$B34,2)&amp;" "&amp;INDEX(tblDoseringen,ber_IVmed!$B34,9)</f>
        <v xml:space="preserve"> </v>
      </c>
      <c r="E11" s="234" t="str">
        <f>IF(AND(C11&lt;&gt;0,INDEX(tblDoseringen,ber_IVmed!$B34,3)&lt;&gt;""),INDEX(tblDoseringen,ber_IVmed!$B34,3)&amp;" ml","")</f>
        <v/>
      </c>
      <c r="F11" s="225">
        <f>INDEX(tblOplossing,ber_IVmed!D34,1)</f>
        <v>0</v>
      </c>
      <c r="G11" s="234" t="str">
        <f>IF(C11&lt;&gt;0,ber_IVmed!E34/10&amp;" ml/uur","")</f>
        <v/>
      </c>
      <c r="H11" s="232" t="str">
        <f>IF(C11&lt;&gt;0,AC11&amp;" "&amp;INDEX(tblDoseringen,ber_IVmed!$B34,7),"")</f>
        <v/>
      </c>
      <c r="I11" s="235" t="str">
        <f>IF(C11&lt;&gt;0,24*ber_IVmed!E34/10&amp;" ml","")</f>
        <v/>
      </c>
      <c r="J11" s="257">
        <f>INDEX(tblDoseringen,ber_IVmed!$B34,8)</f>
        <v>0</v>
      </c>
      <c r="K11" s="235"/>
      <c r="L11" s="235"/>
      <c r="M11" s="81"/>
      <c r="N11" s="81"/>
      <c r="O11" s="81"/>
      <c r="P11" s="81"/>
      <c r="Q11" s="81"/>
      <c r="R11" s="81"/>
      <c r="S11" s="81"/>
      <c r="T11" s="81"/>
      <c r="U11" s="81"/>
      <c r="V11" s="81"/>
      <c r="W11" s="81"/>
      <c r="X11" s="81"/>
      <c r="Z11" s="22"/>
      <c r="AA11" s="20" t="b">
        <f>IF(C11&lt;&gt;0,INDEX(tblDoseringen,ber_IVmed!$B34,6)*(ber_IVmed!E34/10))</f>
        <v>0</v>
      </c>
      <c r="AB11" s="20">
        <f t="shared" si="0"/>
        <v>0</v>
      </c>
      <c r="AC11" s="20">
        <f t="shared" si="1"/>
        <v>0</v>
      </c>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row>
    <row r="12" spans="1:81" ht="20.100000000000001" customHeight="1" x14ac:dyDescent="0.4">
      <c r="A12" s="201"/>
      <c r="B12" s="223">
        <v>5</v>
      </c>
      <c r="C12" s="230">
        <f>INDEX(tblDoseringen,ber_IVmed!$B35,1)</f>
        <v>0</v>
      </c>
      <c r="D12" s="244" t="str">
        <f>INDEX(tblDoseringen,ber_IVmed!$B35,2)&amp;" "&amp;INDEX(tblDoseringen,ber_IVmed!$B35,9)</f>
        <v xml:space="preserve"> </v>
      </c>
      <c r="E12" s="234" t="str">
        <f>IF(AND(C12&lt;&gt;0,INDEX(tblDoseringen,ber_IVmed!$B35,3)&lt;&gt;""),INDEX(tblDoseringen,ber_IVmed!$B35,3)&amp;" ml","")</f>
        <v/>
      </c>
      <c r="F12" s="225">
        <f>INDEX(tblOplossing,ber_IVmed!D35,1)</f>
        <v>0</v>
      </c>
      <c r="G12" s="234" t="str">
        <f>IF(C12&lt;&gt;0,ber_IVmed!E35/10&amp;" ml/uur","")</f>
        <v/>
      </c>
      <c r="H12" s="232" t="str">
        <f>IF(C12&lt;&gt;0,AC12&amp;" "&amp;INDEX(tblDoseringen,ber_IVmed!$B35,7),"")</f>
        <v/>
      </c>
      <c r="I12" s="235" t="str">
        <f>IF(C12&lt;&gt;0,24*ber_IVmed!E35/10&amp;" ml","")</f>
        <v/>
      </c>
      <c r="J12" s="257">
        <f>INDEX(tblDoseringen,ber_IVmed!$B35,8)</f>
        <v>0</v>
      </c>
      <c r="K12" s="235"/>
      <c r="L12" s="235"/>
      <c r="M12" s="81"/>
      <c r="N12" s="81"/>
      <c r="O12" s="81"/>
      <c r="P12" s="81"/>
      <c r="Q12" s="81"/>
      <c r="R12" s="81"/>
      <c r="S12" s="81"/>
      <c r="T12" s="81"/>
      <c r="U12" s="81"/>
      <c r="V12" s="81"/>
      <c r="W12" s="81"/>
      <c r="X12" s="81"/>
      <c r="Z12" s="22"/>
      <c r="AA12" s="20" t="b">
        <f>IF(C12&lt;&gt;0,INDEX(tblDoseringen,ber_IVmed!$B35,6)*(ber_IVmed!E35/10))</f>
        <v>0</v>
      </c>
      <c r="AB12" s="20">
        <f t="shared" si="0"/>
        <v>0</v>
      </c>
      <c r="AC12" s="20">
        <f t="shared" si="1"/>
        <v>0</v>
      </c>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c r="BJ12" s="22"/>
      <c r="BK12" s="22"/>
      <c r="BL12" s="22"/>
      <c r="BM12" s="22"/>
      <c r="BN12" s="22"/>
      <c r="BO12" s="22"/>
      <c r="BP12" s="22"/>
      <c r="BQ12" s="22"/>
      <c r="BR12" s="22"/>
      <c r="BS12" s="22"/>
      <c r="BT12" s="22"/>
      <c r="BU12" s="22"/>
      <c r="BV12" s="22"/>
      <c r="BW12" s="22"/>
      <c r="BX12" s="22"/>
      <c r="BY12" s="22"/>
      <c r="BZ12" s="22"/>
      <c r="CA12" s="22"/>
      <c r="CB12" s="22"/>
      <c r="CC12" s="22"/>
    </row>
    <row r="13" spans="1:81" ht="20.100000000000001" customHeight="1" x14ac:dyDescent="0.4">
      <c r="A13" s="201"/>
      <c r="B13" s="223">
        <v>6</v>
      </c>
      <c r="C13" s="230">
        <f>INDEX(tblDoseringen,ber_IVmed!$B36,1)</f>
        <v>0</v>
      </c>
      <c r="D13" s="244" t="str">
        <f>INDEX(tblDoseringen,ber_IVmed!$B36,2)&amp;" "&amp;INDEX(tblDoseringen,ber_IVmed!$B36,9)</f>
        <v xml:space="preserve"> </v>
      </c>
      <c r="E13" s="234" t="str">
        <f>IF(AND(C13&lt;&gt;0,INDEX(tblDoseringen,ber_IVmed!$B36,3)&lt;&gt;""),INDEX(tblDoseringen,ber_IVmed!$B36,3)&amp;" ml","")</f>
        <v/>
      </c>
      <c r="F13" s="225">
        <f>INDEX(tblOplossing,ber_IVmed!D36,1)</f>
        <v>0</v>
      </c>
      <c r="G13" s="234" t="str">
        <f>IF(C13&lt;&gt;0,ber_IVmed!E36/10&amp;" ml/uur","")</f>
        <v/>
      </c>
      <c r="H13" s="232" t="str">
        <f>IF(C13&lt;&gt;0,AC13&amp;" "&amp;INDEX(tblDoseringen,ber_IVmed!$B36,7),"")</f>
        <v/>
      </c>
      <c r="I13" s="235" t="str">
        <f>IF(C13&lt;&gt;0,24*ber_IVmed!E36/10&amp;" ml","")</f>
        <v/>
      </c>
      <c r="J13" s="257">
        <f>INDEX(tblDoseringen,ber_IVmed!$B36,8)</f>
        <v>0</v>
      </c>
      <c r="K13" s="235"/>
      <c r="L13" s="235"/>
      <c r="M13" s="81"/>
      <c r="N13" s="81"/>
      <c r="O13" s="81"/>
      <c r="P13" s="81"/>
      <c r="Q13" s="81"/>
      <c r="R13" s="81"/>
      <c r="S13" s="81"/>
      <c r="T13" s="81"/>
      <c r="U13" s="81"/>
      <c r="V13" s="81"/>
      <c r="W13" s="81"/>
      <c r="X13" s="81"/>
      <c r="Z13" s="22"/>
      <c r="AA13" s="20" t="b">
        <f>IF(C13&lt;&gt;0,INDEX(tblDoseringen,ber_IVmed!$B36,6)*(ber_IVmed!E36/10))</f>
        <v>0</v>
      </c>
      <c r="AB13" s="20">
        <f t="shared" si="0"/>
        <v>0</v>
      </c>
      <c r="AC13" s="20">
        <f t="shared" si="1"/>
        <v>0</v>
      </c>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c r="BJ13" s="22"/>
      <c r="BK13" s="22"/>
      <c r="BL13" s="22"/>
      <c r="BM13" s="22"/>
      <c r="BN13" s="22"/>
      <c r="BO13" s="22"/>
      <c r="BP13" s="22"/>
      <c r="BQ13" s="22"/>
      <c r="BR13" s="22"/>
      <c r="BS13" s="22"/>
      <c r="BT13" s="22"/>
      <c r="BU13" s="22"/>
      <c r="BV13" s="22"/>
      <c r="BW13" s="22"/>
      <c r="BX13" s="22"/>
      <c r="BY13" s="22"/>
      <c r="BZ13" s="22"/>
      <c r="CA13" s="22"/>
      <c r="CB13" s="22"/>
      <c r="CC13" s="22"/>
    </row>
    <row r="14" spans="1:81" ht="20.100000000000001" customHeight="1" x14ac:dyDescent="0.4">
      <c r="A14" s="201"/>
      <c r="B14" s="223">
        <v>7</v>
      </c>
      <c r="C14" s="230">
        <f>INDEX(tblDoseringen,ber_IVmed!$B37,1)</f>
        <v>0</v>
      </c>
      <c r="D14" s="244" t="str">
        <f>INDEX(tblDoseringen,ber_IVmed!$B37,2)&amp;" "&amp;INDEX(tblDoseringen,ber_IVmed!$B37,9)</f>
        <v xml:space="preserve"> </v>
      </c>
      <c r="E14" s="234" t="str">
        <f>IF(AND(C14&lt;&gt;0,INDEX(tblDoseringen,ber_IVmed!$B37,3)&lt;&gt;""),INDEX(tblDoseringen,ber_IVmed!$B37,3)&amp;" ml","")</f>
        <v/>
      </c>
      <c r="F14" s="225">
        <f>INDEX(tblOplossing,ber_IVmed!D37,1)</f>
        <v>0</v>
      </c>
      <c r="G14" s="234" t="str">
        <f>IF(C14&lt;&gt;0,ber_IVmed!E37/10&amp;" ml/uur","")</f>
        <v/>
      </c>
      <c r="H14" s="232" t="str">
        <f>IF(C14&lt;&gt;0,AC14&amp;" "&amp;INDEX(tblDoseringen,ber_IVmed!$B37,7),"")</f>
        <v/>
      </c>
      <c r="I14" s="235" t="str">
        <f>IF(C14&lt;&gt;0,24*ber_IVmed!E37/10&amp;" ml","")</f>
        <v/>
      </c>
      <c r="J14" s="257">
        <f>INDEX(tblDoseringen,ber_IVmed!$B37,8)</f>
        <v>0</v>
      </c>
      <c r="K14" s="235"/>
      <c r="L14" s="235"/>
      <c r="M14" s="81"/>
      <c r="N14" s="81"/>
      <c r="O14" s="81"/>
      <c r="P14" s="81"/>
      <c r="Q14" s="81"/>
      <c r="R14" s="81"/>
      <c r="S14" s="81"/>
      <c r="T14" s="81"/>
      <c r="U14" s="81"/>
      <c r="V14" s="81"/>
      <c r="W14" s="81"/>
      <c r="X14" s="81"/>
      <c r="Z14" s="22"/>
      <c r="AA14" s="20" t="b">
        <f>IF(C14&lt;&gt;0,INDEX(tblDoseringen,ber_IVmed!$B37,6)*(ber_IVmed!E37/10))</f>
        <v>0</v>
      </c>
      <c r="AB14" s="20">
        <f t="shared" si="0"/>
        <v>0</v>
      </c>
      <c r="AC14" s="20">
        <f t="shared" si="1"/>
        <v>0</v>
      </c>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c r="BJ14" s="22"/>
      <c r="BK14" s="22"/>
      <c r="BL14" s="22"/>
      <c r="BM14" s="22"/>
      <c r="BN14" s="22"/>
      <c r="BO14" s="22"/>
      <c r="BP14" s="22"/>
      <c r="BQ14" s="22"/>
      <c r="BR14" s="22"/>
      <c r="BS14" s="22"/>
      <c r="BT14" s="22"/>
      <c r="BU14" s="22"/>
      <c r="BV14" s="22"/>
      <c r="BW14" s="22"/>
      <c r="BX14" s="22"/>
      <c r="BY14" s="22"/>
      <c r="BZ14" s="22"/>
      <c r="CA14" s="22"/>
      <c r="CB14" s="22"/>
      <c r="CC14" s="22"/>
    </row>
    <row r="15" spans="1:81" ht="20.100000000000001" customHeight="1" x14ac:dyDescent="0.4">
      <c r="A15" s="201"/>
      <c r="B15" s="223">
        <v>8</v>
      </c>
      <c r="C15" s="230">
        <f>INDEX(tblDoseringen,ber_IVmed!$B38,1)</f>
        <v>0</v>
      </c>
      <c r="D15" s="244" t="str">
        <f>INDEX(tblDoseringen,ber_IVmed!$B38,2)&amp;" "&amp;INDEX(tblDoseringen,ber_IVmed!$B38,9)</f>
        <v xml:space="preserve"> </v>
      </c>
      <c r="E15" s="234" t="str">
        <f>IF(AND(C15&lt;&gt;0,INDEX(tblDoseringen,ber_IVmed!$B38,3)&lt;&gt;""),INDEX(tblDoseringen,ber_IVmed!$B38,3)&amp;" ml","")</f>
        <v/>
      </c>
      <c r="F15" s="225">
        <f>INDEX(tblOplossing,ber_IVmed!D38,1)</f>
        <v>0</v>
      </c>
      <c r="G15" s="234" t="str">
        <f>IF(C15&lt;&gt;0,ber_IVmed!E38/10&amp;" ml/uur","")</f>
        <v/>
      </c>
      <c r="H15" s="232" t="str">
        <f>IF(C15&lt;&gt;0,AC15&amp;" "&amp;INDEX(tblDoseringen,ber_IVmed!$B38,7),"")</f>
        <v/>
      </c>
      <c r="I15" s="235" t="str">
        <f>IF(C15&lt;&gt;0,24*ber_IVmed!E38/10&amp;" ml","")</f>
        <v/>
      </c>
      <c r="J15" s="257">
        <f>INDEX(tblDoseringen,ber_IVmed!$B38,8)</f>
        <v>0</v>
      </c>
      <c r="K15" s="235"/>
      <c r="L15" s="235"/>
      <c r="M15" s="81"/>
      <c r="N15" s="81"/>
      <c r="O15" s="81"/>
      <c r="P15" s="81"/>
      <c r="Q15" s="81"/>
      <c r="R15" s="81"/>
      <c r="S15" s="81"/>
      <c r="T15" s="81"/>
      <c r="U15" s="81"/>
      <c r="V15" s="81"/>
      <c r="W15" s="81"/>
      <c r="X15" s="81"/>
      <c r="Z15" s="22"/>
      <c r="AA15" s="20" t="b">
        <f>IF(C15&lt;&gt;0,INDEX(tblDoseringen,ber_IVmed!$B38,6)*(ber_IVmed!E38/10))</f>
        <v>0</v>
      </c>
      <c r="AB15" s="20">
        <f t="shared" si="0"/>
        <v>0</v>
      </c>
      <c r="AC15" s="20">
        <f t="shared" si="1"/>
        <v>0</v>
      </c>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c r="BJ15" s="22"/>
      <c r="BK15" s="22"/>
      <c r="BL15" s="22"/>
      <c r="BM15" s="22"/>
      <c r="BN15" s="22"/>
      <c r="BO15" s="22"/>
      <c r="BP15" s="22"/>
      <c r="BQ15" s="22"/>
      <c r="BR15" s="22"/>
      <c r="BS15" s="22"/>
      <c r="BT15" s="22"/>
      <c r="BU15" s="22"/>
      <c r="BV15" s="22"/>
      <c r="BW15" s="22"/>
      <c r="BX15" s="22"/>
      <c r="BY15" s="22"/>
      <c r="BZ15" s="22"/>
      <c r="CA15" s="22"/>
      <c r="CB15" s="22"/>
      <c r="CC15" s="22"/>
    </row>
    <row r="16" spans="1:81" ht="20.100000000000001" customHeight="1" x14ac:dyDescent="0.4">
      <c r="A16" s="201"/>
      <c r="B16" s="223">
        <v>9</v>
      </c>
      <c r="C16" s="230">
        <f>INDEX(tblDoseringen,ber_IVmed!$B39,1)</f>
        <v>0</v>
      </c>
      <c r="D16" s="244" t="str">
        <f>INDEX(tblDoseringen,ber_IVmed!$B39,2)&amp;" "&amp;INDEX(tblDoseringen,ber_IVmed!$B39,9)</f>
        <v xml:space="preserve"> </v>
      </c>
      <c r="E16" s="234" t="str">
        <f>IF(AND(C16&lt;&gt;0,INDEX(tblDoseringen,ber_IVmed!$B39,3)&lt;&gt;""),INDEX(tblDoseringen,ber_IVmed!$B39,3)&amp;" ml","")</f>
        <v/>
      </c>
      <c r="F16" s="225">
        <f>INDEX(tblOplossing,ber_IVmed!D39,1)</f>
        <v>0</v>
      </c>
      <c r="G16" s="234" t="str">
        <f>IF(C16&lt;&gt;0,ber_IVmed!E39/10&amp;" ml/uur","")</f>
        <v/>
      </c>
      <c r="H16" s="232" t="str">
        <f>IF(C16&lt;&gt;0,AC16&amp;" "&amp;INDEX(tblDoseringen,ber_IVmed!$B39,7),"")</f>
        <v/>
      </c>
      <c r="I16" s="235" t="str">
        <f>IF(C16&lt;&gt;0,24*ber_IVmed!E39/10&amp;" ml","")</f>
        <v/>
      </c>
      <c r="J16" s="257">
        <f>INDEX(tblDoseringen,ber_IVmed!$B39,8)</f>
        <v>0</v>
      </c>
      <c r="K16" s="235"/>
      <c r="L16" s="235"/>
      <c r="M16" s="81"/>
      <c r="N16" s="81"/>
      <c r="O16" s="81"/>
      <c r="P16" s="81"/>
      <c r="Q16" s="81"/>
      <c r="R16" s="81"/>
      <c r="S16" s="81"/>
      <c r="T16" s="81"/>
      <c r="U16" s="81"/>
      <c r="V16" s="81"/>
      <c r="W16" s="81"/>
      <c r="X16" s="81"/>
      <c r="Z16" s="22"/>
      <c r="AA16" s="20" t="b">
        <f>IF(C16&lt;&gt;0,INDEX(tblDoseringen,ber_IVmed!$B39,6)*(ber_IVmed!E39/10))</f>
        <v>0</v>
      </c>
      <c r="AB16" s="20">
        <f t="shared" si="0"/>
        <v>0</v>
      </c>
      <c r="AC16" s="20">
        <f t="shared" si="1"/>
        <v>0</v>
      </c>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c r="BJ16" s="22"/>
      <c r="BK16" s="22"/>
      <c r="BL16" s="22"/>
      <c r="BM16" s="22"/>
      <c r="BN16" s="22"/>
      <c r="BO16" s="22"/>
      <c r="BP16" s="22"/>
      <c r="BQ16" s="22"/>
      <c r="BR16" s="22"/>
      <c r="BS16" s="22"/>
      <c r="BT16" s="22"/>
      <c r="BU16" s="22"/>
      <c r="BV16" s="22"/>
      <c r="BW16" s="22"/>
      <c r="BX16" s="22"/>
      <c r="BY16" s="22"/>
      <c r="BZ16" s="22"/>
      <c r="CA16" s="22"/>
      <c r="CB16" s="22"/>
      <c r="CC16" s="22"/>
    </row>
    <row r="17" spans="1:81" ht="20.100000000000001" customHeight="1" x14ac:dyDescent="0.4">
      <c r="A17" s="201"/>
      <c r="B17" s="223">
        <v>10</v>
      </c>
      <c r="C17" s="230">
        <f>INDEX(tblDoseringen,ber_IVmed!$B40,1)</f>
        <v>0</v>
      </c>
      <c r="D17" s="244" t="str">
        <f>INDEX(tblDoseringen,ber_IVmed!$B40,2)&amp;" "&amp;INDEX(tblDoseringen,ber_IVmed!$B40,9)</f>
        <v xml:space="preserve"> </v>
      </c>
      <c r="E17" s="234" t="str">
        <f>IF(AND(C17&lt;&gt;0,INDEX(tblDoseringen,ber_IVmed!$B40,3)&lt;&gt;""),INDEX(tblDoseringen,ber_IVmed!$B40,3)&amp;" ml","")</f>
        <v/>
      </c>
      <c r="F17" s="225">
        <f>INDEX(tblOplossing,ber_IVmed!D40,1)</f>
        <v>0</v>
      </c>
      <c r="G17" s="234" t="str">
        <f>IF(C17&lt;&gt;0,ber_IVmed!E40/10&amp;" ml/uur","")</f>
        <v/>
      </c>
      <c r="H17" s="232" t="str">
        <f>IF(C17&lt;&gt;0,AC17&amp;" "&amp;INDEX(tblDoseringen,ber_IVmed!$B40,7),"")</f>
        <v/>
      </c>
      <c r="I17" s="235" t="str">
        <f>IF(C17&lt;&gt;0,24*ber_IVmed!E40/10&amp;" ml","")</f>
        <v/>
      </c>
      <c r="J17" s="257">
        <f>INDEX(tblDoseringen,ber_IVmed!$B40,8)</f>
        <v>0</v>
      </c>
      <c r="K17" s="235"/>
      <c r="L17" s="235"/>
      <c r="M17" s="81"/>
      <c r="N17" s="81"/>
      <c r="O17" s="81"/>
      <c r="P17" s="81"/>
      <c r="Q17" s="81"/>
      <c r="R17" s="81"/>
      <c r="S17" s="81"/>
      <c r="T17" s="81"/>
      <c r="U17" s="81"/>
      <c r="V17" s="81"/>
      <c r="W17" s="81"/>
      <c r="X17" s="81"/>
      <c r="Z17" s="22"/>
      <c r="AA17" s="20" t="b">
        <f>IF(C17&lt;&gt;0,INDEX(tblDoseringen,ber_IVmed!$B40,6)*(ber_IVmed!E40/10))</f>
        <v>0</v>
      </c>
      <c r="AB17" s="20">
        <f t="shared" si="0"/>
        <v>0</v>
      </c>
      <c r="AC17" s="20">
        <f t="shared" si="1"/>
        <v>0</v>
      </c>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c r="BJ17" s="22"/>
      <c r="BK17" s="22"/>
      <c r="BL17" s="22"/>
      <c r="BM17" s="22"/>
      <c r="BN17" s="22"/>
      <c r="BO17" s="22"/>
      <c r="BP17" s="22"/>
      <c r="BQ17" s="22"/>
      <c r="BR17" s="22"/>
      <c r="BS17" s="22"/>
      <c r="BT17" s="22"/>
      <c r="BU17" s="22"/>
      <c r="BV17" s="22"/>
      <c r="BW17" s="22"/>
      <c r="BX17" s="22"/>
      <c r="BY17" s="22"/>
      <c r="BZ17" s="22"/>
      <c r="CA17" s="22"/>
      <c r="CB17" s="22"/>
      <c r="CC17" s="22"/>
    </row>
    <row r="18" spans="1:81" ht="20.100000000000001" customHeight="1" x14ac:dyDescent="0.4">
      <c r="A18" s="201"/>
      <c r="B18" s="223"/>
      <c r="C18" s="230"/>
      <c r="D18" s="230"/>
      <c r="E18" s="82"/>
      <c r="F18" s="82"/>
      <c r="G18" s="82"/>
      <c r="H18" s="82"/>
      <c r="I18" s="81"/>
      <c r="J18" s="258" t="str">
        <f>IF(C18&lt;&gt;0,HLOOKUP(C18,Instellen!B15:G28,6),"")</f>
        <v/>
      </c>
      <c r="K18" s="81"/>
      <c r="L18" s="81"/>
      <c r="M18" s="81"/>
      <c r="N18" s="81"/>
      <c r="O18" s="81"/>
      <c r="P18" s="81"/>
      <c r="Q18" s="81"/>
      <c r="R18" s="81"/>
      <c r="S18" s="81"/>
      <c r="T18" s="81"/>
      <c r="U18" s="81"/>
      <c r="V18" s="81"/>
      <c r="W18" s="81"/>
      <c r="X18" s="81"/>
      <c r="Z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row>
    <row r="19" spans="1:81" ht="20.100000000000001" customHeight="1" x14ac:dyDescent="0.4">
      <c r="A19" s="201"/>
      <c r="B19" s="223">
        <v>11</v>
      </c>
      <c r="C19" s="236">
        <f>ber_IVmed!B41</f>
        <v>0</v>
      </c>
      <c r="D19" s="237">
        <f>MedIVSterkte_11</f>
        <v>0</v>
      </c>
      <c r="E19" s="238" t="str">
        <f>IF(C19&lt;&gt;0,ber_IVmed!C41&amp;" ml","")</f>
        <v/>
      </c>
      <c r="F19" s="334">
        <f>INDEX(tblOplossing,ber_IVmed!D41,1)</f>
        <v>0</v>
      </c>
      <c r="G19" s="238">
        <f>IF(C19&lt;&gt;"",IF(ber_IVmed!E41&lt;&gt;0,ber_IVmed!E41/10&amp;" ml/uur",0),"")</f>
        <v>0</v>
      </c>
      <c r="H19" s="238"/>
      <c r="I19" s="239" t="str">
        <f>IF(ber_IVmed!F41&lt;&gt;0,ber_IVmed!F41&amp;" ml","")</f>
        <v/>
      </c>
      <c r="J19" s="256"/>
      <c r="K19" s="233"/>
      <c r="L19" s="233"/>
      <c r="M19" s="81"/>
      <c r="N19" s="81"/>
      <c r="O19" s="81"/>
      <c r="P19" s="81"/>
      <c r="Q19" s="81"/>
      <c r="R19" s="81"/>
      <c r="S19" s="81"/>
      <c r="T19" s="81"/>
      <c r="U19" s="81"/>
      <c r="V19" s="81"/>
      <c r="W19" s="81"/>
      <c r="X19" s="81"/>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row>
    <row r="20" spans="1:81" ht="20.100000000000001" customHeight="1" x14ac:dyDescent="0.4">
      <c r="A20" s="201"/>
      <c r="B20" s="223">
        <v>12</v>
      </c>
      <c r="C20" s="240">
        <f>ber_IVmed!B42</f>
        <v>0</v>
      </c>
      <c r="D20" s="240">
        <f>MedIVSterkte_12</f>
        <v>0</v>
      </c>
      <c r="E20" s="234" t="str">
        <f>IF(C20&lt;&gt;0,ber_IVmed!C42&amp;" ml","")</f>
        <v/>
      </c>
      <c r="F20" s="335">
        <f>INDEX(tblOplossing,ber_IVmed!D42,1)</f>
        <v>0</v>
      </c>
      <c r="G20" s="234">
        <f>IF(C20&lt;&gt;"",IF(ber_IVmed!E42&lt;&gt;0,ber_IVmed!E42/10&amp;" ml/uur",0),"")</f>
        <v>0</v>
      </c>
      <c r="H20" s="234"/>
      <c r="I20" s="235" t="str">
        <f>IF(ber_IVmed!F42&lt;&gt;0,ber_IVmed!F42&amp;" ml","")</f>
        <v/>
      </c>
      <c r="J20" s="257"/>
      <c r="K20" s="235"/>
      <c r="L20" s="235"/>
      <c r="M20" s="81"/>
      <c r="N20" s="81"/>
      <c r="O20" s="81"/>
      <c r="P20" s="81"/>
      <c r="Q20" s="81"/>
      <c r="R20" s="81"/>
      <c r="S20" s="81"/>
      <c r="T20" s="81"/>
      <c r="U20" s="81"/>
      <c r="V20" s="81"/>
      <c r="W20" s="81"/>
      <c r="X20" s="81"/>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row>
    <row r="21" spans="1:81" ht="20.100000000000001" customHeight="1" x14ac:dyDescent="0.4">
      <c r="A21" s="201"/>
      <c r="B21" s="223">
        <v>13</v>
      </c>
      <c r="C21" s="240">
        <f>ber_IVmed!B43</f>
        <v>0</v>
      </c>
      <c r="D21" s="240">
        <f>MedIVSterkte_13</f>
        <v>0</v>
      </c>
      <c r="E21" s="234" t="str">
        <f>IF(C21&lt;&gt;0,ber_IVmed!C43&amp;" ml","")</f>
        <v/>
      </c>
      <c r="F21" s="335">
        <f>INDEX(tblOplossing,ber_IVmed!D43,1)</f>
        <v>0</v>
      </c>
      <c r="G21" s="234">
        <f>IF(C21&lt;&gt;"",IF(ber_IVmed!E43&lt;&gt;0,ber_IVmed!E43/10&amp;" ml/uur",0),"")</f>
        <v>0</v>
      </c>
      <c r="H21" s="234"/>
      <c r="I21" s="235" t="str">
        <f>IF(ber_IVmed!F43&lt;&gt;0,ber_IVmed!F43&amp;" ml","")</f>
        <v/>
      </c>
      <c r="J21" s="257"/>
      <c r="K21" s="235"/>
      <c r="L21" s="235"/>
      <c r="M21" s="81"/>
      <c r="N21" s="81"/>
      <c r="O21" s="81"/>
      <c r="P21" s="81"/>
      <c r="Q21" s="81"/>
      <c r="R21" s="81"/>
      <c r="S21" s="81"/>
      <c r="T21" s="81"/>
      <c r="U21" s="81"/>
      <c r="V21" s="81"/>
      <c r="W21" s="81"/>
      <c r="X21" s="81"/>
      <c r="Z21" s="22"/>
      <c r="AA21" s="22"/>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2"/>
      <c r="BA21" s="22"/>
      <c r="BB21" s="22"/>
      <c r="BC21" s="22"/>
      <c r="BD21" s="22"/>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row>
    <row r="22" spans="1:81" ht="20.100000000000001" customHeight="1" x14ac:dyDescent="0.4">
      <c r="A22" s="201"/>
      <c r="B22" s="223">
        <v>14</v>
      </c>
      <c r="C22" s="240">
        <f>ber_IVmed!B44</f>
        <v>0</v>
      </c>
      <c r="D22" s="240">
        <f>MedIVSterkte_14</f>
        <v>0</v>
      </c>
      <c r="E22" s="234" t="str">
        <f>IF(C22&lt;&gt;0,ber_IVmed!C44&amp;" ml","")</f>
        <v/>
      </c>
      <c r="F22" s="335">
        <f>INDEX(tblOplossing,ber_IVmed!D44,1)</f>
        <v>0</v>
      </c>
      <c r="G22" s="234">
        <f>IF(C22&lt;&gt;"",IF(ber_IVmed!E44&lt;&gt;0,ber_IVmed!E44/10&amp;" ml/uur",0),"")</f>
        <v>0</v>
      </c>
      <c r="H22" s="234"/>
      <c r="I22" s="235" t="str">
        <f>IF(ber_IVmed!F44&lt;&gt;0,ber_IVmed!F44&amp;" ml","")</f>
        <v/>
      </c>
      <c r="J22" s="257"/>
      <c r="K22" s="235"/>
      <c r="L22" s="235"/>
      <c r="M22" s="81"/>
      <c r="N22" s="81"/>
      <c r="O22" s="81"/>
      <c r="P22" s="81"/>
      <c r="Q22" s="81"/>
      <c r="R22" s="81"/>
      <c r="S22" s="81"/>
      <c r="T22" s="81"/>
      <c r="U22" s="81"/>
      <c r="V22" s="81"/>
      <c r="W22" s="81"/>
      <c r="X22" s="81"/>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row>
    <row r="23" spans="1:81" ht="20.100000000000001" customHeight="1" x14ac:dyDescent="0.4">
      <c r="A23" s="201"/>
      <c r="B23" s="223">
        <v>15</v>
      </c>
      <c r="C23" s="240">
        <f>ber_IVmed!B45</f>
        <v>0</v>
      </c>
      <c r="D23" s="240">
        <f>MedIVSterkte_15</f>
        <v>0</v>
      </c>
      <c r="E23" s="234" t="str">
        <f>IF(C23&lt;&gt;0,ber_IVmed!C45&amp;" ml","")</f>
        <v/>
      </c>
      <c r="F23" s="335">
        <f>INDEX(tblOplossing,ber_IVmed!D45,1)</f>
        <v>0</v>
      </c>
      <c r="G23" s="234">
        <f>IF(C23&lt;&gt;"",IF(ber_IVmed!E45&lt;&gt;0,ber_IVmed!E45/10&amp;" ml/uur",0),"")</f>
        <v>0</v>
      </c>
      <c r="H23" s="234"/>
      <c r="I23" s="235" t="str">
        <f>IF(ber_IVmed!F45&lt;&gt;0,ber_IVmed!F45&amp;" ml","")</f>
        <v/>
      </c>
      <c r="J23" s="257"/>
      <c r="K23" s="235"/>
      <c r="L23" s="235"/>
      <c r="M23" s="81"/>
      <c r="N23" s="81"/>
      <c r="O23" s="81"/>
      <c r="P23" s="81"/>
      <c r="Q23" s="81"/>
      <c r="R23" s="81"/>
      <c r="S23" s="81"/>
      <c r="T23" s="81"/>
      <c r="U23" s="81"/>
      <c r="V23" s="81"/>
      <c r="W23" s="81"/>
      <c r="X23" s="81"/>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row>
    <row r="24" spans="1:81" x14ac:dyDescent="0.35">
      <c r="A24" s="201"/>
      <c r="B24" s="201"/>
      <c r="C24" s="80"/>
      <c r="D24" s="80"/>
      <c r="E24" s="80"/>
      <c r="F24" s="80"/>
      <c r="G24" s="80"/>
      <c r="H24" s="80"/>
      <c r="I24" s="80"/>
      <c r="J24" s="80"/>
      <c r="K24" s="80"/>
      <c r="L24" s="80"/>
      <c r="M24" s="80"/>
      <c r="N24" s="80"/>
      <c r="O24" s="80"/>
      <c r="P24" s="80"/>
      <c r="Q24" s="80"/>
      <c r="R24" s="80"/>
      <c r="S24" s="80"/>
      <c r="T24" s="80"/>
      <c r="U24" s="80"/>
      <c r="V24" s="80"/>
      <c r="W24" s="80"/>
      <c r="X24" s="80"/>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2"/>
      <c r="BA24" s="22"/>
      <c r="BB24" s="22"/>
      <c r="BC24" s="22"/>
      <c r="BD24" s="22"/>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row>
    <row r="25" spans="1:81" ht="13.2" x14ac:dyDescent="0.4">
      <c r="A25" s="201"/>
      <c r="B25" s="201"/>
      <c r="C25" s="253" t="str">
        <f>Intake!B31</f>
        <v>Vocht</v>
      </c>
      <c r="D25" s="254" t="str">
        <f>Intake!D31</f>
        <v>0 ml/kg</v>
      </c>
      <c r="E25" s="253" t="str">
        <f ca="1">Intake!E31</f>
        <v>100 ml/kg</v>
      </c>
      <c r="F25" s="253"/>
      <c r="G25" s="253" t="str">
        <f>Intake!H31</f>
        <v>Eiwit</v>
      </c>
      <c r="H25" s="254" t="str">
        <f>Intake!I31</f>
        <v>0  gram/kg</v>
      </c>
      <c r="I25" s="253" t="str">
        <f>Intake!J31</f>
        <v>2-2,5 g/kg</v>
      </c>
      <c r="J25" s="253"/>
      <c r="K25" s="255"/>
      <c r="L25" s="255"/>
      <c r="M25" s="255"/>
      <c r="N25" s="255"/>
      <c r="O25" s="80"/>
      <c r="P25" s="80"/>
      <c r="Q25" s="80"/>
      <c r="R25" s="80"/>
      <c r="S25" s="80"/>
      <c r="T25" s="80"/>
      <c r="U25" s="80"/>
      <c r="V25" s="80"/>
      <c r="W25" s="80"/>
      <c r="X25" s="80"/>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2"/>
      <c r="AZ25" s="22"/>
      <c r="BA25" s="22"/>
      <c r="BB25" s="22"/>
      <c r="BC25" s="22"/>
      <c r="BD25" s="22"/>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row>
    <row r="26" spans="1:81" ht="13.2" x14ac:dyDescent="0.4">
      <c r="A26" s="201"/>
      <c r="B26" s="201"/>
      <c r="C26" s="253" t="str">
        <f>Intake!B32</f>
        <v>Calorieen</v>
      </c>
      <c r="D26" s="254" t="str">
        <f>Intake!D32</f>
        <v>0 kCal/kg</v>
      </c>
      <c r="E26" s="253" t="str">
        <f ca="1">Intake!E32</f>
        <v>90 kCal/kg</v>
      </c>
      <c r="F26" s="253"/>
      <c r="G26" s="253" t="str">
        <f>Intake!H32</f>
        <v>Vet</v>
      </c>
      <c r="H26" s="254" t="str">
        <f>Intake!I32</f>
        <v>0 gram/kg</v>
      </c>
      <c r="I26" s="253" t="str">
        <f>Intake!J32</f>
        <v>4 g/kg</v>
      </c>
      <c r="J26" s="253"/>
      <c r="K26" s="253"/>
      <c r="L26" s="253"/>
      <c r="M26" s="253"/>
      <c r="N26" s="253"/>
      <c r="O26" s="81"/>
      <c r="P26" s="81"/>
      <c r="Q26" s="81"/>
      <c r="R26" s="81"/>
      <c r="S26" s="81"/>
      <c r="T26" s="81"/>
      <c r="U26" s="81"/>
      <c r="V26" s="81"/>
      <c r="W26" s="81"/>
      <c r="X26" s="81"/>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row>
    <row r="27" spans="1:81" ht="13.2" x14ac:dyDescent="0.4">
      <c r="A27" s="201"/>
      <c r="B27" s="201"/>
      <c r="C27" s="253" t="str">
        <f>Intake!B33</f>
        <v>Glucose/KH</v>
      </c>
      <c r="D27" s="254" t="str">
        <f>Intake!D33</f>
        <v>0 g/kg</v>
      </c>
      <c r="E27" s="253" t="str">
        <f>Intake!E33</f>
        <v>3,6 g/kg</v>
      </c>
      <c r="F27" s="253"/>
      <c r="G27" s="253" t="str">
        <f>Intake!H33</f>
        <v>Calcium</v>
      </c>
      <c r="H27" s="254" t="str">
        <f>Intake!I33</f>
        <v>0 mmol/kg</v>
      </c>
      <c r="I27" s="253" t="str">
        <f>Intake!J33</f>
        <v>0,2-0,8 mmol/kg (3-10 kg:0,8; 10-20 kg:0,5; &gt; 20 kg:0,2 mmol/kg)</v>
      </c>
      <c r="J27" s="253"/>
      <c r="K27" s="253"/>
      <c r="L27" s="253"/>
      <c r="M27" s="253"/>
      <c r="N27" s="253"/>
      <c r="O27" s="81"/>
      <c r="P27" s="81"/>
      <c r="Q27" s="81"/>
      <c r="R27" s="81"/>
      <c r="S27" s="81"/>
      <c r="T27" s="81"/>
      <c r="U27" s="81"/>
      <c r="V27" s="81"/>
      <c r="W27" s="81"/>
      <c r="X27" s="81"/>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row>
    <row r="28" spans="1:81" ht="13.2" x14ac:dyDescent="0.4">
      <c r="A28" s="201"/>
      <c r="B28" s="201"/>
      <c r="C28" s="253" t="str">
        <f>Intake!B34</f>
        <v xml:space="preserve">Natrium </v>
      </c>
      <c r="D28" s="254" t="str">
        <f>Intake!D34</f>
        <v>0 mmol/kg</v>
      </c>
      <c r="E28" s="253" t="str">
        <f>Intake!E34</f>
        <v>2-4 mmol/kg</v>
      </c>
      <c r="F28" s="253"/>
      <c r="G28" s="253" t="str">
        <f>Intake!H34</f>
        <v>Magnesium</v>
      </c>
      <c r="H28" s="254" t="str">
        <f>Intake!I34</f>
        <v>0 mmol/kg</v>
      </c>
      <c r="I28" s="253" t="str">
        <f>Intake!J34</f>
        <v>0,1-0,3 mmol/kg</v>
      </c>
      <c r="J28" s="253"/>
      <c r="K28" s="253"/>
      <c r="L28" s="253"/>
      <c r="M28" s="253"/>
      <c r="N28" s="253"/>
      <c r="O28" s="81"/>
      <c r="P28" s="81"/>
      <c r="Q28" s="81"/>
      <c r="R28" s="81"/>
      <c r="S28" s="81"/>
      <c r="T28" s="81"/>
      <c r="U28" s="81"/>
      <c r="V28" s="81"/>
      <c r="W28" s="81"/>
      <c r="X28" s="81"/>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row>
    <row r="29" spans="1:81" ht="13.2" x14ac:dyDescent="0.4">
      <c r="A29" s="201"/>
      <c r="B29" s="201"/>
      <c r="C29" s="253" t="str">
        <f>Intake!B35</f>
        <v>Kalium</v>
      </c>
      <c r="D29" s="254" t="str">
        <f>Intake!D35</f>
        <v>0 mmol/kg</v>
      </c>
      <c r="E29" s="253" t="str">
        <f>Intake!E35</f>
        <v>1-2 mmol/kg</v>
      </c>
      <c r="F29" s="253"/>
      <c r="G29" s="253" t="str">
        <f>Intake!H35</f>
        <v>Fosfaat</v>
      </c>
      <c r="H29" s="254" t="str">
        <f>Intake!I35</f>
        <v>0 mmol/kg</v>
      </c>
      <c r="I29" s="253" t="str">
        <f>Intake!J35</f>
        <v>0,75 mmol/kg</v>
      </c>
      <c r="J29" s="253"/>
      <c r="K29" s="253"/>
      <c r="L29" s="253"/>
      <c r="M29" s="253"/>
      <c r="N29" s="253"/>
      <c r="O29" s="81"/>
      <c r="P29" s="81"/>
      <c r="Q29" s="81"/>
      <c r="R29" s="81"/>
      <c r="S29" s="81"/>
      <c r="T29" s="81"/>
      <c r="U29" s="81"/>
      <c r="V29" s="81"/>
      <c r="W29" s="81"/>
      <c r="X29" s="81"/>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2"/>
      <c r="BA29" s="22"/>
      <c r="BB29" s="22"/>
      <c r="BC29" s="22"/>
      <c r="BD29" s="22"/>
      <c r="BE29" s="22"/>
      <c r="BF29" s="22"/>
      <c r="BG29" s="22"/>
      <c r="BH29" s="22"/>
      <c r="BI29" s="22"/>
      <c r="BJ29" s="22"/>
      <c r="BK29" s="22"/>
      <c r="BL29" s="22"/>
      <c r="BM29" s="22"/>
      <c r="BN29" s="22"/>
      <c r="BO29" s="22"/>
      <c r="BP29" s="22"/>
      <c r="BQ29" s="22"/>
      <c r="BR29" s="22"/>
      <c r="BS29" s="22"/>
      <c r="BT29" s="22"/>
      <c r="BU29" s="22"/>
      <c r="BV29" s="22"/>
      <c r="BW29" s="22"/>
      <c r="BX29" s="22"/>
      <c r="BY29" s="22"/>
      <c r="BZ29" s="22"/>
      <c r="CA29" s="22"/>
      <c r="CB29" s="22"/>
      <c r="CC29" s="22"/>
    </row>
    <row r="30" spans="1:81" x14ac:dyDescent="0.35">
      <c r="A30" s="201"/>
      <c r="B30" s="201"/>
      <c r="C30" s="80"/>
      <c r="D30" s="80"/>
      <c r="E30" s="80"/>
      <c r="F30" s="80"/>
      <c r="G30" s="80"/>
      <c r="H30" s="80"/>
      <c r="I30" s="81"/>
      <c r="J30" s="81"/>
      <c r="K30" s="81"/>
      <c r="L30" s="81"/>
      <c r="M30" s="81"/>
      <c r="N30" s="81"/>
      <c r="O30" s="81"/>
      <c r="P30" s="81"/>
      <c r="Q30" s="81"/>
      <c r="R30" s="81"/>
      <c r="S30" s="81"/>
      <c r="T30" s="81"/>
      <c r="U30" s="81"/>
      <c r="V30" s="81"/>
      <c r="W30" s="81"/>
      <c r="X30" s="81"/>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22"/>
      <c r="BF30" s="22"/>
      <c r="BG30" s="22"/>
      <c r="BH30" s="22"/>
      <c r="BI30" s="22"/>
      <c r="BJ30" s="22"/>
      <c r="BK30" s="22"/>
      <c r="BL30" s="22"/>
      <c r="BM30" s="22"/>
      <c r="BN30" s="22"/>
      <c r="BO30" s="22"/>
      <c r="BP30" s="22"/>
      <c r="BQ30" s="22"/>
      <c r="BR30" s="22"/>
      <c r="BS30" s="22"/>
      <c r="BT30" s="22"/>
      <c r="BU30" s="22"/>
      <c r="BV30" s="22"/>
      <c r="BW30" s="22"/>
      <c r="BX30" s="22"/>
      <c r="BY30" s="22"/>
      <c r="BZ30" s="22"/>
      <c r="CA30" s="22"/>
      <c r="CB30" s="22"/>
      <c r="CC30" s="22"/>
    </row>
    <row r="31" spans="1:81" x14ac:dyDescent="0.35">
      <c r="A31" s="201"/>
      <c r="B31" s="201"/>
      <c r="C31" s="252" t="s">
        <v>2864</v>
      </c>
      <c r="D31" s="396">
        <f>ber_Opm!C4</f>
        <v>0</v>
      </c>
      <c r="E31" s="397"/>
      <c r="F31" s="397"/>
      <c r="G31" s="397"/>
      <c r="H31" s="397"/>
      <c r="I31" s="397"/>
      <c r="J31" s="397"/>
      <c r="K31" s="231"/>
      <c r="L31" s="80"/>
      <c r="M31" s="80"/>
      <c r="N31" s="80"/>
      <c r="O31" s="80"/>
      <c r="P31" s="80"/>
      <c r="Q31" s="80"/>
      <c r="R31" s="80"/>
      <c r="S31" s="80"/>
      <c r="T31" s="80"/>
      <c r="U31" s="80"/>
      <c r="V31" s="80"/>
      <c r="W31" s="80"/>
      <c r="X31" s="80"/>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22"/>
      <c r="BF31" s="22"/>
      <c r="BG31" s="22"/>
      <c r="BH31" s="22"/>
      <c r="BI31" s="22"/>
      <c r="BJ31" s="22"/>
      <c r="BK31" s="22"/>
      <c r="BL31" s="22"/>
      <c r="BM31" s="22"/>
      <c r="BN31" s="22"/>
      <c r="BO31" s="22"/>
      <c r="BP31" s="22"/>
      <c r="BQ31" s="22"/>
      <c r="BR31" s="22"/>
      <c r="BS31" s="22"/>
      <c r="BT31" s="22"/>
      <c r="BU31" s="22"/>
      <c r="BV31" s="22"/>
      <c r="BW31" s="22"/>
      <c r="BX31" s="22"/>
      <c r="BY31" s="22"/>
      <c r="BZ31" s="22"/>
      <c r="CA31" s="22"/>
      <c r="CB31" s="22"/>
      <c r="CC31" s="22"/>
    </row>
    <row r="32" spans="1:81" x14ac:dyDescent="0.35">
      <c r="A32" s="201"/>
      <c r="B32" s="201"/>
      <c r="C32" s="227"/>
      <c r="D32" s="397"/>
      <c r="E32" s="397"/>
      <c r="F32" s="397"/>
      <c r="G32" s="397"/>
      <c r="H32" s="397"/>
      <c r="I32" s="397"/>
      <c r="J32" s="397"/>
      <c r="K32" s="231"/>
      <c r="L32" s="80"/>
      <c r="M32" s="80"/>
      <c r="N32" s="80"/>
      <c r="O32" s="80"/>
      <c r="P32" s="80"/>
      <c r="Q32" s="80"/>
      <c r="R32" s="80"/>
      <c r="S32" s="80"/>
      <c r="T32" s="80"/>
      <c r="U32" s="80"/>
      <c r="V32" s="80"/>
      <c r="W32" s="80"/>
      <c r="X32" s="80"/>
      <c r="Y32" s="22"/>
      <c r="Z32" s="22"/>
      <c r="AA32" s="22"/>
      <c r="AB32" s="22"/>
      <c r="AC32" s="22"/>
      <c r="AD32" s="22"/>
      <c r="AE32" s="22"/>
      <c r="AF32" s="22"/>
      <c r="AG32" s="22"/>
      <c r="AH32" s="22"/>
      <c r="AI32" s="22"/>
      <c r="AJ32" s="22"/>
      <c r="AK32" s="22"/>
      <c r="AL32" s="22"/>
      <c r="AM32" s="22"/>
      <c r="AN32" s="22"/>
      <c r="AO32" s="22"/>
      <c r="AP32" s="22"/>
      <c r="AQ32" s="22"/>
      <c r="AR32" s="22"/>
      <c r="AS32" s="22"/>
      <c r="AT32" s="22"/>
      <c r="AU32" s="22"/>
      <c r="AV32" s="22"/>
      <c r="AW32" s="22"/>
      <c r="AX32" s="22"/>
      <c r="AY32" s="22"/>
      <c r="AZ32" s="22"/>
      <c r="BA32" s="22"/>
      <c r="BB32" s="22"/>
      <c r="BC32" s="22"/>
      <c r="BD32" s="22"/>
      <c r="BE32" s="22"/>
      <c r="BF32" s="22"/>
      <c r="BG32" s="22"/>
      <c r="BH32" s="22"/>
      <c r="BI32" s="22"/>
      <c r="BJ32" s="22"/>
      <c r="BK32" s="22"/>
      <c r="BL32" s="22"/>
      <c r="BM32" s="22"/>
      <c r="BN32" s="22"/>
      <c r="BO32" s="22"/>
      <c r="BP32" s="22"/>
      <c r="BQ32" s="22"/>
      <c r="BR32" s="22"/>
      <c r="BS32" s="22"/>
      <c r="BT32" s="22"/>
      <c r="BU32" s="22"/>
      <c r="BV32" s="22"/>
      <c r="BW32" s="22"/>
      <c r="BX32" s="22"/>
      <c r="BY32" s="22"/>
      <c r="BZ32" s="22"/>
      <c r="CA32" s="22"/>
      <c r="CB32" s="22"/>
      <c r="CC32" s="22"/>
    </row>
    <row r="33" spans="1:81" x14ac:dyDescent="0.35">
      <c r="A33" s="201"/>
      <c r="B33" s="201"/>
      <c r="C33" s="227"/>
      <c r="D33" s="397"/>
      <c r="E33" s="397"/>
      <c r="F33" s="397"/>
      <c r="G33" s="397"/>
      <c r="H33" s="397"/>
      <c r="I33" s="397"/>
      <c r="J33" s="397"/>
      <c r="K33" s="231"/>
      <c r="L33" s="80"/>
      <c r="M33" s="80"/>
      <c r="N33" s="80"/>
      <c r="O33" s="80"/>
      <c r="P33" s="80"/>
      <c r="Q33" s="80"/>
      <c r="R33" s="80"/>
      <c r="S33" s="80"/>
      <c r="T33" s="80"/>
      <c r="U33" s="80"/>
      <c r="V33" s="80"/>
      <c r="W33" s="80"/>
      <c r="X33" s="80"/>
      <c r="Y33" s="22"/>
      <c r="Z33" s="22"/>
      <c r="AA33" s="22"/>
      <c r="AB33" s="22"/>
      <c r="AC33" s="22"/>
      <c r="AD33" s="22"/>
      <c r="AE33" s="22"/>
      <c r="AF33" s="22"/>
      <c r="AG33" s="22"/>
      <c r="AH33" s="22"/>
      <c r="AI33" s="22"/>
      <c r="AJ33" s="22"/>
      <c r="AK33" s="22"/>
      <c r="AL33" s="22"/>
      <c r="AM33" s="22"/>
      <c r="AN33" s="22"/>
      <c r="AO33" s="22"/>
      <c r="AP33" s="22"/>
      <c r="AQ33" s="22"/>
      <c r="AR33" s="22"/>
      <c r="AS33" s="22"/>
      <c r="AT33" s="22"/>
      <c r="AU33" s="22"/>
      <c r="AV33" s="22"/>
      <c r="AW33" s="22"/>
      <c r="AX33" s="22"/>
      <c r="AY33" s="22"/>
      <c r="AZ33" s="22"/>
      <c r="BA33" s="22"/>
      <c r="BB33" s="22"/>
      <c r="BC33" s="22"/>
      <c r="BD33" s="22"/>
      <c r="BE33" s="22"/>
      <c r="BF33" s="22"/>
      <c r="BG33" s="22"/>
      <c r="BH33" s="22"/>
      <c r="BI33" s="22"/>
      <c r="BJ33" s="22"/>
      <c r="BK33" s="22"/>
      <c r="BL33" s="22"/>
      <c r="BM33" s="22"/>
      <c r="BN33" s="22"/>
      <c r="BO33" s="22"/>
      <c r="BP33" s="22"/>
      <c r="BQ33" s="22"/>
      <c r="BR33" s="22"/>
      <c r="BS33" s="22"/>
      <c r="BT33" s="22"/>
      <c r="BU33" s="22"/>
      <c r="BV33" s="22"/>
      <c r="BW33" s="22"/>
      <c r="BX33" s="22"/>
      <c r="BY33" s="22"/>
      <c r="BZ33" s="22"/>
      <c r="CA33" s="22"/>
      <c r="CB33" s="22"/>
      <c r="CC33" s="22"/>
    </row>
    <row r="34" spans="1:81" x14ac:dyDescent="0.35">
      <c r="A34" s="201"/>
      <c r="B34" s="201"/>
      <c r="C34" s="227"/>
      <c r="D34" s="397"/>
      <c r="E34" s="397"/>
      <c r="F34" s="397"/>
      <c r="G34" s="397"/>
      <c r="H34" s="397"/>
      <c r="I34" s="397"/>
      <c r="J34" s="397"/>
      <c r="K34" s="231"/>
      <c r="L34" s="80"/>
      <c r="M34" s="80"/>
      <c r="N34" s="80"/>
      <c r="O34" s="80"/>
      <c r="P34" s="80"/>
      <c r="Q34" s="80"/>
      <c r="R34" s="80"/>
      <c r="S34" s="80"/>
      <c r="T34" s="80"/>
      <c r="U34" s="80"/>
      <c r="V34" s="80"/>
      <c r="W34" s="80"/>
      <c r="X34" s="80"/>
      <c r="Y34" s="22"/>
      <c r="Z34" s="22"/>
      <c r="AA34" s="22"/>
      <c r="AB34" s="22"/>
      <c r="AC34" s="22"/>
      <c r="AD34" s="22"/>
      <c r="AE34" s="22"/>
      <c r="AF34" s="22"/>
      <c r="AG34" s="22"/>
      <c r="AH34" s="22"/>
      <c r="AI34" s="22"/>
      <c r="AJ34" s="22"/>
      <c r="AK34" s="22"/>
      <c r="AL34" s="22"/>
      <c r="AM34" s="22"/>
      <c r="AN34" s="22"/>
      <c r="AO34" s="22"/>
      <c r="AP34" s="22"/>
      <c r="AQ34" s="22"/>
      <c r="AR34" s="22"/>
      <c r="AS34" s="22"/>
      <c r="AT34" s="22"/>
      <c r="AU34" s="22"/>
      <c r="AV34" s="22"/>
      <c r="AW34" s="22"/>
      <c r="AX34" s="22"/>
      <c r="AY34" s="22"/>
      <c r="AZ34" s="22"/>
      <c r="BA34" s="22"/>
      <c r="BB34" s="22"/>
      <c r="BC34" s="22"/>
      <c r="BD34" s="22"/>
      <c r="BE34" s="22"/>
      <c r="BF34" s="22"/>
      <c r="BG34" s="22"/>
      <c r="BH34" s="22"/>
      <c r="BI34" s="22"/>
      <c r="BJ34" s="22"/>
      <c r="BK34" s="22"/>
      <c r="BL34" s="22"/>
      <c r="BM34" s="22"/>
      <c r="BN34" s="22"/>
      <c r="BO34" s="22"/>
      <c r="BP34" s="22"/>
      <c r="BQ34" s="22"/>
      <c r="BR34" s="22"/>
      <c r="BS34" s="22"/>
      <c r="BT34" s="22"/>
      <c r="BU34" s="22"/>
      <c r="BV34" s="22"/>
      <c r="BW34" s="22"/>
      <c r="BX34" s="22"/>
      <c r="BY34" s="22"/>
      <c r="BZ34" s="22"/>
      <c r="CA34" s="22"/>
      <c r="CB34" s="22"/>
      <c r="CC34" s="22"/>
    </row>
    <row r="35" spans="1:81" x14ac:dyDescent="0.35">
      <c r="A35" s="223"/>
      <c r="B35" s="223"/>
      <c r="C35" s="227"/>
      <c r="D35" s="397"/>
      <c r="E35" s="397"/>
      <c r="F35" s="397"/>
      <c r="G35" s="397"/>
      <c r="H35" s="397"/>
      <c r="I35" s="397"/>
      <c r="J35" s="397"/>
      <c r="K35" s="109"/>
      <c r="L35" s="81"/>
      <c r="M35" s="80"/>
      <c r="N35" s="80"/>
      <c r="O35" s="80"/>
      <c r="P35" s="80"/>
      <c r="Q35" s="80"/>
      <c r="R35" s="80"/>
      <c r="S35" s="80"/>
      <c r="T35" s="80"/>
      <c r="U35" s="80"/>
      <c r="V35" s="80"/>
      <c r="W35" s="80"/>
      <c r="X35" s="80"/>
      <c r="Y35" s="22"/>
      <c r="Z35" s="22"/>
      <c r="AA35" s="22"/>
      <c r="AB35" s="22"/>
      <c r="AC35" s="22"/>
      <c r="AD35" s="22"/>
      <c r="AE35" s="22"/>
      <c r="AF35" s="22"/>
      <c r="AG35" s="22"/>
      <c r="AH35" s="22"/>
      <c r="AI35" s="22"/>
      <c r="AJ35" s="22"/>
      <c r="AK35" s="22"/>
      <c r="AL35" s="22"/>
      <c r="AM35" s="22"/>
      <c r="AN35" s="22"/>
      <c r="AO35" s="22"/>
      <c r="AP35" s="22"/>
      <c r="AQ35" s="22"/>
      <c r="AR35" s="22"/>
      <c r="AS35" s="22"/>
      <c r="AT35" s="22"/>
      <c r="AU35" s="22"/>
      <c r="AV35" s="22"/>
      <c r="AW35" s="22"/>
      <c r="AX35" s="22"/>
      <c r="AY35" s="22"/>
      <c r="AZ35" s="22"/>
      <c r="BA35" s="22"/>
      <c r="BB35" s="22"/>
      <c r="BC35" s="22"/>
      <c r="BD35" s="22"/>
      <c r="BE35" s="22"/>
      <c r="BF35" s="22"/>
      <c r="BG35" s="22"/>
      <c r="BH35" s="22"/>
      <c r="BI35" s="22"/>
      <c r="BJ35" s="22"/>
      <c r="BK35" s="22"/>
      <c r="BL35" s="22"/>
      <c r="BM35" s="22"/>
      <c r="BN35" s="22"/>
      <c r="BO35" s="22"/>
      <c r="BP35" s="22"/>
      <c r="BQ35" s="22"/>
      <c r="BR35" s="22"/>
      <c r="BS35" s="22"/>
      <c r="BT35" s="22"/>
      <c r="BU35" s="22"/>
      <c r="BV35" s="22"/>
      <c r="BW35" s="22"/>
      <c r="BX35" s="22"/>
      <c r="BY35" s="22"/>
      <c r="BZ35" s="22"/>
      <c r="CA35" s="22"/>
      <c r="CB35" s="22"/>
      <c r="CC35" s="22"/>
    </row>
    <row r="36" spans="1:81" x14ac:dyDescent="0.35">
      <c r="A36" s="201"/>
      <c r="B36" s="201"/>
      <c r="C36" s="80"/>
      <c r="D36" s="80"/>
      <c r="E36" s="80"/>
      <c r="F36" s="80"/>
      <c r="G36" s="80"/>
      <c r="H36" s="80"/>
      <c r="I36" s="80"/>
      <c r="J36" s="80"/>
      <c r="K36" s="80"/>
      <c r="L36" s="80"/>
      <c r="M36" s="80"/>
      <c r="N36" s="80"/>
      <c r="O36" s="80"/>
      <c r="P36" s="80"/>
      <c r="Q36" s="80"/>
      <c r="R36" s="80"/>
      <c r="S36" s="80"/>
      <c r="T36" s="80"/>
      <c r="U36" s="80"/>
      <c r="V36" s="80"/>
      <c r="W36" s="80"/>
      <c r="X36" s="80"/>
      <c r="Y36" s="22"/>
      <c r="Z36" s="22"/>
      <c r="AA36" s="22"/>
      <c r="AB36" s="22"/>
      <c r="AC36" s="22"/>
      <c r="AD36" s="22"/>
      <c r="AE36" s="22"/>
      <c r="AF36" s="22"/>
      <c r="AG36" s="22"/>
      <c r="AH36" s="22"/>
      <c r="AI36" s="22"/>
      <c r="AJ36" s="22"/>
      <c r="AK36" s="22"/>
      <c r="AL36" s="22"/>
      <c r="AM36" s="22"/>
      <c r="AN36" s="22"/>
      <c r="AO36" s="22"/>
      <c r="AP36" s="22"/>
      <c r="AQ36" s="22"/>
      <c r="AR36" s="22"/>
      <c r="AS36" s="22"/>
      <c r="AT36" s="22"/>
      <c r="AU36" s="22"/>
      <c r="AV36" s="22"/>
      <c r="AW36" s="22"/>
      <c r="AX36" s="22"/>
      <c r="AY36" s="22"/>
      <c r="AZ36" s="22"/>
      <c r="BA36" s="22"/>
      <c r="BB36" s="22"/>
      <c r="BC36" s="22"/>
      <c r="BD36" s="22"/>
      <c r="BE36" s="22"/>
      <c r="BF36" s="22"/>
      <c r="BG36" s="22"/>
      <c r="BH36" s="22"/>
      <c r="BI36" s="22"/>
      <c r="BJ36" s="22"/>
      <c r="BK36" s="22"/>
      <c r="BL36" s="22"/>
      <c r="BM36" s="22"/>
      <c r="BN36" s="22"/>
      <c r="BO36" s="22"/>
      <c r="BP36" s="22"/>
      <c r="BQ36" s="22"/>
      <c r="BR36" s="22"/>
      <c r="BS36" s="22"/>
      <c r="BT36" s="22"/>
      <c r="BU36" s="22"/>
      <c r="BV36" s="22"/>
      <c r="BW36" s="22"/>
      <c r="BX36" s="22"/>
      <c r="BY36" s="22"/>
      <c r="BZ36" s="22"/>
      <c r="CA36" s="22"/>
      <c r="CB36" s="22"/>
      <c r="CC36" s="22"/>
    </row>
    <row r="37" spans="1:81" x14ac:dyDescent="0.35">
      <c r="A37" s="201"/>
      <c r="B37" s="201"/>
      <c r="C37" s="80"/>
      <c r="D37" s="80"/>
      <c r="E37" s="80"/>
      <c r="F37" s="80"/>
      <c r="G37" s="80"/>
      <c r="H37" s="80"/>
      <c r="I37" s="80"/>
      <c r="J37" s="80"/>
      <c r="K37" s="80"/>
      <c r="L37" s="80"/>
      <c r="M37" s="80"/>
      <c r="N37" s="80"/>
      <c r="O37" s="80"/>
      <c r="P37" s="80"/>
      <c r="Q37" s="80"/>
      <c r="R37" s="80"/>
      <c r="S37" s="80"/>
      <c r="T37" s="80"/>
      <c r="U37" s="80"/>
      <c r="V37" s="80"/>
      <c r="W37" s="80"/>
      <c r="X37" s="80"/>
      <c r="Y37" s="22"/>
      <c r="Z37" s="22"/>
      <c r="AA37" s="22"/>
      <c r="AB37" s="22"/>
      <c r="AC37" s="22"/>
      <c r="AD37" s="22"/>
      <c r="AE37" s="22"/>
      <c r="AF37" s="22"/>
      <c r="AG37" s="22"/>
      <c r="AH37" s="22"/>
      <c r="AI37" s="22"/>
      <c r="AJ37" s="22"/>
      <c r="AK37" s="22"/>
      <c r="AL37" s="22"/>
      <c r="AM37" s="22"/>
      <c r="AN37" s="22"/>
      <c r="AO37" s="22"/>
      <c r="AP37" s="22"/>
      <c r="AQ37" s="22"/>
      <c r="AR37" s="22"/>
      <c r="AS37" s="22"/>
      <c r="AT37" s="22"/>
      <c r="AU37" s="22"/>
      <c r="AV37" s="22"/>
      <c r="AW37" s="22"/>
      <c r="AX37" s="22"/>
      <c r="AY37" s="22"/>
      <c r="AZ37" s="22"/>
      <c r="BA37" s="22"/>
      <c r="BB37" s="22"/>
      <c r="BC37" s="22"/>
      <c r="BD37" s="22"/>
      <c r="BE37" s="22"/>
      <c r="BF37" s="22"/>
      <c r="BG37" s="22"/>
      <c r="BH37" s="22"/>
      <c r="BI37" s="22"/>
      <c r="BJ37" s="22"/>
      <c r="BK37" s="22"/>
      <c r="BL37" s="22"/>
      <c r="BM37" s="22"/>
      <c r="BN37" s="22"/>
      <c r="BO37" s="22"/>
      <c r="BP37" s="22"/>
      <c r="BQ37" s="22"/>
      <c r="BR37" s="22"/>
      <c r="BS37" s="22"/>
      <c r="BT37" s="22"/>
      <c r="BU37" s="22"/>
      <c r="BV37" s="22"/>
      <c r="BW37" s="22"/>
      <c r="BX37" s="22"/>
      <c r="BY37" s="22"/>
      <c r="BZ37" s="22"/>
      <c r="CA37" s="22"/>
      <c r="CB37" s="22"/>
      <c r="CC37" s="22"/>
    </row>
    <row r="38" spans="1:81" x14ac:dyDescent="0.35">
      <c r="A38" s="201"/>
      <c r="B38" s="201"/>
      <c r="C38" s="80"/>
      <c r="D38" s="80"/>
      <c r="E38" s="80"/>
      <c r="F38" s="80"/>
      <c r="G38" s="80"/>
      <c r="H38" s="80"/>
      <c r="I38" s="80"/>
      <c r="J38" s="80"/>
      <c r="K38" s="80"/>
      <c r="L38" s="80"/>
      <c r="M38" s="80"/>
      <c r="N38" s="80"/>
      <c r="O38" s="80"/>
      <c r="P38" s="80"/>
      <c r="Q38" s="80"/>
      <c r="R38" s="80"/>
      <c r="S38" s="80"/>
      <c r="T38" s="80"/>
      <c r="U38" s="80"/>
      <c r="V38" s="80"/>
      <c r="W38" s="80"/>
      <c r="X38" s="80"/>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s="22"/>
      <c r="BI38" s="22"/>
      <c r="BJ38" s="22"/>
      <c r="BK38" s="22"/>
      <c r="BL38" s="22"/>
      <c r="BM38" s="22"/>
      <c r="BN38" s="22"/>
      <c r="BO38" s="22"/>
      <c r="BP38" s="22"/>
      <c r="BQ38" s="22"/>
      <c r="BR38" s="22"/>
      <c r="BS38" s="22"/>
      <c r="BT38" s="22"/>
      <c r="BU38" s="22"/>
      <c r="BV38" s="22"/>
      <c r="BW38" s="22"/>
      <c r="BX38" s="22"/>
      <c r="BY38" s="22"/>
      <c r="BZ38" s="22"/>
      <c r="CA38" s="22"/>
      <c r="CB38" s="22"/>
      <c r="CC38" s="22"/>
    </row>
    <row r="39" spans="1:81" x14ac:dyDescent="0.35">
      <c r="A39" s="201"/>
      <c r="B39" s="201"/>
      <c r="C39" s="80"/>
      <c r="D39" s="80"/>
      <c r="E39" s="80"/>
      <c r="F39" s="80"/>
      <c r="G39" s="80"/>
      <c r="H39" s="80"/>
      <c r="I39" s="80"/>
      <c r="J39" s="80"/>
      <c r="K39" s="80"/>
      <c r="L39" s="80"/>
      <c r="M39" s="80"/>
      <c r="N39" s="80"/>
      <c r="O39" s="80"/>
      <c r="P39" s="80"/>
      <c r="Q39" s="80"/>
      <c r="R39" s="80"/>
      <c r="S39" s="80"/>
      <c r="T39" s="80"/>
      <c r="U39" s="80"/>
      <c r="V39" s="80"/>
      <c r="W39" s="80"/>
      <c r="X39" s="80"/>
    </row>
    <row r="40" spans="1:81" x14ac:dyDescent="0.35">
      <c r="A40" s="201"/>
      <c r="B40" s="201"/>
      <c r="C40" s="80"/>
      <c r="D40" s="80"/>
      <c r="E40" s="80"/>
      <c r="F40" s="80"/>
      <c r="G40" s="80"/>
      <c r="H40" s="80"/>
      <c r="I40" s="80"/>
      <c r="J40" s="80"/>
      <c r="K40" s="80"/>
      <c r="L40" s="80"/>
      <c r="M40" s="80"/>
      <c r="N40" s="80"/>
      <c r="O40" s="80"/>
      <c r="P40" s="80"/>
      <c r="Q40" s="80"/>
      <c r="R40" s="80"/>
      <c r="S40" s="80"/>
      <c r="T40" s="80"/>
      <c r="U40" s="80"/>
      <c r="V40" s="80"/>
      <c r="W40" s="80"/>
      <c r="X40" s="80"/>
    </row>
    <row r="41" spans="1:81" x14ac:dyDescent="0.35">
      <c r="A41" s="201"/>
      <c r="B41" s="201"/>
      <c r="C41" s="80"/>
      <c r="D41" s="80"/>
      <c r="E41" s="80"/>
      <c r="F41" s="80"/>
      <c r="G41" s="80"/>
      <c r="H41" s="80"/>
      <c r="I41" s="80"/>
      <c r="J41" s="80"/>
      <c r="K41" s="80"/>
      <c r="L41" s="80"/>
      <c r="M41" s="80"/>
      <c r="N41" s="80"/>
      <c r="O41" s="80"/>
      <c r="P41" s="80"/>
      <c r="Q41" s="80"/>
      <c r="R41" s="80"/>
      <c r="S41" s="80"/>
      <c r="T41" s="80"/>
      <c r="U41" s="80"/>
      <c r="V41" s="80"/>
      <c r="W41" s="80"/>
      <c r="X41" s="80"/>
    </row>
    <row r="42" spans="1:81" x14ac:dyDescent="0.35">
      <c r="A42" s="201"/>
      <c r="B42" s="201"/>
      <c r="C42" s="80"/>
      <c r="D42" s="80"/>
      <c r="E42" s="80"/>
      <c r="F42" s="80"/>
      <c r="G42" s="80"/>
      <c r="H42" s="80"/>
      <c r="I42" s="80"/>
      <c r="J42" s="80"/>
      <c r="K42" s="80"/>
      <c r="L42" s="80"/>
      <c r="M42" s="80"/>
      <c r="N42" s="80"/>
      <c r="O42" s="80"/>
      <c r="P42" s="80"/>
      <c r="Q42" s="80"/>
      <c r="R42" s="80"/>
      <c r="S42" s="80"/>
      <c r="T42" s="80"/>
      <c r="U42" s="80"/>
      <c r="V42" s="80"/>
      <c r="W42" s="80"/>
      <c r="X42" s="80"/>
    </row>
    <row r="43" spans="1:81" x14ac:dyDescent="0.35">
      <c r="A43" s="80"/>
      <c r="B43" s="80"/>
      <c r="C43" s="80"/>
      <c r="D43" s="80"/>
      <c r="E43" s="80"/>
      <c r="F43" s="80"/>
      <c r="G43" s="80"/>
      <c r="H43" s="80"/>
      <c r="I43" s="80"/>
      <c r="J43" s="80"/>
      <c r="K43" s="80"/>
      <c r="L43" s="80"/>
      <c r="M43" s="80"/>
      <c r="N43" s="80"/>
      <c r="O43" s="80"/>
      <c r="P43" s="80"/>
      <c r="Q43" s="80"/>
      <c r="R43" s="80"/>
      <c r="S43" s="80"/>
      <c r="T43" s="80"/>
      <c r="U43" s="80"/>
      <c r="V43" s="80"/>
      <c r="W43" s="80"/>
      <c r="X43" s="80"/>
    </row>
    <row r="44" spans="1:81" x14ac:dyDescent="0.35">
      <c r="A44" s="80"/>
      <c r="B44" s="80"/>
      <c r="C44" s="80"/>
      <c r="D44" s="80"/>
      <c r="E44" s="80"/>
      <c r="F44" s="80"/>
      <c r="G44" s="80"/>
      <c r="H44" s="80"/>
      <c r="I44" s="80"/>
      <c r="J44" s="80"/>
      <c r="K44" s="80"/>
      <c r="L44" s="80"/>
      <c r="M44" s="80"/>
      <c r="N44" s="80"/>
      <c r="O44" s="80"/>
      <c r="P44" s="80"/>
      <c r="Q44" s="80"/>
      <c r="R44" s="80"/>
      <c r="S44" s="80"/>
      <c r="T44" s="80"/>
      <c r="U44" s="80"/>
      <c r="V44" s="80"/>
      <c r="W44" s="80"/>
      <c r="X44" s="80"/>
    </row>
    <row r="45" spans="1:81" x14ac:dyDescent="0.35">
      <c r="A45" s="200"/>
      <c r="B45" s="200"/>
      <c r="C45" s="200"/>
      <c r="D45" s="200"/>
      <c r="E45" s="200"/>
      <c r="F45" s="200"/>
      <c r="G45" s="200"/>
      <c r="H45" s="200"/>
      <c r="I45" s="200"/>
      <c r="J45" s="200"/>
      <c r="K45" s="200"/>
      <c r="L45" s="200"/>
      <c r="M45" s="200"/>
      <c r="N45" s="200"/>
      <c r="O45" s="200"/>
      <c r="P45" s="200"/>
      <c r="Q45" s="200"/>
      <c r="R45" s="200"/>
      <c r="S45" s="200"/>
      <c r="T45" s="200"/>
      <c r="U45" s="200"/>
      <c r="V45" s="200"/>
      <c r="W45" s="200"/>
      <c r="X45" s="200"/>
    </row>
    <row r="46" spans="1:81" x14ac:dyDescent="0.35">
      <c r="A46" s="200"/>
      <c r="B46" s="200"/>
      <c r="C46" s="200"/>
      <c r="D46" s="200"/>
      <c r="E46" s="200"/>
      <c r="F46" s="200"/>
      <c r="G46" s="200"/>
      <c r="H46" s="200"/>
      <c r="I46" s="200"/>
      <c r="J46" s="200"/>
      <c r="K46" s="200"/>
      <c r="L46" s="200"/>
      <c r="M46" s="200"/>
      <c r="N46" s="200"/>
      <c r="O46" s="200"/>
      <c r="P46" s="200"/>
      <c r="Q46" s="200"/>
      <c r="R46" s="200"/>
      <c r="S46" s="200"/>
      <c r="T46" s="200"/>
      <c r="U46" s="200"/>
      <c r="V46" s="200"/>
      <c r="W46" s="200"/>
      <c r="X46" s="200"/>
    </row>
    <row r="47" spans="1:81" x14ac:dyDescent="0.35">
      <c r="A47" s="200"/>
      <c r="B47" s="200"/>
      <c r="C47" s="200"/>
      <c r="D47" s="200"/>
      <c r="E47" s="200"/>
      <c r="F47" s="200"/>
      <c r="G47" s="200"/>
      <c r="H47" s="200"/>
      <c r="I47" s="200"/>
      <c r="J47" s="200"/>
      <c r="K47" s="200"/>
      <c r="L47" s="200"/>
      <c r="M47" s="200"/>
      <c r="N47" s="200"/>
      <c r="O47" s="200"/>
      <c r="P47" s="200"/>
      <c r="Q47" s="200"/>
      <c r="R47" s="200"/>
      <c r="S47" s="200"/>
      <c r="T47" s="200"/>
      <c r="U47" s="200"/>
      <c r="V47" s="200"/>
      <c r="W47" s="200"/>
      <c r="X47" s="200"/>
    </row>
    <row r="48" spans="1:81" x14ac:dyDescent="0.35">
      <c r="A48" s="200"/>
      <c r="B48" s="200"/>
      <c r="C48" s="200"/>
      <c r="D48" s="200"/>
      <c r="E48" s="200"/>
      <c r="F48" s="200"/>
      <c r="G48" s="200"/>
      <c r="H48" s="200"/>
      <c r="I48" s="200"/>
      <c r="J48" s="200"/>
      <c r="K48" s="200"/>
      <c r="L48" s="200"/>
      <c r="M48" s="200"/>
      <c r="N48" s="200"/>
      <c r="O48" s="200"/>
      <c r="P48" s="200"/>
      <c r="Q48" s="200"/>
      <c r="R48" s="200"/>
      <c r="S48" s="200"/>
      <c r="T48" s="200"/>
      <c r="U48" s="200"/>
      <c r="V48" s="200"/>
      <c r="W48" s="200"/>
      <c r="X48" s="200"/>
    </row>
    <row r="49" spans="1:24" x14ac:dyDescent="0.35">
      <c r="A49" s="200"/>
      <c r="B49" s="200"/>
      <c r="C49" s="200"/>
      <c r="D49" s="200"/>
      <c r="E49" s="200"/>
      <c r="F49" s="200"/>
      <c r="G49" s="200"/>
      <c r="H49" s="200"/>
      <c r="I49" s="200"/>
      <c r="J49" s="200"/>
      <c r="K49" s="200"/>
      <c r="L49" s="200"/>
      <c r="M49" s="200"/>
      <c r="N49" s="200"/>
      <c r="O49" s="200"/>
      <c r="P49" s="200"/>
      <c r="Q49" s="200"/>
      <c r="R49" s="200"/>
      <c r="S49" s="200"/>
      <c r="T49" s="200"/>
      <c r="U49" s="200"/>
      <c r="V49" s="200"/>
      <c r="W49" s="200"/>
      <c r="X49" s="200"/>
    </row>
    <row r="50" spans="1:24" x14ac:dyDescent="0.35">
      <c r="A50" s="200"/>
      <c r="B50" s="200"/>
      <c r="C50" s="200"/>
      <c r="D50" s="200"/>
      <c r="E50" s="200"/>
      <c r="F50" s="200"/>
      <c r="G50" s="200"/>
      <c r="H50" s="200"/>
      <c r="I50" s="200"/>
      <c r="J50" s="200"/>
      <c r="K50" s="200"/>
      <c r="L50" s="200"/>
      <c r="M50" s="200"/>
      <c r="N50" s="200"/>
      <c r="O50" s="200"/>
      <c r="P50" s="200"/>
      <c r="Q50" s="200"/>
      <c r="R50" s="200"/>
      <c r="S50" s="200"/>
      <c r="T50" s="200"/>
      <c r="U50" s="200"/>
      <c r="V50" s="200"/>
      <c r="W50" s="200"/>
      <c r="X50" s="200"/>
    </row>
    <row r="51" spans="1:24" x14ac:dyDescent="0.35">
      <c r="A51" s="200"/>
      <c r="B51" s="200"/>
      <c r="C51" s="200"/>
      <c r="D51" s="200"/>
      <c r="E51" s="200"/>
      <c r="F51" s="200"/>
      <c r="G51" s="200"/>
      <c r="H51" s="200"/>
      <c r="I51" s="200"/>
      <c r="J51" s="200"/>
      <c r="K51" s="200"/>
      <c r="L51" s="200"/>
      <c r="M51" s="200"/>
      <c r="N51" s="200"/>
      <c r="O51" s="200"/>
      <c r="P51" s="200"/>
      <c r="Q51" s="200"/>
      <c r="R51" s="200"/>
      <c r="S51" s="200"/>
      <c r="T51" s="200"/>
      <c r="U51" s="200"/>
      <c r="V51" s="200"/>
      <c r="W51" s="200"/>
      <c r="X51" s="200"/>
    </row>
    <row r="52" spans="1:24" x14ac:dyDescent="0.35">
      <c r="A52" s="200"/>
      <c r="B52" s="200"/>
      <c r="C52" s="200"/>
      <c r="D52" s="200"/>
      <c r="E52" s="200"/>
      <c r="F52" s="200"/>
      <c r="G52" s="200"/>
      <c r="H52" s="200"/>
      <c r="I52" s="200"/>
      <c r="J52" s="200"/>
      <c r="K52" s="200"/>
      <c r="L52" s="200"/>
      <c r="M52" s="200"/>
      <c r="N52" s="200"/>
      <c r="O52" s="200"/>
      <c r="P52" s="200"/>
      <c r="Q52" s="200"/>
      <c r="R52" s="200"/>
    </row>
    <row r="53" spans="1:24" x14ac:dyDescent="0.35">
      <c r="A53" s="200"/>
      <c r="B53" s="200"/>
      <c r="C53" s="200"/>
      <c r="D53" s="200"/>
      <c r="E53" s="200"/>
      <c r="F53" s="200"/>
      <c r="G53" s="200"/>
      <c r="H53" s="200"/>
      <c r="I53" s="200"/>
      <c r="J53" s="200"/>
      <c r="K53" s="200"/>
      <c r="L53" s="200"/>
      <c r="M53" s="200"/>
      <c r="N53" s="200"/>
      <c r="O53" s="200"/>
      <c r="P53" s="200"/>
      <c r="Q53" s="200"/>
      <c r="R53" s="200"/>
    </row>
    <row r="54" spans="1:24" x14ac:dyDescent="0.35">
      <c r="A54" s="200"/>
      <c r="B54" s="200"/>
      <c r="C54" s="200"/>
      <c r="D54" s="200"/>
      <c r="E54" s="200"/>
      <c r="F54" s="200"/>
      <c r="G54" s="200"/>
      <c r="H54" s="200"/>
      <c r="I54" s="200"/>
      <c r="J54" s="200"/>
      <c r="K54" s="200"/>
      <c r="L54" s="200"/>
      <c r="M54" s="200"/>
      <c r="N54" s="200"/>
      <c r="O54" s="200"/>
      <c r="P54" s="200"/>
      <c r="Q54" s="200"/>
      <c r="R54" s="200"/>
    </row>
    <row r="55" spans="1:24" x14ac:dyDescent="0.35">
      <c r="A55" s="200"/>
      <c r="B55" s="200"/>
      <c r="C55" s="200"/>
      <c r="D55" s="200"/>
      <c r="E55" s="200"/>
      <c r="F55" s="200"/>
      <c r="G55" s="200"/>
      <c r="H55" s="200"/>
      <c r="I55" s="200"/>
      <c r="J55" s="200"/>
      <c r="K55" s="200"/>
      <c r="L55" s="200"/>
      <c r="M55" s="200"/>
      <c r="N55" s="200"/>
      <c r="O55" s="200"/>
      <c r="P55" s="200"/>
      <c r="Q55" s="200"/>
      <c r="R55" s="200"/>
    </row>
    <row r="56" spans="1:24" x14ac:dyDescent="0.35">
      <c r="A56" s="200"/>
      <c r="B56" s="200"/>
      <c r="C56" s="200"/>
      <c r="D56" s="200"/>
      <c r="E56" s="200"/>
      <c r="F56" s="200"/>
      <c r="G56" s="200"/>
      <c r="H56" s="200"/>
      <c r="I56" s="200"/>
      <c r="J56" s="200"/>
      <c r="K56" s="200"/>
      <c r="L56" s="200"/>
      <c r="M56" s="200"/>
      <c r="N56" s="200"/>
      <c r="O56" s="200"/>
      <c r="P56" s="200"/>
      <c r="Q56" s="200"/>
      <c r="R56" s="200"/>
    </row>
    <row r="57" spans="1:24" x14ac:dyDescent="0.35">
      <c r="A57" s="200"/>
      <c r="B57" s="200"/>
      <c r="C57" s="200"/>
      <c r="D57" s="200"/>
      <c r="E57" s="200"/>
      <c r="F57" s="200"/>
      <c r="G57" s="200"/>
      <c r="H57" s="200"/>
      <c r="I57" s="200"/>
      <c r="J57" s="200"/>
      <c r="K57" s="200"/>
      <c r="L57" s="200"/>
      <c r="M57" s="200"/>
      <c r="N57" s="200"/>
      <c r="O57" s="200"/>
      <c r="P57" s="200"/>
      <c r="Q57" s="200"/>
      <c r="R57" s="200"/>
    </row>
    <row r="58" spans="1:24" x14ac:dyDescent="0.35">
      <c r="A58" s="200"/>
      <c r="B58" s="200"/>
      <c r="C58" s="200"/>
      <c r="D58" s="200"/>
      <c r="E58" s="200"/>
      <c r="F58" s="200"/>
      <c r="G58" s="200"/>
      <c r="H58" s="200"/>
      <c r="I58" s="200"/>
      <c r="J58" s="200"/>
      <c r="K58" s="200"/>
      <c r="L58" s="200"/>
      <c r="M58" s="200"/>
      <c r="N58" s="200"/>
      <c r="O58" s="200"/>
      <c r="P58" s="200"/>
      <c r="Q58" s="200"/>
      <c r="R58" s="200"/>
    </row>
    <row r="59" spans="1:24" x14ac:dyDescent="0.35">
      <c r="A59" s="200"/>
      <c r="B59" s="200"/>
      <c r="C59" s="200"/>
      <c r="D59" s="200"/>
      <c r="E59" s="200"/>
      <c r="F59" s="200"/>
      <c r="G59" s="200"/>
      <c r="H59" s="200"/>
      <c r="I59" s="200"/>
      <c r="J59" s="200"/>
      <c r="K59" s="200"/>
      <c r="L59" s="200"/>
      <c r="M59" s="200"/>
      <c r="N59" s="200"/>
      <c r="O59" s="200"/>
      <c r="P59" s="200"/>
      <c r="Q59" s="200"/>
      <c r="R59" s="200"/>
    </row>
    <row r="60" spans="1:24" x14ac:dyDescent="0.35">
      <c r="A60" s="200"/>
      <c r="B60" s="200"/>
      <c r="C60" s="200"/>
      <c r="D60" s="200"/>
      <c r="E60" s="200"/>
      <c r="F60" s="200"/>
      <c r="G60" s="200"/>
      <c r="H60" s="200"/>
      <c r="I60" s="200"/>
      <c r="J60" s="200"/>
      <c r="K60" s="200"/>
      <c r="L60" s="200"/>
      <c r="M60" s="200"/>
      <c r="N60" s="200"/>
      <c r="O60" s="200"/>
      <c r="P60" s="200"/>
      <c r="Q60" s="200"/>
      <c r="R60" s="200"/>
    </row>
    <row r="61" spans="1:24" x14ac:dyDescent="0.35">
      <c r="A61" s="200"/>
      <c r="B61" s="200"/>
      <c r="C61" s="200"/>
      <c r="D61" s="200"/>
      <c r="E61" s="200"/>
      <c r="F61" s="200"/>
      <c r="G61" s="200"/>
      <c r="H61" s="200"/>
      <c r="I61" s="200"/>
      <c r="J61" s="200"/>
      <c r="K61" s="200"/>
      <c r="L61" s="200"/>
      <c r="M61" s="200"/>
      <c r="N61" s="200"/>
      <c r="O61" s="200"/>
      <c r="P61" s="200"/>
      <c r="Q61" s="200"/>
      <c r="R61" s="200"/>
    </row>
    <row r="62" spans="1:24" x14ac:dyDescent="0.35">
      <c r="A62" s="200"/>
      <c r="B62" s="200"/>
      <c r="C62" s="200"/>
      <c r="D62" s="200"/>
      <c r="E62" s="200"/>
      <c r="F62" s="200"/>
      <c r="G62" s="200"/>
      <c r="H62" s="200"/>
      <c r="I62" s="200"/>
      <c r="J62" s="200"/>
      <c r="K62" s="200"/>
      <c r="L62" s="200"/>
      <c r="M62" s="200"/>
      <c r="N62" s="200"/>
      <c r="O62" s="200"/>
      <c r="P62" s="200"/>
      <c r="Q62" s="200"/>
      <c r="R62" s="200"/>
    </row>
    <row r="63" spans="1:24" x14ac:dyDescent="0.35">
      <c r="A63" s="200"/>
      <c r="B63" s="200"/>
      <c r="C63" s="200"/>
      <c r="D63" s="200"/>
      <c r="E63" s="200"/>
      <c r="F63" s="200"/>
      <c r="G63" s="200"/>
      <c r="H63" s="200"/>
      <c r="I63" s="200"/>
      <c r="J63" s="200"/>
      <c r="K63" s="200"/>
      <c r="L63" s="200"/>
      <c r="M63" s="200"/>
      <c r="N63" s="200"/>
      <c r="O63" s="200"/>
      <c r="P63" s="200"/>
      <c r="Q63" s="200"/>
      <c r="R63" s="200"/>
    </row>
    <row r="64" spans="1:24" x14ac:dyDescent="0.35">
      <c r="A64" s="200"/>
      <c r="B64" s="200"/>
      <c r="C64" s="200"/>
      <c r="D64" s="200"/>
      <c r="E64" s="200"/>
      <c r="F64" s="200"/>
      <c r="G64" s="200"/>
      <c r="H64" s="200"/>
      <c r="I64" s="200"/>
      <c r="J64" s="200"/>
      <c r="K64" s="200"/>
      <c r="L64" s="200"/>
      <c r="M64" s="200"/>
      <c r="N64" s="200"/>
      <c r="O64" s="200"/>
      <c r="P64" s="200"/>
      <c r="Q64" s="200"/>
      <c r="R64" s="200"/>
    </row>
    <row r="65" spans="1:18" x14ac:dyDescent="0.35">
      <c r="A65" s="200"/>
      <c r="B65" s="200"/>
      <c r="C65" s="200"/>
      <c r="D65" s="200"/>
      <c r="E65" s="200"/>
      <c r="F65" s="200"/>
      <c r="G65" s="200"/>
      <c r="H65" s="200"/>
      <c r="I65" s="200"/>
      <c r="J65" s="200"/>
      <c r="K65" s="200"/>
      <c r="L65" s="200"/>
      <c r="M65" s="200"/>
      <c r="N65" s="200"/>
      <c r="O65" s="200"/>
      <c r="P65" s="200"/>
      <c r="Q65" s="200"/>
      <c r="R65" s="200"/>
    </row>
    <row r="66" spans="1:18" x14ac:dyDescent="0.35">
      <c r="A66" s="200"/>
      <c r="B66" s="200"/>
      <c r="C66" s="200"/>
      <c r="D66" s="200"/>
      <c r="E66" s="200"/>
      <c r="F66" s="200"/>
      <c r="G66" s="200"/>
      <c r="H66" s="200"/>
      <c r="I66" s="200"/>
      <c r="J66" s="200"/>
      <c r="K66" s="200"/>
      <c r="L66" s="200"/>
      <c r="M66" s="200"/>
      <c r="N66" s="200"/>
      <c r="O66" s="200"/>
      <c r="P66" s="200"/>
      <c r="Q66" s="200"/>
      <c r="R66" s="200"/>
    </row>
    <row r="67" spans="1:18" x14ac:dyDescent="0.35">
      <c r="A67" s="200"/>
      <c r="B67" s="200"/>
      <c r="C67" s="200"/>
      <c r="D67" s="200"/>
      <c r="E67" s="200"/>
      <c r="F67" s="200"/>
      <c r="G67" s="200"/>
      <c r="H67" s="200"/>
      <c r="I67" s="200"/>
      <c r="J67" s="200"/>
      <c r="K67" s="200"/>
      <c r="L67" s="200"/>
      <c r="M67" s="200"/>
      <c r="N67" s="200"/>
      <c r="O67" s="200"/>
      <c r="P67" s="200"/>
      <c r="Q67" s="200"/>
      <c r="R67" s="200"/>
    </row>
    <row r="68" spans="1:18" x14ac:dyDescent="0.35">
      <c r="A68" s="200"/>
      <c r="B68" s="200"/>
      <c r="C68" s="200"/>
      <c r="D68" s="200"/>
      <c r="E68" s="200"/>
      <c r="F68" s="200"/>
      <c r="G68" s="200"/>
      <c r="H68" s="200"/>
      <c r="I68" s="200"/>
      <c r="J68" s="200"/>
      <c r="K68" s="200"/>
      <c r="L68" s="200"/>
      <c r="M68" s="200"/>
      <c r="N68" s="200"/>
      <c r="O68" s="200"/>
      <c r="P68" s="200"/>
      <c r="Q68" s="200"/>
      <c r="R68" s="200"/>
    </row>
    <row r="69" spans="1:18" x14ac:dyDescent="0.35">
      <c r="A69" s="200"/>
      <c r="B69" s="200"/>
      <c r="C69" s="200"/>
      <c r="D69" s="200"/>
      <c r="E69" s="200"/>
      <c r="F69" s="200"/>
      <c r="G69" s="200"/>
      <c r="H69" s="200"/>
      <c r="I69" s="200"/>
      <c r="J69" s="200"/>
      <c r="K69" s="200"/>
      <c r="L69" s="200"/>
      <c r="M69" s="200"/>
      <c r="N69" s="200"/>
      <c r="O69" s="200"/>
      <c r="P69" s="200"/>
      <c r="Q69" s="200"/>
      <c r="R69" s="200"/>
    </row>
    <row r="70" spans="1:18" x14ac:dyDescent="0.35">
      <c r="A70" s="200"/>
      <c r="B70" s="200"/>
      <c r="C70" s="200"/>
      <c r="D70" s="200"/>
      <c r="E70" s="200"/>
      <c r="F70" s="200"/>
      <c r="G70" s="200"/>
      <c r="H70" s="200"/>
      <c r="I70" s="200"/>
      <c r="J70" s="200"/>
      <c r="K70" s="200"/>
      <c r="L70" s="200"/>
      <c r="M70" s="200"/>
      <c r="N70" s="200"/>
      <c r="O70" s="200"/>
      <c r="P70" s="200"/>
      <c r="Q70" s="200"/>
      <c r="R70" s="200"/>
    </row>
    <row r="71" spans="1:18" x14ac:dyDescent="0.35">
      <c r="A71" s="200"/>
      <c r="B71" s="200"/>
      <c r="C71" s="200"/>
      <c r="D71" s="200"/>
      <c r="E71" s="200"/>
      <c r="F71" s="200"/>
      <c r="G71" s="200"/>
      <c r="H71" s="200"/>
      <c r="I71" s="200"/>
      <c r="J71" s="200"/>
      <c r="K71" s="200"/>
      <c r="L71" s="200"/>
      <c r="M71" s="200"/>
      <c r="N71" s="200"/>
      <c r="O71" s="200"/>
      <c r="P71" s="200"/>
      <c r="Q71" s="200"/>
      <c r="R71" s="200"/>
    </row>
    <row r="72" spans="1:18" x14ac:dyDescent="0.35">
      <c r="A72" s="200"/>
      <c r="B72" s="200"/>
      <c r="C72" s="200"/>
      <c r="D72" s="200"/>
      <c r="E72" s="200"/>
      <c r="F72" s="200"/>
      <c r="G72" s="200"/>
      <c r="H72" s="200"/>
      <c r="I72" s="200"/>
      <c r="J72" s="200"/>
      <c r="K72" s="200"/>
      <c r="L72" s="200"/>
      <c r="M72" s="200"/>
      <c r="N72" s="200"/>
      <c r="O72" s="200"/>
      <c r="P72" s="200"/>
      <c r="Q72" s="200"/>
      <c r="R72" s="200"/>
    </row>
    <row r="73" spans="1:18" x14ac:dyDescent="0.35">
      <c r="A73" s="200"/>
      <c r="B73" s="200"/>
      <c r="C73" s="200"/>
      <c r="D73" s="200"/>
      <c r="E73" s="200"/>
      <c r="F73" s="200"/>
      <c r="G73" s="200"/>
      <c r="H73" s="200"/>
      <c r="I73" s="200"/>
      <c r="J73" s="200"/>
      <c r="K73" s="200"/>
      <c r="L73" s="200"/>
      <c r="M73" s="200"/>
      <c r="N73" s="200"/>
      <c r="O73" s="200"/>
      <c r="P73" s="200"/>
      <c r="Q73" s="200"/>
      <c r="R73" s="200"/>
    </row>
    <row r="74" spans="1:18" x14ac:dyDescent="0.35">
      <c r="A74" s="200"/>
      <c r="B74" s="200"/>
      <c r="C74" s="200"/>
      <c r="D74" s="200"/>
      <c r="E74" s="200"/>
      <c r="F74" s="200"/>
      <c r="G74" s="200"/>
      <c r="H74" s="200"/>
      <c r="I74" s="200"/>
      <c r="J74" s="200"/>
      <c r="K74" s="200"/>
      <c r="L74" s="200"/>
      <c r="M74" s="200"/>
      <c r="N74" s="200"/>
      <c r="O74" s="200"/>
      <c r="P74" s="200"/>
      <c r="Q74" s="200"/>
      <c r="R74" s="200"/>
    </row>
    <row r="75" spans="1:18" x14ac:dyDescent="0.35">
      <c r="A75" s="200"/>
      <c r="B75" s="200"/>
      <c r="C75" s="200"/>
      <c r="D75" s="200"/>
      <c r="E75" s="200"/>
      <c r="F75" s="200"/>
      <c r="G75" s="200"/>
      <c r="H75" s="200"/>
      <c r="I75" s="200"/>
      <c r="J75" s="200"/>
      <c r="K75" s="200"/>
      <c r="L75" s="200"/>
      <c r="M75" s="200"/>
      <c r="N75" s="200"/>
      <c r="O75" s="200"/>
      <c r="P75" s="200"/>
      <c r="Q75" s="200"/>
      <c r="R75" s="200"/>
    </row>
    <row r="76" spans="1:18" x14ac:dyDescent="0.35">
      <c r="A76" s="200"/>
      <c r="B76" s="200"/>
      <c r="C76" s="200"/>
      <c r="D76" s="200"/>
      <c r="E76" s="200"/>
      <c r="F76" s="200"/>
      <c r="G76" s="200"/>
      <c r="H76" s="200"/>
      <c r="I76" s="200"/>
      <c r="J76" s="200"/>
      <c r="K76" s="200"/>
      <c r="L76" s="200"/>
      <c r="M76" s="200"/>
      <c r="N76" s="200"/>
      <c r="O76" s="200"/>
      <c r="P76" s="200"/>
      <c r="Q76" s="200"/>
      <c r="R76" s="200"/>
    </row>
    <row r="77" spans="1:18" x14ac:dyDescent="0.35">
      <c r="A77" s="200"/>
      <c r="B77" s="200"/>
      <c r="C77" s="200"/>
      <c r="D77" s="200"/>
      <c r="E77" s="200"/>
      <c r="F77" s="200"/>
      <c r="G77" s="200"/>
      <c r="H77" s="200"/>
      <c r="I77" s="200"/>
      <c r="J77" s="200"/>
      <c r="K77" s="200"/>
      <c r="L77" s="200"/>
      <c r="M77" s="200"/>
      <c r="N77" s="200"/>
      <c r="O77" s="200"/>
      <c r="P77" s="200"/>
      <c r="Q77" s="200"/>
      <c r="R77" s="200"/>
    </row>
    <row r="78" spans="1:18" x14ac:dyDescent="0.35">
      <c r="A78" s="200"/>
      <c r="B78" s="200"/>
      <c r="C78" s="200"/>
      <c r="D78" s="200"/>
      <c r="E78" s="200"/>
      <c r="F78" s="200"/>
      <c r="G78" s="200"/>
      <c r="H78" s="200"/>
      <c r="I78" s="200"/>
      <c r="J78" s="200"/>
      <c r="K78" s="200"/>
      <c r="L78" s="200"/>
      <c r="M78" s="200"/>
      <c r="N78" s="200"/>
      <c r="O78" s="200"/>
      <c r="P78" s="200"/>
      <c r="Q78" s="200"/>
      <c r="R78" s="200"/>
    </row>
    <row r="79" spans="1:18" x14ac:dyDescent="0.35">
      <c r="A79" s="200"/>
      <c r="B79" s="200"/>
      <c r="C79" s="200"/>
      <c r="D79" s="200"/>
      <c r="E79" s="200"/>
      <c r="F79" s="200"/>
      <c r="G79" s="200"/>
      <c r="H79" s="200"/>
      <c r="I79" s="200"/>
      <c r="J79" s="200"/>
      <c r="K79" s="200"/>
      <c r="L79" s="200"/>
      <c r="M79" s="200"/>
      <c r="N79" s="200"/>
      <c r="O79" s="200"/>
      <c r="P79" s="200"/>
      <c r="Q79" s="200"/>
      <c r="R79" s="200"/>
    </row>
    <row r="80" spans="1:18" x14ac:dyDescent="0.35">
      <c r="A80" s="200"/>
      <c r="B80" s="200"/>
      <c r="C80" s="200"/>
      <c r="D80" s="200"/>
      <c r="E80" s="200"/>
      <c r="F80" s="200"/>
      <c r="G80" s="200"/>
      <c r="H80" s="200"/>
      <c r="I80" s="200"/>
      <c r="J80" s="200"/>
      <c r="K80" s="200"/>
      <c r="L80" s="200"/>
      <c r="M80" s="200"/>
      <c r="N80" s="200"/>
      <c r="O80" s="200"/>
      <c r="P80" s="200"/>
      <c r="Q80" s="200"/>
      <c r="R80" s="200"/>
    </row>
    <row r="81" spans="1:18" x14ac:dyDescent="0.35">
      <c r="A81" s="200"/>
      <c r="B81" s="200"/>
      <c r="C81" s="200"/>
      <c r="D81" s="200"/>
      <c r="E81" s="200"/>
      <c r="F81" s="200"/>
      <c r="G81" s="200"/>
      <c r="H81" s="200"/>
      <c r="I81" s="200"/>
      <c r="J81" s="200"/>
      <c r="K81" s="200"/>
      <c r="L81" s="200"/>
      <c r="M81" s="200"/>
      <c r="N81" s="200"/>
      <c r="O81" s="200"/>
      <c r="P81" s="200"/>
      <c r="Q81" s="200"/>
      <c r="R81" s="200"/>
    </row>
    <row r="82" spans="1:18" x14ac:dyDescent="0.35">
      <c r="A82" s="200"/>
      <c r="B82" s="200"/>
      <c r="C82" s="200"/>
      <c r="D82" s="200"/>
      <c r="E82" s="200"/>
      <c r="F82" s="200"/>
      <c r="G82" s="200"/>
      <c r="H82" s="200"/>
      <c r="I82" s="200"/>
      <c r="J82" s="200"/>
      <c r="K82" s="200"/>
      <c r="L82" s="200"/>
      <c r="M82" s="200"/>
      <c r="N82" s="200"/>
      <c r="O82" s="200"/>
      <c r="P82" s="200"/>
      <c r="Q82" s="200"/>
      <c r="R82" s="200"/>
    </row>
    <row r="83" spans="1:18" x14ac:dyDescent="0.35">
      <c r="A83" s="200"/>
      <c r="B83" s="200"/>
      <c r="C83" s="200"/>
      <c r="D83" s="200"/>
      <c r="E83" s="200"/>
      <c r="F83" s="200"/>
      <c r="G83" s="200"/>
      <c r="H83" s="200"/>
      <c r="I83" s="200"/>
      <c r="J83" s="200"/>
      <c r="K83" s="200"/>
      <c r="L83" s="200"/>
      <c r="M83" s="200"/>
      <c r="N83" s="200"/>
      <c r="O83" s="200"/>
      <c r="P83" s="200"/>
      <c r="Q83" s="200"/>
      <c r="R83" s="200"/>
    </row>
    <row r="84" spans="1:18" x14ac:dyDescent="0.35">
      <c r="A84" s="200"/>
      <c r="B84" s="200"/>
      <c r="C84" s="200"/>
      <c r="D84" s="200"/>
      <c r="E84" s="200"/>
      <c r="F84" s="200"/>
      <c r="G84" s="200"/>
      <c r="H84" s="200"/>
      <c r="I84" s="200"/>
      <c r="J84" s="200"/>
      <c r="K84" s="200"/>
      <c r="L84" s="200"/>
      <c r="M84" s="200"/>
      <c r="N84" s="200"/>
      <c r="O84" s="200"/>
      <c r="P84" s="200"/>
      <c r="Q84" s="200"/>
      <c r="R84" s="200"/>
    </row>
    <row r="85" spans="1:18" x14ac:dyDescent="0.35">
      <c r="A85" s="200"/>
      <c r="B85" s="200"/>
      <c r="C85" s="200"/>
      <c r="D85" s="200"/>
      <c r="E85" s="200"/>
      <c r="F85" s="200"/>
      <c r="G85" s="200"/>
      <c r="H85" s="200"/>
      <c r="I85" s="200"/>
      <c r="J85" s="200"/>
      <c r="K85" s="200"/>
      <c r="L85" s="200"/>
      <c r="M85" s="200"/>
      <c r="N85" s="200"/>
      <c r="O85" s="200"/>
      <c r="P85" s="200"/>
      <c r="Q85" s="200"/>
      <c r="R85" s="200"/>
    </row>
    <row r="86" spans="1:18" x14ac:dyDescent="0.35">
      <c r="A86" s="200"/>
      <c r="B86" s="200"/>
      <c r="C86" s="200"/>
      <c r="D86" s="200"/>
      <c r="E86" s="200"/>
      <c r="F86" s="200"/>
      <c r="G86" s="200"/>
      <c r="H86" s="200"/>
      <c r="I86" s="200"/>
      <c r="J86" s="200"/>
      <c r="K86" s="200"/>
      <c r="L86" s="200"/>
      <c r="M86" s="200"/>
      <c r="N86" s="200"/>
      <c r="O86" s="200"/>
      <c r="P86" s="200"/>
      <c r="Q86" s="200"/>
      <c r="R86" s="200"/>
    </row>
    <row r="87" spans="1:18" x14ac:dyDescent="0.35">
      <c r="A87" s="200"/>
      <c r="B87" s="200"/>
      <c r="C87" s="200"/>
      <c r="D87" s="200"/>
      <c r="E87" s="200"/>
      <c r="F87" s="200"/>
      <c r="G87" s="200"/>
      <c r="H87" s="200"/>
      <c r="I87" s="200"/>
      <c r="J87" s="200"/>
      <c r="K87" s="200"/>
      <c r="L87" s="200"/>
      <c r="M87" s="200"/>
      <c r="N87" s="200"/>
      <c r="O87" s="200"/>
      <c r="P87" s="200"/>
      <c r="Q87" s="200"/>
      <c r="R87" s="200"/>
    </row>
    <row r="88" spans="1:18" x14ac:dyDescent="0.35">
      <c r="A88" s="200"/>
      <c r="B88" s="200"/>
      <c r="C88" s="200"/>
      <c r="D88" s="200"/>
      <c r="E88" s="200"/>
      <c r="F88" s="200"/>
      <c r="G88" s="200"/>
      <c r="H88" s="200"/>
      <c r="I88" s="200"/>
      <c r="J88" s="200"/>
      <c r="K88" s="200"/>
      <c r="L88" s="200"/>
      <c r="M88" s="200"/>
      <c r="N88" s="200"/>
      <c r="O88" s="200"/>
      <c r="P88" s="200"/>
      <c r="Q88" s="200"/>
      <c r="R88" s="200"/>
    </row>
    <row r="89" spans="1:18" x14ac:dyDescent="0.35">
      <c r="A89" s="200"/>
      <c r="B89" s="200"/>
      <c r="C89" s="200"/>
      <c r="D89" s="200"/>
      <c r="E89" s="200"/>
      <c r="F89" s="200"/>
      <c r="G89" s="200"/>
      <c r="H89" s="200"/>
      <c r="I89" s="200"/>
      <c r="J89" s="200"/>
      <c r="K89" s="200"/>
      <c r="L89" s="200"/>
      <c r="M89" s="200"/>
      <c r="N89" s="200"/>
      <c r="O89" s="200"/>
      <c r="P89" s="200"/>
      <c r="Q89" s="200"/>
      <c r="R89" s="200"/>
    </row>
    <row r="90" spans="1:18" x14ac:dyDescent="0.35">
      <c r="A90" s="200"/>
      <c r="B90" s="200"/>
      <c r="C90" s="200"/>
      <c r="D90" s="200"/>
      <c r="E90" s="200"/>
      <c r="F90" s="200"/>
      <c r="G90" s="200"/>
      <c r="H90" s="200"/>
      <c r="I90" s="200"/>
      <c r="J90" s="200"/>
      <c r="K90" s="200"/>
      <c r="L90" s="200"/>
      <c r="M90" s="200"/>
      <c r="N90" s="200"/>
      <c r="O90" s="200"/>
      <c r="P90" s="200"/>
      <c r="Q90" s="200"/>
      <c r="R90" s="200"/>
    </row>
    <row r="91" spans="1:18" x14ac:dyDescent="0.35">
      <c r="A91" s="200"/>
      <c r="B91" s="200"/>
      <c r="C91" s="200"/>
      <c r="D91" s="200"/>
      <c r="E91" s="200"/>
      <c r="F91" s="200"/>
      <c r="G91" s="200"/>
      <c r="H91" s="200"/>
      <c r="I91" s="200"/>
      <c r="J91" s="200"/>
      <c r="K91" s="200"/>
      <c r="L91" s="200"/>
      <c r="M91" s="200"/>
      <c r="N91" s="200"/>
      <c r="O91" s="200"/>
      <c r="P91" s="200"/>
      <c r="Q91" s="200"/>
      <c r="R91" s="200"/>
    </row>
  </sheetData>
  <sheetProtection password="CC20" sheet="1" objects="1" scenarios="1" selectLockedCells="1" selectUnlockedCells="1"/>
  <mergeCells count="1">
    <mergeCell ref="D31:J35"/>
  </mergeCells>
  <phoneticPr fontId="26" type="noConversion"/>
  <pageMargins left="0.7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Drop Down 2">
              <controlPr defaultSize="0" print="0" autoLine="0" autoPict="0">
                <anchor moveWithCells="1">
                  <from>
                    <xdr:col>2</xdr:col>
                    <xdr:colOff>114898</xdr:colOff>
                    <xdr:row>7</xdr:row>
                    <xdr:rowOff>38299</xdr:rowOff>
                  </from>
                  <to>
                    <xdr:col>2</xdr:col>
                    <xdr:colOff>1058023</xdr:colOff>
                    <xdr:row>8</xdr:row>
                    <xdr:rowOff>9575</xdr:rowOff>
                  </to>
                </anchor>
              </controlPr>
            </control>
          </mc:Choice>
        </mc:AlternateContent>
        <mc:AlternateContent xmlns:mc="http://schemas.openxmlformats.org/markup-compatibility/2006">
          <mc:Choice Requires="x14">
            <control shapeId="2051" r:id="rId5" name="Drop Down 3">
              <controlPr defaultSize="0" print="0" autoLine="0" autoPict="0">
                <anchor moveWithCells="1">
                  <from>
                    <xdr:col>2</xdr:col>
                    <xdr:colOff>114898</xdr:colOff>
                    <xdr:row>8</xdr:row>
                    <xdr:rowOff>38299</xdr:rowOff>
                  </from>
                  <to>
                    <xdr:col>2</xdr:col>
                    <xdr:colOff>1058023</xdr:colOff>
                    <xdr:row>9</xdr:row>
                    <xdr:rowOff>9575</xdr:rowOff>
                  </to>
                </anchor>
              </controlPr>
            </control>
          </mc:Choice>
        </mc:AlternateContent>
        <mc:AlternateContent xmlns:mc="http://schemas.openxmlformats.org/markup-compatibility/2006">
          <mc:Choice Requires="x14">
            <control shapeId="2052" r:id="rId6" name="Drop Down 4">
              <controlPr defaultSize="0" print="0" autoLine="0" autoPict="0">
                <anchor moveWithCells="1">
                  <from>
                    <xdr:col>2</xdr:col>
                    <xdr:colOff>114898</xdr:colOff>
                    <xdr:row>9</xdr:row>
                    <xdr:rowOff>38299</xdr:rowOff>
                  </from>
                  <to>
                    <xdr:col>2</xdr:col>
                    <xdr:colOff>1058023</xdr:colOff>
                    <xdr:row>10</xdr:row>
                    <xdr:rowOff>9575</xdr:rowOff>
                  </to>
                </anchor>
              </controlPr>
            </control>
          </mc:Choice>
        </mc:AlternateContent>
        <mc:AlternateContent xmlns:mc="http://schemas.openxmlformats.org/markup-compatibility/2006">
          <mc:Choice Requires="x14">
            <control shapeId="2053" r:id="rId7" name="Drop Down 5">
              <controlPr defaultSize="0" autoLine="0" autoPict="0">
                <anchor moveWithCells="1">
                  <from>
                    <xdr:col>2</xdr:col>
                    <xdr:colOff>114898</xdr:colOff>
                    <xdr:row>10</xdr:row>
                    <xdr:rowOff>38299</xdr:rowOff>
                  </from>
                  <to>
                    <xdr:col>2</xdr:col>
                    <xdr:colOff>1058023</xdr:colOff>
                    <xdr:row>11</xdr:row>
                    <xdr:rowOff>9575</xdr:rowOff>
                  </to>
                </anchor>
              </controlPr>
            </control>
          </mc:Choice>
        </mc:AlternateContent>
        <mc:AlternateContent xmlns:mc="http://schemas.openxmlformats.org/markup-compatibility/2006">
          <mc:Choice Requires="x14">
            <control shapeId="2054" r:id="rId8" name="Drop Down 6">
              <controlPr defaultSize="0" autoLine="0" autoPict="0">
                <anchor moveWithCells="1">
                  <from>
                    <xdr:col>2</xdr:col>
                    <xdr:colOff>114898</xdr:colOff>
                    <xdr:row>11</xdr:row>
                    <xdr:rowOff>38299</xdr:rowOff>
                  </from>
                  <to>
                    <xdr:col>2</xdr:col>
                    <xdr:colOff>1058023</xdr:colOff>
                    <xdr:row>12</xdr:row>
                    <xdr:rowOff>9575</xdr:rowOff>
                  </to>
                </anchor>
              </controlPr>
            </control>
          </mc:Choice>
        </mc:AlternateContent>
        <mc:AlternateContent xmlns:mc="http://schemas.openxmlformats.org/markup-compatibility/2006">
          <mc:Choice Requires="x14">
            <control shapeId="2055" r:id="rId9" name="Drop Down 7">
              <controlPr defaultSize="0" autoLine="0" autoPict="0">
                <anchor moveWithCells="1">
                  <from>
                    <xdr:col>2</xdr:col>
                    <xdr:colOff>114898</xdr:colOff>
                    <xdr:row>12</xdr:row>
                    <xdr:rowOff>38299</xdr:rowOff>
                  </from>
                  <to>
                    <xdr:col>2</xdr:col>
                    <xdr:colOff>1058023</xdr:colOff>
                    <xdr:row>13</xdr:row>
                    <xdr:rowOff>9575</xdr:rowOff>
                  </to>
                </anchor>
              </controlPr>
            </control>
          </mc:Choice>
        </mc:AlternateContent>
        <mc:AlternateContent xmlns:mc="http://schemas.openxmlformats.org/markup-compatibility/2006">
          <mc:Choice Requires="x14">
            <control shapeId="2056" r:id="rId10" name="Drop Down 8">
              <controlPr defaultSize="0" autoLine="0" autoPict="0">
                <anchor moveWithCells="1">
                  <from>
                    <xdr:col>2</xdr:col>
                    <xdr:colOff>114898</xdr:colOff>
                    <xdr:row>13</xdr:row>
                    <xdr:rowOff>38299</xdr:rowOff>
                  </from>
                  <to>
                    <xdr:col>2</xdr:col>
                    <xdr:colOff>1058023</xdr:colOff>
                    <xdr:row>14</xdr:row>
                    <xdr:rowOff>9575</xdr:rowOff>
                  </to>
                </anchor>
              </controlPr>
            </control>
          </mc:Choice>
        </mc:AlternateContent>
        <mc:AlternateContent xmlns:mc="http://schemas.openxmlformats.org/markup-compatibility/2006">
          <mc:Choice Requires="x14">
            <control shapeId="2057" r:id="rId11" name="Drop Down 9">
              <controlPr defaultSize="0" autoLine="0" autoPict="0">
                <anchor moveWithCells="1">
                  <from>
                    <xdr:col>2</xdr:col>
                    <xdr:colOff>114898</xdr:colOff>
                    <xdr:row>14</xdr:row>
                    <xdr:rowOff>38299</xdr:rowOff>
                  </from>
                  <to>
                    <xdr:col>2</xdr:col>
                    <xdr:colOff>1058023</xdr:colOff>
                    <xdr:row>15</xdr:row>
                    <xdr:rowOff>9575</xdr:rowOff>
                  </to>
                </anchor>
              </controlPr>
            </control>
          </mc:Choice>
        </mc:AlternateContent>
        <mc:AlternateContent xmlns:mc="http://schemas.openxmlformats.org/markup-compatibility/2006">
          <mc:Choice Requires="x14">
            <control shapeId="2058" r:id="rId12" name="Drop Down 10">
              <controlPr defaultSize="0" autoLine="0" autoPict="0">
                <anchor moveWithCells="1">
                  <from>
                    <xdr:col>2</xdr:col>
                    <xdr:colOff>114898</xdr:colOff>
                    <xdr:row>15</xdr:row>
                    <xdr:rowOff>38299</xdr:rowOff>
                  </from>
                  <to>
                    <xdr:col>2</xdr:col>
                    <xdr:colOff>1058023</xdr:colOff>
                    <xdr:row>16</xdr:row>
                    <xdr:rowOff>9575</xdr:rowOff>
                  </to>
                </anchor>
              </controlPr>
            </control>
          </mc:Choice>
        </mc:AlternateContent>
        <mc:AlternateContent xmlns:mc="http://schemas.openxmlformats.org/markup-compatibility/2006">
          <mc:Choice Requires="x14">
            <control shapeId="2064" r:id="rId13" name="Drop Down 16">
              <controlPr defaultSize="0" print="0" autoLine="0" autoPict="0">
                <anchor moveWithCells="1">
                  <from>
                    <xdr:col>5</xdr:col>
                    <xdr:colOff>19150</xdr:colOff>
                    <xdr:row>7</xdr:row>
                    <xdr:rowOff>19150</xdr:rowOff>
                  </from>
                  <to>
                    <xdr:col>5</xdr:col>
                    <xdr:colOff>722903</xdr:colOff>
                    <xdr:row>7</xdr:row>
                    <xdr:rowOff>239372</xdr:rowOff>
                  </to>
                </anchor>
              </controlPr>
            </control>
          </mc:Choice>
        </mc:AlternateContent>
        <mc:AlternateContent xmlns:mc="http://schemas.openxmlformats.org/markup-compatibility/2006">
          <mc:Choice Requires="x14">
            <control shapeId="2076" r:id="rId14" name="Drop Down 28">
              <controlPr defaultSize="0" autoLine="0" autoPict="0">
                <anchor moveWithCells="1">
                  <from>
                    <xdr:col>5</xdr:col>
                    <xdr:colOff>19150</xdr:colOff>
                    <xdr:row>8</xdr:row>
                    <xdr:rowOff>19150</xdr:rowOff>
                  </from>
                  <to>
                    <xdr:col>5</xdr:col>
                    <xdr:colOff>722903</xdr:colOff>
                    <xdr:row>8</xdr:row>
                    <xdr:rowOff>239372</xdr:rowOff>
                  </to>
                </anchor>
              </controlPr>
            </control>
          </mc:Choice>
        </mc:AlternateContent>
        <mc:AlternateContent xmlns:mc="http://schemas.openxmlformats.org/markup-compatibility/2006">
          <mc:Choice Requires="x14">
            <control shapeId="2077" r:id="rId15" name="Drop Down 29">
              <controlPr defaultSize="0" autoLine="0" autoPict="0">
                <anchor moveWithCells="1">
                  <from>
                    <xdr:col>5</xdr:col>
                    <xdr:colOff>19150</xdr:colOff>
                    <xdr:row>9</xdr:row>
                    <xdr:rowOff>19150</xdr:rowOff>
                  </from>
                  <to>
                    <xdr:col>5</xdr:col>
                    <xdr:colOff>722903</xdr:colOff>
                    <xdr:row>9</xdr:row>
                    <xdr:rowOff>239372</xdr:rowOff>
                  </to>
                </anchor>
              </controlPr>
            </control>
          </mc:Choice>
        </mc:AlternateContent>
        <mc:AlternateContent xmlns:mc="http://schemas.openxmlformats.org/markup-compatibility/2006">
          <mc:Choice Requires="x14">
            <control shapeId="2078" r:id="rId16" name="Drop Down 30">
              <controlPr defaultSize="0" autoLine="0" autoPict="0">
                <anchor moveWithCells="1">
                  <from>
                    <xdr:col>5</xdr:col>
                    <xdr:colOff>19150</xdr:colOff>
                    <xdr:row>10</xdr:row>
                    <xdr:rowOff>19150</xdr:rowOff>
                  </from>
                  <to>
                    <xdr:col>5</xdr:col>
                    <xdr:colOff>722903</xdr:colOff>
                    <xdr:row>10</xdr:row>
                    <xdr:rowOff>239372</xdr:rowOff>
                  </to>
                </anchor>
              </controlPr>
            </control>
          </mc:Choice>
        </mc:AlternateContent>
        <mc:AlternateContent xmlns:mc="http://schemas.openxmlformats.org/markup-compatibility/2006">
          <mc:Choice Requires="x14">
            <control shapeId="2079" r:id="rId17" name="Drop Down 31">
              <controlPr defaultSize="0" print="0" autoLine="0" autoPict="0">
                <anchor moveWithCells="1">
                  <from>
                    <xdr:col>5</xdr:col>
                    <xdr:colOff>19150</xdr:colOff>
                    <xdr:row>11</xdr:row>
                    <xdr:rowOff>19150</xdr:rowOff>
                  </from>
                  <to>
                    <xdr:col>5</xdr:col>
                    <xdr:colOff>722903</xdr:colOff>
                    <xdr:row>11</xdr:row>
                    <xdr:rowOff>239372</xdr:rowOff>
                  </to>
                </anchor>
              </controlPr>
            </control>
          </mc:Choice>
        </mc:AlternateContent>
        <mc:AlternateContent xmlns:mc="http://schemas.openxmlformats.org/markup-compatibility/2006">
          <mc:Choice Requires="x14">
            <control shapeId="2080" r:id="rId18" name="Drop Down 32">
              <controlPr defaultSize="0" autoLine="0" autoPict="0">
                <anchor moveWithCells="1">
                  <from>
                    <xdr:col>5</xdr:col>
                    <xdr:colOff>19150</xdr:colOff>
                    <xdr:row>12</xdr:row>
                    <xdr:rowOff>19150</xdr:rowOff>
                  </from>
                  <to>
                    <xdr:col>5</xdr:col>
                    <xdr:colOff>722903</xdr:colOff>
                    <xdr:row>12</xdr:row>
                    <xdr:rowOff>239372</xdr:rowOff>
                  </to>
                </anchor>
              </controlPr>
            </control>
          </mc:Choice>
        </mc:AlternateContent>
        <mc:AlternateContent xmlns:mc="http://schemas.openxmlformats.org/markup-compatibility/2006">
          <mc:Choice Requires="x14">
            <control shapeId="2081" r:id="rId19" name="Drop Down 33">
              <controlPr defaultSize="0" autoLine="0" autoPict="0">
                <anchor moveWithCells="1">
                  <from>
                    <xdr:col>5</xdr:col>
                    <xdr:colOff>19150</xdr:colOff>
                    <xdr:row>13</xdr:row>
                    <xdr:rowOff>19150</xdr:rowOff>
                  </from>
                  <to>
                    <xdr:col>5</xdr:col>
                    <xdr:colOff>722903</xdr:colOff>
                    <xdr:row>13</xdr:row>
                    <xdr:rowOff>239372</xdr:rowOff>
                  </to>
                </anchor>
              </controlPr>
            </control>
          </mc:Choice>
        </mc:AlternateContent>
        <mc:AlternateContent xmlns:mc="http://schemas.openxmlformats.org/markup-compatibility/2006">
          <mc:Choice Requires="x14">
            <control shapeId="2082" r:id="rId20" name="Drop Down 34">
              <controlPr defaultSize="0" autoLine="0" autoPict="0">
                <anchor moveWithCells="1">
                  <from>
                    <xdr:col>5</xdr:col>
                    <xdr:colOff>19150</xdr:colOff>
                    <xdr:row>14</xdr:row>
                    <xdr:rowOff>19150</xdr:rowOff>
                  </from>
                  <to>
                    <xdr:col>5</xdr:col>
                    <xdr:colOff>722903</xdr:colOff>
                    <xdr:row>14</xdr:row>
                    <xdr:rowOff>239372</xdr:rowOff>
                  </to>
                </anchor>
              </controlPr>
            </control>
          </mc:Choice>
        </mc:AlternateContent>
        <mc:AlternateContent xmlns:mc="http://schemas.openxmlformats.org/markup-compatibility/2006">
          <mc:Choice Requires="x14">
            <control shapeId="2083" r:id="rId21" name="Drop Down 35">
              <controlPr defaultSize="0" autoLine="0" autoPict="0">
                <anchor moveWithCells="1">
                  <from>
                    <xdr:col>5</xdr:col>
                    <xdr:colOff>19150</xdr:colOff>
                    <xdr:row>15</xdr:row>
                    <xdr:rowOff>19150</xdr:rowOff>
                  </from>
                  <to>
                    <xdr:col>5</xdr:col>
                    <xdr:colOff>722903</xdr:colOff>
                    <xdr:row>15</xdr:row>
                    <xdr:rowOff>239372</xdr:rowOff>
                  </to>
                </anchor>
              </controlPr>
            </control>
          </mc:Choice>
        </mc:AlternateContent>
        <mc:AlternateContent xmlns:mc="http://schemas.openxmlformats.org/markup-compatibility/2006">
          <mc:Choice Requires="x14">
            <control shapeId="2084" r:id="rId22" name="Drop Down 36">
              <controlPr defaultSize="0" autoLine="0" autoPict="0">
                <anchor moveWithCells="1">
                  <from>
                    <xdr:col>4</xdr:col>
                    <xdr:colOff>703753</xdr:colOff>
                    <xdr:row>20</xdr:row>
                    <xdr:rowOff>0</xdr:rowOff>
                  </from>
                  <to>
                    <xdr:col>5</xdr:col>
                    <xdr:colOff>665453</xdr:colOff>
                    <xdr:row>20</xdr:row>
                    <xdr:rowOff>220222</xdr:rowOff>
                  </to>
                </anchor>
              </controlPr>
            </control>
          </mc:Choice>
        </mc:AlternateContent>
        <mc:AlternateContent xmlns:mc="http://schemas.openxmlformats.org/markup-compatibility/2006">
          <mc:Choice Requires="x14">
            <control shapeId="2085" r:id="rId23" name="Drop Down 37">
              <controlPr defaultSize="0" autoLine="0" autoPict="0">
                <anchor moveWithCells="1">
                  <from>
                    <xdr:col>4</xdr:col>
                    <xdr:colOff>703753</xdr:colOff>
                    <xdr:row>21</xdr:row>
                    <xdr:rowOff>0</xdr:rowOff>
                  </from>
                  <to>
                    <xdr:col>5</xdr:col>
                    <xdr:colOff>665453</xdr:colOff>
                    <xdr:row>21</xdr:row>
                    <xdr:rowOff>220222</xdr:rowOff>
                  </to>
                </anchor>
              </controlPr>
            </control>
          </mc:Choice>
        </mc:AlternateContent>
        <mc:AlternateContent xmlns:mc="http://schemas.openxmlformats.org/markup-compatibility/2006">
          <mc:Choice Requires="x14">
            <control shapeId="2086" r:id="rId24" name="Drop Down 38">
              <controlPr defaultSize="0" autoLine="0" autoPict="0">
                <anchor moveWithCells="1">
                  <from>
                    <xdr:col>4</xdr:col>
                    <xdr:colOff>703753</xdr:colOff>
                    <xdr:row>22</xdr:row>
                    <xdr:rowOff>0</xdr:rowOff>
                  </from>
                  <to>
                    <xdr:col>5</xdr:col>
                    <xdr:colOff>665453</xdr:colOff>
                    <xdr:row>22</xdr:row>
                    <xdr:rowOff>220222</xdr:rowOff>
                  </to>
                </anchor>
              </controlPr>
            </control>
          </mc:Choice>
        </mc:AlternateContent>
        <mc:AlternateContent xmlns:mc="http://schemas.openxmlformats.org/markup-compatibility/2006">
          <mc:Choice Requires="x14">
            <control shapeId="2108" r:id="rId25" name="Spinner 60">
              <controlPr defaultSize="0" autoPict="0">
                <anchor moveWithCells="1" sizeWithCells="1">
                  <from>
                    <xdr:col>4</xdr:col>
                    <xdr:colOff>502681</xdr:colOff>
                    <xdr:row>20</xdr:row>
                    <xdr:rowOff>28725</xdr:rowOff>
                  </from>
                  <to>
                    <xdr:col>4</xdr:col>
                    <xdr:colOff>646304</xdr:colOff>
                    <xdr:row>20</xdr:row>
                    <xdr:rowOff>220222</xdr:rowOff>
                  </to>
                </anchor>
              </controlPr>
            </control>
          </mc:Choice>
        </mc:AlternateContent>
        <mc:AlternateContent xmlns:mc="http://schemas.openxmlformats.org/markup-compatibility/2006">
          <mc:Choice Requires="x14">
            <control shapeId="2111" r:id="rId26" name="Drop Down 63">
              <controlPr defaultSize="0" autoLine="0" autoPict="0">
                <anchor moveWithCells="1">
                  <from>
                    <xdr:col>4</xdr:col>
                    <xdr:colOff>703753</xdr:colOff>
                    <xdr:row>21</xdr:row>
                    <xdr:rowOff>0</xdr:rowOff>
                  </from>
                  <to>
                    <xdr:col>5</xdr:col>
                    <xdr:colOff>665453</xdr:colOff>
                    <xdr:row>21</xdr:row>
                    <xdr:rowOff>220222</xdr:rowOff>
                  </to>
                </anchor>
              </controlPr>
            </control>
          </mc:Choice>
        </mc:AlternateContent>
        <mc:AlternateContent xmlns:mc="http://schemas.openxmlformats.org/markup-compatibility/2006">
          <mc:Choice Requires="x14">
            <control shapeId="2112" r:id="rId27" name="Spinner 64">
              <controlPr defaultSize="0" autoPict="0">
                <anchor moveWithCells="1" sizeWithCells="1">
                  <from>
                    <xdr:col>4</xdr:col>
                    <xdr:colOff>502681</xdr:colOff>
                    <xdr:row>21</xdr:row>
                    <xdr:rowOff>28725</xdr:rowOff>
                  </from>
                  <to>
                    <xdr:col>4</xdr:col>
                    <xdr:colOff>646304</xdr:colOff>
                    <xdr:row>21</xdr:row>
                    <xdr:rowOff>220222</xdr:rowOff>
                  </to>
                </anchor>
              </controlPr>
            </control>
          </mc:Choice>
        </mc:AlternateContent>
        <mc:AlternateContent xmlns:mc="http://schemas.openxmlformats.org/markup-compatibility/2006">
          <mc:Choice Requires="x14">
            <control shapeId="2113" r:id="rId28" name="Drop Down 65">
              <controlPr defaultSize="0" autoLine="0" autoPict="0">
                <anchor moveWithCells="1">
                  <from>
                    <xdr:col>4</xdr:col>
                    <xdr:colOff>703753</xdr:colOff>
                    <xdr:row>22</xdr:row>
                    <xdr:rowOff>0</xdr:rowOff>
                  </from>
                  <to>
                    <xdr:col>5</xdr:col>
                    <xdr:colOff>665453</xdr:colOff>
                    <xdr:row>22</xdr:row>
                    <xdr:rowOff>220222</xdr:rowOff>
                  </to>
                </anchor>
              </controlPr>
            </control>
          </mc:Choice>
        </mc:AlternateContent>
        <mc:AlternateContent xmlns:mc="http://schemas.openxmlformats.org/markup-compatibility/2006">
          <mc:Choice Requires="x14">
            <control shapeId="2114" r:id="rId29" name="Spinner 66">
              <controlPr defaultSize="0" autoPict="0">
                <anchor moveWithCells="1" sizeWithCells="1">
                  <from>
                    <xdr:col>4</xdr:col>
                    <xdr:colOff>502681</xdr:colOff>
                    <xdr:row>22</xdr:row>
                    <xdr:rowOff>28725</xdr:rowOff>
                  </from>
                  <to>
                    <xdr:col>4</xdr:col>
                    <xdr:colOff>646304</xdr:colOff>
                    <xdr:row>22</xdr:row>
                    <xdr:rowOff>220222</xdr:rowOff>
                  </to>
                </anchor>
              </controlPr>
            </control>
          </mc:Choice>
        </mc:AlternateContent>
        <mc:AlternateContent xmlns:mc="http://schemas.openxmlformats.org/markup-compatibility/2006">
          <mc:Choice Requires="x14">
            <control shapeId="2115" r:id="rId30" name="Spinner 67">
              <controlPr defaultSize="0" autoPict="0">
                <anchor moveWithCells="1" sizeWithCells="1">
                  <from>
                    <xdr:col>6</xdr:col>
                    <xdr:colOff>818651</xdr:colOff>
                    <xdr:row>20</xdr:row>
                    <xdr:rowOff>19150</xdr:rowOff>
                  </from>
                  <to>
                    <xdr:col>6</xdr:col>
                    <xdr:colOff>962274</xdr:colOff>
                    <xdr:row>20</xdr:row>
                    <xdr:rowOff>210647</xdr:rowOff>
                  </to>
                </anchor>
              </controlPr>
            </control>
          </mc:Choice>
        </mc:AlternateContent>
        <mc:AlternateContent xmlns:mc="http://schemas.openxmlformats.org/markup-compatibility/2006">
          <mc:Choice Requires="x14">
            <control shapeId="2116" r:id="rId31" name="Spinner 68">
              <controlPr defaultSize="0" autoPict="0">
                <anchor moveWithCells="1" sizeWithCells="1">
                  <from>
                    <xdr:col>6</xdr:col>
                    <xdr:colOff>818651</xdr:colOff>
                    <xdr:row>21</xdr:row>
                    <xdr:rowOff>19150</xdr:rowOff>
                  </from>
                  <to>
                    <xdr:col>6</xdr:col>
                    <xdr:colOff>962274</xdr:colOff>
                    <xdr:row>21</xdr:row>
                    <xdr:rowOff>210647</xdr:rowOff>
                  </to>
                </anchor>
              </controlPr>
            </control>
          </mc:Choice>
        </mc:AlternateContent>
        <mc:AlternateContent xmlns:mc="http://schemas.openxmlformats.org/markup-compatibility/2006">
          <mc:Choice Requires="x14">
            <control shapeId="2117" r:id="rId32" name="Spinner 69">
              <controlPr defaultSize="0" autoPict="0">
                <anchor moveWithCells="1" sizeWithCells="1">
                  <from>
                    <xdr:col>6</xdr:col>
                    <xdr:colOff>818651</xdr:colOff>
                    <xdr:row>22</xdr:row>
                    <xdr:rowOff>19150</xdr:rowOff>
                  </from>
                  <to>
                    <xdr:col>6</xdr:col>
                    <xdr:colOff>962274</xdr:colOff>
                    <xdr:row>22</xdr:row>
                    <xdr:rowOff>210647</xdr:rowOff>
                  </to>
                </anchor>
              </controlPr>
            </control>
          </mc:Choice>
        </mc:AlternateContent>
        <mc:AlternateContent xmlns:mc="http://schemas.openxmlformats.org/markup-compatibility/2006">
          <mc:Choice Requires="x14">
            <control shapeId="2118" r:id="rId33" name="Drop Down 70">
              <controlPr defaultSize="0" autoLine="0" autoPict="0">
                <anchor moveWithCells="1">
                  <from>
                    <xdr:col>4</xdr:col>
                    <xdr:colOff>703753</xdr:colOff>
                    <xdr:row>18</xdr:row>
                    <xdr:rowOff>0</xdr:rowOff>
                  </from>
                  <to>
                    <xdr:col>5</xdr:col>
                    <xdr:colOff>665453</xdr:colOff>
                    <xdr:row>18</xdr:row>
                    <xdr:rowOff>220222</xdr:rowOff>
                  </to>
                </anchor>
              </controlPr>
            </control>
          </mc:Choice>
        </mc:AlternateContent>
        <mc:AlternateContent xmlns:mc="http://schemas.openxmlformats.org/markup-compatibility/2006">
          <mc:Choice Requires="x14">
            <control shapeId="2119" r:id="rId34" name="Spinner 71">
              <controlPr defaultSize="0" autoPict="0">
                <anchor moveWithCells="1" sizeWithCells="1">
                  <from>
                    <xdr:col>4</xdr:col>
                    <xdr:colOff>502681</xdr:colOff>
                    <xdr:row>18</xdr:row>
                    <xdr:rowOff>28725</xdr:rowOff>
                  </from>
                  <to>
                    <xdr:col>4</xdr:col>
                    <xdr:colOff>646304</xdr:colOff>
                    <xdr:row>18</xdr:row>
                    <xdr:rowOff>220222</xdr:rowOff>
                  </to>
                </anchor>
              </controlPr>
            </control>
          </mc:Choice>
        </mc:AlternateContent>
        <mc:AlternateContent xmlns:mc="http://schemas.openxmlformats.org/markup-compatibility/2006">
          <mc:Choice Requires="x14">
            <control shapeId="2120" r:id="rId35" name="Spinner 72">
              <controlPr defaultSize="0" autoPict="0">
                <anchor moveWithCells="1" sizeWithCells="1">
                  <from>
                    <xdr:col>6</xdr:col>
                    <xdr:colOff>818651</xdr:colOff>
                    <xdr:row>18</xdr:row>
                    <xdr:rowOff>19150</xdr:rowOff>
                  </from>
                  <to>
                    <xdr:col>6</xdr:col>
                    <xdr:colOff>962274</xdr:colOff>
                    <xdr:row>18</xdr:row>
                    <xdr:rowOff>210647</xdr:rowOff>
                  </to>
                </anchor>
              </controlPr>
            </control>
          </mc:Choice>
        </mc:AlternateContent>
        <mc:AlternateContent xmlns:mc="http://schemas.openxmlformats.org/markup-compatibility/2006">
          <mc:Choice Requires="x14">
            <control shapeId="2121" r:id="rId36" name="Drop Down 73">
              <controlPr defaultSize="0" autoLine="0" autoPict="0">
                <anchor moveWithCells="1">
                  <from>
                    <xdr:col>4</xdr:col>
                    <xdr:colOff>703753</xdr:colOff>
                    <xdr:row>19</xdr:row>
                    <xdr:rowOff>0</xdr:rowOff>
                  </from>
                  <to>
                    <xdr:col>5</xdr:col>
                    <xdr:colOff>665453</xdr:colOff>
                    <xdr:row>19</xdr:row>
                    <xdr:rowOff>220222</xdr:rowOff>
                  </to>
                </anchor>
              </controlPr>
            </control>
          </mc:Choice>
        </mc:AlternateContent>
        <mc:AlternateContent xmlns:mc="http://schemas.openxmlformats.org/markup-compatibility/2006">
          <mc:Choice Requires="x14">
            <control shapeId="2122" r:id="rId37" name="Spinner 74">
              <controlPr defaultSize="0" autoPict="0">
                <anchor moveWithCells="1" sizeWithCells="1">
                  <from>
                    <xdr:col>4</xdr:col>
                    <xdr:colOff>502681</xdr:colOff>
                    <xdr:row>19</xdr:row>
                    <xdr:rowOff>28725</xdr:rowOff>
                  </from>
                  <to>
                    <xdr:col>4</xdr:col>
                    <xdr:colOff>646304</xdr:colOff>
                    <xdr:row>19</xdr:row>
                    <xdr:rowOff>220222</xdr:rowOff>
                  </to>
                </anchor>
              </controlPr>
            </control>
          </mc:Choice>
        </mc:AlternateContent>
        <mc:AlternateContent xmlns:mc="http://schemas.openxmlformats.org/markup-compatibility/2006">
          <mc:Choice Requires="x14">
            <control shapeId="2123" r:id="rId38" name="Spinner 75">
              <controlPr defaultSize="0" autoPict="0">
                <anchor moveWithCells="1" sizeWithCells="1">
                  <from>
                    <xdr:col>6</xdr:col>
                    <xdr:colOff>818651</xdr:colOff>
                    <xdr:row>19</xdr:row>
                    <xdr:rowOff>19150</xdr:rowOff>
                  </from>
                  <to>
                    <xdr:col>6</xdr:col>
                    <xdr:colOff>962274</xdr:colOff>
                    <xdr:row>19</xdr:row>
                    <xdr:rowOff>210647</xdr:rowOff>
                  </to>
                </anchor>
              </controlPr>
            </control>
          </mc:Choice>
        </mc:AlternateContent>
        <mc:AlternateContent xmlns:mc="http://schemas.openxmlformats.org/markup-compatibility/2006">
          <mc:Choice Requires="x14">
            <control shapeId="2124" r:id="rId39" name="Drop Down 76">
              <controlPr defaultSize="0" autoLine="0" autoPict="0">
                <anchor moveWithCells="1">
                  <from>
                    <xdr:col>2</xdr:col>
                    <xdr:colOff>114898</xdr:colOff>
                    <xdr:row>16</xdr:row>
                    <xdr:rowOff>38299</xdr:rowOff>
                  </from>
                  <to>
                    <xdr:col>2</xdr:col>
                    <xdr:colOff>1058023</xdr:colOff>
                    <xdr:row>17</xdr:row>
                    <xdr:rowOff>9575</xdr:rowOff>
                  </to>
                </anchor>
              </controlPr>
            </control>
          </mc:Choice>
        </mc:AlternateContent>
        <mc:AlternateContent xmlns:mc="http://schemas.openxmlformats.org/markup-compatibility/2006">
          <mc:Choice Requires="x14">
            <control shapeId="2125" r:id="rId40" name="Drop Down 77">
              <controlPr defaultSize="0" autoLine="0" autoPict="0">
                <anchor moveWithCells="1">
                  <from>
                    <xdr:col>5</xdr:col>
                    <xdr:colOff>19150</xdr:colOff>
                    <xdr:row>16</xdr:row>
                    <xdr:rowOff>19150</xdr:rowOff>
                  </from>
                  <to>
                    <xdr:col>5</xdr:col>
                    <xdr:colOff>722903</xdr:colOff>
                    <xdr:row>16</xdr:row>
                    <xdr:rowOff>239372</xdr:rowOff>
                  </to>
                </anchor>
              </controlPr>
            </control>
          </mc:Choice>
        </mc:AlternateContent>
        <mc:AlternateContent xmlns:mc="http://schemas.openxmlformats.org/markup-compatibility/2006">
          <mc:Choice Requires="x14">
            <control shapeId="2126" r:id="rId41" name="Spinner 78">
              <controlPr defaultSize="0" autoPict="0">
                <anchor moveWithCells="1" sizeWithCells="1">
                  <from>
                    <xdr:col>6</xdr:col>
                    <xdr:colOff>799502</xdr:colOff>
                    <xdr:row>7</xdr:row>
                    <xdr:rowOff>9575</xdr:rowOff>
                  </from>
                  <to>
                    <xdr:col>6</xdr:col>
                    <xdr:colOff>952699</xdr:colOff>
                    <xdr:row>7</xdr:row>
                    <xdr:rowOff>220222</xdr:rowOff>
                  </to>
                </anchor>
              </controlPr>
            </control>
          </mc:Choice>
        </mc:AlternateContent>
        <mc:AlternateContent xmlns:mc="http://schemas.openxmlformats.org/markup-compatibility/2006">
          <mc:Choice Requires="x14">
            <control shapeId="2127" r:id="rId42" name="Spinner 79">
              <controlPr defaultSize="0" autoPict="0">
                <anchor moveWithCells="1" sizeWithCells="1">
                  <from>
                    <xdr:col>6</xdr:col>
                    <xdr:colOff>799502</xdr:colOff>
                    <xdr:row>8</xdr:row>
                    <xdr:rowOff>9575</xdr:rowOff>
                  </from>
                  <to>
                    <xdr:col>6</xdr:col>
                    <xdr:colOff>952699</xdr:colOff>
                    <xdr:row>8</xdr:row>
                    <xdr:rowOff>220222</xdr:rowOff>
                  </to>
                </anchor>
              </controlPr>
            </control>
          </mc:Choice>
        </mc:AlternateContent>
        <mc:AlternateContent xmlns:mc="http://schemas.openxmlformats.org/markup-compatibility/2006">
          <mc:Choice Requires="x14">
            <control shapeId="2128" r:id="rId43" name="Spinner 80">
              <controlPr defaultSize="0" autoPict="0">
                <anchor moveWithCells="1" sizeWithCells="1">
                  <from>
                    <xdr:col>6</xdr:col>
                    <xdr:colOff>799502</xdr:colOff>
                    <xdr:row>9</xdr:row>
                    <xdr:rowOff>9575</xdr:rowOff>
                  </from>
                  <to>
                    <xdr:col>6</xdr:col>
                    <xdr:colOff>952699</xdr:colOff>
                    <xdr:row>9</xdr:row>
                    <xdr:rowOff>220222</xdr:rowOff>
                  </to>
                </anchor>
              </controlPr>
            </control>
          </mc:Choice>
        </mc:AlternateContent>
        <mc:AlternateContent xmlns:mc="http://schemas.openxmlformats.org/markup-compatibility/2006">
          <mc:Choice Requires="x14">
            <control shapeId="2129" r:id="rId44" name="Spinner 81">
              <controlPr defaultSize="0" autoPict="0">
                <anchor moveWithCells="1" sizeWithCells="1">
                  <from>
                    <xdr:col>6</xdr:col>
                    <xdr:colOff>799502</xdr:colOff>
                    <xdr:row>10</xdr:row>
                    <xdr:rowOff>9575</xdr:rowOff>
                  </from>
                  <to>
                    <xdr:col>6</xdr:col>
                    <xdr:colOff>952699</xdr:colOff>
                    <xdr:row>10</xdr:row>
                    <xdr:rowOff>220222</xdr:rowOff>
                  </to>
                </anchor>
              </controlPr>
            </control>
          </mc:Choice>
        </mc:AlternateContent>
        <mc:AlternateContent xmlns:mc="http://schemas.openxmlformats.org/markup-compatibility/2006">
          <mc:Choice Requires="x14">
            <control shapeId="2130" r:id="rId45" name="Spinner 82">
              <controlPr defaultSize="0" autoPict="0">
                <anchor moveWithCells="1" sizeWithCells="1">
                  <from>
                    <xdr:col>6</xdr:col>
                    <xdr:colOff>799502</xdr:colOff>
                    <xdr:row>11</xdr:row>
                    <xdr:rowOff>9575</xdr:rowOff>
                  </from>
                  <to>
                    <xdr:col>6</xdr:col>
                    <xdr:colOff>952699</xdr:colOff>
                    <xdr:row>11</xdr:row>
                    <xdr:rowOff>220222</xdr:rowOff>
                  </to>
                </anchor>
              </controlPr>
            </control>
          </mc:Choice>
        </mc:AlternateContent>
        <mc:AlternateContent xmlns:mc="http://schemas.openxmlformats.org/markup-compatibility/2006">
          <mc:Choice Requires="x14">
            <control shapeId="2131" r:id="rId46" name="Spinner 83">
              <controlPr defaultSize="0" autoPict="0">
                <anchor moveWithCells="1" sizeWithCells="1">
                  <from>
                    <xdr:col>6</xdr:col>
                    <xdr:colOff>799502</xdr:colOff>
                    <xdr:row>12</xdr:row>
                    <xdr:rowOff>9575</xdr:rowOff>
                  </from>
                  <to>
                    <xdr:col>6</xdr:col>
                    <xdr:colOff>952699</xdr:colOff>
                    <xdr:row>12</xdr:row>
                    <xdr:rowOff>220222</xdr:rowOff>
                  </to>
                </anchor>
              </controlPr>
            </control>
          </mc:Choice>
        </mc:AlternateContent>
        <mc:AlternateContent xmlns:mc="http://schemas.openxmlformats.org/markup-compatibility/2006">
          <mc:Choice Requires="x14">
            <control shapeId="2132" r:id="rId47" name="Spinner 84">
              <controlPr defaultSize="0" autoPict="0">
                <anchor moveWithCells="1" sizeWithCells="1">
                  <from>
                    <xdr:col>6</xdr:col>
                    <xdr:colOff>799502</xdr:colOff>
                    <xdr:row>13</xdr:row>
                    <xdr:rowOff>9575</xdr:rowOff>
                  </from>
                  <to>
                    <xdr:col>6</xdr:col>
                    <xdr:colOff>952699</xdr:colOff>
                    <xdr:row>13</xdr:row>
                    <xdr:rowOff>220222</xdr:rowOff>
                  </to>
                </anchor>
              </controlPr>
            </control>
          </mc:Choice>
        </mc:AlternateContent>
        <mc:AlternateContent xmlns:mc="http://schemas.openxmlformats.org/markup-compatibility/2006">
          <mc:Choice Requires="x14">
            <control shapeId="2133" r:id="rId48" name="Spinner 85">
              <controlPr defaultSize="0" autoPict="0">
                <anchor moveWithCells="1" sizeWithCells="1">
                  <from>
                    <xdr:col>6</xdr:col>
                    <xdr:colOff>799502</xdr:colOff>
                    <xdr:row>14</xdr:row>
                    <xdr:rowOff>9575</xdr:rowOff>
                  </from>
                  <to>
                    <xdr:col>6</xdr:col>
                    <xdr:colOff>952699</xdr:colOff>
                    <xdr:row>14</xdr:row>
                    <xdr:rowOff>220222</xdr:rowOff>
                  </to>
                </anchor>
              </controlPr>
            </control>
          </mc:Choice>
        </mc:AlternateContent>
        <mc:AlternateContent xmlns:mc="http://schemas.openxmlformats.org/markup-compatibility/2006">
          <mc:Choice Requires="x14">
            <control shapeId="2134" r:id="rId49" name="Spinner 86">
              <controlPr defaultSize="0" autoPict="0">
                <anchor moveWithCells="1" sizeWithCells="1">
                  <from>
                    <xdr:col>6</xdr:col>
                    <xdr:colOff>799502</xdr:colOff>
                    <xdr:row>15</xdr:row>
                    <xdr:rowOff>9575</xdr:rowOff>
                  </from>
                  <to>
                    <xdr:col>6</xdr:col>
                    <xdr:colOff>952699</xdr:colOff>
                    <xdr:row>15</xdr:row>
                    <xdr:rowOff>220222</xdr:rowOff>
                  </to>
                </anchor>
              </controlPr>
            </control>
          </mc:Choice>
        </mc:AlternateContent>
        <mc:AlternateContent xmlns:mc="http://schemas.openxmlformats.org/markup-compatibility/2006">
          <mc:Choice Requires="x14">
            <control shapeId="2135" r:id="rId50" name="Spinner 87">
              <controlPr defaultSize="0" autoPict="0">
                <anchor moveWithCells="1" sizeWithCells="1">
                  <from>
                    <xdr:col>6</xdr:col>
                    <xdr:colOff>799502</xdr:colOff>
                    <xdr:row>16</xdr:row>
                    <xdr:rowOff>9575</xdr:rowOff>
                  </from>
                  <to>
                    <xdr:col>6</xdr:col>
                    <xdr:colOff>952699</xdr:colOff>
                    <xdr:row>16</xdr:row>
                    <xdr:rowOff>220222</xdr:rowOff>
                  </to>
                </anchor>
              </controlPr>
            </control>
          </mc:Choice>
        </mc:AlternateContent>
        <mc:AlternateContent xmlns:mc="http://schemas.openxmlformats.org/markup-compatibility/2006">
          <mc:Choice Requires="x14">
            <control shapeId="2159" r:id="rId51" name="Spinner 111">
              <controlPr defaultSize="0" autoPict="0">
                <anchor moveWithCells="1" sizeWithCells="1">
                  <from>
                    <xdr:col>9</xdr:col>
                    <xdr:colOff>430869</xdr:colOff>
                    <xdr:row>2</xdr:row>
                    <xdr:rowOff>9575</xdr:rowOff>
                  </from>
                  <to>
                    <xdr:col>9</xdr:col>
                    <xdr:colOff>588854</xdr:colOff>
                    <xdr:row>2</xdr:row>
                    <xdr:rowOff>181923</xdr:rowOff>
                  </to>
                </anchor>
              </controlPr>
            </control>
          </mc:Choice>
        </mc:AlternateContent>
        <mc:AlternateContent xmlns:mc="http://schemas.openxmlformats.org/markup-compatibility/2006">
          <mc:Choice Requires="x14">
            <control shapeId="2160" r:id="rId52" name="Spinner 112">
              <controlPr defaultSize="0" autoPict="0">
                <anchor moveWithCells="1" sizeWithCells="1">
                  <from>
                    <xdr:col>11</xdr:col>
                    <xdr:colOff>354270</xdr:colOff>
                    <xdr:row>2</xdr:row>
                    <xdr:rowOff>0</xdr:rowOff>
                  </from>
                  <to>
                    <xdr:col>11</xdr:col>
                    <xdr:colOff>512255</xdr:colOff>
                    <xdr:row>2</xdr:row>
                    <xdr:rowOff>172348</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VMed"/>
  <dimension ref="A1:P47"/>
  <sheetViews>
    <sheetView workbookViewId="0">
      <selection activeCell="H20" sqref="H20"/>
    </sheetView>
  </sheetViews>
  <sheetFormatPr defaultColWidth="9.1328125" defaultRowHeight="12.85" x14ac:dyDescent="0.35"/>
  <cols>
    <col min="1" max="1" width="9.1328125" style="26"/>
    <col min="2" max="2" width="13.3984375" style="26" customWidth="1"/>
    <col min="3" max="7" width="9.1328125" style="26"/>
    <col min="8" max="8" width="18.86328125" style="26" customWidth="1"/>
    <col min="9" max="9" width="24.265625" style="26" customWidth="1"/>
    <col min="10" max="10" width="7.73046875" style="26" customWidth="1"/>
    <col min="11" max="11" width="8.59765625" style="26" customWidth="1"/>
    <col min="12" max="12" width="9.86328125" style="26" customWidth="1"/>
    <col min="13" max="16384" width="9.1328125" style="26"/>
  </cols>
  <sheetData>
    <row r="1" spans="1:16" ht="26.05" thickBot="1" x14ac:dyDescent="0.4">
      <c r="B1" s="27" t="s">
        <v>2960</v>
      </c>
      <c r="C1" s="28"/>
      <c r="D1" s="27" t="s">
        <v>2961</v>
      </c>
      <c r="E1" s="27" t="s">
        <v>2962</v>
      </c>
      <c r="F1" s="27" t="s">
        <v>2963</v>
      </c>
      <c r="G1" s="27" t="s">
        <v>1981</v>
      </c>
      <c r="H1" s="29" t="s">
        <v>1982</v>
      </c>
      <c r="I1" s="29" t="s">
        <v>996</v>
      </c>
      <c r="J1" s="30" t="s">
        <v>1982</v>
      </c>
      <c r="K1" s="29" t="s">
        <v>2035</v>
      </c>
      <c r="L1" s="29" t="s">
        <v>2172</v>
      </c>
      <c r="M1" s="29"/>
      <c r="P1" s="26" t="s">
        <v>2036</v>
      </c>
    </row>
    <row r="2" spans="1:16" x14ac:dyDescent="0.35">
      <c r="B2" s="30"/>
      <c r="C2" s="31"/>
      <c r="D2" s="30"/>
      <c r="E2" s="30"/>
      <c r="F2" s="30"/>
      <c r="G2" s="29"/>
      <c r="H2" s="29"/>
      <c r="I2" s="29"/>
      <c r="J2" s="29"/>
      <c r="K2" s="29"/>
      <c r="L2" s="29"/>
    </row>
    <row r="3" spans="1:16" x14ac:dyDescent="0.35">
      <c r="A3" s="26">
        <v>1</v>
      </c>
      <c r="B3" s="30" t="s">
        <v>1472</v>
      </c>
      <c r="C3" s="26">
        <f>ROUND((F3/100)*(Gewicht/10)*D3/(E3/10)/K3,0)*K3</f>
        <v>30</v>
      </c>
      <c r="D3" s="26">
        <v>50</v>
      </c>
      <c r="E3" s="26">
        <v>10</v>
      </c>
      <c r="F3" s="26">
        <v>5</v>
      </c>
      <c r="G3" s="26">
        <f>ROUND(C3/D3/(Gewicht/10),3)</f>
        <v>0.06</v>
      </c>
      <c r="H3" s="29" t="s">
        <v>763</v>
      </c>
      <c r="I3" s="29" t="s">
        <v>411</v>
      </c>
      <c r="J3" s="29" t="s">
        <v>817</v>
      </c>
      <c r="K3" s="29">
        <v>10</v>
      </c>
      <c r="L3" s="29"/>
    </row>
    <row r="4" spans="1:16" x14ac:dyDescent="0.35">
      <c r="A4" s="26">
        <v>2</v>
      </c>
      <c r="B4" s="26" t="s">
        <v>2170</v>
      </c>
      <c r="C4" s="26">
        <f>IF(AND(L4&lt;&gt;"",ROUND((F4/100/1000)*(Gewicht/10)*60*D4/(E4/10)/K4,1)*K4/MedIVMlSpuit_2&gt;L4),MedIVMlSpuit_2*L4,ROUND((F4/100/1000)*(Gewicht/10)*60*D4/(E4/10)/K4,1)*K4)</f>
        <v>3</v>
      </c>
      <c r="D4" s="26">
        <v>50</v>
      </c>
      <c r="E4" s="26">
        <v>10</v>
      </c>
      <c r="F4" s="26">
        <v>10</v>
      </c>
      <c r="G4" s="26">
        <f>ROUND(1000*C4/D4/(Gewicht/10)/60,3)</f>
        <v>0.1</v>
      </c>
      <c r="H4" s="26" t="s">
        <v>4170</v>
      </c>
      <c r="I4" s="26" t="s">
        <v>3989</v>
      </c>
      <c r="J4" s="26" t="s">
        <v>1836</v>
      </c>
      <c r="K4" s="26">
        <v>1</v>
      </c>
      <c r="L4" s="26">
        <v>1</v>
      </c>
      <c r="P4" s="26" t="s">
        <v>2751</v>
      </c>
    </row>
    <row r="5" spans="1:16" x14ac:dyDescent="0.35">
      <c r="A5" s="26">
        <v>3</v>
      </c>
      <c r="B5" s="26" t="s">
        <v>1280</v>
      </c>
      <c r="C5" s="26">
        <v>0.2</v>
      </c>
      <c r="D5" s="26">
        <v>1</v>
      </c>
      <c r="E5" s="26">
        <v>10</v>
      </c>
      <c r="F5" s="26">
        <v>5</v>
      </c>
      <c r="G5" s="26">
        <f>ROUND(24*C5/1/(Gewicht/10),2)</f>
        <v>0.48</v>
      </c>
      <c r="H5" s="26" t="s">
        <v>3541</v>
      </c>
      <c r="I5" s="26" t="s">
        <v>2173</v>
      </c>
      <c r="J5" s="26" t="s">
        <v>818</v>
      </c>
      <c r="K5" s="26">
        <v>10</v>
      </c>
      <c r="P5" s="26" t="s">
        <v>2752</v>
      </c>
    </row>
    <row r="6" spans="1:16" x14ac:dyDescent="0.35">
      <c r="A6" s="26">
        <v>4</v>
      </c>
      <c r="B6" s="26" t="s">
        <v>1673</v>
      </c>
      <c r="C6" s="26">
        <f>IF((ROUND(ROUND((F6/1000/1000)*(Gewicht/10)*60*D6/(E6/10),2)/K6,2)*K6)/MedIVMlSpuit_4&gt;L6,MedIVMlSpuit_4*L6,ROUND(ROUND((F6/1000/1000)*(Gewicht/10)*60*D6/(E6/10),2)/K6,2)*K6)</f>
        <v>1</v>
      </c>
      <c r="D6" s="26">
        <v>50</v>
      </c>
      <c r="E6" s="26">
        <v>10</v>
      </c>
      <c r="F6" s="26">
        <v>25</v>
      </c>
      <c r="G6" s="26">
        <f>ROUND(1000*1000*C6/D6/(Gewicht/10)/60,1)</f>
        <v>33.299999999999997</v>
      </c>
      <c r="H6" s="26" t="s">
        <v>4171</v>
      </c>
      <c r="I6" s="26" t="s">
        <v>2743</v>
      </c>
      <c r="J6" s="26" t="s">
        <v>1836</v>
      </c>
      <c r="K6" s="26">
        <v>50</v>
      </c>
      <c r="L6" s="26">
        <v>0.02</v>
      </c>
      <c r="P6" s="26" t="s">
        <v>2753</v>
      </c>
    </row>
    <row r="7" spans="1:16" x14ac:dyDescent="0.35">
      <c r="A7" s="26">
        <v>5</v>
      </c>
      <c r="B7" s="26" t="s">
        <v>547</v>
      </c>
      <c r="C7" s="26">
        <f>ROUND((F7/100)*(Gewicht/10)*D7/(E7/10)/K7,0)*K7/1000</f>
        <v>0.45</v>
      </c>
      <c r="D7" s="26">
        <v>50</v>
      </c>
      <c r="E7" s="26">
        <v>10</v>
      </c>
      <c r="F7" s="26">
        <v>100</v>
      </c>
      <c r="G7" s="26">
        <f>ROUND(C7*1000/D7/(Gewicht/10),3)</f>
        <v>0.9</v>
      </c>
      <c r="H7" s="26" t="s">
        <v>2037</v>
      </c>
      <c r="I7" s="26" t="s">
        <v>2034</v>
      </c>
      <c r="J7" s="26" t="s">
        <v>1836</v>
      </c>
      <c r="K7" s="26">
        <v>150</v>
      </c>
      <c r="L7" s="26">
        <v>0.15</v>
      </c>
    </row>
    <row r="8" spans="1:16" x14ac:dyDescent="0.35">
      <c r="A8" s="26">
        <v>6</v>
      </c>
      <c r="B8" s="26" t="s">
        <v>3338</v>
      </c>
      <c r="C8" s="26">
        <f>IF(ROUND((F8/1/1000)*(Gewicht/10)*60*D8/(E8/10)/K8,1)*K8/MedIVMlSpuit_6&gt;L8,MedIVMlSpuit_6*L8,ROUND((F8/1/1000)*(Gewicht/10)*60*D8/(E8/10)/K8,1)*K8)</f>
        <v>250</v>
      </c>
      <c r="D8" s="26">
        <v>50</v>
      </c>
      <c r="E8" s="26">
        <v>10</v>
      </c>
      <c r="F8" s="26">
        <v>10</v>
      </c>
      <c r="G8" s="26">
        <f>ROUND(1000*C8/D8/(Gewicht/10)/60,1)</f>
        <v>8.3000000000000007</v>
      </c>
      <c r="H8" s="26" t="s">
        <v>4170</v>
      </c>
      <c r="I8" s="26" t="s">
        <v>3987</v>
      </c>
      <c r="J8" s="26" t="s">
        <v>1836</v>
      </c>
      <c r="K8" s="26">
        <v>2500</v>
      </c>
      <c r="L8" s="26">
        <v>5</v>
      </c>
    </row>
    <row r="9" spans="1:16" x14ac:dyDescent="0.35">
      <c r="A9" s="26">
        <v>7</v>
      </c>
      <c r="B9" s="26" t="s">
        <v>2964</v>
      </c>
      <c r="C9" s="26">
        <f>IF(ROUND((F9/1/1000)*(Gewicht/10)*60*D9/(E9/10)/K9,0)*K9/MedIVMlSpuit_7&gt;L9,MedIVMlSpuit_7*L9,ROUND((F9/1/1000)*(Gewicht/10)*60*D9/(E9/10)/K9,0)*K9)</f>
        <v>200</v>
      </c>
      <c r="D9" s="26">
        <v>50</v>
      </c>
      <c r="E9" s="26">
        <v>10</v>
      </c>
      <c r="F9" s="26">
        <v>5</v>
      </c>
      <c r="G9" s="26">
        <f>ROUND(1000*C9/D9/(Gewicht/10)/60,1)</f>
        <v>6.7</v>
      </c>
      <c r="H9" s="26" t="s">
        <v>4170</v>
      </c>
      <c r="I9" s="26" t="s">
        <v>3337</v>
      </c>
      <c r="J9" s="26" t="s">
        <v>1836</v>
      </c>
      <c r="K9" s="26">
        <v>200</v>
      </c>
      <c r="L9" s="26">
        <v>40</v>
      </c>
    </row>
    <row r="10" spans="1:16" x14ac:dyDescent="0.35">
      <c r="A10" s="26">
        <v>8</v>
      </c>
      <c r="B10" s="26" t="s">
        <v>1029</v>
      </c>
      <c r="C10" s="26">
        <f>ROUND(ROUND((F10/1000/1000)*(Gewicht/10)*60*D10/(E10/10),2)/K10,2)*K10</f>
        <v>0.5</v>
      </c>
      <c r="D10" s="26">
        <v>50</v>
      </c>
      <c r="E10" s="26">
        <v>10</v>
      </c>
      <c r="F10" s="26">
        <v>10</v>
      </c>
      <c r="G10" s="26">
        <f>ROUND(1000*1000*C10/D10/(Gewicht/10)/60,0)</f>
        <v>17</v>
      </c>
      <c r="H10" s="26" t="s">
        <v>4171</v>
      </c>
      <c r="I10" s="26" t="s">
        <v>611</v>
      </c>
      <c r="J10" s="26" t="s">
        <v>1836</v>
      </c>
      <c r="K10" s="26">
        <v>50</v>
      </c>
      <c r="L10" s="26">
        <v>0.01</v>
      </c>
    </row>
    <row r="11" spans="1:16" x14ac:dyDescent="0.35">
      <c r="A11" s="26">
        <v>9</v>
      </c>
      <c r="B11" s="26" t="s">
        <v>1509</v>
      </c>
      <c r="C11" s="26">
        <f>ROUND((F11/10)*(Gewicht/10)*D11/(E11/10)/K11,0)*K11</f>
        <v>300</v>
      </c>
      <c r="D11" s="26">
        <v>50</v>
      </c>
      <c r="E11" s="26">
        <v>10</v>
      </c>
      <c r="F11" s="26">
        <v>5</v>
      </c>
      <c r="G11" s="26">
        <f>ROUND(C11/D11/(Gewicht/10),2)</f>
        <v>0.6</v>
      </c>
      <c r="H11" s="26" t="s">
        <v>3539</v>
      </c>
      <c r="I11" s="26" t="s">
        <v>2171</v>
      </c>
      <c r="J11" s="26" t="s">
        <v>1836</v>
      </c>
      <c r="K11" s="26">
        <v>100</v>
      </c>
      <c r="L11" s="26">
        <v>25</v>
      </c>
    </row>
    <row r="12" spans="1:16" x14ac:dyDescent="0.35">
      <c r="A12" s="26">
        <v>10</v>
      </c>
      <c r="B12" s="26" t="s">
        <v>1906</v>
      </c>
      <c r="C12" s="26">
        <f>ROUND((F12/10)*(Gewicht/10)*D12/(E12/10)/24/K12,0)*K12</f>
        <v>40</v>
      </c>
      <c r="D12" s="26">
        <v>50</v>
      </c>
      <c r="E12" s="26">
        <v>10</v>
      </c>
      <c r="F12" s="26">
        <v>20</v>
      </c>
      <c r="G12" s="26">
        <f>ROUND(24*C12/D12/(Gewicht/10),1)</f>
        <v>1.9</v>
      </c>
      <c r="H12" s="26" t="s">
        <v>3540</v>
      </c>
      <c r="I12" s="26" t="s">
        <v>1648</v>
      </c>
      <c r="J12" s="26" t="s">
        <v>1836</v>
      </c>
      <c r="K12" s="26">
        <v>20</v>
      </c>
      <c r="L12" s="26">
        <v>10</v>
      </c>
    </row>
    <row r="13" spans="1:16" x14ac:dyDescent="0.35">
      <c r="A13" s="26">
        <v>11</v>
      </c>
      <c r="B13" s="26" t="s">
        <v>2031</v>
      </c>
      <c r="C13" s="26">
        <f>ROUND((F13/1)*(Gewicht/10)*D13/(E13/10)/K13,0)*K13</f>
        <v>10000</v>
      </c>
      <c r="D13" s="26">
        <v>50</v>
      </c>
      <c r="E13" s="26">
        <v>10</v>
      </c>
      <c r="F13" s="26">
        <v>15</v>
      </c>
      <c r="G13" s="26">
        <f>ROUND(C13/D13/(Gewicht/10),1)</f>
        <v>20</v>
      </c>
      <c r="H13" s="26" t="s">
        <v>2032</v>
      </c>
      <c r="I13" s="26" t="s">
        <v>2033</v>
      </c>
      <c r="J13" s="26" t="s">
        <v>2030</v>
      </c>
      <c r="K13" s="26">
        <v>5000</v>
      </c>
      <c r="L13" s="26">
        <v>5000</v>
      </c>
    </row>
    <row r="14" spans="1:16" x14ac:dyDescent="0.35">
      <c r="A14" s="26">
        <v>12</v>
      </c>
      <c r="B14" s="26" t="s">
        <v>4021</v>
      </c>
      <c r="C14" s="26">
        <f>ROUND((F14/100/1000)*(Gewicht/10)*60*D14/(E14/10)/K14,1)*K14</f>
        <v>3</v>
      </c>
      <c r="D14" s="26">
        <v>50</v>
      </c>
      <c r="E14" s="26">
        <v>10</v>
      </c>
      <c r="F14" s="26">
        <v>10</v>
      </c>
      <c r="G14" s="26">
        <f>ROUND(1000*C14/D14/(Gewicht/10)/60,3)</f>
        <v>0.1</v>
      </c>
      <c r="H14" s="26" t="s">
        <v>4170</v>
      </c>
      <c r="I14" s="26" t="s">
        <v>2742</v>
      </c>
      <c r="J14" s="26" t="s">
        <v>1836</v>
      </c>
      <c r="K14" s="26">
        <v>2</v>
      </c>
      <c r="L14" s="26">
        <v>2</v>
      </c>
    </row>
    <row r="15" spans="1:16" x14ac:dyDescent="0.35">
      <c r="A15" s="26">
        <v>13</v>
      </c>
      <c r="B15" s="26" t="s">
        <v>67</v>
      </c>
      <c r="C15" s="26">
        <f>ROUND((F15/100/100)*(Gewicht/10)*60*D15/(E15/10)/K15,0)*K15</f>
        <v>30</v>
      </c>
      <c r="D15" s="26">
        <v>50</v>
      </c>
      <c r="E15" s="26">
        <v>10</v>
      </c>
      <c r="F15" s="26">
        <v>10</v>
      </c>
      <c r="G15" s="26">
        <f>ROUND(1000*C15/D15/(Gewicht/10)/60,2)</f>
        <v>1</v>
      </c>
      <c r="H15" s="26" t="s">
        <v>4170</v>
      </c>
      <c r="I15" s="26" t="s">
        <v>3083</v>
      </c>
      <c r="J15" s="26" t="s">
        <v>1836</v>
      </c>
      <c r="K15" s="26">
        <v>10</v>
      </c>
      <c r="L15" s="26">
        <v>5</v>
      </c>
    </row>
    <row r="16" spans="1:16" x14ac:dyDescent="0.35">
      <c r="A16" s="26">
        <v>14</v>
      </c>
      <c r="B16" s="26" t="s">
        <v>3517</v>
      </c>
      <c r="C16" s="26">
        <f>IF(IF(MedIVMlSpuit_14=1,5,ROUND((F16/100)*(Gewicht/10)*D16/(E16/10)/K16,0)*K16)/MedIVMlSpuit_14&gt;L16,MedIVMlSpuit_14*L16,IF(MedIVMlSpuit_14=1,5,ROUND((F16/100)*(Gewicht/10)*D16/(E16/10)/K16,0)*K16))</f>
        <v>50</v>
      </c>
      <c r="D16" s="26">
        <v>50</v>
      </c>
      <c r="E16" s="26">
        <v>10</v>
      </c>
      <c r="F16" s="26">
        <v>10</v>
      </c>
      <c r="G16" s="26">
        <f>ROUND(C16/D16/(Gewicht/10),3)</f>
        <v>0.1</v>
      </c>
      <c r="H16" s="26" t="s">
        <v>3539</v>
      </c>
      <c r="I16" s="26" t="s">
        <v>1278</v>
      </c>
      <c r="J16" s="26" t="s">
        <v>1836</v>
      </c>
      <c r="K16" s="26">
        <v>5</v>
      </c>
      <c r="L16" s="26">
        <v>5</v>
      </c>
    </row>
    <row r="17" spans="1:14" x14ac:dyDescent="0.35">
      <c r="A17" s="26">
        <v>15</v>
      </c>
      <c r="B17" s="26" t="s">
        <v>3155</v>
      </c>
      <c r="C17" s="26">
        <f>ROUND((F17/100/1000)*(Gewicht/10)*60*D17/(E17/10)/K17,0)*K17</f>
        <v>10</v>
      </c>
      <c r="D17" s="26">
        <v>50</v>
      </c>
      <c r="E17" s="26">
        <v>10</v>
      </c>
      <c r="F17" s="26">
        <v>30</v>
      </c>
      <c r="G17" s="26">
        <f>ROUND(1000*C17/D17/(Gewicht/10)/60,3)</f>
        <v>0.33300000000000002</v>
      </c>
      <c r="H17" s="26" t="s">
        <v>4170</v>
      </c>
      <c r="I17" s="26" t="s">
        <v>3990</v>
      </c>
      <c r="J17" s="26" t="s">
        <v>1836</v>
      </c>
      <c r="K17" s="26">
        <v>10</v>
      </c>
      <c r="L17" s="26">
        <v>0.2</v>
      </c>
    </row>
    <row r="18" spans="1:14" x14ac:dyDescent="0.35">
      <c r="A18" s="26">
        <v>16</v>
      </c>
      <c r="B18" s="26" t="s">
        <v>1279</v>
      </c>
      <c r="C18" s="26">
        <f>ROUND((F18/100)*(Gewicht/10)*D18/(E18)/24/K18,0)*K18</f>
        <v>10</v>
      </c>
      <c r="D18" s="26">
        <v>50</v>
      </c>
      <c r="E18" s="26">
        <v>10</v>
      </c>
      <c r="F18" s="26">
        <v>250</v>
      </c>
      <c r="G18" s="26">
        <f>ROUND(24*C18/D18/(Gewicht/10),4)</f>
        <v>0.48</v>
      </c>
      <c r="H18" s="26" t="s">
        <v>3540</v>
      </c>
      <c r="I18" s="26" t="s">
        <v>1281</v>
      </c>
      <c r="J18" s="26" t="s">
        <v>1836</v>
      </c>
      <c r="K18" s="26">
        <v>10</v>
      </c>
      <c r="L18" s="26">
        <v>10</v>
      </c>
    </row>
    <row r="19" spans="1:14" x14ac:dyDescent="0.35">
      <c r="A19" s="26">
        <v>17</v>
      </c>
      <c r="B19" s="26" t="s">
        <v>3351</v>
      </c>
      <c r="C19" s="26">
        <v>0.5</v>
      </c>
      <c r="G19" s="26">
        <f>ROUND(24*C19/(Gewicht/10),2)</f>
        <v>1.2</v>
      </c>
      <c r="H19" s="26" t="s">
        <v>3993</v>
      </c>
      <c r="I19" s="26" t="s">
        <v>2174</v>
      </c>
      <c r="J19" s="26" t="s">
        <v>3828</v>
      </c>
    </row>
    <row r="20" spans="1:14" x14ac:dyDescent="0.35">
      <c r="A20" s="26">
        <v>18</v>
      </c>
      <c r="B20" s="26" t="s">
        <v>610</v>
      </c>
      <c r="C20" s="26">
        <f>K20</f>
        <v>10</v>
      </c>
      <c r="D20" s="26">
        <v>50</v>
      </c>
      <c r="E20" s="26">
        <v>10</v>
      </c>
      <c r="F20" s="26">
        <v>30</v>
      </c>
      <c r="G20" s="26">
        <f>ROUND(1000*C20/D20/(Gewicht/10)/60,3)</f>
        <v>0.33300000000000002</v>
      </c>
      <c r="H20" s="26" t="s">
        <v>4170</v>
      </c>
      <c r="I20" s="26" t="s">
        <v>612</v>
      </c>
      <c r="J20" s="26" t="s">
        <v>1836</v>
      </c>
      <c r="K20" s="26">
        <f>IF(Gewicht/10&gt;10,20,10)</f>
        <v>10</v>
      </c>
      <c r="L20" s="26">
        <v>1</v>
      </c>
    </row>
    <row r="21" spans="1:14" x14ac:dyDescent="0.35">
      <c r="A21" s="26">
        <v>19</v>
      </c>
      <c r="B21" s="26" t="s">
        <v>3991</v>
      </c>
      <c r="C21" s="26">
        <f>ROUND((F21/100/1000)*(Gewicht/10)*60*D21/(E21/10)/K21,)*K21</f>
        <v>5</v>
      </c>
      <c r="D21" s="26">
        <v>50</v>
      </c>
      <c r="E21" s="26">
        <v>10</v>
      </c>
      <c r="F21" s="26">
        <v>10</v>
      </c>
      <c r="G21" s="26">
        <f>ROUND(1000*C21/D21/(Gewicht/10)/60,3)</f>
        <v>0.16700000000000001</v>
      </c>
      <c r="H21" s="26" t="s">
        <v>4170</v>
      </c>
      <c r="I21" s="26" t="s">
        <v>3992</v>
      </c>
      <c r="J21" s="26" t="s">
        <v>1836</v>
      </c>
      <c r="K21" s="26">
        <v>5</v>
      </c>
      <c r="L21" s="26">
        <v>1</v>
      </c>
    </row>
    <row r="22" spans="1:14" x14ac:dyDescent="0.35">
      <c r="A22" s="26">
        <v>20</v>
      </c>
      <c r="B22" s="26" t="s">
        <v>3172</v>
      </c>
      <c r="C22" s="26">
        <v>10</v>
      </c>
      <c r="G22" s="26">
        <f>ROUND(C22/(Gewicht/10),3)</f>
        <v>1</v>
      </c>
      <c r="H22" s="26" t="s">
        <v>3539</v>
      </c>
      <c r="I22" s="26" t="s">
        <v>4943</v>
      </c>
      <c r="J22" s="26" t="s">
        <v>3569</v>
      </c>
    </row>
    <row r="23" spans="1:14" x14ac:dyDescent="0.35">
      <c r="A23" s="26">
        <v>21</v>
      </c>
      <c r="B23" s="26" t="s">
        <v>3173</v>
      </c>
      <c r="C23" s="26">
        <v>20</v>
      </c>
      <c r="G23" s="26">
        <f>ROUND(C23/(Gewicht/10),3)</f>
        <v>2</v>
      </c>
      <c r="H23" s="26" t="s">
        <v>3539</v>
      </c>
      <c r="I23" s="26" t="s">
        <v>4943</v>
      </c>
      <c r="J23" s="26" t="s">
        <v>3569</v>
      </c>
    </row>
    <row r="24" spans="1:14" x14ac:dyDescent="0.35">
      <c r="A24" s="26">
        <v>22</v>
      </c>
      <c r="B24" s="26" t="s">
        <v>2730</v>
      </c>
      <c r="C24" s="26">
        <f>ROUND((F24/10)*(Gewicht/10)*D24/(E24/10)/K24,0)*K24</f>
        <v>300</v>
      </c>
      <c r="D24" s="26">
        <v>50</v>
      </c>
      <c r="E24" s="26">
        <v>10</v>
      </c>
      <c r="F24" s="26">
        <v>6</v>
      </c>
      <c r="G24" s="26">
        <f>ROUND(C24/D24/(Gewicht/10),2)</f>
        <v>0.6</v>
      </c>
      <c r="H24" s="26" t="s">
        <v>3539</v>
      </c>
      <c r="I24" s="26" t="s">
        <v>3202</v>
      </c>
      <c r="J24" s="26" t="s">
        <v>1836</v>
      </c>
      <c r="K24" s="26">
        <v>50</v>
      </c>
      <c r="L24" s="26">
        <v>10</v>
      </c>
    </row>
    <row r="25" spans="1:14" x14ac:dyDescent="0.35">
      <c r="A25" s="26">
        <v>23</v>
      </c>
      <c r="B25" s="26" t="s">
        <v>279</v>
      </c>
      <c r="C25" s="26">
        <f>ROUND((F25/10/1000)*(Gewicht/10)*60*D25/(E25/10)/K25,0)*K25</f>
        <v>5</v>
      </c>
      <c r="D25" s="26">
        <v>50</v>
      </c>
      <c r="E25" s="26">
        <v>10</v>
      </c>
      <c r="F25" s="26">
        <v>2</v>
      </c>
      <c r="G25" s="26">
        <f>ROUND(1000*C25/D25/(Gewicht/10)/60,2)</f>
        <v>0.17</v>
      </c>
      <c r="H25" s="26" t="s">
        <v>4170</v>
      </c>
      <c r="I25" s="26" t="s">
        <v>3084</v>
      </c>
      <c r="J25" s="26" t="s">
        <v>1836</v>
      </c>
      <c r="K25" s="26">
        <v>5</v>
      </c>
      <c r="L25" s="26">
        <v>1</v>
      </c>
    </row>
    <row r="26" spans="1:14" x14ac:dyDescent="0.35">
      <c r="A26" s="26">
        <v>24</v>
      </c>
      <c r="B26" s="26" t="s">
        <v>3482</v>
      </c>
      <c r="C26" s="26">
        <v>48</v>
      </c>
      <c r="D26" s="26">
        <v>50</v>
      </c>
      <c r="E26" s="26">
        <v>10</v>
      </c>
      <c r="F26" s="26">
        <v>70</v>
      </c>
      <c r="G26" s="26">
        <f>ROUND(C26/D26/(Gewicht/10),1)</f>
        <v>0.1</v>
      </c>
      <c r="H26" s="26" t="s">
        <v>3539</v>
      </c>
      <c r="I26" s="26" t="s">
        <v>4933</v>
      </c>
      <c r="J26" s="26" t="s">
        <v>1836</v>
      </c>
      <c r="K26" s="26">
        <v>500</v>
      </c>
    </row>
    <row r="27" spans="1:14" x14ac:dyDescent="0.35">
      <c r="A27" s="26">
        <v>25</v>
      </c>
      <c r="B27" s="26" t="s">
        <v>4944</v>
      </c>
      <c r="C27" s="26">
        <v>0</v>
      </c>
      <c r="D27" s="26">
        <v>100</v>
      </c>
      <c r="E27" s="26">
        <v>10</v>
      </c>
      <c r="F27" s="26">
        <v>10</v>
      </c>
      <c r="G27" s="26">
        <f>F27/10</f>
        <v>1</v>
      </c>
      <c r="H27" s="26" t="s">
        <v>4945</v>
      </c>
      <c r="I27" s="26" t="s">
        <v>5081</v>
      </c>
      <c r="J27" s="26" t="s">
        <v>1837</v>
      </c>
      <c r="K27" s="26">
        <v>10</v>
      </c>
    </row>
    <row r="29" spans="1:14" x14ac:dyDescent="0.35">
      <c r="F29" s="32"/>
      <c r="G29" s="32"/>
      <c r="H29" s="32"/>
      <c r="I29" s="32"/>
      <c r="J29" s="32"/>
      <c r="K29" s="32"/>
      <c r="L29" s="32"/>
    </row>
    <row r="30" spans="1:14" ht="25.65" x14ac:dyDescent="0.35">
      <c r="A30" s="34" t="s">
        <v>2320</v>
      </c>
      <c r="B30" s="34" t="s">
        <v>2321</v>
      </c>
      <c r="C30" s="35" t="s">
        <v>3224</v>
      </c>
      <c r="D30" s="34" t="s">
        <v>2322</v>
      </c>
      <c r="E30" s="35" t="s">
        <v>1983</v>
      </c>
      <c r="F30" s="36" t="s">
        <v>1984</v>
      </c>
      <c r="G30" s="36" t="s">
        <v>2752</v>
      </c>
      <c r="H30" s="35" t="s">
        <v>2755</v>
      </c>
      <c r="I30" s="35" t="s">
        <v>2751</v>
      </c>
      <c r="J30" s="35" t="s">
        <v>2207</v>
      </c>
      <c r="K30" s="35" t="s">
        <v>2208</v>
      </c>
      <c r="L30" s="35" t="s">
        <v>3994</v>
      </c>
      <c r="M30" s="26" t="s">
        <v>2201</v>
      </c>
      <c r="N30" s="35" t="s">
        <v>2114</v>
      </c>
    </row>
    <row r="31" spans="1:14" x14ac:dyDescent="0.35">
      <c r="A31" s="26">
        <v>1</v>
      </c>
      <c r="B31" s="26">
        <v>1</v>
      </c>
      <c r="D31" s="26">
        <v>4</v>
      </c>
      <c r="E31" s="33">
        <v>1</v>
      </c>
      <c r="F31" s="33">
        <f>IF(MedicatieIV!C8&lt;&gt;0,24*E31/10,0)</f>
        <v>0</v>
      </c>
      <c r="G31" s="33">
        <f>IF(ber_IVmed!$D31=2,ber_IVmed!F31*0.05,0)</f>
        <v>0</v>
      </c>
      <c r="H31" s="33">
        <f>IF(ber_IVmed!$D31=3,ber_IVmed!F31*0.1,0)</f>
        <v>0</v>
      </c>
      <c r="I31" s="33">
        <f>IF(ber_IVmed!$D31=1,ber_IVmed!F31*0.155,0)</f>
        <v>0</v>
      </c>
      <c r="J31" s="26">
        <f>IF(OR($B31=18),0.5*$F31,IF(B31=4,F31*145/1000,0))</f>
        <v>0</v>
      </c>
      <c r="K31" s="26">
        <f>IF(OR($B31=19),0,0)</f>
        <v>0</v>
      </c>
      <c r="L31" s="26">
        <f>IF(OR($B31=4),0.2*$F31,0)</f>
        <v>0</v>
      </c>
      <c r="M31" s="26">
        <f>IF(OR(B31=20,B31=21),0.1*F31,0)</f>
        <v>0</v>
      </c>
    </row>
    <row r="32" spans="1:14" x14ac:dyDescent="0.35">
      <c r="A32" s="26">
        <v>2</v>
      </c>
      <c r="B32" s="26">
        <v>1</v>
      </c>
      <c r="D32" s="26">
        <v>4</v>
      </c>
      <c r="E32" s="33"/>
      <c r="F32" s="33">
        <f>IF(MedicatieIV!C9&lt;&gt;0,24*E32/10,0)</f>
        <v>0</v>
      </c>
      <c r="G32" s="33">
        <f>IF(ber_IVmed!$D32=2,ber_IVmed!F32*0.05,0)</f>
        <v>0</v>
      </c>
      <c r="H32" s="33">
        <f>IF(ber_IVmed!$D32=3,ber_IVmed!F32*0.1,0)</f>
        <v>0</v>
      </c>
      <c r="I32" s="33">
        <f>IF(ber_IVmed!$D32=1,ber_IVmed!F32*0.155,0)</f>
        <v>0</v>
      </c>
      <c r="J32" s="26">
        <f t="shared" ref="J32:J45" si="0">IF(OR($B32=18),0.5*$F32,IF(B32=4,F32*145/1000,0))</f>
        <v>0</v>
      </c>
      <c r="K32" s="26">
        <f t="shared" ref="K32:K45" si="1">IF(OR($B32=19),0,0)</f>
        <v>0</v>
      </c>
      <c r="L32" s="26">
        <f t="shared" ref="L32:L45" si="2">IF(OR($B32=4),0.2*$F32,0)</f>
        <v>0</v>
      </c>
      <c r="M32" s="26">
        <f t="shared" ref="M32:M45" si="3">IF(OR(B32=20,B32=21),0.1*F32,0)</f>
        <v>0</v>
      </c>
    </row>
    <row r="33" spans="1:13" x14ac:dyDescent="0.35">
      <c r="A33" s="26">
        <v>3</v>
      </c>
      <c r="B33" s="26">
        <v>1</v>
      </c>
      <c r="D33" s="26">
        <v>4</v>
      </c>
      <c r="E33" s="33"/>
      <c r="F33" s="33">
        <f>IF(MedicatieIV!C10&lt;&gt;0,24*E33/10,0)</f>
        <v>0</v>
      </c>
      <c r="G33" s="33">
        <f>IF(ber_IVmed!$D33=2,ber_IVmed!F33*0.05,0)</f>
        <v>0</v>
      </c>
      <c r="H33" s="33">
        <f>IF(ber_IVmed!$D33=3,ber_IVmed!F33*0.1,0)</f>
        <v>0</v>
      </c>
      <c r="I33" s="33">
        <f>IF(ber_IVmed!$D33=1,ber_IVmed!F33*0.155,0)</f>
        <v>0</v>
      </c>
      <c r="J33" s="26">
        <f t="shared" si="0"/>
        <v>0</v>
      </c>
      <c r="K33" s="26">
        <f t="shared" si="1"/>
        <v>0</v>
      </c>
      <c r="L33" s="26">
        <f t="shared" si="2"/>
        <v>0</v>
      </c>
      <c r="M33" s="26">
        <f t="shared" si="3"/>
        <v>0</v>
      </c>
    </row>
    <row r="34" spans="1:13" x14ac:dyDescent="0.35">
      <c r="A34" s="26">
        <v>4</v>
      </c>
      <c r="B34" s="26">
        <v>1</v>
      </c>
      <c r="D34" s="26">
        <v>4</v>
      </c>
      <c r="E34" s="33"/>
      <c r="F34" s="33">
        <f>IF(MedicatieIV!C11&lt;&gt;0,24*E34/10,0)</f>
        <v>0</v>
      </c>
      <c r="G34" s="33">
        <f>IF(ber_IVmed!$D34=2,ber_IVmed!F34*0.05,0)</f>
        <v>0</v>
      </c>
      <c r="H34" s="33">
        <f>IF(ber_IVmed!$D34=3,ber_IVmed!F34*0.1,0)</f>
        <v>0</v>
      </c>
      <c r="I34" s="33">
        <f>IF(ber_IVmed!$D34=1,ber_IVmed!F34*0.155,0)</f>
        <v>0</v>
      </c>
      <c r="J34" s="26">
        <f t="shared" si="0"/>
        <v>0</v>
      </c>
      <c r="K34" s="26">
        <f t="shared" si="1"/>
        <v>0</v>
      </c>
      <c r="L34" s="26">
        <f t="shared" si="2"/>
        <v>0</v>
      </c>
      <c r="M34" s="26">
        <f t="shared" si="3"/>
        <v>0</v>
      </c>
    </row>
    <row r="35" spans="1:13" x14ac:dyDescent="0.35">
      <c r="A35" s="26">
        <v>5</v>
      </c>
      <c r="B35" s="26">
        <v>1</v>
      </c>
      <c r="D35" s="26">
        <v>4</v>
      </c>
      <c r="E35" s="33"/>
      <c r="F35" s="33">
        <f>IF(MedicatieIV!C12&lt;&gt;0,24*E35/10,0)</f>
        <v>0</v>
      </c>
      <c r="G35" s="33">
        <f>IF(ber_IVmed!$D35=2,ber_IVmed!F35*0.05,0)</f>
        <v>0</v>
      </c>
      <c r="H35" s="33">
        <f>IF(ber_IVmed!$D35=3,ber_IVmed!F35*0.1,0)</f>
        <v>0</v>
      </c>
      <c r="I35" s="33">
        <f>IF(ber_IVmed!$D35=1,ber_IVmed!F35*0.155,0)</f>
        <v>0</v>
      </c>
      <c r="J35" s="26">
        <f t="shared" si="0"/>
        <v>0</v>
      </c>
      <c r="K35" s="26">
        <f t="shared" si="1"/>
        <v>0</v>
      </c>
      <c r="L35" s="26">
        <f t="shared" si="2"/>
        <v>0</v>
      </c>
      <c r="M35" s="26">
        <f t="shared" si="3"/>
        <v>0</v>
      </c>
    </row>
    <row r="36" spans="1:13" x14ac:dyDescent="0.35">
      <c r="A36" s="26">
        <v>6</v>
      </c>
      <c r="B36" s="26">
        <v>1</v>
      </c>
      <c r="D36" s="26">
        <v>4</v>
      </c>
      <c r="E36" s="33"/>
      <c r="F36" s="33">
        <f>IF(MedicatieIV!C13&lt;&gt;0,24*E36/10,0)</f>
        <v>0</v>
      </c>
      <c r="G36" s="33">
        <f>IF(ber_IVmed!$D36=2,ber_IVmed!F36*0.05,0)</f>
        <v>0</v>
      </c>
      <c r="H36" s="33">
        <f>IF(ber_IVmed!$D36=3,ber_IVmed!F36*0.1,0)</f>
        <v>0</v>
      </c>
      <c r="I36" s="33">
        <f>IF(ber_IVmed!$D36=1,ber_IVmed!F36*0.155,0)</f>
        <v>0</v>
      </c>
      <c r="J36" s="26">
        <f t="shared" si="0"/>
        <v>0</v>
      </c>
      <c r="K36" s="26">
        <f t="shared" si="1"/>
        <v>0</v>
      </c>
      <c r="L36" s="26">
        <f t="shared" si="2"/>
        <v>0</v>
      </c>
      <c r="M36" s="26">
        <f t="shared" si="3"/>
        <v>0</v>
      </c>
    </row>
    <row r="37" spans="1:13" x14ac:dyDescent="0.35">
      <c r="A37" s="26">
        <v>7</v>
      </c>
      <c r="B37" s="26">
        <v>1</v>
      </c>
      <c r="D37" s="26">
        <v>4</v>
      </c>
      <c r="E37" s="33"/>
      <c r="F37" s="33">
        <f>IF(MedicatieIV!C14&lt;&gt;0,24*E37/10,0)</f>
        <v>0</v>
      </c>
      <c r="G37" s="33">
        <f>IF(ber_IVmed!$D37=2,ber_IVmed!F37*0.05,0)</f>
        <v>0</v>
      </c>
      <c r="H37" s="33">
        <f>IF(ber_IVmed!$D37=3,ber_IVmed!F37*0.1,0)</f>
        <v>0</v>
      </c>
      <c r="I37" s="33">
        <f>IF(ber_IVmed!$D37=1,ber_IVmed!F37*0.155,0)</f>
        <v>0</v>
      </c>
      <c r="J37" s="26">
        <f t="shared" si="0"/>
        <v>0</v>
      </c>
      <c r="K37" s="26">
        <f t="shared" si="1"/>
        <v>0</v>
      </c>
      <c r="L37" s="26">
        <f t="shared" si="2"/>
        <v>0</v>
      </c>
      <c r="M37" s="26">
        <f t="shared" si="3"/>
        <v>0</v>
      </c>
    </row>
    <row r="38" spans="1:13" x14ac:dyDescent="0.35">
      <c r="A38" s="26">
        <v>8</v>
      </c>
      <c r="B38" s="26">
        <v>1</v>
      </c>
      <c r="D38" s="26">
        <v>4</v>
      </c>
      <c r="E38" s="33"/>
      <c r="F38" s="33">
        <f>IF(MedicatieIV!C15&lt;&gt;0,24*E38/10,0)</f>
        <v>0</v>
      </c>
      <c r="G38" s="33">
        <f>IF(ber_IVmed!$D38=2,ber_IVmed!F38*0.05,0)</f>
        <v>0</v>
      </c>
      <c r="H38" s="33">
        <f>IF(ber_IVmed!$D38=3,ber_IVmed!F38*0.1,0)</f>
        <v>0</v>
      </c>
      <c r="I38" s="33">
        <f>IF(ber_IVmed!$D38=1,ber_IVmed!F38*0.155,0)</f>
        <v>0</v>
      </c>
      <c r="J38" s="26">
        <f t="shared" si="0"/>
        <v>0</v>
      </c>
      <c r="K38" s="26">
        <f t="shared" si="1"/>
        <v>0</v>
      </c>
      <c r="L38" s="26">
        <f t="shared" si="2"/>
        <v>0</v>
      </c>
      <c r="M38" s="26">
        <f t="shared" si="3"/>
        <v>0</v>
      </c>
    </row>
    <row r="39" spans="1:13" x14ac:dyDescent="0.35">
      <c r="A39" s="26">
        <v>9</v>
      </c>
      <c r="B39" s="26">
        <v>1</v>
      </c>
      <c r="D39" s="26">
        <v>4</v>
      </c>
      <c r="E39" s="33"/>
      <c r="F39" s="33">
        <f>IF(MedicatieIV!C16&lt;&gt;0,24*E39/10,0)</f>
        <v>0</v>
      </c>
      <c r="G39" s="33">
        <f>IF(ber_IVmed!$D39=2,ber_IVmed!F39*0.05,0)</f>
        <v>0</v>
      </c>
      <c r="H39" s="33">
        <f>IF(ber_IVmed!$D39=3,ber_IVmed!F39*0.1,0)</f>
        <v>0</v>
      </c>
      <c r="I39" s="33">
        <f>IF(ber_IVmed!$D39=1,ber_IVmed!F39*0.155,0)</f>
        <v>0</v>
      </c>
      <c r="J39" s="26">
        <f t="shared" si="0"/>
        <v>0</v>
      </c>
      <c r="K39" s="26">
        <f t="shared" si="1"/>
        <v>0</v>
      </c>
      <c r="L39" s="26">
        <f t="shared" si="2"/>
        <v>0</v>
      </c>
      <c r="M39" s="26">
        <f t="shared" si="3"/>
        <v>0</v>
      </c>
    </row>
    <row r="40" spans="1:13" x14ac:dyDescent="0.35">
      <c r="A40" s="26">
        <v>10</v>
      </c>
      <c r="B40" s="26">
        <v>1</v>
      </c>
      <c r="D40" s="26">
        <v>4</v>
      </c>
      <c r="E40" s="33"/>
      <c r="F40" s="33">
        <f>IF(MedicatieIV!C17&lt;&gt;0,24*E40/10,0)</f>
        <v>0</v>
      </c>
      <c r="G40" s="33">
        <f>IF(ber_IVmed!$D40=2,ber_IVmed!F40*0.05,0)</f>
        <v>0</v>
      </c>
      <c r="H40" s="33">
        <f>IF(ber_IVmed!$D40=3,ber_IVmed!F40*0.1,0)</f>
        <v>0</v>
      </c>
      <c r="I40" s="33">
        <f>IF(ber_IVmed!$D40=1,ber_IVmed!F40*0.155,0)</f>
        <v>0</v>
      </c>
      <c r="J40" s="26">
        <f t="shared" si="0"/>
        <v>0</v>
      </c>
      <c r="K40" s="26">
        <f t="shared" si="1"/>
        <v>0</v>
      </c>
      <c r="L40" s="26">
        <f t="shared" si="2"/>
        <v>0</v>
      </c>
      <c r="M40" s="26">
        <f t="shared" si="3"/>
        <v>0</v>
      </c>
    </row>
    <row r="41" spans="1:13" x14ac:dyDescent="0.35">
      <c r="A41" s="26">
        <v>11</v>
      </c>
      <c r="C41" s="33"/>
      <c r="D41" s="26">
        <v>4</v>
      </c>
      <c r="E41" s="33"/>
      <c r="F41" s="33">
        <f>IF(MedicatieIV!C19&lt;&gt;"",E41/10*24,0)</f>
        <v>0</v>
      </c>
      <c r="G41" s="33">
        <f>IF(ber_IVmed!$D41=2,ber_IVmed!F41*0.05,0)</f>
        <v>0</v>
      </c>
      <c r="H41" s="33">
        <f>IF(ber_IVmed!$D41=3,ber_IVmed!F41*0.1,0)</f>
        <v>0</v>
      </c>
      <c r="I41" s="33">
        <f>IF(ber_IVmed!$D41=1,ber_IVmed!F41*0.155,0)</f>
        <v>0</v>
      </c>
      <c r="J41" s="26">
        <f t="shared" si="0"/>
        <v>0</v>
      </c>
      <c r="K41" s="26">
        <f t="shared" si="1"/>
        <v>0</v>
      </c>
      <c r="L41" s="26">
        <f t="shared" si="2"/>
        <v>0</v>
      </c>
      <c r="M41" s="26">
        <f t="shared" si="3"/>
        <v>0</v>
      </c>
    </row>
    <row r="42" spans="1:13" x14ac:dyDescent="0.35">
      <c r="A42" s="26">
        <v>12</v>
      </c>
      <c r="C42" s="33"/>
      <c r="D42" s="26">
        <v>4</v>
      </c>
      <c r="E42" s="33"/>
      <c r="F42" s="33">
        <f>IF(MedicatieIV!C20&lt;&gt;"",E42/10*24,0)</f>
        <v>0</v>
      </c>
      <c r="G42" s="33">
        <f>IF(ber_IVmed!$D42=2,ber_IVmed!F42*0.05,0)</f>
        <v>0</v>
      </c>
      <c r="H42" s="33">
        <f>IF(ber_IVmed!$D42=3,ber_IVmed!F42*0.1,0)</f>
        <v>0</v>
      </c>
      <c r="I42" s="33">
        <f>IF(ber_IVmed!$D42=1,ber_IVmed!F42*0.155,0)</f>
        <v>0</v>
      </c>
      <c r="J42" s="26">
        <f t="shared" si="0"/>
        <v>0</v>
      </c>
      <c r="K42" s="26">
        <f t="shared" si="1"/>
        <v>0</v>
      </c>
      <c r="L42" s="26">
        <f t="shared" si="2"/>
        <v>0</v>
      </c>
      <c r="M42" s="26">
        <f t="shared" si="3"/>
        <v>0</v>
      </c>
    </row>
    <row r="43" spans="1:13" x14ac:dyDescent="0.35">
      <c r="A43" s="26">
        <v>13</v>
      </c>
      <c r="C43" s="33"/>
      <c r="D43" s="26">
        <v>4</v>
      </c>
      <c r="E43" s="33"/>
      <c r="F43" s="33">
        <f>IF(MedicatieIV!C21&lt;&gt;"",E43/10*24,0)</f>
        <v>0</v>
      </c>
      <c r="G43" s="33">
        <f>IF(ber_IVmed!$D43=2,ber_IVmed!F43*0.05,0)</f>
        <v>0</v>
      </c>
      <c r="H43" s="33">
        <f>IF(ber_IVmed!$D43=3,ber_IVmed!F43*0.1,0)</f>
        <v>0</v>
      </c>
      <c r="I43" s="33">
        <f>IF(ber_IVmed!$D43=1,ber_IVmed!F43*0.155,0)</f>
        <v>0</v>
      </c>
      <c r="J43" s="26">
        <f t="shared" si="0"/>
        <v>0</v>
      </c>
      <c r="K43" s="26">
        <f t="shared" si="1"/>
        <v>0</v>
      </c>
      <c r="L43" s="26">
        <f t="shared" si="2"/>
        <v>0</v>
      </c>
      <c r="M43" s="26">
        <f t="shared" si="3"/>
        <v>0</v>
      </c>
    </row>
    <row r="44" spans="1:13" x14ac:dyDescent="0.35">
      <c r="A44" s="26">
        <v>14</v>
      </c>
      <c r="C44" s="33"/>
      <c r="D44" s="26">
        <v>4</v>
      </c>
      <c r="E44" s="33"/>
      <c r="F44" s="33">
        <f>IF(MedicatieIV!C22&lt;&gt;"",E44/10*24,0)</f>
        <v>0</v>
      </c>
      <c r="G44" s="33">
        <f>IF(ber_IVmed!$D44=2,ber_IVmed!F44*0.05,0)</f>
        <v>0</v>
      </c>
      <c r="H44" s="33">
        <f>IF(ber_IVmed!$D44=3,ber_IVmed!F44*0.1,0)</f>
        <v>0</v>
      </c>
      <c r="I44" s="33">
        <f>IF(ber_IVmed!$D44=1,ber_IVmed!F44*0.155,0)</f>
        <v>0</v>
      </c>
      <c r="J44" s="26">
        <f t="shared" si="0"/>
        <v>0</v>
      </c>
      <c r="K44" s="26">
        <f t="shared" si="1"/>
        <v>0</v>
      </c>
      <c r="L44" s="26">
        <f t="shared" si="2"/>
        <v>0</v>
      </c>
      <c r="M44" s="26">
        <f t="shared" si="3"/>
        <v>0</v>
      </c>
    </row>
    <row r="45" spans="1:13" x14ac:dyDescent="0.35">
      <c r="A45" s="26">
        <v>15</v>
      </c>
      <c r="C45" s="33"/>
      <c r="D45" s="26">
        <v>4</v>
      </c>
      <c r="E45" s="33"/>
      <c r="F45" s="33">
        <f>IF(MedicatieIV!C23&lt;&gt;"",E45/10*24,0)</f>
        <v>0</v>
      </c>
      <c r="G45" s="33">
        <f>IF(ber_IVmed!$D45=2,ber_IVmed!F45*0.05,0)</f>
        <v>0</v>
      </c>
      <c r="H45" s="33">
        <f>IF(ber_IVmed!$D45=3,ber_IVmed!F45*0.1,0)</f>
        <v>0</v>
      </c>
      <c r="I45" s="33">
        <f>IF(ber_IVmed!$D45=1,ber_IVmed!F45*0.155,0)</f>
        <v>0</v>
      </c>
      <c r="J45" s="26">
        <f t="shared" si="0"/>
        <v>0</v>
      </c>
      <c r="K45" s="26">
        <f t="shared" si="1"/>
        <v>0</v>
      </c>
      <c r="L45" s="26">
        <f t="shared" si="2"/>
        <v>0</v>
      </c>
      <c r="M45" s="26">
        <f t="shared" si="3"/>
        <v>0</v>
      </c>
    </row>
    <row r="46" spans="1:13" x14ac:dyDescent="0.35">
      <c r="F46" s="33">
        <f>SUM(F31:F45)</f>
        <v>0</v>
      </c>
      <c r="G46" s="33">
        <f>SUM(G31:G45)</f>
        <v>0</v>
      </c>
      <c r="H46" s="33">
        <f>SUM(H31:H45)</f>
        <v>0</v>
      </c>
      <c r="I46" s="33"/>
      <c r="J46" s="26">
        <f>SUM(J31:J45)+SUM(I31:I45)</f>
        <v>0</v>
      </c>
      <c r="K46" s="26">
        <f>SUM(K31:K45)</f>
        <v>0</v>
      </c>
      <c r="L46" s="26">
        <f>SUM(L31:L45)</f>
        <v>0</v>
      </c>
      <c r="M46" s="26">
        <f>SUM(M31:M45)</f>
        <v>0</v>
      </c>
    </row>
    <row r="47" spans="1:13" x14ac:dyDescent="0.35">
      <c r="M47" s="33"/>
    </row>
  </sheetData>
  <phoneticPr fontId="26" type="noConversion"/>
  <printOptions gridLines="1"/>
  <pageMargins left="0.53" right="0.22" top="1.06" bottom="1" header="0.5" footer="0.5"/>
  <pageSetup paperSize="9" orientation="landscape" r:id="rId1"/>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stellen">
    <outlinePr showOutlineSymbols="0"/>
    <pageSetUpPr autoPageBreaks="0"/>
  </sheetPr>
  <dimension ref="A1:I23"/>
  <sheetViews>
    <sheetView showGridLines="0" showRowColHeaders="0" showZeros="0" showOutlineSymbols="0" zoomScale="125" workbookViewId="0">
      <selection activeCell="F26" sqref="F26"/>
    </sheetView>
  </sheetViews>
  <sheetFormatPr defaultColWidth="9.1328125" defaultRowHeight="17.25" customHeight="1" x14ac:dyDescent="0.35"/>
  <cols>
    <col min="1" max="1" width="5.73046875" style="203" customWidth="1"/>
    <col min="2" max="2" width="13.3984375" style="203" customWidth="1"/>
    <col min="3" max="3" width="11.3984375" style="203" customWidth="1"/>
    <col min="4" max="4" width="11.73046875" style="203" customWidth="1"/>
    <col min="5" max="5" width="14.86328125" style="203" customWidth="1"/>
    <col min="6" max="6" width="18.265625" style="203" customWidth="1"/>
    <col min="7" max="7" width="25.59765625" style="203" customWidth="1"/>
    <col min="8" max="8" width="9.1328125" style="203"/>
    <col min="9" max="9" width="9.73046875" style="203" customWidth="1"/>
    <col min="10" max="16384" width="9.1328125" style="203"/>
  </cols>
  <sheetData>
    <row r="1" spans="1:9" ht="10" customHeight="1" x14ac:dyDescent="0.4">
      <c r="A1" s="202"/>
      <c r="B1" s="202"/>
      <c r="C1" s="202"/>
      <c r="D1" s="202"/>
      <c r="E1" s="202"/>
      <c r="F1" s="202"/>
      <c r="G1" s="202"/>
      <c r="H1" s="202"/>
    </row>
    <row r="2" spans="1:9" ht="17.25" customHeight="1" x14ac:dyDescent="0.4">
      <c r="A2" s="202"/>
      <c r="B2" s="245" t="s">
        <v>2960</v>
      </c>
      <c r="C2" s="246"/>
      <c r="D2" s="245" t="s">
        <v>2961</v>
      </c>
      <c r="E2" s="245" t="s">
        <v>2962</v>
      </c>
      <c r="F2" s="245" t="s">
        <v>2963</v>
      </c>
      <c r="G2" s="247" t="s">
        <v>3226</v>
      </c>
      <c r="H2" s="248" t="s">
        <v>2035</v>
      </c>
      <c r="I2" s="333"/>
    </row>
    <row r="3" spans="1:9" ht="14.25" customHeight="1" x14ac:dyDescent="0.4">
      <c r="A3" s="202"/>
      <c r="C3" s="215"/>
      <c r="D3" s="215"/>
      <c r="E3" s="215"/>
      <c r="F3" s="215"/>
      <c r="G3" s="215"/>
      <c r="H3" s="215"/>
    </row>
    <row r="4" spans="1:9" ht="17.25" customHeight="1" x14ac:dyDescent="0.4">
      <c r="A4" s="202"/>
      <c r="B4" s="204" t="str">
        <f>ber_IVmed!B3</f>
        <v>insuline aspart</v>
      </c>
      <c r="C4" s="249" t="str">
        <f>ber_IVmed!C3&amp;" "&amp;ber_IVmed!J3</f>
        <v>30 E</v>
      </c>
      <c r="D4" s="210" t="str">
        <f>ber_IVmed!D3&amp;" ml"</f>
        <v>50 ml</v>
      </c>
      <c r="E4" s="211" t="str">
        <f>ber_IVmed!E3/10&amp;" ml/uur"</f>
        <v>1 ml/uur</v>
      </c>
      <c r="F4" s="212" t="str">
        <f>ber_IVmed!F3/100&amp;" "&amp;ber_IVmed!H3</f>
        <v>0.05 E/kg/uur</v>
      </c>
      <c r="G4" s="213" t="str">
        <f>ber_IVmed!I3</f>
        <v>0,05-0,1 E/kg/uur</v>
      </c>
      <c r="H4" s="214">
        <f>ber_IVmed!K3</f>
        <v>10</v>
      </c>
    </row>
    <row r="5" spans="1:9" ht="17.25" customHeight="1" x14ac:dyDescent="0.4">
      <c r="A5" s="202"/>
      <c r="B5" s="204" t="str">
        <f>ber_IVmed!B4</f>
        <v>adrenaline</v>
      </c>
      <c r="C5" s="249" t="str">
        <f>ber_IVmed!C4&amp;" "&amp;ber_IVmed!J4</f>
        <v>3 mg</v>
      </c>
      <c r="D5" s="210" t="str">
        <f>ber_IVmed!D4&amp;" ml"</f>
        <v>50 ml</v>
      </c>
      <c r="E5" s="211" t="str">
        <f>ber_IVmed!E4/10&amp;" ml/uur"</f>
        <v>1 ml/uur</v>
      </c>
      <c r="F5" s="212" t="str">
        <f>ber_IVmed!F4/100&amp;" "&amp;ber_IVmed!H4</f>
        <v>0.1 mcg/kg/min</v>
      </c>
      <c r="G5" s="213" t="str">
        <f>ber_IVmed!I4</f>
        <v>0,05-0,1 mcg/kg/min</v>
      </c>
      <c r="H5" s="214">
        <f>ber_IVmed!K4/10</f>
        <v>0.1</v>
      </c>
    </row>
    <row r="6" spans="1:9" ht="17.25" customHeight="1" x14ac:dyDescent="0.4">
      <c r="A6" s="202"/>
      <c r="B6" s="204" t="str">
        <f>ber_IVmed!B6</f>
        <v>alprostadil</v>
      </c>
      <c r="C6" s="250" t="str">
        <f>ber_IVmed!C6&amp;" "&amp;ber_IVmed!J6</f>
        <v>1 mg</v>
      </c>
      <c r="D6" s="205" t="str">
        <f>ber_IVmed!D6&amp;" ml"</f>
        <v>50 ml</v>
      </c>
      <c r="E6" s="206" t="str">
        <f>ber_IVmed!E6/10&amp;" ml/uur"</f>
        <v>1 ml/uur</v>
      </c>
      <c r="F6" s="207" t="str">
        <f>ber_IVmed!F6&amp;" "&amp;ber_IVmed!H6</f>
        <v>25 nanog/kg/min</v>
      </c>
      <c r="G6" s="208" t="str">
        <f>ber_IVmed!I6</f>
        <v>25-100 nanogram/kg/min</v>
      </c>
      <c r="H6" s="209">
        <f>ber_IVmed!K6/100</f>
        <v>0.5</v>
      </c>
    </row>
    <row r="7" spans="1:9" ht="17.25" customHeight="1" x14ac:dyDescent="0.4">
      <c r="A7" s="202"/>
      <c r="B7" s="204" t="str">
        <f>ber_IVmed!B7</f>
        <v>clonidine</v>
      </c>
      <c r="C7" s="250" t="str">
        <f>ber_IVmed!C7&amp;" "&amp;ber_IVmed!J7</f>
        <v>0.45 mg</v>
      </c>
      <c r="D7" s="205" t="str">
        <f>ber_IVmed!D7&amp;" ml"</f>
        <v>50 ml</v>
      </c>
      <c r="E7" s="206" t="str">
        <f>ber_IVmed!E7/10&amp;" ml/uur"</f>
        <v>1 ml/uur</v>
      </c>
      <c r="F7" s="207" t="str">
        <f>ber_IVmed!F7/100&amp;" "&amp;ber_IVmed!H7</f>
        <v>1 mcg/kg/uur</v>
      </c>
      <c r="G7" s="208" t="str">
        <f>ber_IVmed!I7</f>
        <v>0,25-2 mcg/kg/uur</v>
      </c>
      <c r="H7" s="209">
        <f>ber_IVmed!K7/1000</f>
        <v>0.15</v>
      </c>
    </row>
    <row r="8" spans="1:9" ht="17.25" customHeight="1" x14ac:dyDescent="0.4">
      <c r="A8" s="202"/>
      <c r="B8" s="204" t="str">
        <f>ber_IVmed!B8</f>
        <v>dobutamine</v>
      </c>
      <c r="C8" s="250" t="str">
        <f>ber_IVmed!C8&amp;" "&amp;ber_IVmed!J8</f>
        <v>250 mg</v>
      </c>
      <c r="D8" s="205" t="str">
        <f>ber_IVmed!D8&amp;" ml"</f>
        <v>50 ml</v>
      </c>
      <c r="E8" s="206" t="str">
        <f>ber_IVmed!E8/10&amp;" ml/uur"</f>
        <v>1 ml/uur</v>
      </c>
      <c r="F8" s="207" t="str">
        <f>ber_IVmed!F8/1&amp;" "&amp;ber_IVmed!H8</f>
        <v>10 mcg/kg/min</v>
      </c>
      <c r="G8" s="208" t="str">
        <f>ber_IVmed!I8</f>
        <v>2,5-20 mcg/kg/min</v>
      </c>
      <c r="H8" s="209">
        <f>ber_IVmed!K8/10</f>
        <v>250</v>
      </c>
    </row>
    <row r="9" spans="1:9" ht="17.25" customHeight="1" x14ac:dyDescent="0.4">
      <c r="A9" s="202"/>
      <c r="B9" s="204" t="str">
        <f>ber_IVmed!B9</f>
        <v>dopamine</v>
      </c>
      <c r="C9" s="250" t="str">
        <f>ber_IVmed!C9&amp;" "&amp;ber_IVmed!J9</f>
        <v>200 mg</v>
      </c>
      <c r="D9" s="205" t="str">
        <f>ber_IVmed!D9&amp;" ml"</f>
        <v>50 ml</v>
      </c>
      <c r="E9" s="206" t="str">
        <f>ber_IVmed!E9/10&amp;" ml/uur"</f>
        <v>1 ml/uur</v>
      </c>
      <c r="F9" s="207" t="str">
        <f>ber_IVmed!F9/1&amp;" "&amp;ber_IVmed!H9</f>
        <v>5 mcg/kg/min</v>
      </c>
      <c r="G9" s="208" t="str">
        <f>ber_IVmed!I9</f>
        <v>1-20 mcg/kg/min</v>
      </c>
      <c r="H9" s="209">
        <f>ber_IVmed!K9/1</f>
        <v>200</v>
      </c>
    </row>
    <row r="10" spans="1:9" ht="17.25" customHeight="1" x14ac:dyDescent="0.4">
      <c r="A10" s="202"/>
      <c r="B10" s="204" t="str">
        <f>ber_IVmed!B10</f>
        <v>epoprostenol</v>
      </c>
      <c r="C10" s="250" t="str">
        <f>ber_IVmed!C10&amp;" "&amp;ber_IVmed!J10</f>
        <v>0.5 mg</v>
      </c>
      <c r="D10" s="205" t="str">
        <f>ber_IVmed!D10&amp;" ml"</f>
        <v>50 ml</v>
      </c>
      <c r="E10" s="206" t="str">
        <f>ber_IVmed!E10/10&amp;" ml/uur"</f>
        <v>1 ml/uur</v>
      </c>
      <c r="F10" s="207" t="str">
        <f>ber_IVmed!F10/1&amp;" "&amp;ber_IVmed!H10</f>
        <v>10 nanog/kg/min</v>
      </c>
      <c r="G10" s="208" t="str">
        <f>ber_IVmed!I10</f>
        <v>5-30 nanogram/kg/min (moet in zout!)</v>
      </c>
      <c r="H10" s="209">
        <f>ber_IVmed!K10/100</f>
        <v>0.5</v>
      </c>
    </row>
    <row r="11" spans="1:9" ht="17.25" customHeight="1" x14ac:dyDescent="0.4">
      <c r="A11" s="202"/>
      <c r="B11" s="204" t="str">
        <f>ber_IVmed!B11</f>
        <v>esketamine</v>
      </c>
      <c r="C11" s="250" t="str">
        <f>ber_IVmed!C11&amp;" "&amp;ber_IVmed!J11</f>
        <v>300 mg</v>
      </c>
      <c r="D11" s="205" t="str">
        <f>ber_IVmed!D11&amp;" ml"</f>
        <v>50 ml</v>
      </c>
      <c r="E11" s="206" t="str">
        <f>ber_IVmed!E11/10&amp;" ml/uur"</f>
        <v>1 ml/uur</v>
      </c>
      <c r="F11" s="207" t="str">
        <f>ber_IVmed!F11/10&amp;" "&amp;ber_IVmed!H11</f>
        <v>0.5 mg/kg/uur</v>
      </c>
      <c r="G11" s="208" t="str">
        <f>ber_IVmed!I11</f>
        <v>0,5-1 mg/kg/uur</v>
      </c>
      <c r="H11" s="209">
        <f>ber_IVmed!K11</f>
        <v>100</v>
      </c>
    </row>
    <row r="12" spans="1:9" ht="17.25" customHeight="1" x14ac:dyDescent="0.4">
      <c r="A12" s="202"/>
      <c r="B12" s="204" t="str">
        <f>ber_IVmed!B12</f>
        <v>furosemide</v>
      </c>
      <c r="C12" s="250" t="str">
        <f>ber_IVmed!C12&amp;" "&amp;ber_IVmed!J12</f>
        <v>40 mg</v>
      </c>
      <c r="D12" s="205" t="str">
        <f>ber_IVmed!D12&amp;" ml"</f>
        <v>50 ml</v>
      </c>
      <c r="E12" s="206" t="str">
        <f>ber_IVmed!E12/10&amp;" ml/uur"</f>
        <v>1 ml/uur</v>
      </c>
      <c r="F12" s="207" t="str">
        <f>ber_IVmed!F12/10&amp;" "&amp;ber_IVmed!H12</f>
        <v>2 mg/kg/dag</v>
      </c>
      <c r="G12" s="208" t="str">
        <f>ber_IVmed!I12</f>
        <v>1-4 mg/kg/dag</v>
      </c>
      <c r="H12" s="209">
        <f>ber_IVmed!K12/1</f>
        <v>20</v>
      </c>
    </row>
    <row r="13" spans="1:9" ht="17.25" customHeight="1" x14ac:dyDescent="0.35">
      <c r="B13" s="204" t="str">
        <f>ber_IVmed!B13</f>
        <v>heparine</v>
      </c>
      <c r="C13" s="250" t="str">
        <f>ber_IVmed!C13&amp;" "&amp;ber_IVmed!J13</f>
        <v>10000 IE</v>
      </c>
      <c r="D13" s="205" t="str">
        <f>ber_IVmed!D13&amp;" ml"</f>
        <v>50 ml</v>
      </c>
      <c r="E13" s="206" t="str">
        <f>ber_IVmed!E13/10&amp;" ml/uur"</f>
        <v>1 ml/uur</v>
      </c>
      <c r="F13" s="207" t="str">
        <f>ber_IVmed!F13/1&amp;" "&amp;ber_IVmed!H13</f>
        <v>15 IE/kg/uur</v>
      </c>
      <c r="G13" s="208" t="str">
        <f>ber_IVmed!I13</f>
        <v>15-20 IE/kg/uur</v>
      </c>
      <c r="H13" s="209">
        <f>ber_IVmed!K13</f>
        <v>5000</v>
      </c>
    </row>
    <row r="14" spans="1:9" ht="17.25" customHeight="1" x14ac:dyDescent="0.35">
      <c r="B14" s="204" t="str">
        <f>ber_IVmed!B14</f>
        <v>isoprenaline</v>
      </c>
      <c r="C14" s="250" t="str">
        <f>ber_IVmed!C14&amp;" "&amp;ber_IVmed!J14</f>
        <v>3 mg</v>
      </c>
      <c r="D14" s="205" t="str">
        <f>ber_IVmed!D14&amp;" ml"</f>
        <v>50 ml</v>
      </c>
      <c r="E14" s="206" t="str">
        <f>ber_IVmed!E14/10&amp;" ml/uur"</f>
        <v>1 ml/uur</v>
      </c>
      <c r="F14" s="207" t="str">
        <f>ber_IVmed!F14/100&amp;" "&amp;ber_IVmed!H14</f>
        <v>0.1 mcg/kg/min</v>
      </c>
      <c r="G14" s="208" t="str">
        <f>ber_IVmed!I14</f>
        <v>0,01-1,5 mcg/kg/min</v>
      </c>
      <c r="H14" s="209">
        <f>ber_IVmed!K14/10</f>
        <v>0.2</v>
      </c>
    </row>
    <row r="15" spans="1:9" ht="17.25" customHeight="1" x14ac:dyDescent="0.35">
      <c r="B15" s="204" t="str">
        <f>ber_IVmed!B15</f>
        <v>ketanserine</v>
      </c>
      <c r="C15" s="250" t="str">
        <f>ber_IVmed!C15&amp;" "&amp;ber_IVmed!J15</f>
        <v>30 mg</v>
      </c>
      <c r="D15" s="205" t="str">
        <f>ber_IVmed!D15&amp;" ml"</f>
        <v>50 ml</v>
      </c>
      <c r="E15" s="206" t="str">
        <f>ber_IVmed!E15/10&amp;" ml/uur"</f>
        <v>1 ml/uur</v>
      </c>
      <c r="F15" s="207" t="str">
        <f>ber_IVmed!F15/10&amp;" "&amp;ber_IVmed!H15</f>
        <v>1 mcg/kg/min</v>
      </c>
      <c r="G15" s="208" t="str">
        <f>ber_IVmed!I15</f>
        <v>0,5-5 mcg/kg/min</v>
      </c>
      <c r="H15" s="209">
        <f>ber_IVmed!K15</f>
        <v>10</v>
      </c>
    </row>
    <row r="16" spans="1:9" ht="17.25" customHeight="1" x14ac:dyDescent="0.35">
      <c r="B16" s="204" t="str">
        <f>ber_IVmed!B16</f>
        <v>midazolam</v>
      </c>
      <c r="C16" s="250" t="str">
        <f>ber_IVmed!C16&amp;" "&amp;ber_IVmed!J16</f>
        <v>50 mg</v>
      </c>
      <c r="D16" s="205" t="str">
        <f>ber_IVmed!D16&amp;" ml"</f>
        <v>50 ml</v>
      </c>
      <c r="E16" s="206" t="str">
        <f>ber_IVmed!E16/10&amp;" ml/uur"</f>
        <v>1 ml/uur</v>
      </c>
      <c r="F16" s="207" t="str">
        <f>ber_IVmed!F16/100&amp;" "&amp;ber_IVmed!H16</f>
        <v>0.1 mg/kg/uur</v>
      </c>
      <c r="G16" s="208" t="str">
        <f>ber_IVmed!I16</f>
        <v>0,05-0,5 mg/kg/uur</v>
      </c>
      <c r="H16" s="209">
        <f>ber_IVmed!K16</f>
        <v>5</v>
      </c>
    </row>
    <row r="17" spans="2:8" ht="17.25" customHeight="1" x14ac:dyDescent="0.35">
      <c r="B17" s="204" t="str">
        <f>ber_IVmed!B17</f>
        <v>milrinon</v>
      </c>
      <c r="C17" s="250" t="str">
        <f>ber_IVmed!C17&amp;" "&amp;ber_IVmed!J17</f>
        <v>10 mg</v>
      </c>
      <c r="D17" s="205" t="str">
        <f>ber_IVmed!D17&amp;" ml"</f>
        <v>50 ml</v>
      </c>
      <c r="E17" s="206" t="str">
        <f>ber_IVmed!E17/10&amp;" ml/uur"</f>
        <v>1 ml/uur</v>
      </c>
      <c r="F17" s="207" t="str">
        <f>ber_IVmed!F17/100&amp;" "&amp;ber_IVmed!H17</f>
        <v>0.3 mcg/kg/min</v>
      </c>
      <c r="G17" s="208" t="str">
        <f>ber_IVmed!I17</f>
        <v>0,15-0,7 mcg/kg/min</v>
      </c>
      <c r="H17" s="209">
        <f>ber_IVmed!K17</f>
        <v>10</v>
      </c>
    </row>
    <row r="18" spans="2:8" ht="17.25" customHeight="1" x14ac:dyDescent="0.35">
      <c r="B18" s="204" t="str">
        <f>ber_IVmed!B18</f>
        <v>morfine</v>
      </c>
      <c r="C18" s="250" t="str">
        <f>ber_IVmed!C18&amp;" "&amp;ber_IVmed!J18</f>
        <v>10 mg</v>
      </c>
      <c r="D18" s="205" t="str">
        <f>ber_IVmed!D18&amp;" ml"</f>
        <v>50 ml</v>
      </c>
      <c r="E18" s="206" t="str">
        <f>ber_IVmed!E18/10&amp;" ml/uur"</f>
        <v>1 ml/uur</v>
      </c>
      <c r="F18" s="207" t="str">
        <f>ber_IVmed!F18/1000&amp;" "&amp;ber_IVmed!H18</f>
        <v>0.25 mg/kg/dag</v>
      </c>
      <c r="G18" s="208" t="str">
        <f>ber_IVmed!I18</f>
        <v>0,125-0,25 mg/kg/dag</v>
      </c>
      <c r="H18" s="209">
        <f>ber_IVmed!K18</f>
        <v>10</v>
      </c>
    </row>
    <row r="19" spans="2:8" ht="17.25" customHeight="1" x14ac:dyDescent="0.35">
      <c r="B19" s="204" t="str">
        <f>ber_IVmed!B21</f>
        <v>noradrenaline</v>
      </c>
      <c r="C19" s="250" t="str">
        <f>ber_IVmed!C21&amp;" "&amp;ber_IVmed!J21</f>
        <v>5 mg</v>
      </c>
      <c r="D19" s="205" t="str">
        <f>ber_IVmed!D21&amp;" ml"</f>
        <v>50 ml</v>
      </c>
      <c r="E19" s="206" t="str">
        <f>ber_IVmed!E21/10&amp;" ml/uur"</f>
        <v>1 ml/uur</v>
      </c>
      <c r="F19" s="207" t="str">
        <f>ber_IVmed!F21/100&amp;" "&amp;ber_IVmed!H21</f>
        <v>0.1 mcg/kg/min</v>
      </c>
      <c r="G19" s="208" t="str">
        <f>ber_IVmed!I21</f>
        <v>0,05-2 mcg/kg/min</v>
      </c>
      <c r="H19" s="209">
        <f>ber_IVmed!K21</f>
        <v>5</v>
      </c>
    </row>
    <row r="20" spans="2:8" ht="17.25" customHeight="1" x14ac:dyDescent="0.35">
      <c r="B20" s="204" t="str">
        <f>ber_IVmed!B24</f>
        <v>rocuronium</v>
      </c>
      <c r="C20" s="250" t="str">
        <f>ber_IVmed!C24&amp;" "&amp;ber_IVmed!J24</f>
        <v>300 mg</v>
      </c>
      <c r="D20" s="205" t="str">
        <f>ber_IVmed!D24&amp;" ml"</f>
        <v>50 ml</v>
      </c>
      <c r="E20" s="206" t="str">
        <f>ber_IVmed!E24/10&amp;" ml/uur"</f>
        <v>1 ml/uur</v>
      </c>
      <c r="F20" s="207" t="str">
        <f>ber_IVmed!F24/10&amp;" "&amp;ber_IVmed!H24</f>
        <v>0.6 mg/kg/uur</v>
      </c>
      <c r="G20" s="208" t="str">
        <f>ber_IVmed!I24</f>
        <v>0,6-1,2 mg/kg/uur</v>
      </c>
      <c r="H20" s="209">
        <f>ber_IVmed!K24</f>
        <v>50</v>
      </c>
    </row>
    <row r="21" spans="2:8" ht="17.25" customHeight="1" x14ac:dyDescent="0.35">
      <c r="B21" s="204" t="str">
        <f>ber_IVmed!B25</f>
        <v>salbutamol</v>
      </c>
      <c r="C21" s="250" t="str">
        <f>ber_IVmed!C25&amp;" "&amp;ber_IVmed!J25</f>
        <v>5 mg</v>
      </c>
      <c r="D21" s="205" t="str">
        <f>ber_IVmed!D25&amp;" ml"</f>
        <v>50 ml</v>
      </c>
      <c r="E21" s="206" t="str">
        <f>ber_IVmed!E25/10&amp;" ml/uur"</f>
        <v>1 ml/uur</v>
      </c>
      <c r="F21" s="207" t="str">
        <f>ber_IVmed!F25/10&amp;" "&amp;ber_IVmed!H25</f>
        <v>0.2 mcg/kg/min</v>
      </c>
      <c r="G21" s="208" t="str">
        <f>ber_IVmed!I25</f>
        <v>0,2-2 mcg/kg/min</v>
      </c>
      <c r="H21" s="209">
        <f>ber_IVmed!K25/1</f>
        <v>5</v>
      </c>
    </row>
    <row r="22" spans="2:8" ht="17.25" customHeight="1" x14ac:dyDescent="0.35">
      <c r="B22" s="204" t="str">
        <f>ber_IVmed!B26</f>
        <v>thiopental</v>
      </c>
      <c r="C22" s="250" t="str">
        <f>ber_IVmed!C26&amp;" "&amp;ber_IVmed!J26</f>
        <v>48 mg</v>
      </c>
      <c r="D22" s="205" t="str">
        <f>ber_IVmed!D26&amp;" ml"</f>
        <v>50 ml</v>
      </c>
      <c r="E22" s="206" t="str">
        <f>ber_IVmed!E26/10&amp;" ml/uur"</f>
        <v>1 ml/uur</v>
      </c>
      <c r="F22" s="207" t="str">
        <f>ber_IVmed!F26/10&amp;" "&amp;ber_IVmed!H26</f>
        <v>7 mg/kg/uur</v>
      </c>
      <c r="G22" s="208" t="str">
        <f>ber_IVmed!I26</f>
        <v>Op geleide van spiegels</v>
      </c>
      <c r="H22" s="209">
        <f>ber_IVmed!K26/1</f>
        <v>500</v>
      </c>
    </row>
    <row r="23" spans="2:8" ht="17.25" customHeight="1" x14ac:dyDescent="0.35">
      <c r="B23" s="204" t="str">
        <f>ber_IVmed!B27</f>
        <v>Epiduraal WKZ</v>
      </c>
      <c r="C23" s="250" t="str">
        <f>ber_IVmed!C27&amp;" "&amp;ber_IVmed!J27</f>
        <v>0 ml</v>
      </c>
      <c r="D23" s="205" t="str">
        <f>ber_IVmed!D27&amp;" ml"</f>
        <v>100 ml</v>
      </c>
      <c r="E23" s="206"/>
      <c r="F23" s="207"/>
      <c r="G23" s="208"/>
      <c r="H23" s="209"/>
    </row>
  </sheetData>
  <sheetProtection password="CC20" sheet="1" objects="1" scenarios="1" selectLockedCells="1" selectUnlockedCells="1"/>
  <phoneticPr fontId="26" type="noConversion"/>
  <conditionalFormatting sqref="D4:D23 G4:G23">
    <cfRule type="cellIs" dxfId="1" priority="1" stopIfTrue="1" operator="between">
      <formula>$A$5</formula>
      <formula>$A$5</formula>
    </cfRule>
  </conditionalFormatting>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46" r:id="rId4" name="Spinner 26">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47" r:id="rId5" name="Spinner 27">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48" r:id="rId6" name="Spinner 28">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49" r:id="rId7" name="Spinner 29">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50" r:id="rId8" name="Spinner 30">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1" r:id="rId9" name="Spinner 31">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2" r:id="rId10" name="Spinner 32">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3" r:id="rId11" name="Spinner 33">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4" r:id="rId12" name="Spinner 34">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5" r:id="rId13" name="Spinner 35">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6" r:id="rId14" name="Spinner 36">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7" r:id="rId15" name="Spinner 37">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8" r:id="rId16" name="Spinner 38">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83" r:id="rId17" name="Spinner 63">
              <controlPr defaultSize="0" print="0" autoPict="0">
                <anchor moveWithCells="1" sizeWithCells="1">
                  <from>
                    <xdr:col>5</xdr:col>
                    <xdr:colOff>1077173</xdr:colOff>
                    <xdr:row>20</xdr:row>
                    <xdr:rowOff>0</xdr:rowOff>
                  </from>
                  <to>
                    <xdr:col>6</xdr:col>
                    <xdr:colOff>0</xdr:colOff>
                    <xdr:row>20</xdr:row>
                    <xdr:rowOff>0</xdr:rowOff>
                  </to>
                </anchor>
              </controlPr>
            </control>
          </mc:Choice>
        </mc:AlternateContent>
        <mc:AlternateContent xmlns:mc="http://schemas.openxmlformats.org/markup-compatibility/2006">
          <mc:Choice Requires="x14">
            <control shapeId="5244" r:id="rId18" name="Spinner 124">
              <controlPr defaultSize="0" autoPict="0">
                <anchor moveWithCells="1" sizeWithCells="1">
                  <from>
                    <xdr:col>3</xdr:col>
                    <xdr:colOff>627154</xdr:colOff>
                    <xdr:row>4</xdr:row>
                    <xdr:rowOff>38299</xdr:rowOff>
                  </from>
                  <to>
                    <xdr:col>3</xdr:col>
                    <xdr:colOff>742052</xdr:colOff>
                    <xdr:row>4</xdr:row>
                    <xdr:rowOff>210647</xdr:rowOff>
                  </to>
                </anchor>
              </controlPr>
            </control>
          </mc:Choice>
        </mc:AlternateContent>
        <mc:AlternateContent xmlns:mc="http://schemas.openxmlformats.org/markup-compatibility/2006">
          <mc:Choice Requires="x14">
            <control shapeId="5266" r:id="rId19" name="Spinner 146">
              <controlPr defaultSize="0" autoPict="0">
                <anchor moveWithCells="1" sizeWithCells="1">
                  <from>
                    <xdr:col>4</xdr:col>
                    <xdr:colOff>809076</xdr:colOff>
                    <xdr:row>4</xdr:row>
                    <xdr:rowOff>38299</xdr:rowOff>
                  </from>
                  <to>
                    <xdr:col>4</xdr:col>
                    <xdr:colOff>923975</xdr:colOff>
                    <xdr:row>4</xdr:row>
                    <xdr:rowOff>210647</xdr:rowOff>
                  </to>
                </anchor>
              </controlPr>
            </control>
          </mc:Choice>
        </mc:AlternateContent>
        <mc:AlternateContent xmlns:mc="http://schemas.openxmlformats.org/markup-compatibility/2006">
          <mc:Choice Requires="x14">
            <control shapeId="5288" r:id="rId20" name="Spinner 168">
              <controlPr defaultSize="0" autoPict="0">
                <anchor moveWithCells="1" sizeWithCells="1">
                  <from>
                    <xdr:col>5</xdr:col>
                    <xdr:colOff>1086748</xdr:colOff>
                    <xdr:row>4</xdr:row>
                    <xdr:rowOff>38299</xdr:rowOff>
                  </from>
                  <to>
                    <xdr:col>5</xdr:col>
                    <xdr:colOff>1201646</xdr:colOff>
                    <xdr:row>4</xdr:row>
                    <xdr:rowOff>210647</xdr:rowOff>
                  </to>
                </anchor>
              </controlPr>
            </control>
          </mc:Choice>
        </mc:AlternateContent>
        <mc:AlternateContent xmlns:mc="http://schemas.openxmlformats.org/markup-compatibility/2006">
          <mc:Choice Requires="x14">
            <control shapeId="5289" r:id="rId21" name="Spinner 169">
              <controlPr defaultSize="0" autoPict="0">
                <anchor moveWithCells="1" sizeWithCells="1">
                  <from>
                    <xdr:col>5</xdr:col>
                    <xdr:colOff>1086748</xdr:colOff>
                    <xdr:row>5</xdr:row>
                    <xdr:rowOff>38299</xdr:rowOff>
                  </from>
                  <to>
                    <xdr:col>5</xdr:col>
                    <xdr:colOff>1201646</xdr:colOff>
                    <xdr:row>5</xdr:row>
                    <xdr:rowOff>210647</xdr:rowOff>
                  </to>
                </anchor>
              </controlPr>
            </control>
          </mc:Choice>
        </mc:AlternateContent>
        <mc:AlternateContent xmlns:mc="http://schemas.openxmlformats.org/markup-compatibility/2006">
          <mc:Choice Requires="x14">
            <control shapeId="5290" r:id="rId22" name="Spinner 170">
              <controlPr defaultSize="0" autoPict="0">
                <anchor moveWithCells="1" sizeWithCells="1">
                  <from>
                    <xdr:col>5</xdr:col>
                    <xdr:colOff>1086748</xdr:colOff>
                    <xdr:row>6</xdr:row>
                    <xdr:rowOff>38299</xdr:rowOff>
                  </from>
                  <to>
                    <xdr:col>5</xdr:col>
                    <xdr:colOff>1201646</xdr:colOff>
                    <xdr:row>6</xdr:row>
                    <xdr:rowOff>210647</xdr:rowOff>
                  </to>
                </anchor>
              </controlPr>
            </control>
          </mc:Choice>
        </mc:AlternateContent>
        <mc:AlternateContent xmlns:mc="http://schemas.openxmlformats.org/markup-compatibility/2006">
          <mc:Choice Requires="x14">
            <control shapeId="5291" r:id="rId23" name="Spinner 171">
              <controlPr defaultSize="0" autoPict="0">
                <anchor moveWithCells="1" sizeWithCells="1">
                  <from>
                    <xdr:col>5</xdr:col>
                    <xdr:colOff>1086748</xdr:colOff>
                    <xdr:row>7</xdr:row>
                    <xdr:rowOff>38299</xdr:rowOff>
                  </from>
                  <to>
                    <xdr:col>5</xdr:col>
                    <xdr:colOff>1201646</xdr:colOff>
                    <xdr:row>7</xdr:row>
                    <xdr:rowOff>210647</xdr:rowOff>
                  </to>
                </anchor>
              </controlPr>
            </control>
          </mc:Choice>
        </mc:AlternateContent>
        <mc:AlternateContent xmlns:mc="http://schemas.openxmlformats.org/markup-compatibility/2006">
          <mc:Choice Requires="x14">
            <control shapeId="5292" r:id="rId24" name="Spinner 172">
              <controlPr defaultSize="0" autoPict="0">
                <anchor moveWithCells="1" sizeWithCells="1">
                  <from>
                    <xdr:col>5</xdr:col>
                    <xdr:colOff>1086748</xdr:colOff>
                    <xdr:row>9</xdr:row>
                    <xdr:rowOff>38299</xdr:rowOff>
                  </from>
                  <to>
                    <xdr:col>5</xdr:col>
                    <xdr:colOff>1201646</xdr:colOff>
                    <xdr:row>9</xdr:row>
                    <xdr:rowOff>210647</xdr:rowOff>
                  </to>
                </anchor>
              </controlPr>
            </control>
          </mc:Choice>
        </mc:AlternateContent>
        <mc:AlternateContent xmlns:mc="http://schemas.openxmlformats.org/markup-compatibility/2006">
          <mc:Choice Requires="x14">
            <control shapeId="5293" r:id="rId25" name="Spinner 173">
              <controlPr defaultSize="0" autoPict="0">
                <anchor moveWithCells="1" sizeWithCells="1">
                  <from>
                    <xdr:col>5</xdr:col>
                    <xdr:colOff>1086748</xdr:colOff>
                    <xdr:row>10</xdr:row>
                    <xdr:rowOff>38299</xdr:rowOff>
                  </from>
                  <to>
                    <xdr:col>5</xdr:col>
                    <xdr:colOff>1201646</xdr:colOff>
                    <xdr:row>10</xdr:row>
                    <xdr:rowOff>210647</xdr:rowOff>
                  </to>
                </anchor>
              </controlPr>
            </control>
          </mc:Choice>
        </mc:AlternateContent>
        <mc:AlternateContent xmlns:mc="http://schemas.openxmlformats.org/markup-compatibility/2006">
          <mc:Choice Requires="x14">
            <control shapeId="5294" r:id="rId26" name="Spinner 174">
              <controlPr defaultSize="0" autoPict="0">
                <anchor moveWithCells="1" sizeWithCells="1">
                  <from>
                    <xdr:col>5</xdr:col>
                    <xdr:colOff>1086748</xdr:colOff>
                    <xdr:row>11</xdr:row>
                    <xdr:rowOff>38299</xdr:rowOff>
                  </from>
                  <to>
                    <xdr:col>5</xdr:col>
                    <xdr:colOff>1201646</xdr:colOff>
                    <xdr:row>11</xdr:row>
                    <xdr:rowOff>210647</xdr:rowOff>
                  </to>
                </anchor>
              </controlPr>
            </control>
          </mc:Choice>
        </mc:AlternateContent>
        <mc:AlternateContent xmlns:mc="http://schemas.openxmlformats.org/markup-compatibility/2006">
          <mc:Choice Requires="x14">
            <control shapeId="5295" r:id="rId27" name="Spinner 175">
              <controlPr defaultSize="0" autoPict="0">
                <anchor moveWithCells="1" sizeWithCells="1">
                  <from>
                    <xdr:col>5</xdr:col>
                    <xdr:colOff>1086748</xdr:colOff>
                    <xdr:row>12</xdr:row>
                    <xdr:rowOff>38299</xdr:rowOff>
                  </from>
                  <to>
                    <xdr:col>5</xdr:col>
                    <xdr:colOff>1201646</xdr:colOff>
                    <xdr:row>12</xdr:row>
                    <xdr:rowOff>210647</xdr:rowOff>
                  </to>
                </anchor>
              </controlPr>
            </control>
          </mc:Choice>
        </mc:AlternateContent>
        <mc:AlternateContent xmlns:mc="http://schemas.openxmlformats.org/markup-compatibility/2006">
          <mc:Choice Requires="x14">
            <control shapeId="5296" r:id="rId28" name="Spinner 176">
              <controlPr defaultSize="0" autoPict="0">
                <anchor moveWithCells="1" sizeWithCells="1">
                  <from>
                    <xdr:col>5</xdr:col>
                    <xdr:colOff>1086748</xdr:colOff>
                    <xdr:row>13</xdr:row>
                    <xdr:rowOff>38299</xdr:rowOff>
                  </from>
                  <to>
                    <xdr:col>5</xdr:col>
                    <xdr:colOff>1201646</xdr:colOff>
                    <xdr:row>13</xdr:row>
                    <xdr:rowOff>210647</xdr:rowOff>
                  </to>
                </anchor>
              </controlPr>
            </control>
          </mc:Choice>
        </mc:AlternateContent>
        <mc:AlternateContent xmlns:mc="http://schemas.openxmlformats.org/markup-compatibility/2006">
          <mc:Choice Requires="x14">
            <control shapeId="5298" r:id="rId29" name="Spinner 178">
              <controlPr defaultSize="0" autoPict="0">
                <anchor moveWithCells="1" sizeWithCells="1">
                  <from>
                    <xdr:col>5</xdr:col>
                    <xdr:colOff>1086748</xdr:colOff>
                    <xdr:row>14</xdr:row>
                    <xdr:rowOff>38299</xdr:rowOff>
                  </from>
                  <to>
                    <xdr:col>5</xdr:col>
                    <xdr:colOff>1201646</xdr:colOff>
                    <xdr:row>14</xdr:row>
                    <xdr:rowOff>210647</xdr:rowOff>
                  </to>
                </anchor>
              </controlPr>
            </control>
          </mc:Choice>
        </mc:AlternateContent>
        <mc:AlternateContent xmlns:mc="http://schemas.openxmlformats.org/markup-compatibility/2006">
          <mc:Choice Requires="x14">
            <control shapeId="5299" r:id="rId30" name="Spinner 179">
              <controlPr defaultSize="0" autoPict="0">
                <anchor moveWithCells="1" sizeWithCells="1">
                  <from>
                    <xdr:col>5</xdr:col>
                    <xdr:colOff>1086748</xdr:colOff>
                    <xdr:row>15</xdr:row>
                    <xdr:rowOff>38299</xdr:rowOff>
                  </from>
                  <to>
                    <xdr:col>5</xdr:col>
                    <xdr:colOff>1201646</xdr:colOff>
                    <xdr:row>15</xdr:row>
                    <xdr:rowOff>210647</xdr:rowOff>
                  </to>
                </anchor>
              </controlPr>
            </control>
          </mc:Choice>
        </mc:AlternateContent>
        <mc:AlternateContent xmlns:mc="http://schemas.openxmlformats.org/markup-compatibility/2006">
          <mc:Choice Requires="x14">
            <control shapeId="5300" r:id="rId31" name="Spinner 180">
              <controlPr defaultSize="0" autoPict="0">
                <anchor moveWithCells="1" sizeWithCells="1">
                  <from>
                    <xdr:col>5</xdr:col>
                    <xdr:colOff>1086748</xdr:colOff>
                    <xdr:row>16</xdr:row>
                    <xdr:rowOff>38299</xdr:rowOff>
                  </from>
                  <to>
                    <xdr:col>5</xdr:col>
                    <xdr:colOff>1201646</xdr:colOff>
                    <xdr:row>16</xdr:row>
                    <xdr:rowOff>210647</xdr:rowOff>
                  </to>
                </anchor>
              </controlPr>
            </control>
          </mc:Choice>
        </mc:AlternateContent>
        <mc:AlternateContent xmlns:mc="http://schemas.openxmlformats.org/markup-compatibility/2006">
          <mc:Choice Requires="x14">
            <control shapeId="5301" r:id="rId32" name="Spinner 181">
              <controlPr defaultSize="0" autoPict="0">
                <anchor moveWithCells="1" sizeWithCells="1">
                  <from>
                    <xdr:col>5</xdr:col>
                    <xdr:colOff>1086748</xdr:colOff>
                    <xdr:row>17</xdr:row>
                    <xdr:rowOff>38299</xdr:rowOff>
                  </from>
                  <to>
                    <xdr:col>5</xdr:col>
                    <xdr:colOff>1201646</xdr:colOff>
                    <xdr:row>17</xdr:row>
                    <xdr:rowOff>210647</xdr:rowOff>
                  </to>
                </anchor>
              </controlPr>
            </control>
          </mc:Choice>
        </mc:AlternateContent>
        <mc:AlternateContent xmlns:mc="http://schemas.openxmlformats.org/markup-compatibility/2006">
          <mc:Choice Requires="x14">
            <control shapeId="5303" r:id="rId33" name="Spinner 183">
              <controlPr defaultSize="0" autoPict="0">
                <anchor moveWithCells="1" sizeWithCells="1">
                  <from>
                    <xdr:col>5</xdr:col>
                    <xdr:colOff>1086748</xdr:colOff>
                    <xdr:row>18</xdr:row>
                    <xdr:rowOff>38299</xdr:rowOff>
                  </from>
                  <to>
                    <xdr:col>5</xdr:col>
                    <xdr:colOff>1201646</xdr:colOff>
                    <xdr:row>18</xdr:row>
                    <xdr:rowOff>210647</xdr:rowOff>
                  </to>
                </anchor>
              </controlPr>
            </control>
          </mc:Choice>
        </mc:AlternateContent>
        <mc:AlternateContent xmlns:mc="http://schemas.openxmlformats.org/markup-compatibility/2006">
          <mc:Choice Requires="x14">
            <control shapeId="5304" r:id="rId34" name="Spinner 184">
              <controlPr defaultSize="0" autoPict="0">
                <anchor moveWithCells="1" sizeWithCells="1">
                  <from>
                    <xdr:col>5</xdr:col>
                    <xdr:colOff>1086748</xdr:colOff>
                    <xdr:row>19</xdr:row>
                    <xdr:rowOff>38299</xdr:rowOff>
                  </from>
                  <to>
                    <xdr:col>5</xdr:col>
                    <xdr:colOff>1201646</xdr:colOff>
                    <xdr:row>19</xdr:row>
                    <xdr:rowOff>210647</xdr:rowOff>
                  </to>
                </anchor>
              </controlPr>
            </control>
          </mc:Choice>
        </mc:AlternateContent>
        <mc:AlternateContent xmlns:mc="http://schemas.openxmlformats.org/markup-compatibility/2006">
          <mc:Choice Requires="x14">
            <control shapeId="5307" r:id="rId35" name="Spinner 187">
              <controlPr defaultSize="0" autoPict="0">
                <anchor moveWithCells="1" sizeWithCells="1">
                  <from>
                    <xdr:col>5</xdr:col>
                    <xdr:colOff>1086748</xdr:colOff>
                    <xdr:row>20</xdr:row>
                    <xdr:rowOff>38299</xdr:rowOff>
                  </from>
                  <to>
                    <xdr:col>5</xdr:col>
                    <xdr:colOff>1201646</xdr:colOff>
                    <xdr:row>20</xdr:row>
                    <xdr:rowOff>210647</xdr:rowOff>
                  </to>
                </anchor>
              </controlPr>
            </control>
          </mc:Choice>
        </mc:AlternateContent>
        <mc:AlternateContent xmlns:mc="http://schemas.openxmlformats.org/markup-compatibility/2006">
          <mc:Choice Requires="x14">
            <control shapeId="5308" r:id="rId36" name="Spinner 188">
              <controlPr defaultSize="0" autoPict="0">
                <anchor moveWithCells="1" sizeWithCells="1">
                  <from>
                    <xdr:col>5</xdr:col>
                    <xdr:colOff>1086748</xdr:colOff>
                    <xdr:row>21</xdr:row>
                    <xdr:rowOff>38299</xdr:rowOff>
                  </from>
                  <to>
                    <xdr:col>5</xdr:col>
                    <xdr:colOff>1201646</xdr:colOff>
                    <xdr:row>21</xdr:row>
                    <xdr:rowOff>210647</xdr:rowOff>
                  </to>
                </anchor>
              </controlPr>
            </control>
          </mc:Choice>
        </mc:AlternateContent>
        <mc:AlternateContent xmlns:mc="http://schemas.openxmlformats.org/markup-compatibility/2006">
          <mc:Choice Requires="x14">
            <control shapeId="5310" r:id="rId37" name="Spinner 190">
              <controlPr defaultSize="0" autoPict="0">
                <anchor moveWithCells="1" sizeWithCells="1">
                  <from>
                    <xdr:col>7</xdr:col>
                    <xdr:colOff>512255</xdr:colOff>
                    <xdr:row>4</xdr:row>
                    <xdr:rowOff>38299</xdr:rowOff>
                  </from>
                  <to>
                    <xdr:col>8</xdr:col>
                    <xdr:colOff>19150</xdr:colOff>
                    <xdr:row>4</xdr:row>
                    <xdr:rowOff>210647</xdr:rowOff>
                  </to>
                </anchor>
              </controlPr>
            </control>
          </mc:Choice>
        </mc:AlternateContent>
        <mc:AlternateContent xmlns:mc="http://schemas.openxmlformats.org/markup-compatibility/2006">
          <mc:Choice Requires="x14">
            <control shapeId="5311" r:id="rId38" name="Spinner 191">
              <controlPr defaultSize="0" autoPict="0">
                <anchor moveWithCells="1" sizeWithCells="1">
                  <from>
                    <xdr:col>7</xdr:col>
                    <xdr:colOff>512255</xdr:colOff>
                    <xdr:row>5</xdr:row>
                    <xdr:rowOff>38299</xdr:rowOff>
                  </from>
                  <to>
                    <xdr:col>8</xdr:col>
                    <xdr:colOff>19150</xdr:colOff>
                    <xdr:row>5</xdr:row>
                    <xdr:rowOff>210647</xdr:rowOff>
                  </to>
                </anchor>
              </controlPr>
            </control>
          </mc:Choice>
        </mc:AlternateContent>
        <mc:AlternateContent xmlns:mc="http://schemas.openxmlformats.org/markup-compatibility/2006">
          <mc:Choice Requires="x14">
            <control shapeId="5312" r:id="rId39" name="Spinner 192">
              <controlPr defaultSize="0" autoPict="0">
                <anchor moveWithCells="1" sizeWithCells="1">
                  <from>
                    <xdr:col>7</xdr:col>
                    <xdr:colOff>512255</xdr:colOff>
                    <xdr:row>6</xdr:row>
                    <xdr:rowOff>38299</xdr:rowOff>
                  </from>
                  <to>
                    <xdr:col>8</xdr:col>
                    <xdr:colOff>19150</xdr:colOff>
                    <xdr:row>6</xdr:row>
                    <xdr:rowOff>210647</xdr:rowOff>
                  </to>
                </anchor>
              </controlPr>
            </control>
          </mc:Choice>
        </mc:AlternateContent>
        <mc:AlternateContent xmlns:mc="http://schemas.openxmlformats.org/markup-compatibility/2006">
          <mc:Choice Requires="x14">
            <control shapeId="5313" r:id="rId40" name="Spinner 193">
              <controlPr defaultSize="0" autoPict="0">
                <anchor moveWithCells="1" sizeWithCells="1">
                  <from>
                    <xdr:col>7</xdr:col>
                    <xdr:colOff>512255</xdr:colOff>
                    <xdr:row>7</xdr:row>
                    <xdr:rowOff>38299</xdr:rowOff>
                  </from>
                  <to>
                    <xdr:col>8</xdr:col>
                    <xdr:colOff>19150</xdr:colOff>
                    <xdr:row>7</xdr:row>
                    <xdr:rowOff>210647</xdr:rowOff>
                  </to>
                </anchor>
              </controlPr>
            </control>
          </mc:Choice>
        </mc:AlternateContent>
        <mc:AlternateContent xmlns:mc="http://schemas.openxmlformats.org/markup-compatibility/2006">
          <mc:Choice Requires="x14">
            <control shapeId="5314" r:id="rId41" name="Spinner 194">
              <controlPr defaultSize="0" autoPict="0">
                <anchor moveWithCells="1" sizeWithCells="1">
                  <from>
                    <xdr:col>7</xdr:col>
                    <xdr:colOff>512255</xdr:colOff>
                    <xdr:row>9</xdr:row>
                    <xdr:rowOff>38299</xdr:rowOff>
                  </from>
                  <to>
                    <xdr:col>8</xdr:col>
                    <xdr:colOff>19150</xdr:colOff>
                    <xdr:row>9</xdr:row>
                    <xdr:rowOff>210647</xdr:rowOff>
                  </to>
                </anchor>
              </controlPr>
            </control>
          </mc:Choice>
        </mc:AlternateContent>
        <mc:AlternateContent xmlns:mc="http://schemas.openxmlformats.org/markup-compatibility/2006">
          <mc:Choice Requires="x14">
            <control shapeId="5315" r:id="rId42" name="Spinner 195">
              <controlPr defaultSize="0" autoPict="0">
                <anchor moveWithCells="1" sizeWithCells="1">
                  <from>
                    <xdr:col>7</xdr:col>
                    <xdr:colOff>512255</xdr:colOff>
                    <xdr:row>10</xdr:row>
                    <xdr:rowOff>38299</xdr:rowOff>
                  </from>
                  <to>
                    <xdr:col>8</xdr:col>
                    <xdr:colOff>19150</xdr:colOff>
                    <xdr:row>10</xdr:row>
                    <xdr:rowOff>210647</xdr:rowOff>
                  </to>
                </anchor>
              </controlPr>
            </control>
          </mc:Choice>
        </mc:AlternateContent>
        <mc:AlternateContent xmlns:mc="http://schemas.openxmlformats.org/markup-compatibility/2006">
          <mc:Choice Requires="x14">
            <control shapeId="5316" r:id="rId43" name="Spinner 196">
              <controlPr defaultSize="0" autoPict="0">
                <anchor moveWithCells="1" sizeWithCells="1">
                  <from>
                    <xdr:col>7</xdr:col>
                    <xdr:colOff>512255</xdr:colOff>
                    <xdr:row>11</xdr:row>
                    <xdr:rowOff>38299</xdr:rowOff>
                  </from>
                  <to>
                    <xdr:col>8</xdr:col>
                    <xdr:colOff>19150</xdr:colOff>
                    <xdr:row>11</xdr:row>
                    <xdr:rowOff>210647</xdr:rowOff>
                  </to>
                </anchor>
              </controlPr>
            </control>
          </mc:Choice>
        </mc:AlternateContent>
        <mc:AlternateContent xmlns:mc="http://schemas.openxmlformats.org/markup-compatibility/2006">
          <mc:Choice Requires="x14">
            <control shapeId="5317" r:id="rId44" name="Spinner 197">
              <controlPr defaultSize="0" autoPict="0">
                <anchor moveWithCells="1" sizeWithCells="1">
                  <from>
                    <xdr:col>7</xdr:col>
                    <xdr:colOff>512255</xdr:colOff>
                    <xdr:row>12</xdr:row>
                    <xdr:rowOff>38299</xdr:rowOff>
                  </from>
                  <to>
                    <xdr:col>8</xdr:col>
                    <xdr:colOff>19150</xdr:colOff>
                    <xdr:row>12</xdr:row>
                    <xdr:rowOff>210647</xdr:rowOff>
                  </to>
                </anchor>
              </controlPr>
            </control>
          </mc:Choice>
        </mc:AlternateContent>
        <mc:AlternateContent xmlns:mc="http://schemas.openxmlformats.org/markup-compatibility/2006">
          <mc:Choice Requires="x14">
            <control shapeId="5318" r:id="rId45" name="Spinner 198">
              <controlPr defaultSize="0" autoPict="0">
                <anchor moveWithCells="1" sizeWithCells="1">
                  <from>
                    <xdr:col>7</xdr:col>
                    <xdr:colOff>512255</xdr:colOff>
                    <xdr:row>13</xdr:row>
                    <xdr:rowOff>38299</xdr:rowOff>
                  </from>
                  <to>
                    <xdr:col>8</xdr:col>
                    <xdr:colOff>19150</xdr:colOff>
                    <xdr:row>13</xdr:row>
                    <xdr:rowOff>210647</xdr:rowOff>
                  </to>
                </anchor>
              </controlPr>
            </control>
          </mc:Choice>
        </mc:AlternateContent>
        <mc:AlternateContent xmlns:mc="http://schemas.openxmlformats.org/markup-compatibility/2006">
          <mc:Choice Requires="x14">
            <control shapeId="5320" r:id="rId46" name="Spinner 200">
              <controlPr defaultSize="0" autoPict="0">
                <anchor moveWithCells="1" sizeWithCells="1">
                  <from>
                    <xdr:col>7</xdr:col>
                    <xdr:colOff>512255</xdr:colOff>
                    <xdr:row>14</xdr:row>
                    <xdr:rowOff>38299</xdr:rowOff>
                  </from>
                  <to>
                    <xdr:col>8</xdr:col>
                    <xdr:colOff>19150</xdr:colOff>
                    <xdr:row>14</xdr:row>
                    <xdr:rowOff>210647</xdr:rowOff>
                  </to>
                </anchor>
              </controlPr>
            </control>
          </mc:Choice>
        </mc:AlternateContent>
        <mc:AlternateContent xmlns:mc="http://schemas.openxmlformats.org/markup-compatibility/2006">
          <mc:Choice Requires="x14">
            <control shapeId="5321" r:id="rId47" name="Spinner 201">
              <controlPr defaultSize="0" autoPict="0">
                <anchor moveWithCells="1" sizeWithCells="1">
                  <from>
                    <xdr:col>7</xdr:col>
                    <xdr:colOff>512255</xdr:colOff>
                    <xdr:row>15</xdr:row>
                    <xdr:rowOff>38299</xdr:rowOff>
                  </from>
                  <to>
                    <xdr:col>8</xdr:col>
                    <xdr:colOff>19150</xdr:colOff>
                    <xdr:row>15</xdr:row>
                    <xdr:rowOff>210647</xdr:rowOff>
                  </to>
                </anchor>
              </controlPr>
            </control>
          </mc:Choice>
        </mc:AlternateContent>
        <mc:AlternateContent xmlns:mc="http://schemas.openxmlformats.org/markup-compatibility/2006">
          <mc:Choice Requires="x14">
            <control shapeId="5322" r:id="rId48" name="Spinner 202">
              <controlPr defaultSize="0" autoPict="0">
                <anchor moveWithCells="1" sizeWithCells="1">
                  <from>
                    <xdr:col>7</xdr:col>
                    <xdr:colOff>512255</xdr:colOff>
                    <xdr:row>16</xdr:row>
                    <xdr:rowOff>38299</xdr:rowOff>
                  </from>
                  <to>
                    <xdr:col>8</xdr:col>
                    <xdr:colOff>19150</xdr:colOff>
                    <xdr:row>16</xdr:row>
                    <xdr:rowOff>210647</xdr:rowOff>
                  </to>
                </anchor>
              </controlPr>
            </control>
          </mc:Choice>
        </mc:AlternateContent>
        <mc:AlternateContent xmlns:mc="http://schemas.openxmlformats.org/markup-compatibility/2006">
          <mc:Choice Requires="x14">
            <control shapeId="5323" r:id="rId49" name="Spinner 203">
              <controlPr defaultSize="0" autoPict="0">
                <anchor moveWithCells="1" sizeWithCells="1">
                  <from>
                    <xdr:col>7</xdr:col>
                    <xdr:colOff>512255</xdr:colOff>
                    <xdr:row>17</xdr:row>
                    <xdr:rowOff>38299</xdr:rowOff>
                  </from>
                  <to>
                    <xdr:col>8</xdr:col>
                    <xdr:colOff>19150</xdr:colOff>
                    <xdr:row>17</xdr:row>
                    <xdr:rowOff>210647</xdr:rowOff>
                  </to>
                </anchor>
              </controlPr>
            </control>
          </mc:Choice>
        </mc:AlternateContent>
        <mc:AlternateContent xmlns:mc="http://schemas.openxmlformats.org/markup-compatibility/2006">
          <mc:Choice Requires="x14">
            <control shapeId="5325" r:id="rId50" name="Spinner 205">
              <controlPr defaultSize="0" autoPict="0">
                <anchor moveWithCells="1" sizeWithCells="1">
                  <from>
                    <xdr:col>7</xdr:col>
                    <xdr:colOff>512255</xdr:colOff>
                    <xdr:row>18</xdr:row>
                    <xdr:rowOff>38299</xdr:rowOff>
                  </from>
                  <to>
                    <xdr:col>8</xdr:col>
                    <xdr:colOff>19150</xdr:colOff>
                    <xdr:row>18</xdr:row>
                    <xdr:rowOff>210647</xdr:rowOff>
                  </to>
                </anchor>
              </controlPr>
            </control>
          </mc:Choice>
        </mc:AlternateContent>
        <mc:AlternateContent xmlns:mc="http://schemas.openxmlformats.org/markup-compatibility/2006">
          <mc:Choice Requires="x14">
            <control shapeId="5326" r:id="rId51" name="Spinner 206">
              <controlPr defaultSize="0" autoPict="0">
                <anchor moveWithCells="1" sizeWithCells="1">
                  <from>
                    <xdr:col>7</xdr:col>
                    <xdr:colOff>512255</xdr:colOff>
                    <xdr:row>19</xdr:row>
                    <xdr:rowOff>38299</xdr:rowOff>
                  </from>
                  <to>
                    <xdr:col>8</xdr:col>
                    <xdr:colOff>19150</xdr:colOff>
                    <xdr:row>19</xdr:row>
                    <xdr:rowOff>210647</xdr:rowOff>
                  </to>
                </anchor>
              </controlPr>
            </control>
          </mc:Choice>
        </mc:AlternateContent>
        <mc:AlternateContent xmlns:mc="http://schemas.openxmlformats.org/markup-compatibility/2006">
          <mc:Choice Requires="x14">
            <control shapeId="5329" r:id="rId52" name="Spinner 209">
              <controlPr defaultSize="0" autoPict="0">
                <anchor moveWithCells="1" sizeWithCells="1">
                  <from>
                    <xdr:col>7</xdr:col>
                    <xdr:colOff>512255</xdr:colOff>
                    <xdr:row>20</xdr:row>
                    <xdr:rowOff>38299</xdr:rowOff>
                  </from>
                  <to>
                    <xdr:col>8</xdr:col>
                    <xdr:colOff>19150</xdr:colOff>
                    <xdr:row>20</xdr:row>
                    <xdr:rowOff>210647</xdr:rowOff>
                  </to>
                </anchor>
              </controlPr>
            </control>
          </mc:Choice>
        </mc:AlternateContent>
        <mc:AlternateContent xmlns:mc="http://schemas.openxmlformats.org/markup-compatibility/2006">
          <mc:Choice Requires="x14">
            <control shapeId="5330" r:id="rId53" name="Spinner 210">
              <controlPr defaultSize="0" autoPict="0">
                <anchor moveWithCells="1" sizeWithCells="1">
                  <from>
                    <xdr:col>7</xdr:col>
                    <xdr:colOff>512255</xdr:colOff>
                    <xdr:row>21</xdr:row>
                    <xdr:rowOff>38299</xdr:rowOff>
                  </from>
                  <to>
                    <xdr:col>8</xdr:col>
                    <xdr:colOff>19150</xdr:colOff>
                    <xdr:row>21</xdr:row>
                    <xdr:rowOff>210647</xdr:rowOff>
                  </to>
                </anchor>
              </controlPr>
            </control>
          </mc:Choice>
        </mc:AlternateContent>
        <mc:AlternateContent xmlns:mc="http://schemas.openxmlformats.org/markup-compatibility/2006">
          <mc:Choice Requires="x14">
            <control shapeId="5331" r:id="rId54" name="Spinner 211">
              <controlPr defaultSize="0" autoPict="0">
                <anchor moveWithCells="1" sizeWithCells="1">
                  <from>
                    <xdr:col>3</xdr:col>
                    <xdr:colOff>627154</xdr:colOff>
                    <xdr:row>5</xdr:row>
                    <xdr:rowOff>38299</xdr:rowOff>
                  </from>
                  <to>
                    <xdr:col>3</xdr:col>
                    <xdr:colOff>742052</xdr:colOff>
                    <xdr:row>5</xdr:row>
                    <xdr:rowOff>210647</xdr:rowOff>
                  </to>
                </anchor>
              </controlPr>
            </control>
          </mc:Choice>
        </mc:AlternateContent>
        <mc:AlternateContent xmlns:mc="http://schemas.openxmlformats.org/markup-compatibility/2006">
          <mc:Choice Requires="x14">
            <control shapeId="5332" r:id="rId55" name="Spinner 212">
              <controlPr defaultSize="0" autoPict="0">
                <anchor moveWithCells="1" sizeWithCells="1">
                  <from>
                    <xdr:col>4</xdr:col>
                    <xdr:colOff>809076</xdr:colOff>
                    <xdr:row>5</xdr:row>
                    <xdr:rowOff>38299</xdr:rowOff>
                  </from>
                  <to>
                    <xdr:col>4</xdr:col>
                    <xdr:colOff>923975</xdr:colOff>
                    <xdr:row>5</xdr:row>
                    <xdr:rowOff>210647</xdr:rowOff>
                  </to>
                </anchor>
              </controlPr>
            </control>
          </mc:Choice>
        </mc:AlternateContent>
        <mc:AlternateContent xmlns:mc="http://schemas.openxmlformats.org/markup-compatibility/2006">
          <mc:Choice Requires="x14">
            <control shapeId="5333" r:id="rId56" name="Spinner 213">
              <controlPr defaultSize="0" autoPict="0">
                <anchor moveWithCells="1" sizeWithCells="1">
                  <from>
                    <xdr:col>3</xdr:col>
                    <xdr:colOff>627154</xdr:colOff>
                    <xdr:row>6</xdr:row>
                    <xdr:rowOff>38299</xdr:rowOff>
                  </from>
                  <to>
                    <xdr:col>3</xdr:col>
                    <xdr:colOff>742052</xdr:colOff>
                    <xdr:row>6</xdr:row>
                    <xdr:rowOff>210647</xdr:rowOff>
                  </to>
                </anchor>
              </controlPr>
            </control>
          </mc:Choice>
        </mc:AlternateContent>
        <mc:AlternateContent xmlns:mc="http://schemas.openxmlformats.org/markup-compatibility/2006">
          <mc:Choice Requires="x14">
            <control shapeId="5334" r:id="rId57" name="Spinner 214">
              <controlPr defaultSize="0" autoPict="0">
                <anchor moveWithCells="1" sizeWithCells="1">
                  <from>
                    <xdr:col>4</xdr:col>
                    <xdr:colOff>809076</xdr:colOff>
                    <xdr:row>6</xdr:row>
                    <xdr:rowOff>38299</xdr:rowOff>
                  </from>
                  <to>
                    <xdr:col>4</xdr:col>
                    <xdr:colOff>923975</xdr:colOff>
                    <xdr:row>6</xdr:row>
                    <xdr:rowOff>210647</xdr:rowOff>
                  </to>
                </anchor>
              </controlPr>
            </control>
          </mc:Choice>
        </mc:AlternateContent>
        <mc:AlternateContent xmlns:mc="http://schemas.openxmlformats.org/markup-compatibility/2006">
          <mc:Choice Requires="x14">
            <control shapeId="5335" r:id="rId58" name="Spinner 215">
              <controlPr defaultSize="0" autoPict="0">
                <anchor moveWithCells="1" sizeWithCells="1">
                  <from>
                    <xdr:col>3</xdr:col>
                    <xdr:colOff>627154</xdr:colOff>
                    <xdr:row>7</xdr:row>
                    <xdr:rowOff>38299</xdr:rowOff>
                  </from>
                  <to>
                    <xdr:col>3</xdr:col>
                    <xdr:colOff>742052</xdr:colOff>
                    <xdr:row>7</xdr:row>
                    <xdr:rowOff>210647</xdr:rowOff>
                  </to>
                </anchor>
              </controlPr>
            </control>
          </mc:Choice>
        </mc:AlternateContent>
        <mc:AlternateContent xmlns:mc="http://schemas.openxmlformats.org/markup-compatibility/2006">
          <mc:Choice Requires="x14">
            <control shapeId="5336" r:id="rId59" name="Spinner 216">
              <controlPr defaultSize="0" autoPict="0">
                <anchor moveWithCells="1" sizeWithCells="1">
                  <from>
                    <xdr:col>4</xdr:col>
                    <xdr:colOff>809076</xdr:colOff>
                    <xdr:row>7</xdr:row>
                    <xdr:rowOff>38299</xdr:rowOff>
                  </from>
                  <to>
                    <xdr:col>4</xdr:col>
                    <xdr:colOff>923975</xdr:colOff>
                    <xdr:row>7</xdr:row>
                    <xdr:rowOff>210647</xdr:rowOff>
                  </to>
                </anchor>
              </controlPr>
            </control>
          </mc:Choice>
        </mc:AlternateContent>
        <mc:AlternateContent xmlns:mc="http://schemas.openxmlformats.org/markup-compatibility/2006">
          <mc:Choice Requires="x14">
            <control shapeId="5338" r:id="rId60" name="Spinner 218">
              <controlPr defaultSize="0" autoPict="0">
                <anchor moveWithCells="1" sizeWithCells="1">
                  <from>
                    <xdr:col>4</xdr:col>
                    <xdr:colOff>809076</xdr:colOff>
                    <xdr:row>9</xdr:row>
                    <xdr:rowOff>38299</xdr:rowOff>
                  </from>
                  <to>
                    <xdr:col>4</xdr:col>
                    <xdr:colOff>923975</xdr:colOff>
                    <xdr:row>9</xdr:row>
                    <xdr:rowOff>210647</xdr:rowOff>
                  </to>
                </anchor>
              </controlPr>
            </control>
          </mc:Choice>
        </mc:AlternateContent>
        <mc:AlternateContent xmlns:mc="http://schemas.openxmlformats.org/markup-compatibility/2006">
          <mc:Choice Requires="x14">
            <control shapeId="5339" r:id="rId61" name="Spinner 219">
              <controlPr defaultSize="0" autoPict="0">
                <anchor moveWithCells="1" sizeWithCells="1">
                  <from>
                    <xdr:col>3</xdr:col>
                    <xdr:colOff>627154</xdr:colOff>
                    <xdr:row>10</xdr:row>
                    <xdr:rowOff>38299</xdr:rowOff>
                  </from>
                  <to>
                    <xdr:col>3</xdr:col>
                    <xdr:colOff>742052</xdr:colOff>
                    <xdr:row>10</xdr:row>
                    <xdr:rowOff>210647</xdr:rowOff>
                  </to>
                </anchor>
              </controlPr>
            </control>
          </mc:Choice>
        </mc:AlternateContent>
        <mc:AlternateContent xmlns:mc="http://schemas.openxmlformats.org/markup-compatibility/2006">
          <mc:Choice Requires="x14">
            <control shapeId="5340" r:id="rId62" name="Spinner 220">
              <controlPr defaultSize="0" autoPict="0">
                <anchor moveWithCells="1" sizeWithCells="1">
                  <from>
                    <xdr:col>4</xdr:col>
                    <xdr:colOff>809076</xdr:colOff>
                    <xdr:row>10</xdr:row>
                    <xdr:rowOff>38299</xdr:rowOff>
                  </from>
                  <to>
                    <xdr:col>4</xdr:col>
                    <xdr:colOff>923975</xdr:colOff>
                    <xdr:row>10</xdr:row>
                    <xdr:rowOff>210647</xdr:rowOff>
                  </to>
                </anchor>
              </controlPr>
            </control>
          </mc:Choice>
        </mc:AlternateContent>
        <mc:AlternateContent xmlns:mc="http://schemas.openxmlformats.org/markup-compatibility/2006">
          <mc:Choice Requires="x14">
            <control shapeId="5341" r:id="rId63" name="Spinner 221">
              <controlPr defaultSize="0" autoPict="0">
                <anchor moveWithCells="1" sizeWithCells="1">
                  <from>
                    <xdr:col>3</xdr:col>
                    <xdr:colOff>627154</xdr:colOff>
                    <xdr:row>11</xdr:row>
                    <xdr:rowOff>38299</xdr:rowOff>
                  </from>
                  <to>
                    <xdr:col>3</xdr:col>
                    <xdr:colOff>742052</xdr:colOff>
                    <xdr:row>11</xdr:row>
                    <xdr:rowOff>210647</xdr:rowOff>
                  </to>
                </anchor>
              </controlPr>
            </control>
          </mc:Choice>
        </mc:AlternateContent>
        <mc:AlternateContent xmlns:mc="http://schemas.openxmlformats.org/markup-compatibility/2006">
          <mc:Choice Requires="x14">
            <control shapeId="5342" r:id="rId64" name="Spinner 222">
              <controlPr defaultSize="0" autoPict="0">
                <anchor moveWithCells="1" sizeWithCells="1">
                  <from>
                    <xdr:col>4</xdr:col>
                    <xdr:colOff>809076</xdr:colOff>
                    <xdr:row>11</xdr:row>
                    <xdr:rowOff>38299</xdr:rowOff>
                  </from>
                  <to>
                    <xdr:col>4</xdr:col>
                    <xdr:colOff>923975</xdr:colOff>
                    <xdr:row>11</xdr:row>
                    <xdr:rowOff>210647</xdr:rowOff>
                  </to>
                </anchor>
              </controlPr>
            </control>
          </mc:Choice>
        </mc:AlternateContent>
        <mc:AlternateContent xmlns:mc="http://schemas.openxmlformats.org/markup-compatibility/2006">
          <mc:Choice Requires="x14">
            <control shapeId="5343" r:id="rId65" name="Spinner 223">
              <controlPr defaultSize="0" autoPict="0">
                <anchor moveWithCells="1" sizeWithCells="1">
                  <from>
                    <xdr:col>3</xdr:col>
                    <xdr:colOff>627154</xdr:colOff>
                    <xdr:row>12</xdr:row>
                    <xdr:rowOff>38299</xdr:rowOff>
                  </from>
                  <to>
                    <xdr:col>3</xdr:col>
                    <xdr:colOff>742052</xdr:colOff>
                    <xdr:row>12</xdr:row>
                    <xdr:rowOff>210647</xdr:rowOff>
                  </to>
                </anchor>
              </controlPr>
            </control>
          </mc:Choice>
        </mc:AlternateContent>
        <mc:AlternateContent xmlns:mc="http://schemas.openxmlformats.org/markup-compatibility/2006">
          <mc:Choice Requires="x14">
            <control shapeId="5344" r:id="rId66" name="Spinner 224">
              <controlPr defaultSize="0" autoPict="0">
                <anchor moveWithCells="1" sizeWithCells="1">
                  <from>
                    <xdr:col>4</xdr:col>
                    <xdr:colOff>809076</xdr:colOff>
                    <xdr:row>12</xdr:row>
                    <xdr:rowOff>38299</xdr:rowOff>
                  </from>
                  <to>
                    <xdr:col>4</xdr:col>
                    <xdr:colOff>923975</xdr:colOff>
                    <xdr:row>12</xdr:row>
                    <xdr:rowOff>210647</xdr:rowOff>
                  </to>
                </anchor>
              </controlPr>
            </control>
          </mc:Choice>
        </mc:AlternateContent>
        <mc:AlternateContent xmlns:mc="http://schemas.openxmlformats.org/markup-compatibility/2006">
          <mc:Choice Requires="x14">
            <control shapeId="5345" r:id="rId67" name="Spinner 225">
              <controlPr defaultSize="0" autoPict="0">
                <anchor moveWithCells="1" sizeWithCells="1">
                  <from>
                    <xdr:col>3</xdr:col>
                    <xdr:colOff>627154</xdr:colOff>
                    <xdr:row>13</xdr:row>
                    <xdr:rowOff>38299</xdr:rowOff>
                  </from>
                  <to>
                    <xdr:col>3</xdr:col>
                    <xdr:colOff>742052</xdr:colOff>
                    <xdr:row>13</xdr:row>
                    <xdr:rowOff>210647</xdr:rowOff>
                  </to>
                </anchor>
              </controlPr>
            </control>
          </mc:Choice>
        </mc:AlternateContent>
        <mc:AlternateContent xmlns:mc="http://schemas.openxmlformats.org/markup-compatibility/2006">
          <mc:Choice Requires="x14">
            <control shapeId="5346" r:id="rId68" name="Spinner 226">
              <controlPr defaultSize="0" autoPict="0">
                <anchor moveWithCells="1" sizeWithCells="1">
                  <from>
                    <xdr:col>4</xdr:col>
                    <xdr:colOff>809076</xdr:colOff>
                    <xdr:row>13</xdr:row>
                    <xdr:rowOff>38299</xdr:rowOff>
                  </from>
                  <to>
                    <xdr:col>4</xdr:col>
                    <xdr:colOff>923975</xdr:colOff>
                    <xdr:row>13</xdr:row>
                    <xdr:rowOff>210647</xdr:rowOff>
                  </to>
                </anchor>
              </controlPr>
            </control>
          </mc:Choice>
        </mc:AlternateContent>
        <mc:AlternateContent xmlns:mc="http://schemas.openxmlformats.org/markup-compatibility/2006">
          <mc:Choice Requires="x14">
            <control shapeId="5347" r:id="rId69" name="Spinner 227">
              <controlPr defaultSize="0" autoPict="0">
                <anchor moveWithCells="1" sizeWithCells="1">
                  <from>
                    <xdr:col>3</xdr:col>
                    <xdr:colOff>627154</xdr:colOff>
                    <xdr:row>14</xdr:row>
                    <xdr:rowOff>38299</xdr:rowOff>
                  </from>
                  <to>
                    <xdr:col>3</xdr:col>
                    <xdr:colOff>742052</xdr:colOff>
                    <xdr:row>14</xdr:row>
                    <xdr:rowOff>210647</xdr:rowOff>
                  </to>
                </anchor>
              </controlPr>
            </control>
          </mc:Choice>
        </mc:AlternateContent>
        <mc:AlternateContent xmlns:mc="http://schemas.openxmlformats.org/markup-compatibility/2006">
          <mc:Choice Requires="x14">
            <control shapeId="5348" r:id="rId70" name="Spinner 228">
              <controlPr defaultSize="0" autoPict="0">
                <anchor moveWithCells="1" sizeWithCells="1">
                  <from>
                    <xdr:col>4</xdr:col>
                    <xdr:colOff>809076</xdr:colOff>
                    <xdr:row>14</xdr:row>
                    <xdr:rowOff>38299</xdr:rowOff>
                  </from>
                  <to>
                    <xdr:col>4</xdr:col>
                    <xdr:colOff>923975</xdr:colOff>
                    <xdr:row>14</xdr:row>
                    <xdr:rowOff>210647</xdr:rowOff>
                  </to>
                </anchor>
              </controlPr>
            </control>
          </mc:Choice>
        </mc:AlternateContent>
        <mc:AlternateContent xmlns:mc="http://schemas.openxmlformats.org/markup-compatibility/2006">
          <mc:Choice Requires="x14">
            <control shapeId="5349" r:id="rId71" name="Spinner 229">
              <controlPr defaultSize="0" autoPict="0">
                <anchor moveWithCells="1" sizeWithCells="1">
                  <from>
                    <xdr:col>3</xdr:col>
                    <xdr:colOff>627154</xdr:colOff>
                    <xdr:row>15</xdr:row>
                    <xdr:rowOff>38299</xdr:rowOff>
                  </from>
                  <to>
                    <xdr:col>3</xdr:col>
                    <xdr:colOff>742052</xdr:colOff>
                    <xdr:row>15</xdr:row>
                    <xdr:rowOff>210647</xdr:rowOff>
                  </to>
                </anchor>
              </controlPr>
            </control>
          </mc:Choice>
        </mc:AlternateContent>
        <mc:AlternateContent xmlns:mc="http://schemas.openxmlformats.org/markup-compatibility/2006">
          <mc:Choice Requires="x14">
            <control shapeId="5350" r:id="rId72" name="Spinner 230">
              <controlPr defaultSize="0" autoPict="0">
                <anchor moveWithCells="1" sizeWithCells="1">
                  <from>
                    <xdr:col>4</xdr:col>
                    <xdr:colOff>809076</xdr:colOff>
                    <xdr:row>15</xdr:row>
                    <xdr:rowOff>38299</xdr:rowOff>
                  </from>
                  <to>
                    <xdr:col>4</xdr:col>
                    <xdr:colOff>923975</xdr:colOff>
                    <xdr:row>15</xdr:row>
                    <xdr:rowOff>210647</xdr:rowOff>
                  </to>
                </anchor>
              </controlPr>
            </control>
          </mc:Choice>
        </mc:AlternateContent>
        <mc:AlternateContent xmlns:mc="http://schemas.openxmlformats.org/markup-compatibility/2006">
          <mc:Choice Requires="x14">
            <control shapeId="5351" r:id="rId73" name="Spinner 231">
              <controlPr defaultSize="0" autoPict="0">
                <anchor moveWithCells="1" sizeWithCells="1">
                  <from>
                    <xdr:col>3</xdr:col>
                    <xdr:colOff>627154</xdr:colOff>
                    <xdr:row>16</xdr:row>
                    <xdr:rowOff>38299</xdr:rowOff>
                  </from>
                  <to>
                    <xdr:col>3</xdr:col>
                    <xdr:colOff>742052</xdr:colOff>
                    <xdr:row>16</xdr:row>
                    <xdr:rowOff>210647</xdr:rowOff>
                  </to>
                </anchor>
              </controlPr>
            </control>
          </mc:Choice>
        </mc:AlternateContent>
        <mc:AlternateContent xmlns:mc="http://schemas.openxmlformats.org/markup-compatibility/2006">
          <mc:Choice Requires="x14">
            <control shapeId="5352" r:id="rId74" name="Spinner 232">
              <controlPr defaultSize="0" autoPict="0">
                <anchor moveWithCells="1" sizeWithCells="1">
                  <from>
                    <xdr:col>4</xdr:col>
                    <xdr:colOff>809076</xdr:colOff>
                    <xdr:row>16</xdr:row>
                    <xdr:rowOff>38299</xdr:rowOff>
                  </from>
                  <to>
                    <xdr:col>4</xdr:col>
                    <xdr:colOff>923975</xdr:colOff>
                    <xdr:row>16</xdr:row>
                    <xdr:rowOff>210647</xdr:rowOff>
                  </to>
                </anchor>
              </controlPr>
            </control>
          </mc:Choice>
        </mc:AlternateContent>
        <mc:AlternateContent xmlns:mc="http://schemas.openxmlformats.org/markup-compatibility/2006">
          <mc:Choice Requires="x14">
            <control shapeId="5353" r:id="rId75" name="Spinner 233">
              <controlPr defaultSize="0" autoPict="0">
                <anchor moveWithCells="1" sizeWithCells="1">
                  <from>
                    <xdr:col>3</xdr:col>
                    <xdr:colOff>627154</xdr:colOff>
                    <xdr:row>17</xdr:row>
                    <xdr:rowOff>38299</xdr:rowOff>
                  </from>
                  <to>
                    <xdr:col>3</xdr:col>
                    <xdr:colOff>742052</xdr:colOff>
                    <xdr:row>17</xdr:row>
                    <xdr:rowOff>210647</xdr:rowOff>
                  </to>
                </anchor>
              </controlPr>
            </control>
          </mc:Choice>
        </mc:AlternateContent>
        <mc:AlternateContent xmlns:mc="http://schemas.openxmlformats.org/markup-compatibility/2006">
          <mc:Choice Requires="x14">
            <control shapeId="5354" r:id="rId76" name="Spinner 234">
              <controlPr defaultSize="0" autoPict="0">
                <anchor moveWithCells="1" sizeWithCells="1">
                  <from>
                    <xdr:col>4</xdr:col>
                    <xdr:colOff>809076</xdr:colOff>
                    <xdr:row>17</xdr:row>
                    <xdr:rowOff>38299</xdr:rowOff>
                  </from>
                  <to>
                    <xdr:col>4</xdr:col>
                    <xdr:colOff>923975</xdr:colOff>
                    <xdr:row>17</xdr:row>
                    <xdr:rowOff>210647</xdr:rowOff>
                  </to>
                </anchor>
              </controlPr>
            </control>
          </mc:Choice>
        </mc:AlternateContent>
        <mc:AlternateContent xmlns:mc="http://schemas.openxmlformats.org/markup-compatibility/2006">
          <mc:Choice Requires="x14">
            <control shapeId="5355" r:id="rId77" name="Spinner 235">
              <controlPr defaultSize="0" autoPict="0">
                <anchor moveWithCells="1" sizeWithCells="1">
                  <from>
                    <xdr:col>3</xdr:col>
                    <xdr:colOff>627154</xdr:colOff>
                    <xdr:row>18</xdr:row>
                    <xdr:rowOff>38299</xdr:rowOff>
                  </from>
                  <to>
                    <xdr:col>3</xdr:col>
                    <xdr:colOff>742052</xdr:colOff>
                    <xdr:row>18</xdr:row>
                    <xdr:rowOff>210647</xdr:rowOff>
                  </to>
                </anchor>
              </controlPr>
            </control>
          </mc:Choice>
        </mc:AlternateContent>
        <mc:AlternateContent xmlns:mc="http://schemas.openxmlformats.org/markup-compatibility/2006">
          <mc:Choice Requires="x14">
            <control shapeId="5356" r:id="rId78" name="Spinner 236">
              <controlPr defaultSize="0" autoPict="0">
                <anchor moveWithCells="1" sizeWithCells="1">
                  <from>
                    <xdr:col>4</xdr:col>
                    <xdr:colOff>809076</xdr:colOff>
                    <xdr:row>18</xdr:row>
                    <xdr:rowOff>38299</xdr:rowOff>
                  </from>
                  <to>
                    <xdr:col>4</xdr:col>
                    <xdr:colOff>923975</xdr:colOff>
                    <xdr:row>18</xdr:row>
                    <xdr:rowOff>210647</xdr:rowOff>
                  </to>
                </anchor>
              </controlPr>
            </control>
          </mc:Choice>
        </mc:AlternateContent>
        <mc:AlternateContent xmlns:mc="http://schemas.openxmlformats.org/markup-compatibility/2006">
          <mc:Choice Requires="x14">
            <control shapeId="5357" r:id="rId79" name="Spinner 237">
              <controlPr defaultSize="0" autoPict="0">
                <anchor moveWithCells="1" sizeWithCells="1">
                  <from>
                    <xdr:col>3</xdr:col>
                    <xdr:colOff>627154</xdr:colOff>
                    <xdr:row>19</xdr:row>
                    <xdr:rowOff>38299</xdr:rowOff>
                  </from>
                  <to>
                    <xdr:col>3</xdr:col>
                    <xdr:colOff>742052</xdr:colOff>
                    <xdr:row>19</xdr:row>
                    <xdr:rowOff>210647</xdr:rowOff>
                  </to>
                </anchor>
              </controlPr>
            </control>
          </mc:Choice>
        </mc:AlternateContent>
        <mc:AlternateContent xmlns:mc="http://schemas.openxmlformats.org/markup-compatibility/2006">
          <mc:Choice Requires="x14">
            <control shapeId="5358" r:id="rId80" name="Spinner 238">
              <controlPr defaultSize="0" autoPict="0">
                <anchor moveWithCells="1" sizeWithCells="1">
                  <from>
                    <xdr:col>4</xdr:col>
                    <xdr:colOff>809076</xdr:colOff>
                    <xdr:row>19</xdr:row>
                    <xdr:rowOff>38299</xdr:rowOff>
                  </from>
                  <to>
                    <xdr:col>4</xdr:col>
                    <xdr:colOff>923975</xdr:colOff>
                    <xdr:row>19</xdr:row>
                    <xdr:rowOff>210647</xdr:rowOff>
                  </to>
                </anchor>
              </controlPr>
            </control>
          </mc:Choice>
        </mc:AlternateContent>
        <mc:AlternateContent xmlns:mc="http://schemas.openxmlformats.org/markup-compatibility/2006">
          <mc:Choice Requires="x14">
            <control shapeId="5359" r:id="rId81" name="Spinner 239">
              <controlPr defaultSize="0" autoPict="0">
                <anchor moveWithCells="1" sizeWithCells="1">
                  <from>
                    <xdr:col>3</xdr:col>
                    <xdr:colOff>627154</xdr:colOff>
                    <xdr:row>20</xdr:row>
                    <xdr:rowOff>38299</xdr:rowOff>
                  </from>
                  <to>
                    <xdr:col>3</xdr:col>
                    <xdr:colOff>742052</xdr:colOff>
                    <xdr:row>20</xdr:row>
                    <xdr:rowOff>210647</xdr:rowOff>
                  </to>
                </anchor>
              </controlPr>
            </control>
          </mc:Choice>
        </mc:AlternateContent>
        <mc:AlternateContent xmlns:mc="http://schemas.openxmlformats.org/markup-compatibility/2006">
          <mc:Choice Requires="x14">
            <control shapeId="5360" r:id="rId82" name="Spinner 240">
              <controlPr defaultSize="0" autoPict="0">
                <anchor moveWithCells="1" sizeWithCells="1">
                  <from>
                    <xdr:col>4</xdr:col>
                    <xdr:colOff>809076</xdr:colOff>
                    <xdr:row>20</xdr:row>
                    <xdr:rowOff>38299</xdr:rowOff>
                  </from>
                  <to>
                    <xdr:col>4</xdr:col>
                    <xdr:colOff>923975</xdr:colOff>
                    <xdr:row>20</xdr:row>
                    <xdr:rowOff>210647</xdr:rowOff>
                  </to>
                </anchor>
              </controlPr>
            </control>
          </mc:Choice>
        </mc:AlternateContent>
        <mc:AlternateContent xmlns:mc="http://schemas.openxmlformats.org/markup-compatibility/2006">
          <mc:Choice Requires="x14">
            <control shapeId="5361" r:id="rId83" name="Spinner 241">
              <controlPr defaultSize="0" autoPict="0">
                <anchor moveWithCells="1" sizeWithCells="1">
                  <from>
                    <xdr:col>3</xdr:col>
                    <xdr:colOff>627154</xdr:colOff>
                    <xdr:row>21</xdr:row>
                    <xdr:rowOff>38299</xdr:rowOff>
                  </from>
                  <to>
                    <xdr:col>3</xdr:col>
                    <xdr:colOff>742052</xdr:colOff>
                    <xdr:row>21</xdr:row>
                    <xdr:rowOff>210647</xdr:rowOff>
                  </to>
                </anchor>
              </controlPr>
            </control>
          </mc:Choice>
        </mc:AlternateContent>
        <mc:AlternateContent xmlns:mc="http://schemas.openxmlformats.org/markup-compatibility/2006">
          <mc:Choice Requires="x14">
            <control shapeId="5362" r:id="rId84" name="Spinner 242">
              <controlPr defaultSize="0" autoPict="0">
                <anchor moveWithCells="1" sizeWithCells="1">
                  <from>
                    <xdr:col>4</xdr:col>
                    <xdr:colOff>809076</xdr:colOff>
                    <xdr:row>21</xdr:row>
                    <xdr:rowOff>38299</xdr:rowOff>
                  </from>
                  <to>
                    <xdr:col>4</xdr:col>
                    <xdr:colOff>923975</xdr:colOff>
                    <xdr:row>21</xdr:row>
                    <xdr:rowOff>210647</xdr:rowOff>
                  </to>
                </anchor>
              </controlPr>
            </control>
          </mc:Choice>
        </mc:AlternateContent>
        <mc:AlternateContent xmlns:mc="http://schemas.openxmlformats.org/markup-compatibility/2006">
          <mc:Choice Requires="x14">
            <control shapeId="5363" r:id="rId85" name="Spinner 243">
              <controlPr defaultSize="0" autoPict="0">
                <anchor moveWithCells="1" sizeWithCells="1">
                  <from>
                    <xdr:col>3</xdr:col>
                    <xdr:colOff>627154</xdr:colOff>
                    <xdr:row>3</xdr:row>
                    <xdr:rowOff>38299</xdr:rowOff>
                  </from>
                  <to>
                    <xdr:col>3</xdr:col>
                    <xdr:colOff>742052</xdr:colOff>
                    <xdr:row>3</xdr:row>
                    <xdr:rowOff>210647</xdr:rowOff>
                  </to>
                </anchor>
              </controlPr>
            </control>
          </mc:Choice>
        </mc:AlternateContent>
        <mc:AlternateContent xmlns:mc="http://schemas.openxmlformats.org/markup-compatibility/2006">
          <mc:Choice Requires="x14">
            <control shapeId="5364" r:id="rId86" name="Spinner 244">
              <controlPr defaultSize="0" autoPict="0">
                <anchor moveWithCells="1" sizeWithCells="1">
                  <from>
                    <xdr:col>4</xdr:col>
                    <xdr:colOff>809076</xdr:colOff>
                    <xdr:row>3</xdr:row>
                    <xdr:rowOff>38299</xdr:rowOff>
                  </from>
                  <to>
                    <xdr:col>4</xdr:col>
                    <xdr:colOff>923975</xdr:colOff>
                    <xdr:row>3</xdr:row>
                    <xdr:rowOff>210647</xdr:rowOff>
                  </to>
                </anchor>
              </controlPr>
            </control>
          </mc:Choice>
        </mc:AlternateContent>
        <mc:AlternateContent xmlns:mc="http://schemas.openxmlformats.org/markup-compatibility/2006">
          <mc:Choice Requires="x14">
            <control shapeId="5365" r:id="rId87" name="Spinner 245">
              <controlPr defaultSize="0" autoPict="0">
                <anchor moveWithCells="1" sizeWithCells="1">
                  <from>
                    <xdr:col>5</xdr:col>
                    <xdr:colOff>1086748</xdr:colOff>
                    <xdr:row>3</xdr:row>
                    <xdr:rowOff>38299</xdr:rowOff>
                  </from>
                  <to>
                    <xdr:col>5</xdr:col>
                    <xdr:colOff>1201646</xdr:colOff>
                    <xdr:row>3</xdr:row>
                    <xdr:rowOff>210647</xdr:rowOff>
                  </to>
                </anchor>
              </controlPr>
            </control>
          </mc:Choice>
        </mc:AlternateContent>
        <mc:AlternateContent xmlns:mc="http://schemas.openxmlformats.org/markup-compatibility/2006">
          <mc:Choice Requires="x14">
            <control shapeId="5366" r:id="rId88" name="Spinner 246">
              <controlPr defaultSize="0" autoPict="0">
                <anchor moveWithCells="1" sizeWithCells="1">
                  <from>
                    <xdr:col>7</xdr:col>
                    <xdr:colOff>512255</xdr:colOff>
                    <xdr:row>3</xdr:row>
                    <xdr:rowOff>38299</xdr:rowOff>
                  </from>
                  <to>
                    <xdr:col>8</xdr:col>
                    <xdr:colOff>19150</xdr:colOff>
                    <xdr:row>3</xdr:row>
                    <xdr:rowOff>210647</xdr:rowOff>
                  </to>
                </anchor>
              </controlPr>
            </control>
          </mc:Choice>
        </mc:AlternateContent>
        <mc:AlternateContent xmlns:mc="http://schemas.openxmlformats.org/markup-compatibility/2006">
          <mc:Choice Requires="x14">
            <control shapeId="5367" r:id="rId89" name="Spinner 247">
              <controlPr defaultSize="0" autoPict="0">
                <anchor moveWithCells="1" sizeWithCells="1">
                  <from>
                    <xdr:col>5</xdr:col>
                    <xdr:colOff>1086748</xdr:colOff>
                    <xdr:row>8</xdr:row>
                    <xdr:rowOff>38299</xdr:rowOff>
                  </from>
                  <to>
                    <xdr:col>5</xdr:col>
                    <xdr:colOff>1201646</xdr:colOff>
                    <xdr:row>8</xdr:row>
                    <xdr:rowOff>210647</xdr:rowOff>
                  </to>
                </anchor>
              </controlPr>
            </control>
          </mc:Choice>
        </mc:AlternateContent>
        <mc:AlternateContent xmlns:mc="http://schemas.openxmlformats.org/markup-compatibility/2006">
          <mc:Choice Requires="x14">
            <control shapeId="5368" r:id="rId90" name="Spinner 248">
              <controlPr defaultSize="0" autoPict="0">
                <anchor moveWithCells="1" sizeWithCells="1">
                  <from>
                    <xdr:col>7</xdr:col>
                    <xdr:colOff>512255</xdr:colOff>
                    <xdr:row>8</xdr:row>
                    <xdr:rowOff>38299</xdr:rowOff>
                  </from>
                  <to>
                    <xdr:col>8</xdr:col>
                    <xdr:colOff>19150</xdr:colOff>
                    <xdr:row>8</xdr:row>
                    <xdr:rowOff>210647</xdr:rowOff>
                  </to>
                </anchor>
              </controlPr>
            </control>
          </mc:Choice>
        </mc:AlternateContent>
        <mc:AlternateContent xmlns:mc="http://schemas.openxmlformats.org/markup-compatibility/2006">
          <mc:Choice Requires="x14">
            <control shapeId="5369" r:id="rId91" name="Spinner 249">
              <controlPr defaultSize="0" autoPict="0">
                <anchor moveWithCells="1" sizeWithCells="1">
                  <from>
                    <xdr:col>3</xdr:col>
                    <xdr:colOff>627154</xdr:colOff>
                    <xdr:row>8</xdr:row>
                    <xdr:rowOff>38299</xdr:rowOff>
                  </from>
                  <to>
                    <xdr:col>3</xdr:col>
                    <xdr:colOff>742052</xdr:colOff>
                    <xdr:row>8</xdr:row>
                    <xdr:rowOff>210647</xdr:rowOff>
                  </to>
                </anchor>
              </controlPr>
            </control>
          </mc:Choice>
        </mc:AlternateContent>
        <mc:AlternateContent xmlns:mc="http://schemas.openxmlformats.org/markup-compatibility/2006">
          <mc:Choice Requires="x14">
            <control shapeId="5370" r:id="rId92" name="Spinner 250">
              <controlPr defaultSize="0" autoPict="0">
                <anchor moveWithCells="1" sizeWithCells="1">
                  <from>
                    <xdr:col>4</xdr:col>
                    <xdr:colOff>809076</xdr:colOff>
                    <xdr:row>8</xdr:row>
                    <xdr:rowOff>38299</xdr:rowOff>
                  </from>
                  <to>
                    <xdr:col>4</xdr:col>
                    <xdr:colOff>923975</xdr:colOff>
                    <xdr:row>8</xdr:row>
                    <xdr:rowOff>210647</xdr:rowOff>
                  </to>
                </anchor>
              </controlPr>
            </control>
          </mc:Choice>
        </mc:AlternateContent>
        <mc:AlternateContent xmlns:mc="http://schemas.openxmlformats.org/markup-compatibility/2006">
          <mc:Choice Requires="x14">
            <control shapeId="5373" r:id="rId93" name="Spinner 253">
              <controlPr defaultSize="0" autoPict="0">
                <anchor moveWithCells="1" sizeWithCells="1">
                  <from>
                    <xdr:col>3</xdr:col>
                    <xdr:colOff>627154</xdr:colOff>
                    <xdr:row>22</xdr:row>
                    <xdr:rowOff>38299</xdr:rowOff>
                  </from>
                  <to>
                    <xdr:col>3</xdr:col>
                    <xdr:colOff>742052</xdr:colOff>
                    <xdr:row>22</xdr:row>
                    <xdr:rowOff>210647</xdr:rowOff>
                  </to>
                </anchor>
              </controlPr>
            </control>
          </mc:Choice>
        </mc:AlternateContent>
        <mc:AlternateContent xmlns:mc="http://schemas.openxmlformats.org/markup-compatibility/2006">
          <mc:Choice Requires="x14">
            <control shapeId="5375" r:id="rId94" name="Spinner 255">
              <controlPr defaultSize="0" autoPict="0">
                <anchor moveWithCells="1" sizeWithCells="1">
                  <from>
                    <xdr:col>2</xdr:col>
                    <xdr:colOff>627154</xdr:colOff>
                    <xdr:row>22</xdr:row>
                    <xdr:rowOff>38299</xdr:rowOff>
                  </from>
                  <to>
                    <xdr:col>2</xdr:col>
                    <xdr:colOff>742052</xdr:colOff>
                    <xdr:row>22</xdr:row>
                    <xdr:rowOff>210647</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Disc">
    <outlinePr showOutlineSymbols="0"/>
  </sheetPr>
  <dimension ref="A1:BL128"/>
  <sheetViews>
    <sheetView showGridLines="0" showRowColHeaders="0" showZeros="0" showOutlineSymbols="0" workbookViewId="0">
      <pane ySplit="4" topLeftCell="A5" activePane="bottomLeft" state="frozenSplit"/>
      <selection sqref="A1:P3"/>
      <selection pane="bottomLeft" activeCell="A14" sqref="A14"/>
    </sheetView>
  </sheetViews>
  <sheetFormatPr defaultColWidth="9.1328125" defaultRowHeight="12.85" x14ac:dyDescent="0.35"/>
  <cols>
    <col min="1" max="1" width="1.73046875" style="2" customWidth="1"/>
    <col min="2" max="2" width="4.3984375" style="2" customWidth="1"/>
    <col min="3" max="3" width="9.3984375" style="2" customWidth="1"/>
    <col min="4" max="4" width="9.1328125" style="2"/>
    <col min="5" max="5" width="9.59765625" style="2" customWidth="1"/>
    <col min="6" max="7" width="9.1328125" style="2"/>
    <col min="8" max="8" width="10" style="2" bestFit="1" customWidth="1"/>
    <col min="9" max="9" width="9.1328125" style="2"/>
    <col min="10" max="10" width="11.3984375" style="2" customWidth="1"/>
    <col min="11" max="11" width="9.1328125" style="2"/>
    <col min="12" max="12" width="8.73046875" style="2" customWidth="1"/>
    <col min="13" max="13" width="9.73046875" style="2" customWidth="1"/>
    <col min="14" max="16384" width="9.1328125" style="2"/>
  </cols>
  <sheetData>
    <row r="1" spans="1:64" ht="6.8" customHeight="1" x14ac:dyDescent="0.35">
      <c r="A1" s="177"/>
      <c r="B1" s="177"/>
      <c r="C1" s="177"/>
      <c r="D1" s="177"/>
      <c r="E1" s="177"/>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row>
    <row r="2" spans="1:64" s="43" customFormat="1" ht="17.25" customHeight="1" x14ac:dyDescent="0.4">
      <c r="A2" s="177"/>
      <c r="B2" s="177"/>
      <c r="C2" s="178" t="s">
        <v>2977</v>
      </c>
      <c r="D2" s="177"/>
      <c r="E2" s="179" t="e">
        <f ca="1">AfspraakDatum</f>
        <v>#NAME?</v>
      </c>
      <c r="F2" s="180"/>
      <c r="G2" s="177"/>
      <c r="H2" s="178" t="s">
        <v>2978</v>
      </c>
      <c r="I2" s="177"/>
      <c r="J2" s="181">
        <f>OpnDatum</f>
        <v>41363</v>
      </c>
      <c r="K2" s="178" t="e">
        <f ca="1">"ICU-dag: "&amp;AfspraakDatum-OpnDatum+1</f>
        <v>#NAME?</v>
      </c>
      <c r="L2" s="177"/>
      <c r="M2" s="178"/>
      <c r="N2" s="178"/>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row>
    <row r="3" spans="1:64" s="43" customFormat="1" ht="17.25" customHeight="1" x14ac:dyDescent="0.4">
      <c r="A3" s="177"/>
      <c r="B3" s="177"/>
      <c r="C3" s="178" t="s">
        <v>288</v>
      </c>
      <c r="D3" s="177"/>
      <c r="E3" s="182" t="str">
        <f>AchterNaam&amp;", "&amp;VoorNaam</f>
        <v>Achternaam, Voornaam</v>
      </c>
      <c r="F3" s="182"/>
      <c r="G3" s="177"/>
      <c r="H3" s="178" t="s">
        <v>3073</v>
      </c>
      <c r="I3" s="177"/>
      <c r="J3" s="181">
        <f>GebDatum</f>
        <v>40909</v>
      </c>
      <c r="K3" s="183" t="str">
        <f>"Gewicht: "&amp;Gewicht/10&amp;" kg"</f>
        <v>Gewicht: 10 kg</v>
      </c>
      <c r="L3" s="178"/>
      <c r="M3" s="177"/>
      <c r="N3" s="183" t="str">
        <f>"Lengte: "&amp;Lengte&amp;" cm"</f>
        <v>Lengte: 80 cm</v>
      </c>
      <c r="O3" s="178"/>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row>
    <row r="4" spans="1:64" s="43" customFormat="1" ht="17.25" customHeight="1" x14ac:dyDescent="0.4">
      <c r="A4" s="177"/>
      <c r="B4" s="177"/>
      <c r="C4" s="178" t="s">
        <v>3443</v>
      </c>
      <c r="D4" s="184"/>
      <c r="E4" s="183">
        <f>PatNummer</f>
        <v>0</v>
      </c>
      <c r="F4" s="180"/>
      <c r="G4" s="184"/>
      <c r="H4" s="178" t="s">
        <v>2746</v>
      </c>
      <c r="I4" s="184"/>
      <c r="J4" s="185" t="e">
        <f ca="1">TRUNC((AfspraakDatum-GebDatum)/365,0)&amp;" jaar en "&amp;TRUNC(((AfspraakDatum-GebDatum)-365*TRUNC((AfspraakDatum-GebDatum)/365,0))/30,0)&amp;" maand(-en)"</f>
        <v>#NAME?</v>
      </c>
      <c r="K4" s="178"/>
      <c r="L4" s="184"/>
      <c r="M4" s="178" t="str">
        <f>"Lichamelijk oppervlak: "&amp;ROUND(POWER(Gewicht/10,0.425)*POWER(((Lengte/100)*100),0.725)*0.007184,2)&amp;" m2"</f>
        <v>Lichamelijk oppervlak: 0.46 m2</v>
      </c>
      <c r="N4" s="178"/>
      <c r="O4" s="184"/>
      <c r="P4" s="184"/>
      <c r="Q4" s="184"/>
      <c r="R4" s="177"/>
      <c r="S4" s="177"/>
      <c r="T4" s="177"/>
      <c r="U4" s="177"/>
      <c r="V4" s="177"/>
      <c r="W4" s="177"/>
      <c r="X4" s="177"/>
      <c r="Y4" s="177"/>
      <c r="Z4" s="177"/>
      <c r="AA4" s="177"/>
      <c r="AB4" s="177"/>
      <c r="AC4" s="177"/>
      <c r="AD4" s="177"/>
      <c r="AE4" s="177"/>
      <c r="AF4" s="177"/>
      <c r="AG4" s="177"/>
      <c r="AH4" s="177"/>
      <c r="AI4" s="177"/>
      <c r="AJ4" s="177"/>
      <c r="AK4" s="177"/>
      <c r="AL4" s="177"/>
      <c r="AM4" s="177"/>
      <c r="AN4" s="177"/>
      <c r="AO4" s="177"/>
      <c r="AP4" s="177"/>
      <c r="AQ4" s="177"/>
      <c r="AR4" s="177"/>
      <c r="AS4" s="177"/>
      <c r="AT4" s="177"/>
      <c r="AU4" s="177"/>
      <c r="AV4" s="177"/>
      <c r="AW4" s="177"/>
      <c r="AX4" s="177"/>
      <c r="AY4" s="177"/>
      <c r="AZ4" s="177"/>
      <c r="BA4" s="177"/>
      <c r="BB4" s="177"/>
      <c r="BC4" s="177"/>
      <c r="BD4" s="177"/>
      <c r="BE4" s="177"/>
      <c r="BF4" s="177"/>
      <c r="BG4" s="177"/>
      <c r="BH4" s="177"/>
      <c r="BI4" s="177"/>
      <c r="BJ4" s="177"/>
      <c r="BK4" s="177"/>
    </row>
    <row r="5" spans="1:64" s="363" customFormat="1" x14ac:dyDescent="0.35">
      <c r="A5" s="186"/>
      <c r="B5" s="186"/>
      <c r="C5" s="186"/>
      <c r="D5" s="187"/>
      <c r="E5" s="187"/>
      <c r="F5" s="187"/>
      <c r="G5" s="187"/>
      <c r="H5" s="187"/>
      <c r="I5" s="187"/>
      <c r="J5" s="187"/>
      <c r="K5" s="187"/>
      <c r="L5" s="187"/>
      <c r="M5" s="187"/>
      <c r="N5" s="187"/>
      <c r="O5" s="186"/>
      <c r="P5" s="186"/>
      <c r="Q5" s="186"/>
      <c r="R5" s="186"/>
      <c r="S5" s="186"/>
      <c r="T5" s="186"/>
      <c r="U5" s="186"/>
      <c r="V5" s="186"/>
    </row>
    <row r="6" spans="1:64" s="363" customFormat="1" ht="19.55" customHeight="1" x14ac:dyDescent="0.4">
      <c r="A6" s="186"/>
      <c r="B6" s="188">
        <v>1</v>
      </c>
      <c r="C6" s="189" t="str">
        <f>IF(ber_Med_disc!C2&gt;1,#REF!-1500+ber_Med_disc!B2,"")</f>
        <v/>
      </c>
      <c r="D6" s="398">
        <f>ber_Med_disc!C2</f>
        <v>0</v>
      </c>
      <c r="E6" s="398"/>
      <c r="F6" s="398"/>
      <c r="G6" s="398"/>
      <c r="H6" s="190" t="str">
        <f>IF(INDEX(ber_Med_disc!$D$27:$D$38,ber_Med_disc!H2,1)=0,"",INDEX(ber_Med_disc!$D$27:$D$38,ber_Med_disc!H2,1))</f>
        <v/>
      </c>
      <c r="I6" s="191" t="str">
        <f>IF(ber_Med_disc!C2&gt;1,ber_Med_disc!G2,"")</f>
        <v/>
      </c>
      <c r="J6" s="192" t="str">
        <f>IF(ber_Med_disc!C2&gt;1,ber_Med_disc!E2,"")</f>
        <v/>
      </c>
      <c r="K6" s="193">
        <f>ber_Med_disc!K2</f>
        <v>0</v>
      </c>
      <c r="L6" s="186" t="str">
        <f>IF(AND(ber_Med_disc!C2&gt;1,ber_Med_disc!N2&gt;1),ber_Med_disc!M2,"")</f>
        <v/>
      </c>
      <c r="M6" s="186" t="str">
        <f>IF(AND(ber_Med_disc!C2&gt;1,L6&lt;&gt;0,ber_Med_disc!N2&gt;1),"ml","")</f>
        <v/>
      </c>
      <c r="N6" s="186"/>
      <c r="O6" s="186" t="str">
        <f>IF(AND(L6&lt;&gt;"",ber_Med_disc!P2&gt;0),ber_Med_disc!P2&amp;" min","")</f>
        <v/>
      </c>
      <c r="P6" s="186"/>
      <c r="Q6" s="186"/>
      <c r="R6" s="186"/>
      <c r="S6" s="186"/>
      <c r="T6" s="186"/>
      <c r="U6" s="186"/>
      <c r="V6" s="186"/>
    </row>
    <row r="7" spans="1:64" s="363" customFormat="1" ht="19.55" customHeight="1" x14ac:dyDescent="0.35">
      <c r="A7" s="187"/>
      <c r="B7" s="194" t="s">
        <v>2864</v>
      </c>
      <c r="C7" s="195"/>
      <c r="D7" s="197">
        <f>ber_Opm!C16</f>
        <v>0</v>
      </c>
      <c r="E7" s="197"/>
      <c r="F7" s="197"/>
      <c r="G7" s="197"/>
      <c r="H7" s="196" t="str">
        <f>IF(ber_Med_disc!C2&gt;1,"Dosering/kg/dag: ","")</f>
        <v/>
      </c>
      <c r="I7" s="195"/>
      <c r="J7" s="197" t="str">
        <f>IF(ber_Med_disc!C2&gt;1,ber_Med_disc!L2,"")</f>
        <v/>
      </c>
      <c r="K7" s="195" t="str">
        <f>IF(AND(ber_Med_disc!C2&gt;1),J6&amp;"/kg/dag ","")</f>
        <v/>
      </c>
      <c r="L7" s="195"/>
      <c r="M7" s="195" t="str">
        <f>IF(AND(ber_Med_disc!C2&gt;1,ber_Med_disc!N2&gt;1,ber_Med_disc!M2&gt;0),"Oplossing:","")</f>
        <v/>
      </c>
      <c r="N7" s="195" t="str">
        <f>IF(AND(ber_Med_disc!C2&gt;1,ber_Med_disc!N2&gt;1,ber_Med_disc!M2&gt;0),ROUND(ber_Med_disc!G2/ber_Med_disc!M2,2)&amp;" "&amp;ber_Med_disc!E2&amp;"/ml","")</f>
        <v/>
      </c>
      <c r="O7" s="195"/>
      <c r="P7" s="195"/>
      <c r="Q7" s="186"/>
      <c r="R7" s="186"/>
      <c r="S7" s="186"/>
      <c r="T7" s="186"/>
      <c r="U7" s="186"/>
      <c r="V7" s="186"/>
    </row>
    <row r="8" spans="1:64" s="363" customFormat="1" ht="19.55" customHeight="1" x14ac:dyDescent="0.4">
      <c r="A8" s="186"/>
      <c r="B8" s="188">
        <v>2</v>
      </c>
      <c r="C8" s="189" t="str">
        <f>IF(ber_Med_disc!C3&gt;1,#REF!-1500+ber_Med_disc!B3,"")</f>
        <v/>
      </c>
      <c r="D8" s="398">
        <f>ber_Med_disc!C3</f>
        <v>0</v>
      </c>
      <c r="E8" s="398"/>
      <c r="F8" s="398"/>
      <c r="G8" s="398"/>
      <c r="H8" s="190" t="str">
        <f>IF(INDEX(ber_Med_disc!$D$27:$D$38,ber_Med_disc!H3,1)=0,"",INDEX(ber_Med_disc!$D$27:$D$38,ber_Med_disc!H3,1))</f>
        <v/>
      </c>
      <c r="I8" s="191" t="str">
        <f>IF(ber_Med_disc!C3&gt;1,ber_Med_disc!G3,"")</f>
        <v/>
      </c>
      <c r="J8" s="192" t="str">
        <f>IF(ber_Med_disc!C3&gt;1,ber_Med_disc!E3,"")</f>
        <v/>
      </c>
      <c r="K8" s="193">
        <f>ber_Med_disc!K3</f>
        <v>0</v>
      </c>
      <c r="L8" s="186" t="str">
        <f>IF(AND(ber_Med_disc!C3&gt;1,ber_Med_disc!N3&gt;1,H8&lt;&gt;"STOP"),ber_Med_disc!M3,"")</f>
        <v/>
      </c>
      <c r="M8" s="186" t="str">
        <f>IF(AND(ber_Med_disc!C3&gt;1,L8&lt;&gt;0,ber_Med_disc!N3&gt;1,H8&lt;&gt;"STOP"),"ml","")</f>
        <v/>
      </c>
      <c r="N8" s="186"/>
      <c r="O8" s="186" t="str">
        <f>IF(AND(L8&lt;&gt;"",ber_Med_disc!P3&gt;0,H8&lt;&gt;"STOP"),ber_Med_disc!P3&amp;" min","")</f>
        <v/>
      </c>
      <c r="P8" s="186"/>
      <c r="Q8" s="186"/>
      <c r="R8" s="186"/>
      <c r="S8" s="186"/>
      <c r="T8" s="186"/>
      <c r="U8" s="186"/>
      <c r="V8" s="186"/>
    </row>
    <row r="9" spans="1:64" s="363" customFormat="1" ht="19.55" customHeight="1" x14ac:dyDescent="0.35">
      <c r="A9" s="186"/>
      <c r="B9" s="194" t="s">
        <v>2864</v>
      </c>
      <c r="C9" s="195"/>
      <c r="D9" s="197">
        <f>ber_Opm!C17</f>
        <v>0</v>
      </c>
      <c r="E9" s="197"/>
      <c r="F9" s="197"/>
      <c r="G9" s="197"/>
      <c r="H9" s="196" t="str">
        <f>IF(AND(ber_Med_disc!C3&gt;1,H8&lt;&gt;"STOP"),"Dosering/kg/dag: ","")</f>
        <v/>
      </c>
      <c r="I9" s="195"/>
      <c r="J9" s="197" t="str">
        <f>IF(ber_Med_disc!C3&gt;1,ber_Med_disc!L3,"")</f>
        <v/>
      </c>
      <c r="K9" s="195" t="str">
        <f>IF(AND(ber_Med_disc!C3&gt;1,H8&lt;&gt;"STOP"),J8&amp;"/kg/dag ","")</f>
        <v/>
      </c>
      <c r="L9" s="195"/>
      <c r="M9" s="195" t="str">
        <f>IF(AND(ber_Med_disc!C3&gt;1,ber_Med_disc!N3&gt;1,ber_Med_disc!M3&gt;0,H8&lt;&gt;"STOP"),"Oplossing:","")</f>
        <v/>
      </c>
      <c r="N9" s="195" t="str">
        <f>IF(AND(ber_Med_disc!C3&gt;1,ber_Med_disc!N3&gt;1,ber_Med_disc!M3&gt;0,H8&lt;&gt;"STOP"),ROUND(ber_Med_disc!G3/ber_Med_disc!M3,2)&amp;" "&amp;ber_Med_disc!E3&amp;"/ml","")</f>
        <v/>
      </c>
      <c r="O9" s="195"/>
      <c r="P9" s="195"/>
      <c r="Q9" s="186"/>
      <c r="R9" s="186"/>
      <c r="S9" s="186"/>
      <c r="T9" s="186"/>
      <c r="U9" s="186"/>
      <c r="V9" s="186"/>
    </row>
    <row r="10" spans="1:64" s="363" customFormat="1" ht="19.55" customHeight="1" x14ac:dyDescent="0.4">
      <c r="A10" s="186"/>
      <c r="B10" s="188">
        <v>3</v>
      </c>
      <c r="C10" s="189" t="str">
        <f>IF(ber_Med_disc!C4&gt;1,#REF!-1500+ber_Med_disc!B4,"")</f>
        <v/>
      </c>
      <c r="D10" s="398">
        <f>ber_Med_disc!C4</f>
        <v>0</v>
      </c>
      <c r="E10" s="398"/>
      <c r="F10" s="398"/>
      <c r="G10" s="398"/>
      <c r="H10" s="190" t="str">
        <f>IF(INDEX(ber_Med_disc!$D$27:$D$38,ber_Med_disc!H4,1)=0,"",INDEX(ber_Med_disc!$D$27:$D$38,ber_Med_disc!H4,1))</f>
        <v/>
      </c>
      <c r="I10" s="191" t="str">
        <f>IF(ber_Med_disc!C4&gt;1,ber_Med_disc!G4,"")</f>
        <v/>
      </c>
      <c r="J10" s="192" t="str">
        <f>IF(ber_Med_disc!C4&gt;1,ber_Med_disc!E4,"")</f>
        <v/>
      </c>
      <c r="K10" s="193">
        <f>ber_Med_disc!K4</f>
        <v>0</v>
      </c>
      <c r="L10" s="186" t="str">
        <f>IF(AND(ber_Med_disc!C4&gt;1,ber_Med_disc!N4&gt;1,H10&lt;&gt;"STOP"),ber_Med_disc!M4,"")</f>
        <v/>
      </c>
      <c r="M10" s="186" t="str">
        <f>IF(AND(ber_Med_disc!C4&gt;1,L10&lt;&gt;0,ber_Med_disc!N4&gt;1,H10&lt;&gt;"STOP"),"ml","")</f>
        <v/>
      </c>
      <c r="N10" s="186"/>
      <c r="O10" s="186" t="str">
        <f>IF(AND(L10&lt;&gt;"",ber_Med_disc!P4&gt;0,H10&lt;&gt;"STOP"),ber_Med_disc!P4&amp;" min","")</f>
        <v/>
      </c>
      <c r="P10" s="186"/>
      <c r="Q10" s="186"/>
      <c r="R10" s="186"/>
      <c r="S10" s="186"/>
      <c r="T10" s="186"/>
      <c r="U10" s="186"/>
      <c r="V10" s="186"/>
    </row>
    <row r="11" spans="1:64" s="363" customFormat="1" ht="19.55" customHeight="1" x14ac:dyDescent="0.35">
      <c r="A11" s="186"/>
      <c r="B11" s="194" t="s">
        <v>2864</v>
      </c>
      <c r="C11" s="195"/>
      <c r="D11" s="197">
        <f>ber_Opm!C18</f>
        <v>0</v>
      </c>
      <c r="E11" s="197"/>
      <c r="F11" s="197"/>
      <c r="G11" s="197"/>
      <c r="H11" s="196" t="str">
        <f>IF(AND(ber_Med_disc!C4&gt;1,H10&lt;&gt;"STOP"),"Dosering/kg/dag: ","")</f>
        <v/>
      </c>
      <c r="I11" s="195"/>
      <c r="J11" s="197" t="str">
        <f>IF(ber_Med_disc!C4&gt;1,ber_Med_disc!L4,"")</f>
        <v/>
      </c>
      <c r="K11" s="195" t="str">
        <f>IF(AND(ber_Med_disc!C4&gt;1,H10&lt;&gt;"STOP"),J10&amp;"/kg/dag ","")</f>
        <v/>
      </c>
      <c r="L11" s="195"/>
      <c r="M11" s="195" t="str">
        <f>IF(AND(ber_Med_disc!C4&gt;1,ber_Med_disc!N4&gt;1,ber_Med_disc!M4&gt;0,H10&lt;&gt;"STOP"),"Oplossing:","")</f>
        <v/>
      </c>
      <c r="N11" s="195" t="str">
        <f>IF(AND(ber_Med_disc!C4&gt;1,ber_Med_disc!N4&gt;1,ber_Med_disc!M4&gt;0,H10&lt;&gt;"STOP"),ROUND(ber_Med_disc!G4/ber_Med_disc!M4,2)&amp;" "&amp;ber_Med_disc!E4&amp;"/ml","")</f>
        <v/>
      </c>
      <c r="O11" s="195"/>
      <c r="P11" s="195"/>
      <c r="Q11" s="186"/>
      <c r="R11" s="186"/>
      <c r="S11" s="186"/>
      <c r="T11" s="186"/>
      <c r="U11" s="186"/>
      <c r="V11" s="186"/>
    </row>
    <row r="12" spans="1:64" s="363" customFormat="1" ht="19.55" customHeight="1" x14ac:dyDescent="0.4">
      <c r="A12" s="186"/>
      <c r="B12" s="188">
        <v>4</v>
      </c>
      <c r="C12" s="189" t="str">
        <f>IF(ber_Med_disc!C5&gt;1,#REF!-1500+ber_Med_disc!B5,"")</f>
        <v/>
      </c>
      <c r="D12" s="398">
        <f>ber_Med_disc!C5</f>
        <v>0</v>
      </c>
      <c r="E12" s="398"/>
      <c r="F12" s="398"/>
      <c r="G12" s="398"/>
      <c r="H12" s="190" t="str">
        <f>IF(INDEX(ber_Med_disc!$D$27:$D$38,ber_Med_disc!H5,1)=0,"",INDEX(ber_Med_disc!$D$27:$D$38,ber_Med_disc!H5,1))</f>
        <v/>
      </c>
      <c r="I12" s="191" t="str">
        <f>IF(ber_Med_disc!C5&gt;1,ber_Med_disc!G5,"")</f>
        <v/>
      </c>
      <c r="J12" s="192" t="str">
        <f>IF(ber_Med_disc!C5&gt;1,ber_Med_disc!E5,"")</f>
        <v/>
      </c>
      <c r="K12" s="193">
        <f>ber_Med_disc!K5</f>
        <v>0</v>
      </c>
      <c r="L12" s="186" t="str">
        <f>IF(AND(ber_Med_disc!C5&gt;1,ber_Med_disc!N5&gt;1,H12&lt;&gt;"STOP"),ber_Med_disc!M5,"")</f>
        <v/>
      </c>
      <c r="M12" s="186" t="str">
        <f>IF(AND(ber_Med_disc!C5&gt;1,L12&lt;&gt;0,ber_Med_disc!N5&gt;1,H12&lt;&gt;"STOP"),"ml","")</f>
        <v/>
      </c>
      <c r="N12" s="186"/>
      <c r="O12" s="186" t="str">
        <f>IF(AND(L12&lt;&gt;"",ber_Med_disc!P5&gt;0,H12&lt;&gt;"STOP"),ber_Med_disc!P5&amp;" min","")</f>
        <v/>
      </c>
      <c r="P12" s="186"/>
      <c r="Q12" s="186"/>
      <c r="R12" s="186"/>
      <c r="S12" s="186"/>
      <c r="T12" s="186"/>
      <c r="U12" s="186"/>
      <c r="V12" s="186"/>
    </row>
    <row r="13" spans="1:64" s="363" customFormat="1" ht="19.55" customHeight="1" x14ac:dyDescent="0.35">
      <c r="A13" s="186"/>
      <c r="B13" s="194" t="s">
        <v>2864</v>
      </c>
      <c r="C13" s="195"/>
      <c r="D13" s="197">
        <f>ber_Opm!C19</f>
        <v>0</v>
      </c>
      <c r="E13" s="197"/>
      <c r="F13" s="197"/>
      <c r="G13" s="197"/>
      <c r="H13" s="196" t="str">
        <f>IF(AND(ber_Med_disc!C5&gt;1,H12&lt;&gt;"STOP"),"Dosering/kg/dag: ","")</f>
        <v/>
      </c>
      <c r="I13" s="195"/>
      <c r="J13" s="197" t="str">
        <f>IF(ber_Med_disc!C5&gt;1,ber_Med_disc!L5,"")</f>
        <v/>
      </c>
      <c r="K13" s="195" t="str">
        <f>IF(AND(ber_Med_disc!C5&gt;1,H12&lt;&gt;"STOP"),J12&amp;"/kg/dag ","")</f>
        <v/>
      </c>
      <c r="L13" s="195"/>
      <c r="M13" s="195" t="str">
        <f>IF(AND(ber_Med_disc!C5&gt;1,ber_Med_disc!N5&gt;1,ber_Med_disc!M5&gt;0,H12&lt;&gt;"STOP"),"Oplossing:","")</f>
        <v/>
      </c>
      <c r="N13" s="195" t="str">
        <f>IF(AND(ber_Med_disc!C5&gt;1,ber_Med_disc!N5&gt;1,ber_Med_disc!M5&gt;0,H12&lt;&gt;"STOP"),ROUND(ber_Med_disc!G5/ber_Med_disc!M5,2)&amp;" "&amp;ber_Med_disc!E5&amp;"/ml","")</f>
        <v/>
      </c>
      <c r="O13" s="195"/>
      <c r="P13" s="195"/>
      <c r="Q13" s="186"/>
      <c r="R13" s="198"/>
      <c r="S13" s="198"/>
      <c r="T13" s="198"/>
      <c r="U13" s="198"/>
      <c r="V13" s="198"/>
      <c r="W13" s="364"/>
      <c r="X13" s="364"/>
      <c r="Y13" s="364"/>
      <c r="Z13" s="364"/>
      <c r="AA13" s="364"/>
      <c r="AB13" s="364"/>
      <c r="AC13" s="364"/>
      <c r="AD13" s="364"/>
      <c r="AE13" s="364"/>
      <c r="AF13" s="364"/>
      <c r="AG13" s="364"/>
      <c r="AH13" s="364"/>
      <c r="AI13" s="364"/>
      <c r="AJ13" s="364"/>
      <c r="AK13" s="364"/>
      <c r="AL13" s="364"/>
      <c r="AM13" s="364"/>
      <c r="AN13" s="364"/>
      <c r="AO13" s="364"/>
      <c r="AP13" s="364"/>
      <c r="AQ13" s="364"/>
      <c r="AR13" s="364"/>
      <c r="AS13" s="364"/>
      <c r="AT13" s="364"/>
      <c r="AU13" s="364"/>
      <c r="AV13" s="364"/>
      <c r="AW13" s="364"/>
      <c r="AX13" s="364"/>
      <c r="AY13" s="364"/>
      <c r="AZ13" s="364"/>
      <c r="BA13" s="364"/>
      <c r="BB13" s="364"/>
      <c r="BC13" s="364"/>
      <c r="BD13" s="364"/>
      <c r="BE13" s="364"/>
      <c r="BF13" s="364"/>
      <c r="BG13" s="364"/>
      <c r="BH13" s="364"/>
      <c r="BI13" s="364"/>
      <c r="BJ13" s="364"/>
      <c r="BK13" s="364"/>
      <c r="BL13" s="364"/>
    </row>
    <row r="14" spans="1:64" s="364" customFormat="1" ht="19.55" customHeight="1" x14ac:dyDescent="0.4">
      <c r="A14" s="186"/>
      <c r="B14" s="188">
        <v>5</v>
      </c>
      <c r="C14" s="189" t="str">
        <f>IF(ber_Med_disc!C6&gt;1,#REF!-1500+ber_Med_disc!B6,"")</f>
        <v/>
      </c>
      <c r="D14" s="398">
        <f>ber_Med_disc!C6</f>
        <v>0</v>
      </c>
      <c r="E14" s="398"/>
      <c r="F14" s="398"/>
      <c r="G14" s="398"/>
      <c r="H14" s="190" t="str">
        <f>IF(INDEX(ber_Med_disc!$D$27:$D$38,ber_Med_disc!H6,1)=0,"",INDEX(ber_Med_disc!$D$27:$D$38,ber_Med_disc!H6,1))</f>
        <v/>
      </c>
      <c r="I14" s="191" t="str">
        <f>IF(ber_Med_disc!C6&gt;1,ber_Med_disc!G6,"")</f>
        <v/>
      </c>
      <c r="J14" s="192" t="str">
        <f>IF(ber_Med_disc!C6&gt;1,ber_Med_disc!E6,"")</f>
        <v/>
      </c>
      <c r="K14" s="193">
        <f>ber_Med_disc!K6</f>
        <v>0</v>
      </c>
      <c r="L14" s="186" t="str">
        <f>IF(AND(ber_Med_disc!C6&gt;1,ber_Med_disc!N6&gt;1,H14&lt;&gt;"STOP"),ber_Med_disc!M6,"")</f>
        <v/>
      </c>
      <c r="M14" s="186" t="str">
        <f>IF(AND(ber_Med_disc!C6&gt;1,L14&lt;&gt;0,ber_Med_disc!N6&gt;1,H14&lt;&gt;"STOP"),"ml","")</f>
        <v/>
      </c>
      <c r="N14" s="186"/>
      <c r="O14" s="186" t="str">
        <f>IF(AND(L14&lt;&gt;"",ber_Med_disc!P6&gt;0,H14&lt;&gt;"STOP"),ber_Med_disc!P6&amp;" min","")</f>
        <v/>
      </c>
      <c r="P14" s="186"/>
      <c r="Q14" s="186"/>
      <c r="R14" s="186"/>
      <c r="S14" s="186"/>
      <c r="T14" s="186"/>
      <c r="U14" s="186"/>
      <c r="V14" s="186"/>
      <c r="W14" s="363"/>
      <c r="X14" s="363"/>
      <c r="Y14" s="363"/>
      <c r="Z14" s="363"/>
      <c r="AA14" s="363"/>
      <c r="AB14" s="363"/>
      <c r="AC14" s="363"/>
      <c r="AD14" s="363"/>
      <c r="AE14" s="363"/>
      <c r="AF14" s="363"/>
      <c r="AG14" s="363"/>
      <c r="AH14" s="363"/>
      <c r="AI14" s="363"/>
      <c r="AJ14" s="363"/>
      <c r="AK14" s="363"/>
      <c r="AL14" s="363"/>
      <c r="AM14" s="363"/>
      <c r="AN14" s="363"/>
      <c r="AO14" s="363"/>
      <c r="AP14" s="363"/>
      <c r="AQ14" s="363"/>
      <c r="AR14" s="363"/>
      <c r="AS14" s="363"/>
      <c r="AT14" s="363"/>
      <c r="AU14" s="363"/>
      <c r="AV14" s="363"/>
      <c r="AW14" s="363"/>
      <c r="AX14" s="363"/>
      <c r="AY14" s="363"/>
      <c r="AZ14" s="363"/>
      <c r="BA14" s="363"/>
      <c r="BB14" s="363"/>
      <c r="BC14" s="363"/>
      <c r="BD14" s="363"/>
      <c r="BE14" s="363"/>
      <c r="BF14" s="363"/>
      <c r="BG14" s="363"/>
      <c r="BH14" s="363"/>
      <c r="BI14" s="363"/>
      <c r="BJ14" s="363"/>
      <c r="BK14" s="363"/>
      <c r="BL14" s="363"/>
    </row>
    <row r="15" spans="1:64" s="363" customFormat="1" ht="19.55" customHeight="1" x14ac:dyDescent="0.35">
      <c r="A15" s="186"/>
      <c r="B15" s="194" t="s">
        <v>2864</v>
      </c>
      <c r="C15" s="195"/>
      <c r="D15" s="197">
        <f>ber_Opm!C20</f>
        <v>0</v>
      </c>
      <c r="E15" s="197"/>
      <c r="F15" s="197"/>
      <c r="G15" s="197"/>
      <c r="H15" s="196" t="str">
        <f>IF(AND(ber_Med_disc!C6&gt;1,H14&lt;&gt;"STOP"),"Dosering/kg/dag: ","")</f>
        <v/>
      </c>
      <c r="I15" s="195"/>
      <c r="J15" s="197" t="str">
        <f>IF(ber_Med_disc!C6&gt;1,ber_Med_disc!L6,"")</f>
        <v/>
      </c>
      <c r="K15" s="195" t="str">
        <f>IF(AND(ber_Med_disc!C6&gt;1,H14&lt;&gt;"STOP"),J14&amp;"/kg/dag ","")</f>
        <v/>
      </c>
      <c r="L15" s="195"/>
      <c r="M15" s="195" t="str">
        <f>IF(AND(ber_Med_disc!C6&gt;1,ber_Med_disc!N6&gt;1,ber_Med_disc!M6&gt;0,H14&lt;&gt;"STOP"),"Oplossing:","")</f>
        <v/>
      </c>
      <c r="N15" s="195" t="str">
        <f>IF(AND(ber_Med_disc!C6&gt;1,ber_Med_disc!N6&gt;1,ber_Med_disc!M6&gt;0,H14&lt;&gt;"STOP"),ROUND(ber_Med_disc!G6/ber_Med_disc!M6,2)&amp;" "&amp;ber_Med_disc!E6&amp;"/ml","")</f>
        <v/>
      </c>
      <c r="O15" s="195"/>
      <c r="P15" s="195"/>
      <c r="Q15" s="186"/>
      <c r="R15" s="186"/>
      <c r="S15" s="186"/>
      <c r="T15" s="186"/>
      <c r="U15" s="186"/>
      <c r="V15" s="186"/>
    </row>
    <row r="16" spans="1:64" s="363" customFormat="1" ht="19.55" customHeight="1" x14ac:dyDescent="0.4">
      <c r="A16" s="186"/>
      <c r="B16" s="188">
        <v>6</v>
      </c>
      <c r="C16" s="189" t="str">
        <f>IF(ber_Med_disc!C7&gt;1,#REF!-1500+ber_Med_disc!B7,"")</f>
        <v/>
      </c>
      <c r="D16" s="398">
        <f>ber_Med_disc!C7</f>
        <v>0</v>
      </c>
      <c r="E16" s="398"/>
      <c r="F16" s="398"/>
      <c r="G16" s="398"/>
      <c r="H16" s="190" t="str">
        <f>IF(INDEX(ber_Med_disc!$D$27:$D$38,ber_Med_disc!H7,1)=0,"",INDEX(ber_Med_disc!$D$27:$D$38,ber_Med_disc!H7,1))</f>
        <v/>
      </c>
      <c r="I16" s="191" t="str">
        <f>IF(ber_Med_disc!C7&gt;1,ber_Med_disc!G7,"")</f>
        <v/>
      </c>
      <c r="J16" s="192" t="str">
        <f>IF(ber_Med_disc!C7&gt;1,ber_Med_disc!E7,"")</f>
        <v/>
      </c>
      <c r="K16" s="193">
        <f>ber_Med_disc!K7</f>
        <v>0</v>
      </c>
      <c r="L16" s="186" t="str">
        <f>IF(AND(ber_Med_disc!C7&gt;1,ber_Med_disc!N7&gt;1,H16&lt;&gt;"STOP"),ber_Med_disc!M7,"")</f>
        <v/>
      </c>
      <c r="M16" s="186" t="str">
        <f>IF(AND(ber_Med_disc!C7&gt;1,L16&lt;&gt;0,ber_Med_disc!N7&gt;1,H16&lt;&gt;"STOP"),"ml","")</f>
        <v/>
      </c>
      <c r="N16" s="186"/>
      <c r="O16" s="186" t="str">
        <f>IF(AND(L16&lt;&gt;"",ber_Med_disc!P7&gt;0,H16&lt;&gt;"STOP"),ber_Med_disc!P7&amp;" min","")</f>
        <v/>
      </c>
      <c r="P16" s="186"/>
      <c r="Q16" s="186"/>
      <c r="R16" s="186"/>
      <c r="S16" s="186"/>
      <c r="T16" s="186"/>
      <c r="U16" s="186"/>
      <c r="V16" s="186"/>
    </row>
    <row r="17" spans="1:22" s="363" customFormat="1" ht="19.55" customHeight="1" x14ac:dyDescent="0.35">
      <c r="A17" s="186"/>
      <c r="B17" s="194" t="s">
        <v>2864</v>
      </c>
      <c r="C17" s="195"/>
      <c r="D17" s="197">
        <f>ber_Opm!C21</f>
        <v>0</v>
      </c>
      <c r="E17" s="197"/>
      <c r="F17" s="197"/>
      <c r="G17" s="197"/>
      <c r="H17" s="196" t="str">
        <f>IF(AND(ber_Med_disc!C7&gt;1,H16&lt;&gt;"STOP"),"Dosering/kg/dag: ","")</f>
        <v/>
      </c>
      <c r="I17" s="195"/>
      <c r="J17" s="197" t="str">
        <f>IF(ber_Med_disc!C7&gt;1,ber_Med_disc!L7,"")</f>
        <v/>
      </c>
      <c r="K17" s="195" t="str">
        <f>IF(AND(ber_Med_disc!C7&gt;1,H16&lt;&gt;"STOP"),J16&amp;"/kg/dag ","")</f>
        <v/>
      </c>
      <c r="L17" s="195"/>
      <c r="M17" s="195" t="str">
        <f>IF(AND(ber_Med_disc!C7&gt;1,ber_Med_disc!N7&gt;1,ber_Med_disc!M7&gt;0,H16&lt;&gt;"STOP"),"Oplossing:","")</f>
        <v/>
      </c>
      <c r="N17" s="195" t="str">
        <f>IF(AND(ber_Med_disc!C7&gt;1,ber_Med_disc!N7&gt;1,ber_Med_disc!M7&gt;0,H16&lt;&gt;"STOP"),ROUND(ber_Med_disc!G7/ber_Med_disc!M7,2)&amp;" "&amp;ber_Med_disc!E7&amp;"/ml","")</f>
        <v/>
      </c>
      <c r="O17" s="195"/>
      <c r="P17" s="195"/>
      <c r="Q17" s="186"/>
      <c r="R17" s="186"/>
      <c r="S17" s="186"/>
      <c r="T17" s="186"/>
      <c r="U17" s="186"/>
      <c r="V17" s="186"/>
    </row>
    <row r="18" spans="1:22" s="363" customFormat="1" ht="19.55" customHeight="1" x14ac:dyDescent="0.4">
      <c r="A18" s="186"/>
      <c r="B18" s="188">
        <v>7</v>
      </c>
      <c r="C18" s="189" t="str">
        <f>IF(ber_Med_disc!C8&gt;1,#REF!-1500+ber_Med_disc!B8,"")</f>
        <v/>
      </c>
      <c r="D18" s="398">
        <f>ber_Med_disc!C8</f>
        <v>0</v>
      </c>
      <c r="E18" s="398"/>
      <c r="F18" s="398"/>
      <c r="G18" s="398"/>
      <c r="H18" s="190" t="str">
        <f>IF(INDEX(ber_Med_disc!$D$27:$D$38,ber_Med_disc!H8,1)=0,"",INDEX(ber_Med_disc!$D$27:$D$38,ber_Med_disc!H8,1))</f>
        <v/>
      </c>
      <c r="I18" s="191" t="str">
        <f>IF(ber_Med_disc!C8&gt;1,ber_Med_disc!G8,"")</f>
        <v/>
      </c>
      <c r="J18" s="192" t="str">
        <f>IF(ber_Med_disc!C8&gt;1,ber_Med_disc!E8,"")</f>
        <v/>
      </c>
      <c r="K18" s="193">
        <f>ber_Med_disc!K8</f>
        <v>0</v>
      </c>
      <c r="L18" s="186" t="str">
        <f>IF(AND(ber_Med_disc!C8&gt;1,ber_Med_disc!N8&gt;1,H18&lt;&gt;"STOP"),ber_Med_disc!M8,"")</f>
        <v/>
      </c>
      <c r="M18" s="186" t="str">
        <f>IF(AND(ber_Med_disc!C8&gt;1,L18&lt;&gt;0,ber_Med_disc!N8&gt;1,H18&lt;&gt;"STOP"),"ml","")</f>
        <v/>
      </c>
      <c r="N18" s="186"/>
      <c r="O18" s="186" t="str">
        <f>IF(AND(L18&lt;&gt;"",ber_Med_disc!P8&gt;0,H18&lt;&gt;"STOP"),ber_Med_disc!P8&amp;" min","")</f>
        <v/>
      </c>
      <c r="P18" s="186"/>
      <c r="Q18" s="186"/>
      <c r="R18" s="186"/>
      <c r="S18" s="186"/>
      <c r="T18" s="186"/>
      <c r="U18" s="186"/>
      <c r="V18" s="186"/>
    </row>
    <row r="19" spans="1:22" s="363" customFormat="1" ht="19.55" customHeight="1" x14ac:dyDescent="0.35">
      <c r="A19" s="186"/>
      <c r="B19" s="194" t="s">
        <v>2864</v>
      </c>
      <c r="C19" s="195"/>
      <c r="D19" s="197">
        <f>ber_Opm!C22</f>
        <v>0</v>
      </c>
      <c r="E19" s="197"/>
      <c r="F19" s="197"/>
      <c r="G19" s="197"/>
      <c r="H19" s="196" t="str">
        <f>IF(AND(ber_Med_disc!C8&gt;1,H18&lt;&gt;"STOP"),"Dosering/kg/dag: ","")</f>
        <v/>
      </c>
      <c r="I19" s="195"/>
      <c r="J19" s="197" t="str">
        <f>IF(ber_Med_disc!C8&gt;1,ber_Med_disc!L8,"")</f>
        <v/>
      </c>
      <c r="K19" s="195" t="str">
        <f>IF(AND(ber_Med_disc!C8&gt;1,H18&lt;&gt;"STOP"),J18&amp;"/kg/dag ","")</f>
        <v/>
      </c>
      <c r="L19" s="195"/>
      <c r="M19" s="195" t="str">
        <f>IF(AND(ber_Med_disc!C8&gt;1,ber_Med_disc!N8&gt;1,ber_Med_disc!M8&gt;0,H18&lt;&gt;"STOP"),"Oplossing:","")</f>
        <v/>
      </c>
      <c r="N19" s="195" t="str">
        <f>IF(AND(ber_Med_disc!C8&gt;1,ber_Med_disc!N8&gt;1,ber_Med_disc!M8&gt;0,H18&lt;&gt;"STOP"),ROUND(ber_Med_disc!G8/ber_Med_disc!M8,2)&amp;" "&amp;ber_Med_disc!E8&amp;"/ml","")</f>
        <v/>
      </c>
      <c r="O19" s="195"/>
      <c r="P19" s="195"/>
      <c r="Q19" s="186"/>
      <c r="R19" s="186"/>
      <c r="S19" s="186"/>
      <c r="T19" s="186"/>
      <c r="U19" s="186"/>
      <c r="V19" s="186"/>
    </row>
    <row r="20" spans="1:22" s="363" customFormat="1" ht="19.55" customHeight="1" x14ac:dyDescent="0.4">
      <c r="A20" s="186"/>
      <c r="B20" s="188">
        <v>8</v>
      </c>
      <c r="C20" s="189" t="str">
        <f>IF(ber_Med_disc!C9&gt;1,#REF!-1500+ber_Med_disc!B9,"")</f>
        <v/>
      </c>
      <c r="D20" s="398">
        <f>ber_Med_disc!C9</f>
        <v>0</v>
      </c>
      <c r="E20" s="398"/>
      <c r="F20" s="398"/>
      <c r="G20" s="398"/>
      <c r="H20" s="190" t="str">
        <f>IF(INDEX(ber_Med_disc!$D$27:$D$38,ber_Med_disc!H9,1)=0,"",INDEX(ber_Med_disc!$D$27:$D$38,ber_Med_disc!H9,1))</f>
        <v/>
      </c>
      <c r="I20" s="191" t="str">
        <f>IF(ber_Med_disc!C9&gt;1,ber_Med_disc!G9,"")</f>
        <v/>
      </c>
      <c r="J20" s="192" t="str">
        <f>IF(ber_Med_disc!C9&gt;1,ber_Med_disc!E9,"")</f>
        <v/>
      </c>
      <c r="K20" s="193">
        <f>ber_Med_disc!K9</f>
        <v>0</v>
      </c>
      <c r="L20" s="186" t="str">
        <f>IF(AND(ber_Med_disc!C9&gt;1,ber_Med_disc!N9&gt;1,H20&lt;&gt;"STOP"),ber_Med_disc!M9,"")</f>
        <v/>
      </c>
      <c r="M20" s="186" t="str">
        <f>IF(AND(ber_Med_disc!C9&gt;1,L20&lt;&gt;0,ber_Med_disc!N9&gt;1,H20&lt;&gt;"STOP"),"ml","")</f>
        <v/>
      </c>
      <c r="N20" s="186"/>
      <c r="O20" s="186" t="str">
        <f>IF(AND(L20&lt;&gt;"",ber_Med_disc!P9&gt;0,H20&lt;&gt;"STOP"),ber_Med_disc!P9&amp;" min","")</f>
        <v/>
      </c>
      <c r="P20" s="186"/>
      <c r="Q20" s="186"/>
      <c r="R20" s="186"/>
      <c r="S20" s="186"/>
      <c r="T20" s="186"/>
      <c r="U20" s="186"/>
      <c r="V20" s="186"/>
    </row>
    <row r="21" spans="1:22" s="363" customFormat="1" ht="19.55" customHeight="1" x14ac:dyDescent="0.35">
      <c r="A21" s="186"/>
      <c r="B21" s="194" t="s">
        <v>2864</v>
      </c>
      <c r="C21" s="195"/>
      <c r="D21" s="197">
        <f>ber_Opm!C23</f>
        <v>0</v>
      </c>
      <c r="E21" s="197"/>
      <c r="F21" s="197"/>
      <c r="G21" s="197"/>
      <c r="H21" s="196" t="str">
        <f>IF(AND(ber_Med_disc!C9&gt;1,H20&lt;&gt;"STOP"),"Dosering/kg/dag: ","")</f>
        <v/>
      </c>
      <c r="I21" s="195"/>
      <c r="J21" s="197" t="str">
        <f>IF(ber_Med_disc!C9&gt;1,ber_Med_disc!L9,"")</f>
        <v/>
      </c>
      <c r="K21" s="195" t="str">
        <f>IF(AND(ber_Med_disc!C9&gt;1,H20&lt;&gt;"STOP"),J20&amp;"/kg/dag ","")</f>
        <v/>
      </c>
      <c r="L21" s="195"/>
      <c r="M21" s="195" t="str">
        <f>IF(AND(ber_Med_disc!C9&gt;1,ber_Med_disc!N9&gt;1,ber_Med_disc!M9&gt;0,H20&lt;&gt;"STOP"),"Oplossing:","")</f>
        <v/>
      </c>
      <c r="N21" s="195" t="str">
        <f>IF(AND(ber_Med_disc!C9&gt;1,ber_Med_disc!N9&gt;1,ber_Med_disc!M9&gt;0,H20&lt;&gt;"STOP"),ROUND(ber_Med_disc!G9/ber_Med_disc!M9,2)&amp;" "&amp;ber_Med_disc!E9&amp;"/ml","")</f>
        <v/>
      </c>
      <c r="O21" s="195"/>
      <c r="P21" s="195"/>
      <c r="Q21" s="186"/>
      <c r="R21" s="186"/>
      <c r="S21" s="186"/>
      <c r="T21" s="186"/>
      <c r="U21" s="186"/>
      <c r="V21" s="186"/>
    </row>
    <row r="22" spans="1:22" s="363" customFormat="1" ht="19.55" customHeight="1" x14ac:dyDescent="0.4">
      <c r="A22" s="186"/>
      <c r="B22" s="188">
        <v>9</v>
      </c>
      <c r="C22" s="189" t="str">
        <f>IF(ber_Med_disc!C10&gt;1,#REF!-1500+ber_Med_disc!B10,"")</f>
        <v/>
      </c>
      <c r="D22" s="398">
        <f>ber_Med_disc!C10</f>
        <v>0</v>
      </c>
      <c r="E22" s="398"/>
      <c r="F22" s="398"/>
      <c r="G22" s="398"/>
      <c r="H22" s="190" t="str">
        <f>IF(INDEX(ber_Med_disc!$D$27:$D$38,ber_Med_disc!H10,1)=0,"",INDEX(ber_Med_disc!$D$27:$D$38,ber_Med_disc!H10,1))</f>
        <v/>
      </c>
      <c r="I22" s="191" t="str">
        <f>IF(ber_Med_disc!C10&gt;1,ber_Med_disc!G10,"")</f>
        <v/>
      </c>
      <c r="J22" s="192" t="str">
        <f>IF(ber_Med_disc!C10&gt;1,ber_Med_disc!E10,"")</f>
        <v/>
      </c>
      <c r="K22" s="193">
        <f>ber_Med_disc!K10</f>
        <v>0</v>
      </c>
      <c r="L22" s="186" t="str">
        <f>IF(AND(ber_Med_disc!C10&gt;1,ber_Med_disc!N10&gt;1,H22&lt;&gt;"STOP"),ber_Med_disc!M10,"")</f>
        <v/>
      </c>
      <c r="M22" s="186" t="str">
        <f>IF(AND(ber_Med_disc!C10&gt;1,L22&lt;&gt;0,ber_Med_disc!N10&gt;1,H22&lt;&gt;"STOP"),"ml","")</f>
        <v/>
      </c>
      <c r="N22" s="186"/>
      <c r="O22" s="186" t="str">
        <f>IF(AND(L22&lt;&gt;"",ber_Med_disc!P10&gt;0,H22&lt;&gt;"STOP"),ber_Med_disc!P10&amp;" min","")</f>
        <v/>
      </c>
      <c r="P22" s="186"/>
      <c r="Q22" s="186"/>
      <c r="R22" s="186"/>
      <c r="S22" s="186"/>
      <c r="T22" s="186"/>
      <c r="U22" s="186"/>
      <c r="V22" s="186"/>
    </row>
    <row r="23" spans="1:22" s="363" customFormat="1" ht="19.55" customHeight="1" x14ac:dyDescent="0.35">
      <c r="A23" s="186"/>
      <c r="B23" s="194" t="s">
        <v>2864</v>
      </c>
      <c r="C23" s="195"/>
      <c r="D23" s="197">
        <f>ber_Opm!C24</f>
        <v>0</v>
      </c>
      <c r="E23" s="197"/>
      <c r="F23" s="197"/>
      <c r="G23" s="197"/>
      <c r="H23" s="196" t="str">
        <f>IF(AND(ber_Med_disc!C10&gt;1,H22&lt;&gt;"STOP"),"Dosering/kg/dag: ","")</f>
        <v/>
      </c>
      <c r="I23" s="195"/>
      <c r="J23" s="197" t="str">
        <f>IF(ber_Med_disc!C10&gt;1,ber_Med_disc!L10,"")</f>
        <v/>
      </c>
      <c r="K23" s="195" t="str">
        <f>IF(AND(ber_Med_disc!C10&gt;1,H22&lt;&gt;"STOP"),J22&amp;"/kg/dag ","")</f>
        <v/>
      </c>
      <c r="L23" s="195"/>
      <c r="M23" s="195" t="str">
        <f>IF(AND(ber_Med_disc!C10&gt;1,ber_Med_disc!N10&gt;1,ber_Med_disc!M10&gt;0,H22&lt;&gt;"STOP"),"Oplossing:","")</f>
        <v/>
      </c>
      <c r="N23" s="195" t="str">
        <f>IF(AND(ber_Med_disc!C10&gt;1,ber_Med_disc!N10&gt;1,ber_Med_disc!M10&gt;0,H22&lt;&gt;"STOP"),ROUND(ber_Med_disc!G10/ber_Med_disc!M10,2)&amp;" "&amp;ber_Med_disc!E10&amp;"/ml","")</f>
        <v/>
      </c>
      <c r="O23" s="195"/>
      <c r="P23" s="195"/>
      <c r="Q23" s="186"/>
      <c r="R23" s="186"/>
      <c r="S23" s="186"/>
      <c r="T23" s="186"/>
      <c r="U23" s="186"/>
      <c r="V23" s="186"/>
    </row>
    <row r="24" spans="1:22" s="363" customFormat="1" ht="19.55" customHeight="1" x14ac:dyDescent="0.4">
      <c r="A24" s="186"/>
      <c r="B24" s="188">
        <v>10</v>
      </c>
      <c r="C24" s="189" t="str">
        <f>IF(ber_Med_disc!C11&gt;1,#REF!-1500+ber_Med_disc!B11,"")</f>
        <v/>
      </c>
      <c r="D24" s="398">
        <f>ber_Med_disc!C11</f>
        <v>0</v>
      </c>
      <c r="E24" s="398"/>
      <c r="F24" s="398"/>
      <c r="G24" s="398"/>
      <c r="H24" s="190" t="str">
        <f>IF(INDEX(ber_Med_disc!$D$27:$D$38,ber_Med_disc!H11,1)=0,"",INDEX(ber_Med_disc!$D$27:$D$38,ber_Med_disc!H11,1))</f>
        <v/>
      </c>
      <c r="I24" s="191" t="str">
        <f>IF(ber_Med_disc!C11&gt;1,ber_Med_disc!G11,"")</f>
        <v/>
      </c>
      <c r="J24" s="192" t="str">
        <f>IF(ber_Med_disc!C11&gt;1,ber_Med_disc!E11,"")</f>
        <v/>
      </c>
      <c r="K24" s="193">
        <f>ber_Med_disc!K11</f>
        <v>0</v>
      </c>
      <c r="L24" s="186" t="str">
        <f>IF(AND(ber_Med_disc!C11&gt;1,ber_Med_disc!N11&gt;1,H24&lt;&gt;"STOP"),ber_Med_disc!M11,"")</f>
        <v/>
      </c>
      <c r="M24" s="186" t="str">
        <f>IF(AND(ber_Med_disc!C11&gt;1,L24&lt;&gt;0,ber_Med_disc!N11&gt;1,H24&lt;&gt;"STOP"),"ml","")</f>
        <v/>
      </c>
      <c r="N24" s="186"/>
      <c r="O24" s="186" t="str">
        <f>IF(AND(L24&lt;&gt;"",ber_Med_disc!P11&gt;0,H24&lt;&gt;"STOP"),ber_Med_disc!P11&amp;" min","")</f>
        <v/>
      </c>
      <c r="P24" s="186"/>
      <c r="Q24" s="186"/>
      <c r="R24" s="186"/>
      <c r="S24" s="186"/>
      <c r="T24" s="186"/>
      <c r="U24" s="186"/>
      <c r="V24" s="186"/>
    </row>
    <row r="25" spans="1:22" s="363" customFormat="1" ht="19.55" customHeight="1" x14ac:dyDescent="0.35">
      <c r="A25" s="186"/>
      <c r="B25" s="194" t="s">
        <v>2864</v>
      </c>
      <c r="C25" s="195"/>
      <c r="D25" s="197">
        <f>ber_Opm!C25</f>
        <v>0</v>
      </c>
      <c r="E25" s="197"/>
      <c r="F25" s="197"/>
      <c r="G25" s="197"/>
      <c r="H25" s="196" t="str">
        <f>IF(AND(ber_Med_disc!C11&gt;1,H24&lt;&gt;"STOP"),"Dosering/kg/dag: ","")</f>
        <v/>
      </c>
      <c r="I25" s="195"/>
      <c r="J25" s="197" t="str">
        <f>IF(ber_Med_disc!C11&gt;1,ber_Med_disc!L11,"")</f>
        <v/>
      </c>
      <c r="K25" s="195" t="str">
        <f>IF(AND(ber_Med_disc!C11&gt;1,H24&lt;&gt;"STOP"),J24&amp;"/kg/dag ","")</f>
        <v/>
      </c>
      <c r="L25" s="195"/>
      <c r="M25" s="195" t="str">
        <f>IF(AND(ber_Med_disc!C11&gt;1,ber_Med_disc!N11&gt;1,ber_Med_disc!M11&gt;0,H24&lt;&gt;"STOP"),"Oplossing:","")</f>
        <v/>
      </c>
      <c r="N25" s="195" t="str">
        <f>IF(AND(ber_Med_disc!C11&gt;1,ber_Med_disc!N11&gt;1,ber_Med_disc!M11&gt;0,H24&lt;&gt;"STOP"),ROUND(ber_Med_disc!G11/ber_Med_disc!M11,2)&amp;" "&amp;ber_Med_disc!E11&amp;"/ml","")</f>
        <v/>
      </c>
      <c r="O25" s="195"/>
      <c r="P25" s="195"/>
      <c r="Q25" s="186"/>
      <c r="R25" s="186"/>
      <c r="S25" s="186"/>
      <c r="T25" s="186"/>
      <c r="U25" s="186"/>
      <c r="V25" s="186"/>
    </row>
    <row r="26" spans="1:22" s="363" customFormat="1" ht="19.55" customHeight="1" x14ac:dyDescent="0.4">
      <c r="A26" s="186"/>
      <c r="B26" s="188">
        <v>11</v>
      </c>
      <c r="C26" s="189" t="str">
        <f>IF(ber_Med_disc!C12&gt;1,#REF!-1500+ber_Med_disc!B12,"")</f>
        <v/>
      </c>
      <c r="D26" s="398">
        <f>ber_Med_disc!C12</f>
        <v>0</v>
      </c>
      <c r="E26" s="398"/>
      <c r="F26" s="398"/>
      <c r="G26" s="398"/>
      <c r="H26" s="190" t="str">
        <f>IF(INDEX(ber_Med_disc!$D$27:$D$38,ber_Med_disc!H12,1)=0,"",INDEX(ber_Med_disc!$D$27:$D$38,ber_Med_disc!H12,1))</f>
        <v/>
      </c>
      <c r="I26" s="191" t="str">
        <f>IF(ber_Med_disc!C12&gt;1,ber_Med_disc!G12,"")</f>
        <v/>
      </c>
      <c r="J26" s="192" t="str">
        <f>IF(ber_Med_disc!C12&gt;1,ber_Med_disc!E12,"")</f>
        <v/>
      </c>
      <c r="K26" s="193">
        <f>ber_Med_disc!K12</f>
        <v>0</v>
      </c>
      <c r="L26" s="186" t="str">
        <f>IF(AND(ber_Med_disc!C12&gt;1,ber_Med_disc!N12&gt;1,H26&lt;&gt;"STOP"),ber_Med_disc!M12,"")</f>
        <v/>
      </c>
      <c r="M26" s="186" t="str">
        <f>IF(AND(ber_Med_disc!C12&gt;1,L26&lt;&gt;0,ber_Med_disc!N12&gt;1,H26&lt;&gt;"STOP"),"ml","")</f>
        <v/>
      </c>
      <c r="N26" s="186"/>
      <c r="O26" s="186" t="str">
        <f>IF(AND(L26&lt;&gt;"",ber_Med_disc!P12&gt;0,H26&lt;&gt;"STOP"),ber_Med_disc!P12&amp;" min","")</f>
        <v/>
      </c>
      <c r="P26" s="186"/>
      <c r="Q26" s="186"/>
      <c r="R26" s="186"/>
      <c r="S26" s="186"/>
      <c r="T26" s="186"/>
      <c r="U26" s="186"/>
      <c r="V26" s="186"/>
    </row>
    <row r="27" spans="1:22" s="363" customFormat="1" ht="19.55" customHeight="1" x14ac:dyDescent="0.35">
      <c r="A27" s="186"/>
      <c r="B27" s="194" t="s">
        <v>2864</v>
      </c>
      <c r="C27" s="195"/>
      <c r="D27" s="197">
        <f>ber_Opm!C26</f>
        <v>0</v>
      </c>
      <c r="E27" s="197"/>
      <c r="F27" s="197"/>
      <c r="G27" s="197"/>
      <c r="H27" s="196" t="str">
        <f>IF(AND(ber_Med_disc!C12&gt;1,H26&lt;&gt;"STOP"),"Dosering/kg/dag: ","")</f>
        <v/>
      </c>
      <c r="I27" s="195"/>
      <c r="J27" s="197" t="str">
        <f>IF(ber_Med_disc!C12&gt;1,ber_Med_disc!L12,"")</f>
        <v/>
      </c>
      <c r="K27" s="195" t="str">
        <f>IF(AND(ber_Med_disc!C12&gt;1,H26&lt;&gt;"STOP"),J26&amp;"/kg/dag ","")</f>
        <v/>
      </c>
      <c r="L27" s="195"/>
      <c r="M27" s="195" t="str">
        <f>IF(AND(ber_Med_disc!C12&gt;1,ber_Med_disc!N12&gt;1,ber_Med_disc!M12&gt;0,H26&lt;&gt;"STOP"),"Oplossing:","")</f>
        <v/>
      </c>
      <c r="N27" s="195" t="str">
        <f>IF(AND(ber_Med_disc!C12&gt;1,ber_Med_disc!N12&gt;1,ber_Med_disc!M12&gt;0,H26&lt;&gt;"STOP"),ROUND(ber_Med_disc!G12/ber_Med_disc!M12,2)&amp;" "&amp;ber_Med_disc!E12&amp;"/ml","")</f>
        <v/>
      </c>
      <c r="O27" s="195"/>
      <c r="P27" s="195"/>
      <c r="Q27" s="186"/>
      <c r="R27" s="186"/>
      <c r="S27" s="186"/>
      <c r="T27" s="186"/>
      <c r="U27" s="186"/>
      <c r="V27" s="186"/>
    </row>
    <row r="28" spans="1:22" s="363" customFormat="1" ht="19.55" customHeight="1" x14ac:dyDescent="0.4">
      <c r="A28" s="186"/>
      <c r="B28" s="188">
        <v>12</v>
      </c>
      <c r="C28" s="189" t="str">
        <f>IF(ber_Med_disc!C13&gt;1,#REF!-1500+ber_Med_disc!B13,"")</f>
        <v/>
      </c>
      <c r="D28" s="398">
        <f>ber_Med_disc!C13</f>
        <v>0</v>
      </c>
      <c r="E28" s="398"/>
      <c r="F28" s="398"/>
      <c r="G28" s="398"/>
      <c r="H28" s="190" t="str">
        <f>IF(INDEX(ber_Med_disc!$D$27:$D$38,ber_Med_disc!H13,1)=0,"",INDEX(ber_Med_disc!$D$27:$D$38,ber_Med_disc!H13,1))</f>
        <v/>
      </c>
      <c r="I28" s="191" t="str">
        <f>IF(ber_Med_disc!C13&gt;1,ber_Med_disc!G13,"")</f>
        <v/>
      </c>
      <c r="J28" s="192" t="str">
        <f>IF(ber_Med_disc!C13&gt;1,ber_Med_disc!E13,"")</f>
        <v/>
      </c>
      <c r="K28" s="193">
        <f>ber_Med_disc!K13</f>
        <v>0</v>
      </c>
      <c r="L28" s="186" t="str">
        <f>IF(AND(ber_Med_disc!C13&gt;1,ber_Med_disc!N13&gt;1,H28&lt;&gt;"STOP"),ber_Med_disc!M13,"")</f>
        <v/>
      </c>
      <c r="M28" s="186" t="str">
        <f>IF(AND(ber_Med_disc!C13&gt;1,L28&lt;&gt;0,ber_Med_disc!N13&gt;1,H28&lt;&gt;"STOP"),"ml","")</f>
        <v/>
      </c>
      <c r="N28" s="186"/>
      <c r="O28" s="186" t="str">
        <f>IF(AND(L28&lt;&gt;"",ber_Med_disc!P13&gt;0,H28&lt;&gt;"STOP"),ber_Med_disc!P13&amp;" min","")</f>
        <v/>
      </c>
      <c r="P28" s="186"/>
      <c r="Q28" s="186"/>
      <c r="R28" s="186"/>
      <c r="S28" s="186"/>
      <c r="T28" s="186"/>
      <c r="U28" s="186"/>
      <c r="V28" s="186"/>
    </row>
    <row r="29" spans="1:22" s="363" customFormat="1" ht="19.55" customHeight="1" x14ac:dyDescent="0.35">
      <c r="A29" s="186"/>
      <c r="B29" s="194" t="s">
        <v>2864</v>
      </c>
      <c r="C29" s="195"/>
      <c r="D29" s="197">
        <f>ber_Opm!C27</f>
        <v>0</v>
      </c>
      <c r="E29" s="197"/>
      <c r="F29" s="197"/>
      <c r="G29" s="197"/>
      <c r="H29" s="196" t="str">
        <f>IF(AND(ber_Med_disc!C13&gt;1,H28&lt;&gt;"STOP"),"Dosering/kg/dag: ","")</f>
        <v/>
      </c>
      <c r="I29" s="195"/>
      <c r="J29" s="197" t="str">
        <f>IF(ber_Med_disc!C13&gt;1,ber_Med_disc!L13,"")</f>
        <v/>
      </c>
      <c r="K29" s="195" t="str">
        <f>IF(AND(ber_Med_disc!C13&gt;1,H28&lt;&gt;"STOP"),J28&amp;"/kg/dag ","")</f>
        <v/>
      </c>
      <c r="L29" s="195"/>
      <c r="M29" s="195" t="str">
        <f>IF(AND(ber_Med_disc!C13&gt;1,ber_Med_disc!N13&gt;1,ber_Med_disc!M13&gt;0,H28&lt;&gt;"STOP"),"Oplossing:","")</f>
        <v/>
      </c>
      <c r="N29" s="195" t="str">
        <f>IF(AND(ber_Med_disc!C13&gt;1,ber_Med_disc!N13&gt;1,ber_Med_disc!M13&gt;0,H28&lt;&gt;"STOP"),ROUND(ber_Med_disc!G13/ber_Med_disc!M13,2)&amp;" "&amp;ber_Med_disc!E13&amp;"/ml","")</f>
        <v/>
      </c>
      <c r="O29" s="195"/>
      <c r="P29" s="195"/>
      <c r="Q29" s="186"/>
      <c r="R29" s="186"/>
      <c r="S29" s="186"/>
      <c r="T29" s="186"/>
      <c r="U29" s="186"/>
      <c r="V29" s="186"/>
    </row>
    <row r="30" spans="1:22" s="363" customFormat="1" ht="19.55" customHeight="1" x14ac:dyDescent="0.4">
      <c r="A30" s="186"/>
      <c r="B30" s="188">
        <v>13</v>
      </c>
      <c r="C30" s="189" t="str">
        <f>IF(ber_Med_disc!C14&gt;1,#REF!-1500+ber_Med_disc!B14,"")</f>
        <v/>
      </c>
      <c r="D30" s="398">
        <f>ber_Med_disc!C14</f>
        <v>0</v>
      </c>
      <c r="E30" s="398"/>
      <c r="F30" s="398"/>
      <c r="G30" s="398"/>
      <c r="H30" s="190" t="str">
        <f>IF(INDEX(ber_Med_disc!$D$27:$D$38,ber_Med_disc!H14,1)=0,"",INDEX(ber_Med_disc!$D$27:$D$38,ber_Med_disc!H14,1))</f>
        <v/>
      </c>
      <c r="I30" s="191" t="str">
        <f>IF(ber_Med_disc!C14&gt;1,ber_Med_disc!G14,"")</f>
        <v/>
      </c>
      <c r="J30" s="192" t="str">
        <f>IF(ber_Med_disc!C14&gt;1,ber_Med_disc!E14,"")</f>
        <v/>
      </c>
      <c r="K30" s="193">
        <f>ber_Med_disc!K14</f>
        <v>0</v>
      </c>
      <c r="L30" s="186" t="str">
        <f>IF(AND(ber_Med_disc!C14&gt;1,ber_Med_disc!N14&gt;1,H30&lt;&gt;"STOP"),ber_Med_disc!M14,"")</f>
        <v/>
      </c>
      <c r="M30" s="186" t="str">
        <f>IF(AND(ber_Med_disc!C14&gt;1,L30&lt;&gt;0,ber_Med_disc!N14&gt;1,H30&lt;&gt;"STOP"),"ml","")</f>
        <v/>
      </c>
      <c r="N30" s="186"/>
      <c r="O30" s="186" t="str">
        <f>IF(AND(L30&lt;&gt;"",ber_Med_disc!P14&gt;0,H30&lt;&gt;"STOP"),ber_Med_disc!P14&amp;" min","")</f>
        <v/>
      </c>
      <c r="P30" s="186"/>
      <c r="Q30" s="186"/>
      <c r="R30" s="186"/>
      <c r="S30" s="186"/>
      <c r="T30" s="186"/>
      <c r="U30" s="186"/>
      <c r="V30" s="186"/>
    </row>
    <row r="31" spans="1:22" s="363" customFormat="1" ht="19.55" customHeight="1" x14ac:dyDescent="0.35">
      <c r="A31" s="186"/>
      <c r="B31" s="194" t="s">
        <v>2864</v>
      </c>
      <c r="C31" s="195"/>
      <c r="D31" s="197">
        <f>ber_Opm!C28</f>
        <v>0</v>
      </c>
      <c r="E31" s="197"/>
      <c r="F31" s="197"/>
      <c r="G31" s="197"/>
      <c r="H31" s="196" t="str">
        <f>IF(AND(ber_Med_disc!C14&gt;1,H30&lt;&gt;"STOP"),"Dosering/kg/dag: ","")</f>
        <v/>
      </c>
      <c r="I31" s="195"/>
      <c r="J31" s="197" t="str">
        <f>IF(ber_Med_disc!C14&gt;1,ber_Med_disc!L14,"")</f>
        <v/>
      </c>
      <c r="K31" s="195" t="str">
        <f>IF(AND(ber_Med_disc!C14&gt;1,H30&lt;&gt;"STOP"),J30&amp;"/kg/dag ","")</f>
        <v/>
      </c>
      <c r="L31" s="195"/>
      <c r="M31" s="195" t="str">
        <f>IF(AND(ber_Med_disc!C14&gt;1,ber_Med_disc!N14&gt;1,ber_Med_disc!M14&gt;0,H30&lt;&gt;"STOP"),"Oplossing:","")</f>
        <v/>
      </c>
      <c r="N31" s="195" t="str">
        <f>IF(AND(ber_Med_disc!C14&gt;1,ber_Med_disc!N14&gt;1,ber_Med_disc!M14&gt;0,H30&lt;&gt;"STOP"),ROUND(ber_Med_disc!G14/ber_Med_disc!M14,2)&amp;" "&amp;ber_Med_disc!E14&amp;"/ml","")</f>
        <v/>
      </c>
      <c r="O31" s="195"/>
      <c r="P31" s="195"/>
      <c r="Q31" s="186"/>
      <c r="R31" s="186"/>
      <c r="S31" s="186"/>
      <c r="T31" s="186"/>
      <c r="U31" s="186"/>
      <c r="V31" s="186"/>
    </row>
    <row r="32" spans="1:22" s="363" customFormat="1" ht="19.55" customHeight="1" x14ac:dyDescent="0.4">
      <c r="A32" s="186"/>
      <c r="B32" s="188">
        <v>14</v>
      </c>
      <c r="C32" s="189" t="str">
        <f>IF(ber_Med_disc!C15&gt;1,#REF!-1500+ber_Med_disc!B15,"")</f>
        <v/>
      </c>
      <c r="D32" s="398">
        <f>ber_Med_disc!C15</f>
        <v>0</v>
      </c>
      <c r="E32" s="398"/>
      <c r="F32" s="398"/>
      <c r="G32" s="398"/>
      <c r="H32" s="190" t="str">
        <f>IF(INDEX(ber_Med_disc!$D$27:$D$38,ber_Med_disc!H15,1)=0,"",INDEX(ber_Med_disc!$D$27:$D$38,ber_Med_disc!H15,1))</f>
        <v/>
      </c>
      <c r="I32" s="191" t="str">
        <f>IF(ber_Med_disc!C15&gt;1,ber_Med_disc!G15,"")</f>
        <v/>
      </c>
      <c r="J32" s="192" t="str">
        <f>IF(ber_Med_disc!C15&gt;1,ber_Med_disc!E15,"")</f>
        <v/>
      </c>
      <c r="K32" s="193">
        <f>ber_Med_disc!K15</f>
        <v>0</v>
      </c>
      <c r="L32" s="186" t="str">
        <f>IF(AND(ber_Med_disc!C15&gt;1,ber_Med_disc!N15&gt;1,H32&lt;&gt;"STOP"),ber_Med_disc!M15,"")</f>
        <v/>
      </c>
      <c r="M32" s="186" t="str">
        <f>IF(AND(ber_Med_disc!C15&gt;1,L32&lt;&gt;0,ber_Med_disc!N15&gt;1,H32&lt;&gt;"STOP"),"ml","")</f>
        <v/>
      </c>
      <c r="N32" s="186"/>
      <c r="O32" s="186" t="str">
        <f>IF(AND(L32&lt;&gt;"",ber_Med_disc!P15&gt;0,H32&lt;&gt;"STOP"),ber_Med_disc!P15&amp;" min","")</f>
        <v/>
      </c>
      <c r="P32" s="186"/>
      <c r="Q32" s="186"/>
      <c r="R32" s="186"/>
      <c r="S32" s="186"/>
      <c r="T32" s="186"/>
      <c r="U32" s="186"/>
      <c r="V32" s="186"/>
    </row>
    <row r="33" spans="1:22" s="363" customFormat="1" ht="19.55" customHeight="1" x14ac:dyDescent="0.35">
      <c r="A33" s="186"/>
      <c r="B33" s="194" t="s">
        <v>2864</v>
      </c>
      <c r="C33" s="195"/>
      <c r="D33" s="197">
        <f>ber_Opm!C29</f>
        <v>0</v>
      </c>
      <c r="E33" s="197"/>
      <c r="F33" s="197"/>
      <c r="G33" s="197"/>
      <c r="H33" s="196" t="str">
        <f>IF(AND(ber_Med_disc!C15&gt;1,H32&lt;&gt;"STOP"),"Dosering/kg/dag: ","")</f>
        <v/>
      </c>
      <c r="I33" s="195"/>
      <c r="J33" s="197" t="str">
        <f>IF(ber_Med_disc!C15&gt;1,ber_Med_disc!L15,"")</f>
        <v/>
      </c>
      <c r="K33" s="195" t="str">
        <f>IF(AND(ber_Med_disc!C15&gt;1,H32&lt;&gt;"STOP"),J32&amp;"/kg/dag ","")</f>
        <v/>
      </c>
      <c r="L33" s="195"/>
      <c r="M33" s="195" t="str">
        <f>IF(AND(ber_Med_disc!C15&gt;1,ber_Med_disc!N15&gt;1,ber_Med_disc!M15&gt;0,H32&lt;&gt;"STOP"),"Oplossing:","")</f>
        <v/>
      </c>
      <c r="N33" s="195" t="str">
        <f>IF(AND(ber_Med_disc!C15&gt;1,ber_Med_disc!N15&gt;1,ber_Med_disc!M15&gt;0,H32&lt;&gt;"STOP"),ROUND(ber_Med_disc!G15/ber_Med_disc!M15,2)&amp;" "&amp;ber_Med_disc!E15&amp;"/ml","")</f>
        <v/>
      </c>
      <c r="O33" s="195"/>
      <c r="P33" s="195"/>
      <c r="Q33" s="186"/>
      <c r="R33" s="186"/>
      <c r="S33" s="186"/>
      <c r="T33" s="186"/>
      <c r="U33" s="186"/>
      <c r="V33" s="186"/>
    </row>
    <row r="34" spans="1:22" s="363" customFormat="1" ht="19.55" customHeight="1" x14ac:dyDescent="0.4">
      <c r="A34" s="186"/>
      <c r="B34" s="188">
        <v>15</v>
      </c>
      <c r="C34" s="189" t="str">
        <f>IF(ber_Med_disc!C16&gt;1,#REF!-1500+ber_Med_disc!B16,"")</f>
        <v/>
      </c>
      <c r="D34" s="398">
        <f>ber_Med_disc!C16</f>
        <v>0</v>
      </c>
      <c r="E34" s="398"/>
      <c r="F34" s="398"/>
      <c r="G34" s="398"/>
      <c r="H34" s="190" t="str">
        <f>IF(INDEX(ber_Med_disc!$D$27:$D$38,ber_Med_disc!H16,1)=0,"",INDEX(ber_Med_disc!$D$27:$D$38,ber_Med_disc!H16,1))</f>
        <v/>
      </c>
      <c r="I34" s="191" t="str">
        <f>IF(ber_Med_disc!C16&gt;1,ber_Med_disc!G16,"")</f>
        <v/>
      </c>
      <c r="J34" s="192" t="str">
        <f>IF(ber_Med_disc!C16&gt;1,ber_Med_disc!E16,"")</f>
        <v/>
      </c>
      <c r="K34" s="193">
        <f>ber_Med_disc!K16</f>
        <v>0</v>
      </c>
      <c r="L34" s="186" t="str">
        <f>IF(AND(ber_Med_disc!C16&gt;1,ber_Med_disc!N16&gt;1,H34&lt;&gt;"STOP"),ber_Med_disc!M16,"")</f>
        <v/>
      </c>
      <c r="M34" s="186" t="str">
        <f>IF(AND(ber_Med_disc!C16&gt;1,L34&lt;&gt;0,ber_Med_disc!N16&gt;1,H34&lt;&gt;"STOP"),"ml","")</f>
        <v/>
      </c>
      <c r="N34" s="186"/>
      <c r="O34" s="186" t="str">
        <f>IF(AND(L34&lt;&gt;"",ber_Med_disc!P16&gt;0,H34&lt;&gt;"STOP"),ber_Med_disc!P16&amp;" min","")</f>
        <v/>
      </c>
      <c r="P34" s="186"/>
      <c r="Q34" s="186"/>
      <c r="R34" s="186"/>
      <c r="S34" s="186"/>
      <c r="T34" s="186"/>
      <c r="U34" s="186"/>
      <c r="V34" s="186"/>
    </row>
    <row r="35" spans="1:22" s="363" customFormat="1" ht="19.55" customHeight="1" x14ac:dyDescent="0.35">
      <c r="A35" s="186"/>
      <c r="B35" s="194" t="s">
        <v>2864</v>
      </c>
      <c r="C35" s="195"/>
      <c r="D35" s="197">
        <f>ber_Opm!C30</f>
        <v>0</v>
      </c>
      <c r="E35" s="197"/>
      <c r="F35" s="197"/>
      <c r="G35" s="197"/>
      <c r="H35" s="196" t="str">
        <f>IF(AND(ber_Med_disc!C16&gt;1,H34&lt;&gt;"STOP"),"Dosering/kg/dag: ","")</f>
        <v/>
      </c>
      <c r="I35" s="195"/>
      <c r="J35" s="197" t="str">
        <f>IF(ber_Med_disc!C16&gt;1,ber_Med_disc!L16,"")</f>
        <v/>
      </c>
      <c r="K35" s="195" t="str">
        <f>IF(AND(ber_Med_disc!C16&gt;1,H34&lt;&gt;"STOP"),J34&amp;"/kg/dag ","")</f>
        <v/>
      </c>
      <c r="L35" s="195"/>
      <c r="M35" s="195" t="str">
        <f>IF(AND(ber_Med_disc!C16&gt;1,ber_Med_disc!N16&gt;1,ber_Med_disc!M16&gt;0,H34&lt;&gt;"STOP"),"Oplossing:","")</f>
        <v/>
      </c>
      <c r="N35" s="195" t="str">
        <f>IF(AND(ber_Med_disc!C16&gt;1,ber_Med_disc!N16&gt;1,ber_Med_disc!M16&gt;0,H34&lt;&gt;"STOP"),ROUND(ber_Med_disc!G16/ber_Med_disc!M16,2)&amp;" "&amp;ber_Med_disc!E16&amp;"/ml","")</f>
        <v/>
      </c>
      <c r="O35" s="195"/>
      <c r="P35" s="195"/>
      <c r="Q35" s="186"/>
      <c r="R35" s="186"/>
      <c r="S35" s="186"/>
      <c r="T35" s="186"/>
      <c r="U35" s="186"/>
      <c r="V35" s="186"/>
    </row>
    <row r="36" spans="1:22" s="363" customFormat="1" ht="19.55" customHeight="1" x14ac:dyDescent="0.4">
      <c r="A36" s="186"/>
      <c r="B36" s="188">
        <v>16</v>
      </c>
      <c r="C36" s="189" t="str">
        <f>IF(ber_Med_disc!C17&gt;1,#REF!-1500+ber_Med_disc!B17,"")</f>
        <v/>
      </c>
      <c r="D36" s="398">
        <f>ber_Med_disc!C17</f>
        <v>0</v>
      </c>
      <c r="E36" s="398"/>
      <c r="F36" s="398"/>
      <c r="G36" s="398"/>
      <c r="H36" s="190" t="str">
        <f>IF(INDEX(ber_Med_disc!$D$27:$D$38,ber_Med_disc!H17,1)=0,"",INDEX(ber_Med_disc!$D$27:$D$38,ber_Med_disc!H17,1))</f>
        <v/>
      </c>
      <c r="I36" s="191" t="str">
        <f>IF(ber_Med_disc!C17&gt;1,ber_Med_disc!G17,"")</f>
        <v/>
      </c>
      <c r="J36" s="192" t="str">
        <f>IF(ber_Med_disc!C17&gt;1,ber_Med_disc!E17,"")</f>
        <v/>
      </c>
      <c r="K36" s="193">
        <f>ber_Med_disc!K17</f>
        <v>0</v>
      </c>
      <c r="L36" s="186" t="str">
        <f>IF(AND(ber_Med_disc!C17&gt;1,ber_Med_disc!N17&gt;1),ber_Med_disc!M17,"")</f>
        <v/>
      </c>
      <c r="M36" s="186" t="str">
        <f>IF(AND(ber_Med_disc!C17&gt;1,L36&lt;&gt;0,ber_Med_disc!N17&gt;1),"ml","")</f>
        <v/>
      </c>
      <c r="N36" s="186"/>
      <c r="O36" s="186" t="str">
        <f>IF(AND(L36&lt;&gt;"",ber_Med_disc!P17&gt;0),ber_Med_disc!P17&amp;" min","")</f>
        <v/>
      </c>
      <c r="P36" s="186"/>
      <c r="Q36" s="186"/>
      <c r="R36" s="186"/>
      <c r="S36" s="186"/>
      <c r="T36" s="186"/>
      <c r="U36" s="186"/>
      <c r="V36" s="186"/>
    </row>
    <row r="37" spans="1:22" s="363" customFormat="1" ht="19.55" customHeight="1" x14ac:dyDescent="0.35">
      <c r="A37" s="186"/>
      <c r="B37" s="194" t="s">
        <v>2864</v>
      </c>
      <c r="C37" s="195"/>
      <c r="D37" s="197">
        <f>ber_Opm!C31</f>
        <v>0</v>
      </c>
      <c r="E37" s="197"/>
      <c r="F37" s="197"/>
      <c r="G37" s="197"/>
      <c r="H37" s="196" t="str">
        <f>IF(ber_Med_disc!C17&gt;1,"Dosering/kg/dag: ","")</f>
        <v/>
      </c>
      <c r="I37" s="195"/>
      <c r="J37" s="197" t="str">
        <f>IF(ber_Med_disc!C17&gt;1,ber_Med_disc!L17,"")</f>
        <v/>
      </c>
      <c r="K37" s="195" t="str">
        <f>IF(AND(ber_Med_disc!C17&gt;1),INDEX(ber_Med_disc!E27:E32,J36,1)&amp;"/kg/dag ","")</f>
        <v/>
      </c>
      <c r="L37" s="195"/>
      <c r="M37" s="195" t="str">
        <f>IF(AND(ber_Med_disc!C17&gt;1,ber_Med_disc!N17&gt;1,ber_Med_disc!M17&gt;0),"Oplossing:","")</f>
        <v/>
      </c>
      <c r="N37" s="195" t="str">
        <f>IF(AND(ber_Med_disc!C17&gt;1,ber_Med_disc!N17&gt;1,ber_Med_disc!M17&gt;0),ROUND(ber_Med_disc!G17/ber_Med_disc!M17,2)&amp;" "&amp;ber_Med_disc!E17&amp;"/ml","")</f>
        <v/>
      </c>
      <c r="O37" s="195"/>
      <c r="P37" s="195"/>
      <c r="Q37" s="186"/>
      <c r="R37" s="186"/>
      <c r="S37" s="186"/>
      <c r="T37" s="186"/>
      <c r="U37" s="186"/>
      <c r="V37" s="186"/>
    </row>
    <row r="38" spans="1:22" s="363" customFormat="1" ht="19.55" customHeight="1" x14ac:dyDescent="0.4">
      <c r="A38" s="186"/>
      <c r="B38" s="188">
        <v>17</v>
      </c>
      <c r="C38" s="189" t="str">
        <f>IF(ber_Med_disc!C18&gt;1,#REF!-1500+ber_Med_disc!B18,"")</f>
        <v/>
      </c>
      <c r="D38" s="398">
        <f>ber_Med_disc!C18</f>
        <v>0</v>
      </c>
      <c r="E38" s="398"/>
      <c r="F38" s="398"/>
      <c r="G38" s="398"/>
      <c r="H38" s="190" t="str">
        <f>IF(INDEX(ber_Med_disc!$D$27:$D$38,ber_Med_disc!H18,1)=0,"",INDEX(ber_Med_disc!$D$27:$D$38,ber_Med_disc!H18,1))</f>
        <v/>
      </c>
      <c r="I38" s="191" t="str">
        <f>IF(ber_Med_disc!C18&gt;1,ber_Med_disc!G18,"")</f>
        <v/>
      </c>
      <c r="J38" s="192" t="str">
        <f>IF(ber_Med_disc!C18&gt;1,ber_Med_disc!E18,"")</f>
        <v/>
      </c>
      <c r="K38" s="193">
        <f>ber_Med_disc!K18</f>
        <v>0</v>
      </c>
      <c r="L38" s="186" t="str">
        <f>IF(AND(ber_Med_disc!C18&gt;1,ber_Med_disc!N18&gt;1),ber_Med_disc!M18,"")</f>
        <v/>
      </c>
      <c r="M38" s="186" t="str">
        <f>IF(AND(ber_Med_disc!C18&gt;1,L38&lt;&gt;0,ber_Med_disc!N18&gt;1),"ml","")</f>
        <v/>
      </c>
      <c r="N38" s="186"/>
      <c r="O38" s="186" t="str">
        <f>IF(AND(L38&lt;&gt;"",ber_Med_disc!P18&gt;0),ber_Med_disc!P18&amp;" min","")</f>
        <v/>
      </c>
      <c r="P38" s="186"/>
      <c r="Q38" s="186"/>
      <c r="R38" s="186"/>
      <c r="S38" s="186"/>
      <c r="T38" s="186"/>
      <c r="U38" s="186"/>
      <c r="V38" s="186"/>
    </row>
    <row r="39" spans="1:22" s="363" customFormat="1" ht="19.55" customHeight="1" x14ac:dyDescent="0.35">
      <c r="A39" s="186"/>
      <c r="B39" s="194" t="s">
        <v>2864</v>
      </c>
      <c r="C39" s="195"/>
      <c r="D39" s="197">
        <f>ber_Opm!C32</f>
        <v>0</v>
      </c>
      <c r="E39" s="197"/>
      <c r="F39" s="197"/>
      <c r="G39" s="197"/>
      <c r="H39" s="196" t="str">
        <f>IF(ber_Med_disc!C18&gt;1,"Dosering/kg/dag: ","")</f>
        <v/>
      </c>
      <c r="I39" s="195"/>
      <c r="J39" s="197" t="str">
        <f>IF(ber_Med_disc!C18&gt;1,ber_Med_disc!L18,"")</f>
        <v/>
      </c>
      <c r="K39" s="195" t="str">
        <f>IF(AND(ber_Med_disc!C18&gt;1),J38&amp;"/kg/dag ","")</f>
        <v/>
      </c>
      <c r="L39" s="195"/>
      <c r="M39" s="195" t="str">
        <f>IF(AND(ber_Med_disc!C18&gt;1,ber_Med_disc!N18&gt;1,ber_Med_disc!M18&gt;0),"Oplossing:","")</f>
        <v/>
      </c>
      <c r="N39" s="195" t="str">
        <f>IF(AND(ber_Med_disc!C18&gt;1,ber_Med_disc!N18&gt;1,ber_Med_disc!M18&gt;0),ROUND(ber_Med_disc!G18/ber_Med_disc!M18,2)&amp;" "&amp;ber_Med_disc!E18&amp;"/ml","")</f>
        <v/>
      </c>
      <c r="O39" s="195"/>
      <c r="P39" s="195"/>
      <c r="Q39" s="186"/>
      <c r="R39" s="186"/>
      <c r="S39" s="186"/>
      <c r="T39" s="186"/>
      <c r="U39" s="186"/>
      <c r="V39" s="186"/>
    </row>
    <row r="40" spans="1:22" s="363" customFormat="1" ht="19.55" customHeight="1" x14ac:dyDescent="0.4">
      <c r="A40" s="186"/>
      <c r="B40" s="188">
        <v>18</v>
      </c>
      <c r="C40" s="189" t="str">
        <f>IF(ber_Med_disc!C19&gt;1,#REF!-1500+ber_Med_disc!B19,"")</f>
        <v/>
      </c>
      <c r="D40" s="398">
        <f>ber_Med_disc!C19</f>
        <v>0</v>
      </c>
      <c r="E40" s="398"/>
      <c r="F40" s="398"/>
      <c r="G40" s="398"/>
      <c r="H40" s="190" t="str">
        <f>IF(INDEX(ber_Med_disc!$D$27:$D$38,ber_Med_disc!H19,1)=0,"",INDEX(ber_Med_disc!$D$27:$D$38,ber_Med_disc!H19,1))</f>
        <v/>
      </c>
      <c r="I40" s="191" t="str">
        <f>IF(ber_Med_disc!C19&gt;1,ber_Med_disc!G19,"")</f>
        <v/>
      </c>
      <c r="J40" s="192" t="str">
        <f>IF(ber_Med_disc!C19&gt;1,ber_Med_disc!E19,"")</f>
        <v/>
      </c>
      <c r="K40" s="193">
        <f>ber_Med_disc!K19</f>
        <v>0</v>
      </c>
      <c r="L40" s="186" t="str">
        <f>IF(AND(ber_Med_disc!C19&gt;1,ber_Med_disc!N19&gt;1),ber_Med_disc!M19,"")</f>
        <v/>
      </c>
      <c r="M40" s="186" t="str">
        <f>IF(AND(ber_Med_disc!C19&gt;1,L40&lt;&gt;0,ber_Med_disc!N19&gt;1),"ml","")</f>
        <v/>
      </c>
      <c r="N40" s="186"/>
      <c r="O40" s="186" t="str">
        <f>IF(AND(L40&lt;&gt;"",ber_Med_disc!P19&gt;0),ber_Med_disc!P19&amp;" min","")</f>
        <v/>
      </c>
      <c r="P40" s="186"/>
      <c r="Q40" s="186"/>
      <c r="R40" s="186"/>
      <c r="S40" s="186"/>
      <c r="T40" s="186"/>
      <c r="U40" s="186"/>
      <c r="V40" s="186"/>
    </row>
    <row r="41" spans="1:22" s="363" customFormat="1" ht="19.55" customHeight="1" x14ac:dyDescent="0.35">
      <c r="A41" s="186"/>
      <c r="B41" s="194" t="s">
        <v>2864</v>
      </c>
      <c r="C41" s="195"/>
      <c r="D41" s="197">
        <f>ber_Opm!C33</f>
        <v>0</v>
      </c>
      <c r="E41" s="197"/>
      <c r="F41" s="197"/>
      <c r="G41" s="197"/>
      <c r="H41" s="196" t="str">
        <f>IF(ber_Med_disc!C19&gt;1,"Dosering/kg/dag: ","")</f>
        <v/>
      </c>
      <c r="I41" s="195"/>
      <c r="J41" s="197" t="str">
        <f>IF(ber_Med_disc!C19&gt;1,ber_Med_disc!L19,"")</f>
        <v/>
      </c>
      <c r="K41" s="195" t="str">
        <f>IF(AND(ber_Med_disc!C19&gt;1),J40&amp;"/kg/dag ","")</f>
        <v/>
      </c>
      <c r="L41" s="195"/>
      <c r="M41" s="195" t="str">
        <f>IF(AND(ber_Med_disc!C19&gt;1,ber_Med_disc!N19&gt;1,ber_Med_disc!M19&gt;0),"Oplossing:","")</f>
        <v/>
      </c>
      <c r="N41" s="195" t="str">
        <f>IF(AND(ber_Med_disc!C19&gt;1,ber_Med_disc!N19&gt;1,ber_Med_disc!M19&gt;0),ROUND(ber_Med_disc!G19/ber_Med_disc!M19,2)&amp;" "&amp;ber_Med_disc!E19&amp;"/ml","")</f>
        <v/>
      </c>
      <c r="O41" s="195"/>
      <c r="P41" s="195"/>
      <c r="Q41" s="186"/>
      <c r="R41" s="186"/>
      <c r="S41" s="186"/>
      <c r="T41" s="186"/>
      <c r="U41" s="186"/>
      <c r="V41" s="186"/>
    </row>
    <row r="42" spans="1:22" s="363" customFormat="1" ht="19.55" customHeight="1" x14ac:dyDescent="0.4">
      <c r="A42" s="186"/>
      <c r="B42" s="188">
        <v>19</v>
      </c>
      <c r="C42" s="189" t="str">
        <f>IF(ber_Med_disc!C20&gt;1,#REF!-1500+ber_Med_disc!B20,"")</f>
        <v/>
      </c>
      <c r="D42" s="398">
        <f>ber_Med_disc!C20</f>
        <v>0</v>
      </c>
      <c r="E42" s="398"/>
      <c r="F42" s="398"/>
      <c r="G42" s="398"/>
      <c r="H42" s="190" t="str">
        <f>IF(INDEX(ber_Med_disc!$D$27:$D$38,ber_Med_disc!H20,1)=0,"",INDEX(ber_Med_disc!$D$27:$D$38,ber_Med_disc!H20,1))</f>
        <v/>
      </c>
      <c r="I42" s="191" t="str">
        <f>IF(ber_Med_disc!C20&gt;1,ber_Med_disc!G20,"")</f>
        <v/>
      </c>
      <c r="J42" s="192" t="str">
        <f>IF(ber_Med_disc!C20&gt;1,ber_Med_disc!E20,"")</f>
        <v/>
      </c>
      <c r="K42" s="193">
        <f>ber_Med_disc!K20</f>
        <v>0</v>
      </c>
      <c r="L42" s="186" t="str">
        <f>IF(AND(ber_Med_disc!C20&gt;1,ber_Med_disc!N20&gt;1),ber_Med_disc!M20,"")</f>
        <v/>
      </c>
      <c r="M42" s="186" t="str">
        <f>IF(AND(ber_Med_disc!C20&gt;1,L42&lt;&gt;0,ber_Med_disc!N20&gt;1),"ml","")</f>
        <v/>
      </c>
      <c r="N42" s="186"/>
      <c r="O42" s="186" t="str">
        <f>IF(AND(L42&lt;&gt;"",ber_Med_disc!P20&gt;0),ber_Med_disc!P20&amp;" min","")</f>
        <v/>
      </c>
      <c r="P42" s="186"/>
      <c r="Q42" s="186"/>
      <c r="R42" s="186"/>
      <c r="S42" s="186"/>
      <c r="T42" s="186"/>
      <c r="U42" s="186"/>
      <c r="V42" s="186"/>
    </row>
    <row r="43" spans="1:22" s="363" customFormat="1" ht="19.55" customHeight="1" x14ac:dyDescent="0.35">
      <c r="A43" s="186"/>
      <c r="B43" s="194" t="s">
        <v>2864</v>
      </c>
      <c r="C43" s="195"/>
      <c r="D43" s="197">
        <f>ber_Opm!C34</f>
        <v>0</v>
      </c>
      <c r="E43" s="197"/>
      <c r="F43" s="197"/>
      <c r="G43" s="197"/>
      <c r="H43" s="196" t="str">
        <f>IF(ber_Med_disc!C20&gt;1,"Dosering/kg/dag: ","")</f>
        <v/>
      </c>
      <c r="I43" s="195"/>
      <c r="J43" s="197" t="str">
        <f>IF(ber_Med_disc!C20&gt;1,ber_Med_disc!L20,"")</f>
        <v/>
      </c>
      <c r="K43" s="195" t="str">
        <f>IF(AND(ber_Med_disc!C20&gt;1),J42&amp;"/kg/dag ","")</f>
        <v/>
      </c>
      <c r="L43" s="195"/>
      <c r="M43" s="195" t="str">
        <f>IF(AND(ber_Med_disc!C20&gt;1,ber_Med_disc!N20&gt;1,ber_Med_disc!M20&gt;0),"Oplossing:","")</f>
        <v/>
      </c>
      <c r="N43" s="195" t="str">
        <f>IF(AND(ber_Med_disc!C20&gt;1,ber_Med_disc!N20&gt;1,ber_Med_disc!M20&gt;0),ROUND(ber_Med_disc!G20/ber_Med_disc!M20,2)&amp;" "&amp;ber_Med_disc!E20&amp;"/ml","")</f>
        <v/>
      </c>
      <c r="O43" s="195"/>
      <c r="P43" s="195"/>
      <c r="Q43" s="186"/>
      <c r="R43" s="186"/>
      <c r="S43" s="186"/>
      <c r="T43" s="186"/>
      <c r="U43" s="186"/>
      <c r="V43" s="186"/>
    </row>
    <row r="44" spans="1:22" s="363" customFormat="1" ht="19.55" customHeight="1" x14ac:dyDescent="0.4">
      <c r="A44" s="186"/>
      <c r="B44" s="188">
        <v>20</v>
      </c>
      <c r="C44" s="199" t="str">
        <f>IF(ber_Med_disc!C21&gt;1,#REF!-1500+ber_Med_disc!B21,"")</f>
        <v/>
      </c>
      <c r="D44" s="398">
        <f>ber_Med_disc!C21</f>
        <v>0</v>
      </c>
      <c r="E44" s="398"/>
      <c r="F44" s="398"/>
      <c r="G44" s="398"/>
      <c r="H44" s="190" t="str">
        <f>IF(INDEX(ber_Med_disc!$D$27:$D$38,ber_Med_disc!H21,1)=0,"",INDEX(ber_Med_disc!$D$27:$D$38,ber_Med_disc!H21,1))</f>
        <v/>
      </c>
      <c r="I44" s="191" t="str">
        <f>IF(ber_Med_disc!C21&gt;1,ber_Med_disc!G21,"")</f>
        <v/>
      </c>
      <c r="J44" s="192" t="str">
        <f>IF(ber_Med_disc!C21&gt;1,ber_Med_disc!E21,"")</f>
        <v/>
      </c>
      <c r="K44" s="193">
        <f>ber_Med_disc!K21</f>
        <v>0</v>
      </c>
      <c r="L44" s="186" t="str">
        <f>IF(AND(ber_Med_disc!C21&gt;1,ber_Med_disc!N21&gt;1),ber_Med_disc!M21,"")</f>
        <v/>
      </c>
      <c r="M44" s="186" t="str">
        <f>IF(AND(ber_Med_disc!C21&gt;1,L44&lt;&gt;0,ber_Med_disc!N21&gt;1),"ml","")</f>
        <v/>
      </c>
      <c r="N44" s="186"/>
      <c r="O44" s="186" t="str">
        <f>IF(AND(L44&lt;&gt;"",ber_Med_disc!P21&gt;0),ber_Med_disc!P21&amp;" min","")</f>
        <v/>
      </c>
      <c r="P44" s="186"/>
      <c r="Q44" s="186"/>
      <c r="R44" s="186"/>
      <c r="S44" s="186"/>
      <c r="T44" s="186"/>
      <c r="U44" s="186"/>
      <c r="V44" s="186"/>
    </row>
    <row r="45" spans="1:22" s="363" customFormat="1" ht="19.55" customHeight="1" x14ac:dyDescent="0.35">
      <c r="A45" s="186"/>
      <c r="B45" s="194" t="s">
        <v>2864</v>
      </c>
      <c r="C45" s="195"/>
      <c r="D45" s="197">
        <f>ber_Opm!C35</f>
        <v>0</v>
      </c>
      <c r="E45" s="197"/>
      <c r="F45" s="197"/>
      <c r="G45" s="197"/>
      <c r="H45" s="196" t="str">
        <f>IF(ber_Med_disc!C21&gt;1,"Dosering/kg/dag: ","")</f>
        <v/>
      </c>
      <c r="I45" s="195"/>
      <c r="J45" s="197" t="str">
        <f>IF(ber_Med_disc!C21&gt;1,ber_Med_disc!L21,"")</f>
        <v/>
      </c>
      <c r="K45" s="195" t="str">
        <f>IF(AND(ber_Med_disc!C21&gt;1),J44&amp;"/kg/dag ","")</f>
        <v/>
      </c>
      <c r="L45" s="195"/>
      <c r="M45" s="195" t="str">
        <f>IF(AND(ber_Med_disc!C21&gt;1,ber_Med_disc!N21&gt;1,ber_Med_disc!M21&gt;0),"Oplossing:","")</f>
        <v/>
      </c>
      <c r="N45" s="195" t="str">
        <f>IF(AND(ber_Med_disc!C21&gt;1,ber_Med_disc!N21&gt;1,ber_Med_disc!M21&gt;0),ROUND(ber_Med_disc!G21/ber_Med_disc!M21,2)&amp;" "&amp;ber_Med_disc!E21&amp;"/ml","")</f>
        <v/>
      </c>
      <c r="O45" s="195"/>
      <c r="P45" s="195"/>
      <c r="Q45" s="186"/>
      <c r="R45" s="186"/>
      <c r="S45" s="186"/>
      <c r="T45" s="186"/>
      <c r="U45" s="186"/>
      <c r="V45" s="186"/>
    </row>
    <row r="46" spans="1:22" s="363" customFormat="1" ht="19.55" customHeight="1" x14ac:dyDescent="0.35">
      <c r="A46" s="186"/>
      <c r="B46" s="186"/>
      <c r="C46" s="186"/>
      <c r="D46" s="186"/>
      <c r="E46" s="186"/>
      <c r="F46" s="186"/>
      <c r="G46" s="187"/>
      <c r="H46" s="186"/>
      <c r="I46" s="186"/>
      <c r="J46" s="186"/>
      <c r="K46" s="186"/>
      <c r="L46" s="186"/>
      <c r="M46" s="186"/>
      <c r="N46" s="186"/>
      <c r="O46" s="186"/>
      <c r="P46" s="186"/>
      <c r="Q46" s="186"/>
      <c r="R46" s="186"/>
      <c r="S46" s="186"/>
      <c r="T46" s="186"/>
      <c r="U46" s="186"/>
      <c r="V46" s="186"/>
    </row>
    <row r="47" spans="1:22" s="363" customFormat="1" ht="19.55" customHeight="1" x14ac:dyDescent="0.35">
      <c r="A47" s="186"/>
      <c r="B47" s="186"/>
      <c r="C47" s="186"/>
      <c r="D47" s="186"/>
      <c r="E47" s="186"/>
      <c r="F47" s="186"/>
      <c r="G47" s="186"/>
      <c r="H47" s="186"/>
      <c r="I47" s="186"/>
      <c r="J47" s="186"/>
      <c r="K47" s="186"/>
      <c r="L47" s="186"/>
      <c r="M47" s="186"/>
      <c r="N47" s="186"/>
      <c r="O47" s="186"/>
      <c r="P47" s="186"/>
      <c r="Q47" s="186"/>
      <c r="R47" s="186"/>
      <c r="S47" s="186"/>
      <c r="T47" s="186"/>
      <c r="U47" s="186"/>
      <c r="V47" s="186"/>
    </row>
    <row r="48" spans="1:22" s="363" customFormat="1" ht="19.55" customHeight="1" x14ac:dyDescent="0.35">
      <c r="A48" s="186"/>
      <c r="B48" s="186"/>
      <c r="C48" s="186"/>
      <c r="D48" s="186"/>
      <c r="E48" s="186"/>
      <c r="F48" s="186"/>
      <c r="G48" s="186"/>
      <c r="H48" s="186"/>
      <c r="I48" s="186"/>
      <c r="J48" s="186"/>
      <c r="K48" s="186"/>
      <c r="L48" s="186"/>
      <c r="M48" s="186"/>
      <c r="N48" s="186"/>
      <c r="O48" s="186"/>
      <c r="P48" s="186"/>
      <c r="Q48" s="186"/>
      <c r="R48" s="186"/>
      <c r="S48" s="186"/>
      <c r="T48" s="186"/>
      <c r="U48" s="186"/>
      <c r="V48" s="186"/>
    </row>
    <row r="49" spans="1:22" s="363" customFormat="1" ht="19.55" customHeight="1" x14ac:dyDescent="0.35">
      <c r="A49" s="186"/>
      <c r="B49" s="186"/>
      <c r="C49" s="186"/>
      <c r="D49" s="186"/>
      <c r="E49" s="186"/>
      <c r="F49" s="186"/>
      <c r="G49" s="186"/>
      <c r="H49" s="186"/>
      <c r="I49" s="186"/>
      <c r="J49" s="186"/>
      <c r="K49" s="186"/>
      <c r="L49" s="186"/>
      <c r="M49" s="186"/>
      <c r="N49" s="186"/>
      <c r="O49" s="186"/>
      <c r="P49" s="186"/>
      <c r="Q49" s="186"/>
      <c r="R49" s="186"/>
      <c r="S49" s="186"/>
      <c r="T49" s="186"/>
      <c r="U49" s="186"/>
      <c r="V49" s="186"/>
    </row>
    <row r="50" spans="1:22" s="363" customFormat="1" ht="19.55" customHeight="1" x14ac:dyDescent="0.35">
      <c r="A50" s="186"/>
      <c r="B50" s="186"/>
      <c r="C50" s="186"/>
      <c r="D50" s="186"/>
      <c r="E50" s="186"/>
      <c r="F50" s="186"/>
      <c r="G50" s="186"/>
      <c r="H50" s="186"/>
      <c r="I50" s="186"/>
      <c r="J50" s="186"/>
      <c r="K50" s="186"/>
      <c r="L50" s="186"/>
      <c r="M50" s="186"/>
      <c r="N50" s="186"/>
      <c r="O50" s="186"/>
      <c r="P50" s="186"/>
      <c r="Q50" s="186"/>
      <c r="R50" s="186"/>
      <c r="S50" s="186"/>
      <c r="T50" s="186"/>
      <c r="U50" s="186"/>
      <c r="V50" s="186"/>
    </row>
    <row r="51" spans="1:22" s="363" customFormat="1" ht="19.55" customHeight="1" x14ac:dyDescent="0.35">
      <c r="A51" s="186"/>
      <c r="B51" s="186"/>
      <c r="C51" s="186"/>
      <c r="D51" s="186"/>
      <c r="E51" s="186"/>
      <c r="F51" s="186"/>
      <c r="G51" s="186"/>
      <c r="H51" s="186"/>
      <c r="I51" s="186"/>
      <c r="J51" s="186"/>
      <c r="K51" s="186"/>
      <c r="L51" s="186"/>
      <c r="M51" s="186"/>
      <c r="N51" s="186"/>
      <c r="O51" s="186"/>
      <c r="P51" s="186"/>
      <c r="Q51" s="186"/>
      <c r="R51" s="186"/>
      <c r="S51" s="186"/>
      <c r="T51" s="186"/>
      <c r="U51" s="186"/>
      <c r="V51" s="186"/>
    </row>
    <row r="52" spans="1:22" s="363" customFormat="1" ht="19.55" customHeight="1" x14ac:dyDescent="0.35">
      <c r="A52" s="186"/>
      <c r="B52" s="186"/>
      <c r="C52" s="186"/>
      <c r="D52" s="186"/>
      <c r="E52" s="186"/>
      <c r="F52" s="186"/>
      <c r="G52" s="186"/>
      <c r="H52" s="186"/>
      <c r="I52" s="186"/>
      <c r="J52" s="186"/>
      <c r="K52" s="186"/>
      <c r="L52" s="186"/>
      <c r="M52" s="186"/>
      <c r="N52" s="186"/>
      <c r="O52" s="186"/>
      <c r="P52" s="186"/>
      <c r="Q52" s="186"/>
      <c r="R52" s="186"/>
      <c r="S52" s="186"/>
      <c r="T52" s="186"/>
      <c r="U52" s="186"/>
      <c r="V52" s="186"/>
    </row>
    <row r="53" spans="1:22" s="363" customFormat="1" ht="19.55" customHeight="1" x14ac:dyDescent="0.35">
      <c r="A53" s="186"/>
      <c r="B53" s="186"/>
      <c r="C53" s="186"/>
      <c r="D53" s="186"/>
      <c r="E53" s="186"/>
      <c r="F53" s="186"/>
      <c r="G53" s="186"/>
      <c r="H53" s="186"/>
      <c r="I53" s="186"/>
      <c r="J53" s="186"/>
      <c r="K53" s="186"/>
      <c r="L53" s="186"/>
      <c r="M53" s="186"/>
      <c r="N53" s="186"/>
      <c r="O53" s="186"/>
      <c r="P53" s="186"/>
      <c r="Q53" s="186"/>
      <c r="R53" s="186"/>
      <c r="S53" s="186"/>
      <c r="T53" s="186"/>
      <c r="U53" s="186"/>
      <c r="V53" s="186"/>
    </row>
    <row r="54" spans="1:22" s="363" customFormat="1" ht="19.55" customHeight="1" x14ac:dyDescent="0.35">
      <c r="A54" s="186"/>
      <c r="B54" s="186"/>
      <c r="C54" s="186"/>
      <c r="D54" s="186"/>
      <c r="E54" s="186"/>
      <c r="F54" s="186"/>
      <c r="G54" s="186"/>
      <c r="H54" s="186"/>
      <c r="I54" s="186"/>
      <c r="J54" s="186"/>
      <c r="K54" s="186"/>
      <c r="L54" s="186"/>
      <c r="M54" s="186"/>
      <c r="N54" s="186"/>
      <c r="O54" s="186"/>
      <c r="P54" s="186"/>
      <c r="Q54" s="186"/>
      <c r="R54" s="186"/>
      <c r="S54" s="186"/>
      <c r="T54" s="186"/>
      <c r="U54" s="186"/>
      <c r="V54" s="186"/>
    </row>
    <row r="55" spans="1:22" s="363" customFormat="1" ht="19.55" customHeight="1" x14ac:dyDescent="0.35">
      <c r="A55" s="186"/>
      <c r="B55" s="186"/>
      <c r="C55" s="186"/>
      <c r="D55" s="186"/>
      <c r="E55" s="186"/>
      <c r="F55" s="186"/>
      <c r="G55" s="186"/>
      <c r="H55" s="186"/>
      <c r="I55" s="186"/>
      <c r="J55" s="186"/>
      <c r="K55" s="186"/>
      <c r="L55" s="186"/>
      <c r="M55" s="186"/>
      <c r="N55" s="186"/>
      <c r="O55" s="186"/>
      <c r="P55" s="186"/>
      <c r="Q55" s="186"/>
      <c r="R55" s="186"/>
      <c r="S55" s="186"/>
      <c r="T55" s="186"/>
      <c r="U55" s="186"/>
      <c r="V55" s="186"/>
    </row>
    <row r="56" spans="1:22" s="363" customFormat="1" ht="19.55" customHeight="1" x14ac:dyDescent="0.35">
      <c r="A56" s="186"/>
      <c r="B56" s="186"/>
      <c r="C56" s="186"/>
      <c r="D56" s="186"/>
      <c r="E56" s="186"/>
      <c r="F56" s="186"/>
      <c r="G56" s="186"/>
      <c r="H56" s="186"/>
      <c r="I56" s="186"/>
      <c r="J56" s="186"/>
      <c r="K56" s="186"/>
      <c r="L56" s="186"/>
      <c r="M56" s="186"/>
      <c r="N56" s="186"/>
      <c r="O56" s="186"/>
      <c r="P56" s="186"/>
      <c r="Q56" s="186"/>
      <c r="R56" s="186"/>
      <c r="S56" s="186"/>
      <c r="T56" s="186"/>
      <c r="U56" s="186"/>
      <c r="V56" s="186"/>
    </row>
    <row r="57" spans="1:22" s="363" customFormat="1" ht="19.55" customHeight="1" x14ac:dyDescent="0.35">
      <c r="A57" s="186"/>
      <c r="B57" s="186"/>
      <c r="C57" s="186"/>
      <c r="D57" s="186"/>
      <c r="E57" s="186"/>
      <c r="F57" s="186"/>
      <c r="G57" s="186"/>
      <c r="H57" s="186"/>
      <c r="I57" s="186"/>
      <c r="J57" s="186"/>
      <c r="K57" s="186"/>
      <c r="L57" s="186"/>
      <c r="M57" s="186"/>
      <c r="N57" s="186"/>
      <c r="O57" s="186"/>
      <c r="P57" s="186"/>
      <c r="Q57" s="186"/>
      <c r="R57" s="186"/>
      <c r="S57" s="186"/>
      <c r="T57" s="186"/>
      <c r="U57" s="186"/>
      <c r="V57" s="186"/>
    </row>
    <row r="58" spans="1:22" s="363" customFormat="1" x14ac:dyDescent="0.35">
      <c r="A58" s="186"/>
      <c r="B58" s="186"/>
      <c r="C58" s="186"/>
      <c r="D58" s="186"/>
      <c r="E58" s="186"/>
      <c r="F58" s="186"/>
      <c r="G58" s="186"/>
      <c r="H58" s="186"/>
      <c r="I58" s="186"/>
      <c r="J58" s="186"/>
      <c r="K58" s="186"/>
      <c r="L58" s="186"/>
      <c r="M58" s="186"/>
      <c r="N58" s="186"/>
      <c r="O58" s="186"/>
      <c r="P58" s="186"/>
      <c r="Q58" s="186"/>
      <c r="R58" s="186"/>
      <c r="S58" s="186"/>
      <c r="T58" s="186"/>
      <c r="U58" s="186"/>
      <c r="V58" s="186"/>
    </row>
    <row r="59" spans="1:22" s="363" customFormat="1" x14ac:dyDescent="0.35">
      <c r="A59" s="186"/>
      <c r="B59" s="186"/>
      <c r="C59" s="186"/>
      <c r="D59" s="186"/>
      <c r="E59" s="186"/>
      <c r="F59" s="186"/>
      <c r="G59" s="186"/>
      <c r="H59" s="186"/>
      <c r="I59" s="186"/>
      <c r="J59" s="186"/>
      <c r="K59" s="186"/>
      <c r="L59" s="186"/>
      <c r="M59" s="186"/>
      <c r="N59" s="186"/>
      <c r="O59" s="186"/>
      <c r="P59" s="186"/>
      <c r="Q59" s="186"/>
      <c r="R59" s="186"/>
      <c r="S59" s="186"/>
      <c r="T59" s="186"/>
      <c r="U59" s="186"/>
      <c r="V59" s="186"/>
    </row>
    <row r="60" spans="1:22" s="363" customFormat="1" x14ac:dyDescent="0.35">
      <c r="A60" s="186"/>
      <c r="B60" s="186"/>
      <c r="C60" s="186"/>
      <c r="D60" s="186"/>
      <c r="E60" s="186"/>
      <c r="F60" s="186"/>
      <c r="G60" s="186"/>
      <c r="H60" s="186"/>
      <c r="I60" s="186"/>
      <c r="J60" s="186"/>
      <c r="K60" s="186"/>
      <c r="L60" s="186"/>
      <c r="M60" s="186"/>
      <c r="N60" s="186"/>
      <c r="O60" s="186"/>
      <c r="P60" s="186"/>
      <c r="Q60" s="186"/>
      <c r="R60" s="186"/>
      <c r="S60" s="186"/>
      <c r="T60" s="186"/>
      <c r="U60" s="186"/>
      <c r="V60" s="186"/>
    </row>
    <row r="61" spans="1:22" s="363" customFormat="1" x14ac:dyDescent="0.35">
      <c r="A61" s="186"/>
      <c r="B61" s="186"/>
      <c r="C61" s="186"/>
      <c r="D61" s="186"/>
      <c r="E61" s="186"/>
      <c r="F61" s="186"/>
      <c r="G61" s="186"/>
      <c r="H61" s="186"/>
      <c r="I61" s="186"/>
      <c r="J61" s="186"/>
      <c r="K61" s="186"/>
      <c r="L61" s="186"/>
      <c r="M61" s="186"/>
      <c r="N61" s="186"/>
      <c r="O61" s="186"/>
      <c r="P61" s="186"/>
      <c r="Q61" s="186"/>
      <c r="R61" s="186"/>
      <c r="S61" s="186"/>
      <c r="T61" s="186"/>
      <c r="U61" s="186"/>
      <c r="V61" s="186"/>
    </row>
    <row r="62" spans="1:22" s="363" customFormat="1" x14ac:dyDescent="0.35">
      <c r="A62" s="186"/>
      <c r="B62" s="186"/>
      <c r="C62" s="186"/>
      <c r="D62" s="186"/>
      <c r="E62" s="186"/>
      <c r="F62" s="186"/>
      <c r="G62" s="186"/>
      <c r="H62" s="186"/>
      <c r="I62" s="186"/>
      <c r="J62" s="186"/>
      <c r="K62" s="186"/>
      <c r="L62" s="186"/>
      <c r="M62" s="186"/>
      <c r="N62" s="186"/>
      <c r="O62" s="186"/>
      <c r="P62" s="186"/>
      <c r="Q62" s="186"/>
      <c r="R62" s="186"/>
      <c r="S62" s="186"/>
      <c r="T62" s="186"/>
      <c r="U62" s="186"/>
      <c r="V62" s="186"/>
    </row>
    <row r="63" spans="1:22" s="363" customFormat="1" x14ac:dyDescent="0.35">
      <c r="A63" s="186"/>
      <c r="B63" s="186"/>
      <c r="C63" s="186"/>
      <c r="D63" s="186"/>
      <c r="E63" s="186"/>
      <c r="F63" s="186"/>
      <c r="G63" s="186"/>
      <c r="H63" s="186"/>
      <c r="I63" s="186"/>
      <c r="J63" s="186"/>
      <c r="K63" s="186"/>
      <c r="L63" s="186"/>
      <c r="M63" s="186"/>
      <c r="N63" s="186"/>
      <c r="O63" s="186"/>
      <c r="P63" s="186"/>
      <c r="Q63" s="186"/>
      <c r="R63" s="186"/>
      <c r="S63" s="186"/>
      <c r="T63" s="186"/>
      <c r="U63" s="186"/>
      <c r="V63" s="186"/>
    </row>
    <row r="64" spans="1:22" s="363" customFormat="1" x14ac:dyDescent="0.35">
      <c r="A64" s="186"/>
      <c r="B64" s="186"/>
      <c r="C64" s="186"/>
      <c r="D64" s="186"/>
      <c r="E64" s="186"/>
      <c r="F64" s="186"/>
      <c r="G64" s="186"/>
      <c r="H64" s="186"/>
      <c r="I64" s="186"/>
      <c r="J64" s="186"/>
      <c r="K64" s="186"/>
      <c r="L64" s="186"/>
      <c r="M64" s="186"/>
      <c r="N64" s="186"/>
      <c r="O64" s="186"/>
      <c r="P64" s="186"/>
      <c r="Q64" s="186"/>
      <c r="R64" s="186"/>
      <c r="S64" s="186"/>
      <c r="T64" s="186"/>
      <c r="U64" s="186"/>
      <c r="V64" s="186"/>
    </row>
    <row r="65" spans="1:22" s="363" customFormat="1" x14ac:dyDescent="0.35">
      <c r="A65" s="186"/>
      <c r="B65" s="186"/>
      <c r="C65" s="186"/>
      <c r="D65" s="186"/>
      <c r="E65" s="186"/>
      <c r="F65" s="186"/>
      <c r="G65" s="186"/>
      <c r="H65" s="186"/>
      <c r="I65" s="186"/>
      <c r="J65" s="186"/>
      <c r="K65" s="186"/>
      <c r="L65" s="186"/>
      <c r="M65" s="186"/>
      <c r="N65" s="186"/>
      <c r="O65" s="186"/>
      <c r="P65" s="186"/>
      <c r="Q65" s="186"/>
      <c r="R65" s="186"/>
      <c r="S65" s="186"/>
      <c r="T65" s="186"/>
      <c r="U65" s="186"/>
      <c r="V65" s="186"/>
    </row>
    <row r="66" spans="1:22" s="363" customFormat="1" x14ac:dyDescent="0.35">
      <c r="A66" s="186"/>
      <c r="B66" s="186"/>
      <c r="C66" s="186"/>
      <c r="D66" s="186"/>
      <c r="E66" s="186"/>
      <c r="F66" s="186"/>
      <c r="G66" s="186"/>
      <c r="H66" s="186"/>
      <c r="I66" s="186"/>
      <c r="J66" s="186"/>
      <c r="K66" s="186"/>
      <c r="L66" s="186"/>
      <c r="M66" s="186"/>
      <c r="N66" s="186"/>
      <c r="O66" s="186"/>
      <c r="P66" s="186"/>
      <c r="Q66" s="186"/>
      <c r="R66" s="186"/>
      <c r="S66" s="186"/>
      <c r="T66" s="186"/>
      <c r="U66" s="186"/>
      <c r="V66" s="186"/>
    </row>
    <row r="67" spans="1:22" s="363" customFormat="1" x14ac:dyDescent="0.35">
      <c r="A67" s="186"/>
      <c r="B67" s="186"/>
      <c r="C67" s="186"/>
      <c r="D67" s="186"/>
      <c r="E67" s="186"/>
      <c r="F67" s="186"/>
      <c r="G67" s="186"/>
      <c r="H67" s="186"/>
      <c r="I67" s="186"/>
      <c r="J67" s="186"/>
      <c r="K67" s="186"/>
      <c r="L67" s="186"/>
      <c r="M67" s="186"/>
      <c r="N67" s="186"/>
      <c r="O67" s="186"/>
      <c r="P67" s="186"/>
      <c r="Q67" s="186"/>
      <c r="R67" s="186"/>
      <c r="S67" s="186"/>
      <c r="T67" s="186"/>
      <c r="U67" s="186"/>
      <c r="V67" s="186"/>
    </row>
    <row r="68" spans="1:22" s="363" customFormat="1" x14ac:dyDescent="0.35">
      <c r="A68" s="186"/>
      <c r="B68" s="186"/>
      <c r="C68" s="186"/>
      <c r="D68" s="186"/>
      <c r="E68" s="186"/>
      <c r="F68" s="186"/>
      <c r="G68" s="186"/>
      <c r="H68" s="186"/>
      <c r="I68" s="186"/>
      <c r="J68" s="186"/>
      <c r="K68" s="186"/>
      <c r="L68" s="186"/>
      <c r="M68" s="186"/>
      <c r="N68" s="186"/>
      <c r="O68" s="186"/>
      <c r="P68" s="186"/>
      <c r="Q68" s="186"/>
      <c r="R68" s="186"/>
      <c r="S68" s="186"/>
      <c r="T68" s="186"/>
      <c r="U68" s="186"/>
      <c r="V68" s="186"/>
    </row>
    <row r="69" spans="1:22" s="363" customFormat="1" x14ac:dyDescent="0.35">
      <c r="A69" s="186"/>
      <c r="B69" s="186"/>
      <c r="C69" s="186"/>
      <c r="D69" s="186"/>
      <c r="E69" s="186"/>
      <c r="F69" s="186"/>
      <c r="G69" s="186"/>
      <c r="H69" s="186"/>
      <c r="I69" s="186"/>
      <c r="J69" s="186"/>
      <c r="K69" s="186"/>
      <c r="L69" s="186"/>
      <c r="M69" s="186"/>
      <c r="N69" s="186"/>
      <c r="O69" s="186"/>
      <c r="P69" s="186"/>
      <c r="Q69" s="186"/>
      <c r="R69" s="186"/>
      <c r="S69" s="186"/>
      <c r="T69" s="186"/>
      <c r="U69" s="186"/>
      <c r="V69" s="186"/>
    </row>
    <row r="70" spans="1:22" s="363" customFormat="1" x14ac:dyDescent="0.35"/>
    <row r="71" spans="1:22" s="363" customFormat="1" x14ac:dyDescent="0.35"/>
    <row r="72" spans="1:22" s="363" customFormat="1" x14ac:dyDescent="0.35"/>
    <row r="73" spans="1:22" s="363" customFormat="1" x14ac:dyDescent="0.35"/>
    <row r="74" spans="1:22" s="363" customFormat="1" x14ac:dyDescent="0.35"/>
    <row r="75" spans="1:22" s="363" customFormat="1" x14ac:dyDescent="0.35"/>
    <row r="76" spans="1:22" s="363" customFormat="1" x14ac:dyDescent="0.35"/>
    <row r="77" spans="1:22" s="363" customFormat="1" x14ac:dyDescent="0.35"/>
    <row r="78" spans="1:22" s="363" customFormat="1" x14ac:dyDescent="0.35"/>
    <row r="79" spans="1:22" s="363" customFormat="1" x14ac:dyDescent="0.35"/>
    <row r="80" spans="1:22" s="363" customFormat="1" x14ac:dyDescent="0.35"/>
    <row r="81" s="363" customFormat="1" x14ac:dyDescent="0.35"/>
    <row r="82" s="363" customFormat="1" x14ac:dyDescent="0.35"/>
    <row r="83" s="363" customFormat="1" x14ac:dyDescent="0.35"/>
    <row r="84" s="363" customFormat="1" x14ac:dyDescent="0.35"/>
    <row r="85" s="363" customFormat="1" x14ac:dyDescent="0.35"/>
    <row r="86" s="363" customFormat="1" x14ac:dyDescent="0.35"/>
    <row r="87" s="363" customFormat="1" x14ac:dyDescent="0.35"/>
    <row r="88" s="363" customFormat="1" x14ac:dyDescent="0.35"/>
    <row r="89" s="363" customFormat="1" x14ac:dyDescent="0.35"/>
    <row r="90" s="363" customFormat="1" x14ac:dyDescent="0.35"/>
    <row r="91" s="363" customFormat="1" x14ac:dyDescent="0.35"/>
    <row r="92" s="363" customFormat="1" x14ac:dyDescent="0.35"/>
    <row r="93" s="363" customFormat="1" x14ac:dyDescent="0.35"/>
    <row r="94" s="363" customFormat="1" x14ac:dyDescent="0.35"/>
    <row r="95" s="363" customFormat="1" x14ac:dyDescent="0.35"/>
    <row r="96" s="363" customFormat="1" x14ac:dyDescent="0.35"/>
    <row r="97" s="363" customFormat="1" x14ac:dyDescent="0.35"/>
    <row r="98" s="363" customFormat="1" x14ac:dyDescent="0.35"/>
    <row r="99" s="363" customFormat="1" x14ac:dyDescent="0.35"/>
    <row r="100" s="363" customFormat="1" x14ac:dyDescent="0.35"/>
    <row r="101" s="363" customFormat="1" x14ac:dyDescent="0.35"/>
    <row r="102" s="363" customFormat="1" x14ac:dyDescent="0.35"/>
    <row r="103" s="363" customFormat="1" x14ac:dyDescent="0.35"/>
    <row r="104" s="363" customFormat="1" x14ac:dyDescent="0.35"/>
    <row r="105" s="363" customFormat="1" x14ac:dyDescent="0.35"/>
    <row r="106" s="363" customFormat="1" x14ac:dyDescent="0.35"/>
    <row r="107" s="363" customFormat="1" x14ac:dyDescent="0.35"/>
    <row r="108" s="363" customFormat="1" x14ac:dyDescent="0.35"/>
    <row r="109" s="363" customFormat="1" x14ac:dyDescent="0.35"/>
    <row r="110" s="363" customFormat="1" x14ac:dyDescent="0.35"/>
    <row r="111" s="363" customFormat="1" x14ac:dyDescent="0.35"/>
    <row r="112" s="363" customFormat="1" x14ac:dyDescent="0.35"/>
    <row r="113" s="363" customFormat="1" x14ac:dyDescent="0.35"/>
    <row r="114" s="363" customFormat="1" x14ac:dyDescent="0.35"/>
    <row r="115" s="363" customFormat="1" x14ac:dyDescent="0.35"/>
    <row r="116" s="363" customFormat="1" x14ac:dyDescent="0.35"/>
    <row r="117" s="363" customFormat="1" x14ac:dyDescent="0.35"/>
    <row r="118" s="363" customFormat="1" x14ac:dyDescent="0.35"/>
    <row r="119" s="363" customFormat="1" x14ac:dyDescent="0.35"/>
    <row r="120" s="363" customFormat="1" x14ac:dyDescent="0.35"/>
    <row r="121" s="363" customFormat="1" x14ac:dyDescent="0.35"/>
    <row r="122" s="363" customFormat="1" x14ac:dyDescent="0.35"/>
    <row r="123" s="363" customFormat="1" x14ac:dyDescent="0.35"/>
    <row r="124" s="363" customFormat="1" x14ac:dyDescent="0.35"/>
    <row r="125" s="363" customFormat="1" x14ac:dyDescent="0.35"/>
    <row r="126" s="363" customFormat="1" x14ac:dyDescent="0.35"/>
    <row r="127" s="363" customFormat="1" x14ac:dyDescent="0.35"/>
    <row r="128" s="363" customFormat="1" x14ac:dyDescent="0.35"/>
  </sheetData>
  <sheetProtection password="CC20" sheet="1" objects="1" scenarios="1" selectLockedCells="1" selectUnlockedCells="1"/>
  <mergeCells count="20">
    <mergeCell ref="D34:G34"/>
    <mergeCell ref="D32:G32"/>
    <mergeCell ref="D30:G30"/>
    <mergeCell ref="D44:G44"/>
    <mergeCell ref="D36:G36"/>
    <mergeCell ref="D38:G38"/>
    <mergeCell ref="D40:G40"/>
    <mergeCell ref="D42:G42"/>
    <mergeCell ref="D28:G28"/>
    <mergeCell ref="D26:G26"/>
    <mergeCell ref="D24:G24"/>
    <mergeCell ref="D22:G22"/>
    <mergeCell ref="D20:G20"/>
    <mergeCell ref="D8:G8"/>
    <mergeCell ref="D6:G6"/>
    <mergeCell ref="D18:G18"/>
    <mergeCell ref="D16:G16"/>
    <mergeCell ref="D14:G14"/>
    <mergeCell ref="D12:G12"/>
    <mergeCell ref="D10:G10"/>
  </mergeCells>
  <phoneticPr fontId="26" type="noConversion"/>
  <pageMargins left="0.75" right="0.75" top="1" bottom="1" header="0.5" footer="0.5"/>
  <pageSetup paperSize="9" orientation="landscape"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502" r:id="rId4" name="Spinner 70">
              <controlPr defaultSize="0" autoPict="0">
                <anchor moveWithCells="1" sizeWithCells="1">
                  <from>
                    <xdr:col>7</xdr:col>
                    <xdr:colOff>450019</xdr:colOff>
                    <xdr:row>5</xdr:row>
                    <xdr:rowOff>28725</xdr:rowOff>
                  </from>
                  <to>
                    <xdr:col>7</xdr:col>
                    <xdr:colOff>579280</xdr:colOff>
                    <xdr:row>5</xdr:row>
                    <xdr:rowOff>220222</xdr:rowOff>
                  </to>
                </anchor>
              </controlPr>
            </control>
          </mc:Choice>
        </mc:AlternateContent>
        <mc:AlternateContent xmlns:mc="http://schemas.openxmlformats.org/markup-compatibility/2006">
          <mc:Choice Requires="x14">
            <control shapeId="18505" r:id="rId5" name="Spinner 73">
              <controlPr defaultSize="0" autoPict="0">
                <anchor moveWithCells="1" sizeWithCells="1">
                  <from>
                    <xdr:col>2</xdr:col>
                    <xdr:colOff>493106</xdr:colOff>
                    <xdr:row>5</xdr:row>
                    <xdr:rowOff>19150</xdr:rowOff>
                  </from>
                  <to>
                    <xdr:col>3</xdr:col>
                    <xdr:colOff>0</xdr:colOff>
                    <xdr:row>5</xdr:row>
                    <xdr:rowOff>229797</xdr:rowOff>
                  </to>
                </anchor>
              </controlPr>
            </control>
          </mc:Choice>
        </mc:AlternateContent>
        <mc:AlternateContent xmlns:mc="http://schemas.openxmlformats.org/markup-compatibility/2006">
          <mc:Choice Requires="x14">
            <control shapeId="18506" r:id="rId6" name="Spinner 74">
              <controlPr defaultSize="0" autoPict="0">
                <anchor moveWithCells="1" sizeWithCells="1">
                  <from>
                    <xdr:col>9</xdr:col>
                    <xdr:colOff>0</xdr:colOff>
                    <xdr:row>5</xdr:row>
                    <xdr:rowOff>9575</xdr:rowOff>
                  </from>
                  <to>
                    <xdr:col>9</xdr:col>
                    <xdr:colOff>134048</xdr:colOff>
                    <xdr:row>5</xdr:row>
                    <xdr:rowOff>239372</xdr:rowOff>
                  </to>
                </anchor>
              </controlPr>
            </control>
          </mc:Choice>
        </mc:AlternateContent>
        <mc:AlternateContent xmlns:mc="http://schemas.openxmlformats.org/markup-compatibility/2006">
          <mc:Choice Requires="x14">
            <control shapeId="18510" r:id="rId7" name="Drop Down 78">
              <controlPr defaultSize="0" autoLine="0" autoPict="0">
                <anchor moveWithCells="1">
                  <from>
                    <xdr:col>12</xdr:col>
                    <xdr:colOff>502681</xdr:colOff>
                    <xdr:row>5</xdr:row>
                    <xdr:rowOff>28725</xdr:rowOff>
                  </from>
                  <to>
                    <xdr:col>13</xdr:col>
                    <xdr:colOff>531405</xdr:colOff>
                    <xdr:row>5</xdr:row>
                    <xdr:rowOff>229797</xdr:rowOff>
                  </to>
                </anchor>
              </controlPr>
            </control>
          </mc:Choice>
        </mc:AlternateContent>
        <mc:AlternateContent xmlns:mc="http://schemas.openxmlformats.org/markup-compatibility/2006">
          <mc:Choice Requires="x14">
            <control shapeId="18511" r:id="rId8" name="Spinner 79">
              <controlPr defaultSize="0" autoPict="0">
                <anchor moveWithCells="1" sizeWithCells="1">
                  <from>
                    <xdr:col>12</xdr:col>
                    <xdr:colOff>335120</xdr:colOff>
                    <xdr:row>5</xdr:row>
                    <xdr:rowOff>38299</xdr:rowOff>
                  </from>
                  <to>
                    <xdr:col>12</xdr:col>
                    <xdr:colOff>464381</xdr:colOff>
                    <xdr:row>5</xdr:row>
                    <xdr:rowOff>229797</xdr:rowOff>
                  </to>
                </anchor>
              </controlPr>
            </control>
          </mc:Choice>
        </mc:AlternateContent>
        <mc:AlternateContent xmlns:mc="http://schemas.openxmlformats.org/markup-compatibility/2006">
          <mc:Choice Requires="x14">
            <control shapeId="18556" r:id="rId9" name="Spinner 124">
              <controlPr defaultSize="0" autoPict="0">
                <anchor moveWithCells="1" sizeWithCells="1">
                  <from>
                    <xdr:col>2</xdr:col>
                    <xdr:colOff>493106</xdr:colOff>
                    <xdr:row>7</xdr:row>
                    <xdr:rowOff>19150</xdr:rowOff>
                  </from>
                  <to>
                    <xdr:col>3</xdr:col>
                    <xdr:colOff>0</xdr:colOff>
                    <xdr:row>7</xdr:row>
                    <xdr:rowOff>229797</xdr:rowOff>
                  </to>
                </anchor>
              </controlPr>
            </control>
          </mc:Choice>
        </mc:AlternateContent>
        <mc:AlternateContent xmlns:mc="http://schemas.openxmlformats.org/markup-compatibility/2006">
          <mc:Choice Requires="x14">
            <control shapeId="18557" r:id="rId10" name="Spinner 125">
              <controlPr defaultSize="0" autoPict="0">
                <anchor moveWithCells="1" sizeWithCells="1">
                  <from>
                    <xdr:col>9</xdr:col>
                    <xdr:colOff>0</xdr:colOff>
                    <xdr:row>7</xdr:row>
                    <xdr:rowOff>9575</xdr:rowOff>
                  </from>
                  <to>
                    <xdr:col>9</xdr:col>
                    <xdr:colOff>134048</xdr:colOff>
                    <xdr:row>7</xdr:row>
                    <xdr:rowOff>239372</xdr:rowOff>
                  </to>
                </anchor>
              </controlPr>
            </control>
          </mc:Choice>
        </mc:AlternateContent>
        <mc:AlternateContent xmlns:mc="http://schemas.openxmlformats.org/markup-compatibility/2006">
          <mc:Choice Requires="x14">
            <control shapeId="18559" r:id="rId11" name="Drop Down 127">
              <controlPr defaultSize="0" autoLine="0" autoPict="0">
                <anchor moveWithCells="1">
                  <from>
                    <xdr:col>12</xdr:col>
                    <xdr:colOff>502681</xdr:colOff>
                    <xdr:row>7</xdr:row>
                    <xdr:rowOff>28725</xdr:rowOff>
                  </from>
                  <to>
                    <xdr:col>13</xdr:col>
                    <xdr:colOff>531405</xdr:colOff>
                    <xdr:row>7</xdr:row>
                    <xdr:rowOff>229797</xdr:rowOff>
                  </to>
                </anchor>
              </controlPr>
            </control>
          </mc:Choice>
        </mc:AlternateContent>
        <mc:AlternateContent xmlns:mc="http://schemas.openxmlformats.org/markup-compatibility/2006">
          <mc:Choice Requires="x14">
            <control shapeId="18560" r:id="rId12" name="Spinner 128">
              <controlPr defaultSize="0" autoPict="0">
                <anchor moveWithCells="1" sizeWithCells="1">
                  <from>
                    <xdr:col>12</xdr:col>
                    <xdr:colOff>335120</xdr:colOff>
                    <xdr:row>7</xdr:row>
                    <xdr:rowOff>38299</xdr:rowOff>
                  </from>
                  <to>
                    <xdr:col>12</xdr:col>
                    <xdr:colOff>464381</xdr:colOff>
                    <xdr:row>7</xdr:row>
                    <xdr:rowOff>229797</xdr:rowOff>
                  </to>
                </anchor>
              </controlPr>
            </control>
          </mc:Choice>
        </mc:AlternateContent>
        <mc:AlternateContent xmlns:mc="http://schemas.openxmlformats.org/markup-compatibility/2006">
          <mc:Choice Requires="x14">
            <control shapeId="18562" r:id="rId13" name="Spinner 130">
              <controlPr defaultSize="0" autoPict="0">
                <anchor moveWithCells="1" sizeWithCells="1">
                  <from>
                    <xdr:col>7</xdr:col>
                    <xdr:colOff>450019</xdr:colOff>
                    <xdr:row>9</xdr:row>
                    <xdr:rowOff>28725</xdr:rowOff>
                  </from>
                  <to>
                    <xdr:col>7</xdr:col>
                    <xdr:colOff>579280</xdr:colOff>
                    <xdr:row>9</xdr:row>
                    <xdr:rowOff>220222</xdr:rowOff>
                  </to>
                </anchor>
              </controlPr>
            </control>
          </mc:Choice>
        </mc:AlternateContent>
        <mc:AlternateContent xmlns:mc="http://schemas.openxmlformats.org/markup-compatibility/2006">
          <mc:Choice Requires="x14">
            <control shapeId="18563" r:id="rId14" name="Spinner 131">
              <controlPr defaultSize="0" autoPict="0">
                <anchor moveWithCells="1" sizeWithCells="1">
                  <from>
                    <xdr:col>2</xdr:col>
                    <xdr:colOff>493106</xdr:colOff>
                    <xdr:row>9</xdr:row>
                    <xdr:rowOff>19150</xdr:rowOff>
                  </from>
                  <to>
                    <xdr:col>3</xdr:col>
                    <xdr:colOff>0</xdr:colOff>
                    <xdr:row>9</xdr:row>
                    <xdr:rowOff>229797</xdr:rowOff>
                  </to>
                </anchor>
              </controlPr>
            </control>
          </mc:Choice>
        </mc:AlternateContent>
        <mc:AlternateContent xmlns:mc="http://schemas.openxmlformats.org/markup-compatibility/2006">
          <mc:Choice Requires="x14">
            <control shapeId="18564" r:id="rId15" name="Spinner 132">
              <controlPr defaultSize="0" autoPict="0">
                <anchor moveWithCells="1" sizeWithCells="1">
                  <from>
                    <xdr:col>9</xdr:col>
                    <xdr:colOff>0</xdr:colOff>
                    <xdr:row>9</xdr:row>
                    <xdr:rowOff>9575</xdr:rowOff>
                  </from>
                  <to>
                    <xdr:col>9</xdr:col>
                    <xdr:colOff>134048</xdr:colOff>
                    <xdr:row>9</xdr:row>
                    <xdr:rowOff>239372</xdr:rowOff>
                  </to>
                </anchor>
              </controlPr>
            </control>
          </mc:Choice>
        </mc:AlternateContent>
        <mc:AlternateContent xmlns:mc="http://schemas.openxmlformats.org/markup-compatibility/2006">
          <mc:Choice Requires="x14">
            <control shapeId="18566" r:id="rId16" name="Drop Down 134">
              <controlPr defaultSize="0" autoLine="0" autoPict="0">
                <anchor moveWithCells="1">
                  <from>
                    <xdr:col>12</xdr:col>
                    <xdr:colOff>502681</xdr:colOff>
                    <xdr:row>9</xdr:row>
                    <xdr:rowOff>28725</xdr:rowOff>
                  </from>
                  <to>
                    <xdr:col>13</xdr:col>
                    <xdr:colOff>531405</xdr:colOff>
                    <xdr:row>9</xdr:row>
                    <xdr:rowOff>229797</xdr:rowOff>
                  </to>
                </anchor>
              </controlPr>
            </control>
          </mc:Choice>
        </mc:AlternateContent>
        <mc:AlternateContent xmlns:mc="http://schemas.openxmlformats.org/markup-compatibility/2006">
          <mc:Choice Requires="x14">
            <control shapeId="18567" r:id="rId17" name="Spinner 135">
              <controlPr defaultSize="0" autoPict="0">
                <anchor moveWithCells="1" sizeWithCells="1">
                  <from>
                    <xdr:col>12</xdr:col>
                    <xdr:colOff>335120</xdr:colOff>
                    <xdr:row>9</xdr:row>
                    <xdr:rowOff>38299</xdr:rowOff>
                  </from>
                  <to>
                    <xdr:col>12</xdr:col>
                    <xdr:colOff>464381</xdr:colOff>
                    <xdr:row>9</xdr:row>
                    <xdr:rowOff>229797</xdr:rowOff>
                  </to>
                </anchor>
              </controlPr>
            </control>
          </mc:Choice>
        </mc:AlternateContent>
        <mc:AlternateContent xmlns:mc="http://schemas.openxmlformats.org/markup-compatibility/2006">
          <mc:Choice Requires="x14">
            <control shapeId="18569" r:id="rId18" name="Spinner 137">
              <controlPr defaultSize="0" autoPict="0">
                <anchor moveWithCells="1" sizeWithCells="1">
                  <from>
                    <xdr:col>7</xdr:col>
                    <xdr:colOff>450019</xdr:colOff>
                    <xdr:row>11</xdr:row>
                    <xdr:rowOff>28725</xdr:rowOff>
                  </from>
                  <to>
                    <xdr:col>7</xdr:col>
                    <xdr:colOff>579280</xdr:colOff>
                    <xdr:row>11</xdr:row>
                    <xdr:rowOff>220222</xdr:rowOff>
                  </to>
                </anchor>
              </controlPr>
            </control>
          </mc:Choice>
        </mc:AlternateContent>
        <mc:AlternateContent xmlns:mc="http://schemas.openxmlformats.org/markup-compatibility/2006">
          <mc:Choice Requires="x14">
            <control shapeId="18570" r:id="rId19" name="Spinner 138">
              <controlPr defaultSize="0" autoPict="0">
                <anchor moveWithCells="1" sizeWithCells="1">
                  <from>
                    <xdr:col>2</xdr:col>
                    <xdr:colOff>493106</xdr:colOff>
                    <xdr:row>11</xdr:row>
                    <xdr:rowOff>19150</xdr:rowOff>
                  </from>
                  <to>
                    <xdr:col>3</xdr:col>
                    <xdr:colOff>0</xdr:colOff>
                    <xdr:row>11</xdr:row>
                    <xdr:rowOff>229797</xdr:rowOff>
                  </to>
                </anchor>
              </controlPr>
            </control>
          </mc:Choice>
        </mc:AlternateContent>
        <mc:AlternateContent xmlns:mc="http://schemas.openxmlformats.org/markup-compatibility/2006">
          <mc:Choice Requires="x14">
            <control shapeId="18571" r:id="rId20" name="Spinner 139">
              <controlPr defaultSize="0" autoPict="0">
                <anchor moveWithCells="1" sizeWithCells="1">
                  <from>
                    <xdr:col>9</xdr:col>
                    <xdr:colOff>0</xdr:colOff>
                    <xdr:row>11</xdr:row>
                    <xdr:rowOff>9575</xdr:rowOff>
                  </from>
                  <to>
                    <xdr:col>9</xdr:col>
                    <xdr:colOff>134048</xdr:colOff>
                    <xdr:row>11</xdr:row>
                    <xdr:rowOff>239372</xdr:rowOff>
                  </to>
                </anchor>
              </controlPr>
            </control>
          </mc:Choice>
        </mc:AlternateContent>
        <mc:AlternateContent xmlns:mc="http://schemas.openxmlformats.org/markup-compatibility/2006">
          <mc:Choice Requires="x14">
            <control shapeId="18573" r:id="rId21" name="Drop Down 141">
              <controlPr defaultSize="0" autoLine="0" autoPict="0">
                <anchor moveWithCells="1">
                  <from>
                    <xdr:col>12</xdr:col>
                    <xdr:colOff>502681</xdr:colOff>
                    <xdr:row>11</xdr:row>
                    <xdr:rowOff>28725</xdr:rowOff>
                  </from>
                  <to>
                    <xdr:col>13</xdr:col>
                    <xdr:colOff>531405</xdr:colOff>
                    <xdr:row>11</xdr:row>
                    <xdr:rowOff>229797</xdr:rowOff>
                  </to>
                </anchor>
              </controlPr>
            </control>
          </mc:Choice>
        </mc:AlternateContent>
        <mc:AlternateContent xmlns:mc="http://schemas.openxmlformats.org/markup-compatibility/2006">
          <mc:Choice Requires="x14">
            <control shapeId="18574" r:id="rId22" name="Spinner 142">
              <controlPr defaultSize="0" autoPict="0">
                <anchor moveWithCells="1" sizeWithCells="1">
                  <from>
                    <xdr:col>12</xdr:col>
                    <xdr:colOff>335120</xdr:colOff>
                    <xdr:row>11</xdr:row>
                    <xdr:rowOff>38299</xdr:rowOff>
                  </from>
                  <to>
                    <xdr:col>12</xdr:col>
                    <xdr:colOff>464381</xdr:colOff>
                    <xdr:row>11</xdr:row>
                    <xdr:rowOff>229797</xdr:rowOff>
                  </to>
                </anchor>
              </controlPr>
            </control>
          </mc:Choice>
        </mc:AlternateContent>
        <mc:AlternateContent xmlns:mc="http://schemas.openxmlformats.org/markup-compatibility/2006">
          <mc:Choice Requires="x14">
            <control shapeId="18576" r:id="rId23" name="Spinner 144">
              <controlPr defaultSize="0" autoPict="0">
                <anchor moveWithCells="1" sizeWithCells="1">
                  <from>
                    <xdr:col>7</xdr:col>
                    <xdr:colOff>450019</xdr:colOff>
                    <xdr:row>13</xdr:row>
                    <xdr:rowOff>28725</xdr:rowOff>
                  </from>
                  <to>
                    <xdr:col>7</xdr:col>
                    <xdr:colOff>579280</xdr:colOff>
                    <xdr:row>13</xdr:row>
                    <xdr:rowOff>220222</xdr:rowOff>
                  </to>
                </anchor>
              </controlPr>
            </control>
          </mc:Choice>
        </mc:AlternateContent>
        <mc:AlternateContent xmlns:mc="http://schemas.openxmlformats.org/markup-compatibility/2006">
          <mc:Choice Requires="x14">
            <control shapeId="18577" r:id="rId24" name="Spinner 145">
              <controlPr defaultSize="0" autoPict="0">
                <anchor moveWithCells="1" sizeWithCells="1">
                  <from>
                    <xdr:col>2</xdr:col>
                    <xdr:colOff>493106</xdr:colOff>
                    <xdr:row>13</xdr:row>
                    <xdr:rowOff>19150</xdr:rowOff>
                  </from>
                  <to>
                    <xdr:col>3</xdr:col>
                    <xdr:colOff>0</xdr:colOff>
                    <xdr:row>13</xdr:row>
                    <xdr:rowOff>229797</xdr:rowOff>
                  </to>
                </anchor>
              </controlPr>
            </control>
          </mc:Choice>
        </mc:AlternateContent>
        <mc:AlternateContent xmlns:mc="http://schemas.openxmlformats.org/markup-compatibility/2006">
          <mc:Choice Requires="x14">
            <control shapeId="18578" r:id="rId25" name="Spinner 146">
              <controlPr defaultSize="0" autoPict="0">
                <anchor moveWithCells="1" sizeWithCells="1">
                  <from>
                    <xdr:col>9</xdr:col>
                    <xdr:colOff>0</xdr:colOff>
                    <xdr:row>13</xdr:row>
                    <xdr:rowOff>9575</xdr:rowOff>
                  </from>
                  <to>
                    <xdr:col>9</xdr:col>
                    <xdr:colOff>134048</xdr:colOff>
                    <xdr:row>13</xdr:row>
                    <xdr:rowOff>239372</xdr:rowOff>
                  </to>
                </anchor>
              </controlPr>
            </control>
          </mc:Choice>
        </mc:AlternateContent>
        <mc:AlternateContent xmlns:mc="http://schemas.openxmlformats.org/markup-compatibility/2006">
          <mc:Choice Requires="x14">
            <control shapeId="18580" r:id="rId26" name="Drop Down 148">
              <controlPr defaultSize="0" autoLine="0" autoPict="0">
                <anchor moveWithCells="1">
                  <from>
                    <xdr:col>12</xdr:col>
                    <xdr:colOff>502681</xdr:colOff>
                    <xdr:row>13</xdr:row>
                    <xdr:rowOff>28725</xdr:rowOff>
                  </from>
                  <to>
                    <xdr:col>13</xdr:col>
                    <xdr:colOff>531405</xdr:colOff>
                    <xdr:row>13</xdr:row>
                    <xdr:rowOff>229797</xdr:rowOff>
                  </to>
                </anchor>
              </controlPr>
            </control>
          </mc:Choice>
        </mc:AlternateContent>
        <mc:AlternateContent xmlns:mc="http://schemas.openxmlformats.org/markup-compatibility/2006">
          <mc:Choice Requires="x14">
            <control shapeId="18581" r:id="rId27" name="Spinner 149">
              <controlPr defaultSize="0" autoPict="0">
                <anchor moveWithCells="1" sizeWithCells="1">
                  <from>
                    <xdr:col>12</xdr:col>
                    <xdr:colOff>335120</xdr:colOff>
                    <xdr:row>13</xdr:row>
                    <xdr:rowOff>38299</xdr:rowOff>
                  </from>
                  <to>
                    <xdr:col>12</xdr:col>
                    <xdr:colOff>464381</xdr:colOff>
                    <xdr:row>13</xdr:row>
                    <xdr:rowOff>229797</xdr:rowOff>
                  </to>
                </anchor>
              </controlPr>
            </control>
          </mc:Choice>
        </mc:AlternateContent>
        <mc:AlternateContent xmlns:mc="http://schemas.openxmlformats.org/markup-compatibility/2006">
          <mc:Choice Requires="x14">
            <control shapeId="18583" r:id="rId28" name="Spinner 151">
              <controlPr defaultSize="0" autoPict="0">
                <anchor moveWithCells="1" sizeWithCells="1">
                  <from>
                    <xdr:col>7</xdr:col>
                    <xdr:colOff>450019</xdr:colOff>
                    <xdr:row>15</xdr:row>
                    <xdr:rowOff>28725</xdr:rowOff>
                  </from>
                  <to>
                    <xdr:col>7</xdr:col>
                    <xdr:colOff>579280</xdr:colOff>
                    <xdr:row>15</xdr:row>
                    <xdr:rowOff>220222</xdr:rowOff>
                  </to>
                </anchor>
              </controlPr>
            </control>
          </mc:Choice>
        </mc:AlternateContent>
        <mc:AlternateContent xmlns:mc="http://schemas.openxmlformats.org/markup-compatibility/2006">
          <mc:Choice Requires="x14">
            <control shapeId="18584" r:id="rId29" name="Spinner 152">
              <controlPr defaultSize="0" autoPict="0">
                <anchor moveWithCells="1" sizeWithCells="1">
                  <from>
                    <xdr:col>2</xdr:col>
                    <xdr:colOff>493106</xdr:colOff>
                    <xdr:row>15</xdr:row>
                    <xdr:rowOff>19150</xdr:rowOff>
                  </from>
                  <to>
                    <xdr:col>3</xdr:col>
                    <xdr:colOff>0</xdr:colOff>
                    <xdr:row>15</xdr:row>
                    <xdr:rowOff>229797</xdr:rowOff>
                  </to>
                </anchor>
              </controlPr>
            </control>
          </mc:Choice>
        </mc:AlternateContent>
        <mc:AlternateContent xmlns:mc="http://schemas.openxmlformats.org/markup-compatibility/2006">
          <mc:Choice Requires="x14">
            <control shapeId="18585" r:id="rId30" name="Spinner 153">
              <controlPr defaultSize="0" autoPict="0">
                <anchor moveWithCells="1" sizeWithCells="1">
                  <from>
                    <xdr:col>9</xdr:col>
                    <xdr:colOff>0</xdr:colOff>
                    <xdr:row>15</xdr:row>
                    <xdr:rowOff>9575</xdr:rowOff>
                  </from>
                  <to>
                    <xdr:col>9</xdr:col>
                    <xdr:colOff>134048</xdr:colOff>
                    <xdr:row>15</xdr:row>
                    <xdr:rowOff>239372</xdr:rowOff>
                  </to>
                </anchor>
              </controlPr>
            </control>
          </mc:Choice>
        </mc:AlternateContent>
        <mc:AlternateContent xmlns:mc="http://schemas.openxmlformats.org/markup-compatibility/2006">
          <mc:Choice Requires="x14">
            <control shapeId="18587" r:id="rId31" name="Drop Down 155">
              <controlPr defaultSize="0" autoLine="0" autoPict="0">
                <anchor moveWithCells="1">
                  <from>
                    <xdr:col>12</xdr:col>
                    <xdr:colOff>502681</xdr:colOff>
                    <xdr:row>15</xdr:row>
                    <xdr:rowOff>28725</xdr:rowOff>
                  </from>
                  <to>
                    <xdr:col>13</xdr:col>
                    <xdr:colOff>531405</xdr:colOff>
                    <xdr:row>15</xdr:row>
                    <xdr:rowOff>229797</xdr:rowOff>
                  </to>
                </anchor>
              </controlPr>
            </control>
          </mc:Choice>
        </mc:AlternateContent>
        <mc:AlternateContent xmlns:mc="http://schemas.openxmlformats.org/markup-compatibility/2006">
          <mc:Choice Requires="x14">
            <control shapeId="18588" r:id="rId32" name="Spinner 156">
              <controlPr defaultSize="0" autoPict="0">
                <anchor moveWithCells="1" sizeWithCells="1">
                  <from>
                    <xdr:col>12</xdr:col>
                    <xdr:colOff>335120</xdr:colOff>
                    <xdr:row>15</xdr:row>
                    <xdr:rowOff>38299</xdr:rowOff>
                  </from>
                  <to>
                    <xdr:col>12</xdr:col>
                    <xdr:colOff>464381</xdr:colOff>
                    <xdr:row>15</xdr:row>
                    <xdr:rowOff>229797</xdr:rowOff>
                  </to>
                </anchor>
              </controlPr>
            </control>
          </mc:Choice>
        </mc:AlternateContent>
        <mc:AlternateContent xmlns:mc="http://schemas.openxmlformats.org/markup-compatibility/2006">
          <mc:Choice Requires="x14">
            <control shapeId="18590" r:id="rId33" name="Spinner 158">
              <controlPr defaultSize="0" autoPict="0">
                <anchor moveWithCells="1" sizeWithCells="1">
                  <from>
                    <xdr:col>7</xdr:col>
                    <xdr:colOff>450019</xdr:colOff>
                    <xdr:row>17</xdr:row>
                    <xdr:rowOff>28725</xdr:rowOff>
                  </from>
                  <to>
                    <xdr:col>7</xdr:col>
                    <xdr:colOff>579280</xdr:colOff>
                    <xdr:row>17</xdr:row>
                    <xdr:rowOff>220222</xdr:rowOff>
                  </to>
                </anchor>
              </controlPr>
            </control>
          </mc:Choice>
        </mc:AlternateContent>
        <mc:AlternateContent xmlns:mc="http://schemas.openxmlformats.org/markup-compatibility/2006">
          <mc:Choice Requires="x14">
            <control shapeId="18591" r:id="rId34" name="Spinner 159">
              <controlPr defaultSize="0" autoPict="0">
                <anchor moveWithCells="1" sizeWithCells="1">
                  <from>
                    <xdr:col>2</xdr:col>
                    <xdr:colOff>493106</xdr:colOff>
                    <xdr:row>17</xdr:row>
                    <xdr:rowOff>19150</xdr:rowOff>
                  </from>
                  <to>
                    <xdr:col>3</xdr:col>
                    <xdr:colOff>0</xdr:colOff>
                    <xdr:row>17</xdr:row>
                    <xdr:rowOff>229797</xdr:rowOff>
                  </to>
                </anchor>
              </controlPr>
            </control>
          </mc:Choice>
        </mc:AlternateContent>
        <mc:AlternateContent xmlns:mc="http://schemas.openxmlformats.org/markup-compatibility/2006">
          <mc:Choice Requires="x14">
            <control shapeId="18592" r:id="rId35" name="Spinner 160">
              <controlPr defaultSize="0" autoPict="0">
                <anchor moveWithCells="1" sizeWithCells="1">
                  <from>
                    <xdr:col>9</xdr:col>
                    <xdr:colOff>0</xdr:colOff>
                    <xdr:row>17</xdr:row>
                    <xdr:rowOff>9575</xdr:rowOff>
                  </from>
                  <to>
                    <xdr:col>9</xdr:col>
                    <xdr:colOff>134048</xdr:colOff>
                    <xdr:row>17</xdr:row>
                    <xdr:rowOff>239372</xdr:rowOff>
                  </to>
                </anchor>
              </controlPr>
            </control>
          </mc:Choice>
        </mc:AlternateContent>
        <mc:AlternateContent xmlns:mc="http://schemas.openxmlformats.org/markup-compatibility/2006">
          <mc:Choice Requires="x14">
            <control shapeId="18594" r:id="rId36" name="Drop Down 162">
              <controlPr defaultSize="0" autoLine="0" autoPict="0">
                <anchor moveWithCells="1">
                  <from>
                    <xdr:col>12</xdr:col>
                    <xdr:colOff>502681</xdr:colOff>
                    <xdr:row>17</xdr:row>
                    <xdr:rowOff>28725</xdr:rowOff>
                  </from>
                  <to>
                    <xdr:col>13</xdr:col>
                    <xdr:colOff>531405</xdr:colOff>
                    <xdr:row>17</xdr:row>
                    <xdr:rowOff>229797</xdr:rowOff>
                  </to>
                </anchor>
              </controlPr>
            </control>
          </mc:Choice>
        </mc:AlternateContent>
        <mc:AlternateContent xmlns:mc="http://schemas.openxmlformats.org/markup-compatibility/2006">
          <mc:Choice Requires="x14">
            <control shapeId="18595" r:id="rId37" name="Spinner 163">
              <controlPr defaultSize="0" autoPict="0">
                <anchor moveWithCells="1" sizeWithCells="1">
                  <from>
                    <xdr:col>12</xdr:col>
                    <xdr:colOff>335120</xdr:colOff>
                    <xdr:row>17</xdr:row>
                    <xdr:rowOff>38299</xdr:rowOff>
                  </from>
                  <to>
                    <xdr:col>12</xdr:col>
                    <xdr:colOff>464381</xdr:colOff>
                    <xdr:row>17</xdr:row>
                    <xdr:rowOff>229797</xdr:rowOff>
                  </to>
                </anchor>
              </controlPr>
            </control>
          </mc:Choice>
        </mc:AlternateContent>
        <mc:AlternateContent xmlns:mc="http://schemas.openxmlformats.org/markup-compatibility/2006">
          <mc:Choice Requires="x14">
            <control shapeId="18597" r:id="rId38" name="Spinner 165">
              <controlPr defaultSize="0" autoPict="0">
                <anchor moveWithCells="1" sizeWithCells="1">
                  <from>
                    <xdr:col>7</xdr:col>
                    <xdr:colOff>450019</xdr:colOff>
                    <xdr:row>19</xdr:row>
                    <xdr:rowOff>28725</xdr:rowOff>
                  </from>
                  <to>
                    <xdr:col>7</xdr:col>
                    <xdr:colOff>579280</xdr:colOff>
                    <xdr:row>19</xdr:row>
                    <xdr:rowOff>220222</xdr:rowOff>
                  </to>
                </anchor>
              </controlPr>
            </control>
          </mc:Choice>
        </mc:AlternateContent>
        <mc:AlternateContent xmlns:mc="http://schemas.openxmlformats.org/markup-compatibility/2006">
          <mc:Choice Requires="x14">
            <control shapeId="18598" r:id="rId39" name="Spinner 166">
              <controlPr defaultSize="0" autoPict="0">
                <anchor moveWithCells="1" sizeWithCells="1">
                  <from>
                    <xdr:col>2</xdr:col>
                    <xdr:colOff>493106</xdr:colOff>
                    <xdr:row>19</xdr:row>
                    <xdr:rowOff>19150</xdr:rowOff>
                  </from>
                  <to>
                    <xdr:col>3</xdr:col>
                    <xdr:colOff>0</xdr:colOff>
                    <xdr:row>19</xdr:row>
                    <xdr:rowOff>229797</xdr:rowOff>
                  </to>
                </anchor>
              </controlPr>
            </control>
          </mc:Choice>
        </mc:AlternateContent>
        <mc:AlternateContent xmlns:mc="http://schemas.openxmlformats.org/markup-compatibility/2006">
          <mc:Choice Requires="x14">
            <control shapeId="18599" r:id="rId40" name="Spinner 167">
              <controlPr defaultSize="0" autoPict="0">
                <anchor moveWithCells="1" sizeWithCells="1">
                  <from>
                    <xdr:col>9</xdr:col>
                    <xdr:colOff>0</xdr:colOff>
                    <xdr:row>19</xdr:row>
                    <xdr:rowOff>9575</xdr:rowOff>
                  </from>
                  <to>
                    <xdr:col>9</xdr:col>
                    <xdr:colOff>134048</xdr:colOff>
                    <xdr:row>19</xdr:row>
                    <xdr:rowOff>239372</xdr:rowOff>
                  </to>
                </anchor>
              </controlPr>
            </control>
          </mc:Choice>
        </mc:AlternateContent>
        <mc:AlternateContent xmlns:mc="http://schemas.openxmlformats.org/markup-compatibility/2006">
          <mc:Choice Requires="x14">
            <control shapeId="18601" r:id="rId41" name="Drop Down 169">
              <controlPr defaultSize="0" autoLine="0" autoPict="0">
                <anchor moveWithCells="1">
                  <from>
                    <xdr:col>12</xdr:col>
                    <xdr:colOff>502681</xdr:colOff>
                    <xdr:row>19</xdr:row>
                    <xdr:rowOff>28725</xdr:rowOff>
                  </from>
                  <to>
                    <xdr:col>13</xdr:col>
                    <xdr:colOff>531405</xdr:colOff>
                    <xdr:row>19</xdr:row>
                    <xdr:rowOff>229797</xdr:rowOff>
                  </to>
                </anchor>
              </controlPr>
            </control>
          </mc:Choice>
        </mc:AlternateContent>
        <mc:AlternateContent xmlns:mc="http://schemas.openxmlformats.org/markup-compatibility/2006">
          <mc:Choice Requires="x14">
            <control shapeId="18602" r:id="rId42" name="Spinner 170">
              <controlPr defaultSize="0" autoPict="0">
                <anchor moveWithCells="1" sizeWithCells="1">
                  <from>
                    <xdr:col>12</xdr:col>
                    <xdr:colOff>335120</xdr:colOff>
                    <xdr:row>19</xdr:row>
                    <xdr:rowOff>38299</xdr:rowOff>
                  </from>
                  <to>
                    <xdr:col>12</xdr:col>
                    <xdr:colOff>464381</xdr:colOff>
                    <xdr:row>19</xdr:row>
                    <xdr:rowOff>229797</xdr:rowOff>
                  </to>
                </anchor>
              </controlPr>
            </control>
          </mc:Choice>
        </mc:AlternateContent>
        <mc:AlternateContent xmlns:mc="http://schemas.openxmlformats.org/markup-compatibility/2006">
          <mc:Choice Requires="x14">
            <control shapeId="18604" r:id="rId43" name="Spinner 172">
              <controlPr defaultSize="0" autoPict="0">
                <anchor moveWithCells="1" sizeWithCells="1">
                  <from>
                    <xdr:col>7</xdr:col>
                    <xdr:colOff>450019</xdr:colOff>
                    <xdr:row>21</xdr:row>
                    <xdr:rowOff>28725</xdr:rowOff>
                  </from>
                  <to>
                    <xdr:col>7</xdr:col>
                    <xdr:colOff>579280</xdr:colOff>
                    <xdr:row>21</xdr:row>
                    <xdr:rowOff>220222</xdr:rowOff>
                  </to>
                </anchor>
              </controlPr>
            </control>
          </mc:Choice>
        </mc:AlternateContent>
        <mc:AlternateContent xmlns:mc="http://schemas.openxmlformats.org/markup-compatibility/2006">
          <mc:Choice Requires="x14">
            <control shapeId="18605" r:id="rId44" name="Spinner 173">
              <controlPr defaultSize="0" autoPict="0">
                <anchor moveWithCells="1" sizeWithCells="1">
                  <from>
                    <xdr:col>2</xdr:col>
                    <xdr:colOff>493106</xdr:colOff>
                    <xdr:row>21</xdr:row>
                    <xdr:rowOff>19150</xdr:rowOff>
                  </from>
                  <to>
                    <xdr:col>3</xdr:col>
                    <xdr:colOff>0</xdr:colOff>
                    <xdr:row>21</xdr:row>
                    <xdr:rowOff>229797</xdr:rowOff>
                  </to>
                </anchor>
              </controlPr>
            </control>
          </mc:Choice>
        </mc:AlternateContent>
        <mc:AlternateContent xmlns:mc="http://schemas.openxmlformats.org/markup-compatibility/2006">
          <mc:Choice Requires="x14">
            <control shapeId="18606" r:id="rId45" name="Spinner 174">
              <controlPr defaultSize="0" autoPict="0">
                <anchor moveWithCells="1" sizeWithCells="1">
                  <from>
                    <xdr:col>9</xdr:col>
                    <xdr:colOff>0</xdr:colOff>
                    <xdr:row>21</xdr:row>
                    <xdr:rowOff>9575</xdr:rowOff>
                  </from>
                  <to>
                    <xdr:col>9</xdr:col>
                    <xdr:colOff>134048</xdr:colOff>
                    <xdr:row>21</xdr:row>
                    <xdr:rowOff>239372</xdr:rowOff>
                  </to>
                </anchor>
              </controlPr>
            </control>
          </mc:Choice>
        </mc:AlternateContent>
        <mc:AlternateContent xmlns:mc="http://schemas.openxmlformats.org/markup-compatibility/2006">
          <mc:Choice Requires="x14">
            <control shapeId="18608" r:id="rId46" name="Drop Down 176">
              <controlPr defaultSize="0" autoLine="0" autoPict="0">
                <anchor moveWithCells="1">
                  <from>
                    <xdr:col>12</xdr:col>
                    <xdr:colOff>502681</xdr:colOff>
                    <xdr:row>21</xdr:row>
                    <xdr:rowOff>28725</xdr:rowOff>
                  </from>
                  <to>
                    <xdr:col>13</xdr:col>
                    <xdr:colOff>531405</xdr:colOff>
                    <xdr:row>21</xdr:row>
                    <xdr:rowOff>229797</xdr:rowOff>
                  </to>
                </anchor>
              </controlPr>
            </control>
          </mc:Choice>
        </mc:AlternateContent>
        <mc:AlternateContent xmlns:mc="http://schemas.openxmlformats.org/markup-compatibility/2006">
          <mc:Choice Requires="x14">
            <control shapeId="18609" r:id="rId47" name="Spinner 177">
              <controlPr defaultSize="0" autoPict="0">
                <anchor moveWithCells="1" sizeWithCells="1">
                  <from>
                    <xdr:col>12</xdr:col>
                    <xdr:colOff>335120</xdr:colOff>
                    <xdr:row>21</xdr:row>
                    <xdr:rowOff>38299</xdr:rowOff>
                  </from>
                  <to>
                    <xdr:col>12</xdr:col>
                    <xdr:colOff>464381</xdr:colOff>
                    <xdr:row>21</xdr:row>
                    <xdr:rowOff>229797</xdr:rowOff>
                  </to>
                </anchor>
              </controlPr>
            </control>
          </mc:Choice>
        </mc:AlternateContent>
        <mc:AlternateContent xmlns:mc="http://schemas.openxmlformats.org/markup-compatibility/2006">
          <mc:Choice Requires="x14">
            <control shapeId="18611" r:id="rId48" name="Spinner 179">
              <controlPr defaultSize="0" autoPict="0">
                <anchor moveWithCells="1" sizeWithCells="1">
                  <from>
                    <xdr:col>7</xdr:col>
                    <xdr:colOff>450019</xdr:colOff>
                    <xdr:row>23</xdr:row>
                    <xdr:rowOff>28725</xdr:rowOff>
                  </from>
                  <to>
                    <xdr:col>7</xdr:col>
                    <xdr:colOff>579280</xdr:colOff>
                    <xdr:row>23</xdr:row>
                    <xdr:rowOff>220222</xdr:rowOff>
                  </to>
                </anchor>
              </controlPr>
            </control>
          </mc:Choice>
        </mc:AlternateContent>
        <mc:AlternateContent xmlns:mc="http://schemas.openxmlformats.org/markup-compatibility/2006">
          <mc:Choice Requires="x14">
            <control shapeId="18612" r:id="rId49" name="Spinner 180">
              <controlPr defaultSize="0" autoPict="0">
                <anchor moveWithCells="1" sizeWithCells="1">
                  <from>
                    <xdr:col>2</xdr:col>
                    <xdr:colOff>493106</xdr:colOff>
                    <xdr:row>23</xdr:row>
                    <xdr:rowOff>19150</xdr:rowOff>
                  </from>
                  <to>
                    <xdr:col>3</xdr:col>
                    <xdr:colOff>0</xdr:colOff>
                    <xdr:row>23</xdr:row>
                    <xdr:rowOff>229797</xdr:rowOff>
                  </to>
                </anchor>
              </controlPr>
            </control>
          </mc:Choice>
        </mc:AlternateContent>
        <mc:AlternateContent xmlns:mc="http://schemas.openxmlformats.org/markup-compatibility/2006">
          <mc:Choice Requires="x14">
            <control shapeId="18613" r:id="rId50" name="Spinner 181">
              <controlPr defaultSize="0" autoPict="0">
                <anchor moveWithCells="1" sizeWithCells="1">
                  <from>
                    <xdr:col>9</xdr:col>
                    <xdr:colOff>0</xdr:colOff>
                    <xdr:row>23</xdr:row>
                    <xdr:rowOff>9575</xdr:rowOff>
                  </from>
                  <to>
                    <xdr:col>9</xdr:col>
                    <xdr:colOff>134048</xdr:colOff>
                    <xdr:row>23</xdr:row>
                    <xdr:rowOff>239372</xdr:rowOff>
                  </to>
                </anchor>
              </controlPr>
            </control>
          </mc:Choice>
        </mc:AlternateContent>
        <mc:AlternateContent xmlns:mc="http://schemas.openxmlformats.org/markup-compatibility/2006">
          <mc:Choice Requires="x14">
            <control shapeId="18615" r:id="rId51" name="Drop Down 183">
              <controlPr defaultSize="0" autoLine="0" autoPict="0">
                <anchor moveWithCells="1">
                  <from>
                    <xdr:col>12</xdr:col>
                    <xdr:colOff>502681</xdr:colOff>
                    <xdr:row>23</xdr:row>
                    <xdr:rowOff>28725</xdr:rowOff>
                  </from>
                  <to>
                    <xdr:col>13</xdr:col>
                    <xdr:colOff>531405</xdr:colOff>
                    <xdr:row>23</xdr:row>
                    <xdr:rowOff>229797</xdr:rowOff>
                  </to>
                </anchor>
              </controlPr>
            </control>
          </mc:Choice>
        </mc:AlternateContent>
        <mc:AlternateContent xmlns:mc="http://schemas.openxmlformats.org/markup-compatibility/2006">
          <mc:Choice Requires="x14">
            <control shapeId="18616" r:id="rId52" name="Spinner 184">
              <controlPr defaultSize="0" autoPict="0">
                <anchor moveWithCells="1" sizeWithCells="1">
                  <from>
                    <xdr:col>12</xdr:col>
                    <xdr:colOff>335120</xdr:colOff>
                    <xdr:row>23</xdr:row>
                    <xdr:rowOff>38299</xdr:rowOff>
                  </from>
                  <to>
                    <xdr:col>12</xdr:col>
                    <xdr:colOff>464381</xdr:colOff>
                    <xdr:row>23</xdr:row>
                    <xdr:rowOff>229797</xdr:rowOff>
                  </to>
                </anchor>
              </controlPr>
            </control>
          </mc:Choice>
        </mc:AlternateContent>
        <mc:AlternateContent xmlns:mc="http://schemas.openxmlformats.org/markup-compatibility/2006">
          <mc:Choice Requires="x14">
            <control shapeId="18695" r:id="rId53" name="Spinner 263">
              <controlPr defaultSize="0" autoPict="0">
                <anchor moveWithCells="1" sizeWithCells="1">
                  <from>
                    <xdr:col>7</xdr:col>
                    <xdr:colOff>450019</xdr:colOff>
                    <xdr:row>25</xdr:row>
                    <xdr:rowOff>28725</xdr:rowOff>
                  </from>
                  <to>
                    <xdr:col>7</xdr:col>
                    <xdr:colOff>579280</xdr:colOff>
                    <xdr:row>25</xdr:row>
                    <xdr:rowOff>220222</xdr:rowOff>
                  </to>
                </anchor>
              </controlPr>
            </control>
          </mc:Choice>
        </mc:AlternateContent>
        <mc:AlternateContent xmlns:mc="http://schemas.openxmlformats.org/markup-compatibility/2006">
          <mc:Choice Requires="x14">
            <control shapeId="18696" r:id="rId54" name="Spinner 264">
              <controlPr defaultSize="0" autoPict="0">
                <anchor moveWithCells="1" sizeWithCells="1">
                  <from>
                    <xdr:col>2</xdr:col>
                    <xdr:colOff>493106</xdr:colOff>
                    <xdr:row>25</xdr:row>
                    <xdr:rowOff>19150</xdr:rowOff>
                  </from>
                  <to>
                    <xdr:col>3</xdr:col>
                    <xdr:colOff>0</xdr:colOff>
                    <xdr:row>25</xdr:row>
                    <xdr:rowOff>229797</xdr:rowOff>
                  </to>
                </anchor>
              </controlPr>
            </control>
          </mc:Choice>
        </mc:AlternateContent>
        <mc:AlternateContent xmlns:mc="http://schemas.openxmlformats.org/markup-compatibility/2006">
          <mc:Choice Requires="x14">
            <control shapeId="18697" r:id="rId55" name="Spinner 265">
              <controlPr defaultSize="0" autoPict="0">
                <anchor moveWithCells="1" sizeWithCells="1">
                  <from>
                    <xdr:col>9</xdr:col>
                    <xdr:colOff>0</xdr:colOff>
                    <xdr:row>25</xdr:row>
                    <xdr:rowOff>9575</xdr:rowOff>
                  </from>
                  <to>
                    <xdr:col>9</xdr:col>
                    <xdr:colOff>134048</xdr:colOff>
                    <xdr:row>25</xdr:row>
                    <xdr:rowOff>239372</xdr:rowOff>
                  </to>
                </anchor>
              </controlPr>
            </control>
          </mc:Choice>
        </mc:AlternateContent>
        <mc:AlternateContent xmlns:mc="http://schemas.openxmlformats.org/markup-compatibility/2006">
          <mc:Choice Requires="x14">
            <control shapeId="18699" r:id="rId56" name="Drop Down 267">
              <controlPr defaultSize="0" autoLine="0" autoPict="0">
                <anchor moveWithCells="1">
                  <from>
                    <xdr:col>12</xdr:col>
                    <xdr:colOff>502681</xdr:colOff>
                    <xdr:row>25</xdr:row>
                    <xdr:rowOff>28725</xdr:rowOff>
                  </from>
                  <to>
                    <xdr:col>13</xdr:col>
                    <xdr:colOff>531405</xdr:colOff>
                    <xdr:row>25</xdr:row>
                    <xdr:rowOff>229797</xdr:rowOff>
                  </to>
                </anchor>
              </controlPr>
            </control>
          </mc:Choice>
        </mc:AlternateContent>
        <mc:AlternateContent xmlns:mc="http://schemas.openxmlformats.org/markup-compatibility/2006">
          <mc:Choice Requires="x14">
            <control shapeId="18700" r:id="rId57" name="Spinner 268">
              <controlPr defaultSize="0" autoPict="0">
                <anchor moveWithCells="1" sizeWithCells="1">
                  <from>
                    <xdr:col>12</xdr:col>
                    <xdr:colOff>335120</xdr:colOff>
                    <xdr:row>25</xdr:row>
                    <xdr:rowOff>38299</xdr:rowOff>
                  </from>
                  <to>
                    <xdr:col>12</xdr:col>
                    <xdr:colOff>464381</xdr:colOff>
                    <xdr:row>25</xdr:row>
                    <xdr:rowOff>229797</xdr:rowOff>
                  </to>
                </anchor>
              </controlPr>
            </control>
          </mc:Choice>
        </mc:AlternateContent>
        <mc:AlternateContent xmlns:mc="http://schemas.openxmlformats.org/markup-compatibility/2006">
          <mc:Choice Requires="x14">
            <control shapeId="18702" r:id="rId58" name="Spinner 270">
              <controlPr defaultSize="0" autoPict="0">
                <anchor moveWithCells="1" sizeWithCells="1">
                  <from>
                    <xdr:col>7</xdr:col>
                    <xdr:colOff>450019</xdr:colOff>
                    <xdr:row>27</xdr:row>
                    <xdr:rowOff>28725</xdr:rowOff>
                  </from>
                  <to>
                    <xdr:col>7</xdr:col>
                    <xdr:colOff>579280</xdr:colOff>
                    <xdr:row>27</xdr:row>
                    <xdr:rowOff>220222</xdr:rowOff>
                  </to>
                </anchor>
              </controlPr>
            </control>
          </mc:Choice>
        </mc:AlternateContent>
        <mc:AlternateContent xmlns:mc="http://schemas.openxmlformats.org/markup-compatibility/2006">
          <mc:Choice Requires="x14">
            <control shapeId="18703" r:id="rId59" name="Spinner 271">
              <controlPr defaultSize="0" autoPict="0">
                <anchor moveWithCells="1" sizeWithCells="1">
                  <from>
                    <xdr:col>2</xdr:col>
                    <xdr:colOff>493106</xdr:colOff>
                    <xdr:row>27</xdr:row>
                    <xdr:rowOff>19150</xdr:rowOff>
                  </from>
                  <to>
                    <xdr:col>3</xdr:col>
                    <xdr:colOff>0</xdr:colOff>
                    <xdr:row>27</xdr:row>
                    <xdr:rowOff>229797</xdr:rowOff>
                  </to>
                </anchor>
              </controlPr>
            </control>
          </mc:Choice>
        </mc:AlternateContent>
        <mc:AlternateContent xmlns:mc="http://schemas.openxmlformats.org/markup-compatibility/2006">
          <mc:Choice Requires="x14">
            <control shapeId="18704" r:id="rId60" name="Spinner 272">
              <controlPr defaultSize="0" autoPict="0">
                <anchor moveWithCells="1" sizeWithCells="1">
                  <from>
                    <xdr:col>9</xdr:col>
                    <xdr:colOff>0</xdr:colOff>
                    <xdr:row>27</xdr:row>
                    <xdr:rowOff>9575</xdr:rowOff>
                  </from>
                  <to>
                    <xdr:col>9</xdr:col>
                    <xdr:colOff>134048</xdr:colOff>
                    <xdr:row>27</xdr:row>
                    <xdr:rowOff>239372</xdr:rowOff>
                  </to>
                </anchor>
              </controlPr>
            </control>
          </mc:Choice>
        </mc:AlternateContent>
        <mc:AlternateContent xmlns:mc="http://schemas.openxmlformats.org/markup-compatibility/2006">
          <mc:Choice Requires="x14">
            <control shapeId="18706" r:id="rId61" name="Drop Down 274">
              <controlPr defaultSize="0" autoLine="0" autoPict="0">
                <anchor moveWithCells="1">
                  <from>
                    <xdr:col>12</xdr:col>
                    <xdr:colOff>502681</xdr:colOff>
                    <xdr:row>27</xdr:row>
                    <xdr:rowOff>28725</xdr:rowOff>
                  </from>
                  <to>
                    <xdr:col>13</xdr:col>
                    <xdr:colOff>531405</xdr:colOff>
                    <xdr:row>27</xdr:row>
                    <xdr:rowOff>229797</xdr:rowOff>
                  </to>
                </anchor>
              </controlPr>
            </control>
          </mc:Choice>
        </mc:AlternateContent>
        <mc:AlternateContent xmlns:mc="http://schemas.openxmlformats.org/markup-compatibility/2006">
          <mc:Choice Requires="x14">
            <control shapeId="18707" r:id="rId62" name="Spinner 275">
              <controlPr defaultSize="0" autoPict="0">
                <anchor moveWithCells="1" sizeWithCells="1">
                  <from>
                    <xdr:col>12</xdr:col>
                    <xdr:colOff>335120</xdr:colOff>
                    <xdr:row>27</xdr:row>
                    <xdr:rowOff>38299</xdr:rowOff>
                  </from>
                  <to>
                    <xdr:col>12</xdr:col>
                    <xdr:colOff>464381</xdr:colOff>
                    <xdr:row>27</xdr:row>
                    <xdr:rowOff>229797</xdr:rowOff>
                  </to>
                </anchor>
              </controlPr>
            </control>
          </mc:Choice>
        </mc:AlternateContent>
        <mc:AlternateContent xmlns:mc="http://schemas.openxmlformats.org/markup-compatibility/2006">
          <mc:Choice Requires="x14">
            <control shapeId="18709" r:id="rId63" name="Spinner 277">
              <controlPr defaultSize="0" autoPict="0">
                <anchor moveWithCells="1" sizeWithCells="1">
                  <from>
                    <xdr:col>7</xdr:col>
                    <xdr:colOff>450019</xdr:colOff>
                    <xdr:row>29</xdr:row>
                    <xdr:rowOff>28725</xdr:rowOff>
                  </from>
                  <to>
                    <xdr:col>7</xdr:col>
                    <xdr:colOff>579280</xdr:colOff>
                    <xdr:row>29</xdr:row>
                    <xdr:rowOff>220222</xdr:rowOff>
                  </to>
                </anchor>
              </controlPr>
            </control>
          </mc:Choice>
        </mc:AlternateContent>
        <mc:AlternateContent xmlns:mc="http://schemas.openxmlformats.org/markup-compatibility/2006">
          <mc:Choice Requires="x14">
            <control shapeId="18710" r:id="rId64" name="Spinner 278">
              <controlPr defaultSize="0" autoPict="0">
                <anchor moveWithCells="1" sizeWithCells="1">
                  <from>
                    <xdr:col>2</xdr:col>
                    <xdr:colOff>493106</xdr:colOff>
                    <xdr:row>29</xdr:row>
                    <xdr:rowOff>19150</xdr:rowOff>
                  </from>
                  <to>
                    <xdr:col>3</xdr:col>
                    <xdr:colOff>0</xdr:colOff>
                    <xdr:row>29</xdr:row>
                    <xdr:rowOff>229797</xdr:rowOff>
                  </to>
                </anchor>
              </controlPr>
            </control>
          </mc:Choice>
        </mc:AlternateContent>
        <mc:AlternateContent xmlns:mc="http://schemas.openxmlformats.org/markup-compatibility/2006">
          <mc:Choice Requires="x14">
            <control shapeId="18711" r:id="rId65" name="Spinner 279">
              <controlPr defaultSize="0" autoPict="0">
                <anchor moveWithCells="1" sizeWithCells="1">
                  <from>
                    <xdr:col>9</xdr:col>
                    <xdr:colOff>0</xdr:colOff>
                    <xdr:row>29</xdr:row>
                    <xdr:rowOff>9575</xdr:rowOff>
                  </from>
                  <to>
                    <xdr:col>9</xdr:col>
                    <xdr:colOff>134048</xdr:colOff>
                    <xdr:row>29</xdr:row>
                    <xdr:rowOff>239372</xdr:rowOff>
                  </to>
                </anchor>
              </controlPr>
            </control>
          </mc:Choice>
        </mc:AlternateContent>
        <mc:AlternateContent xmlns:mc="http://schemas.openxmlformats.org/markup-compatibility/2006">
          <mc:Choice Requires="x14">
            <control shapeId="18713" r:id="rId66" name="Drop Down 281">
              <controlPr defaultSize="0" autoLine="0" autoPict="0">
                <anchor moveWithCells="1">
                  <from>
                    <xdr:col>12</xdr:col>
                    <xdr:colOff>502681</xdr:colOff>
                    <xdr:row>29</xdr:row>
                    <xdr:rowOff>28725</xdr:rowOff>
                  </from>
                  <to>
                    <xdr:col>13</xdr:col>
                    <xdr:colOff>531405</xdr:colOff>
                    <xdr:row>29</xdr:row>
                    <xdr:rowOff>229797</xdr:rowOff>
                  </to>
                </anchor>
              </controlPr>
            </control>
          </mc:Choice>
        </mc:AlternateContent>
        <mc:AlternateContent xmlns:mc="http://schemas.openxmlformats.org/markup-compatibility/2006">
          <mc:Choice Requires="x14">
            <control shapeId="18714" r:id="rId67" name="Spinner 282">
              <controlPr defaultSize="0" autoPict="0">
                <anchor moveWithCells="1" sizeWithCells="1">
                  <from>
                    <xdr:col>12</xdr:col>
                    <xdr:colOff>335120</xdr:colOff>
                    <xdr:row>29</xdr:row>
                    <xdr:rowOff>38299</xdr:rowOff>
                  </from>
                  <to>
                    <xdr:col>12</xdr:col>
                    <xdr:colOff>464381</xdr:colOff>
                    <xdr:row>29</xdr:row>
                    <xdr:rowOff>229797</xdr:rowOff>
                  </to>
                </anchor>
              </controlPr>
            </control>
          </mc:Choice>
        </mc:AlternateContent>
        <mc:AlternateContent xmlns:mc="http://schemas.openxmlformats.org/markup-compatibility/2006">
          <mc:Choice Requires="x14">
            <control shapeId="18716" r:id="rId68" name="Spinner 284">
              <controlPr defaultSize="0" autoPict="0">
                <anchor moveWithCells="1" sizeWithCells="1">
                  <from>
                    <xdr:col>7</xdr:col>
                    <xdr:colOff>450019</xdr:colOff>
                    <xdr:row>31</xdr:row>
                    <xdr:rowOff>28725</xdr:rowOff>
                  </from>
                  <to>
                    <xdr:col>7</xdr:col>
                    <xdr:colOff>579280</xdr:colOff>
                    <xdr:row>31</xdr:row>
                    <xdr:rowOff>220222</xdr:rowOff>
                  </to>
                </anchor>
              </controlPr>
            </control>
          </mc:Choice>
        </mc:AlternateContent>
        <mc:AlternateContent xmlns:mc="http://schemas.openxmlformats.org/markup-compatibility/2006">
          <mc:Choice Requires="x14">
            <control shapeId="18717" r:id="rId69" name="Spinner 285">
              <controlPr defaultSize="0" autoPict="0">
                <anchor moveWithCells="1" sizeWithCells="1">
                  <from>
                    <xdr:col>2</xdr:col>
                    <xdr:colOff>493106</xdr:colOff>
                    <xdr:row>31</xdr:row>
                    <xdr:rowOff>19150</xdr:rowOff>
                  </from>
                  <to>
                    <xdr:col>3</xdr:col>
                    <xdr:colOff>0</xdr:colOff>
                    <xdr:row>31</xdr:row>
                    <xdr:rowOff>229797</xdr:rowOff>
                  </to>
                </anchor>
              </controlPr>
            </control>
          </mc:Choice>
        </mc:AlternateContent>
        <mc:AlternateContent xmlns:mc="http://schemas.openxmlformats.org/markup-compatibility/2006">
          <mc:Choice Requires="x14">
            <control shapeId="18718" r:id="rId70" name="Spinner 286">
              <controlPr defaultSize="0" autoPict="0">
                <anchor moveWithCells="1" sizeWithCells="1">
                  <from>
                    <xdr:col>9</xdr:col>
                    <xdr:colOff>0</xdr:colOff>
                    <xdr:row>31</xdr:row>
                    <xdr:rowOff>9575</xdr:rowOff>
                  </from>
                  <to>
                    <xdr:col>9</xdr:col>
                    <xdr:colOff>134048</xdr:colOff>
                    <xdr:row>31</xdr:row>
                    <xdr:rowOff>239372</xdr:rowOff>
                  </to>
                </anchor>
              </controlPr>
            </control>
          </mc:Choice>
        </mc:AlternateContent>
        <mc:AlternateContent xmlns:mc="http://schemas.openxmlformats.org/markup-compatibility/2006">
          <mc:Choice Requires="x14">
            <control shapeId="18720" r:id="rId71" name="Drop Down 288">
              <controlPr defaultSize="0" autoLine="0" autoPict="0">
                <anchor moveWithCells="1">
                  <from>
                    <xdr:col>12</xdr:col>
                    <xdr:colOff>502681</xdr:colOff>
                    <xdr:row>31</xdr:row>
                    <xdr:rowOff>28725</xdr:rowOff>
                  </from>
                  <to>
                    <xdr:col>13</xdr:col>
                    <xdr:colOff>531405</xdr:colOff>
                    <xdr:row>31</xdr:row>
                    <xdr:rowOff>229797</xdr:rowOff>
                  </to>
                </anchor>
              </controlPr>
            </control>
          </mc:Choice>
        </mc:AlternateContent>
        <mc:AlternateContent xmlns:mc="http://schemas.openxmlformats.org/markup-compatibility/2006">
          <mc:Choice Requires="x14">
            <control shapeId="18721" r:id="rId72" name="Spinner 289">
              <controlPr defaultSize="0" autoPict="0">
                <anchor moveWithCells="1" sizeWithCells="1">
                  <from>
                    <xdr:col>12</xdr:col>
                    <xdr:colOff>335120</xdr:colOff>
                    <xdr:row>31</xdr:row>
                    <xdr:rowOff>38299</xdr:rowOff>
                  </from>
                  <to>
                    <xdr:col>12</xdr:col>
                    <xdr:colOff>464381</xdr:colOff>
                    <xdr:row>31</xdr:row>
                    <xdr:rowOff>229797</xdr:rowOff>
                  </to>
                </anchor>
              </controlPr>
            </control>
          </mc:Choice>
        </mc:AlternateContent>
        <mc:AlternateContent xmlns:mc="http://schemas.openxmlformats.org/markup-compatibility/2006">
          <mc:Choice Requires="x14">
            <control shapeId="18723" r:id="rId73" name="Spinner 291">
              <controlPr defaultSize="0" autoPict="0">
                <anchor moveWithCells="1" sizeWithCells="1">
                  <from>
                    <xdr:col>7</xdr:col>
                    <xdr:colOff>450019</xdr:colOff>
                    <xdr:row>33</xdr:row>
                    <xdr:rowOff>28725</xdr:rowOff>
                  </from>
                  <to>
                    <xdr:col>7</xdr:col>
                    <xdr:colOff>579280</xdr:colOff>
                    <xdr:row>33</xdr:row>
                    <xdr:rowOff>220222</xdr:rowOff>
                  </to>
                </anchor>
              </controlPr>
            </control>
          </mc:Choice>
        </mc:AlternateContent>
        <mc:AlternateContent xmlns:mc="http://schemas.openxmlformats.org/markup-compatibility/2006">
          <mc:Choice Requires="x14">
            <control shapeId="18724" r:id="rId74" name="Spinner 292">
              <controlPr defaultSize="0" autoPict="0">
                <anchor moveWithCells="1" sizeWithCells="1">
                  <from>
                    <xdr:col>2</xdr:col>
                    <xdr:colOff>493106</xdr:colOff>
                    <xdr:row>33</xdr:row>
                    <xdr:rowOff>19150</xdr:rowOff>
                  </from>
                  <to>
                    <xdr:col>3</xdr:col>
                    <xdr:colOff>0</xdr:colOff>
                    <xdr:row>33</xdr:row>
                    <xdr:rowOff>229797</xdr:rowOff>
                  </to>
                </anchor>
              </controlPr>
            </control>
          </mc:Choice>
        </mc:AlternateContent>
        <mc:AlternateContent xmlns:mc="http://schemas.openxmlformats.org/markup-compatibility/2006">
          <mc:Choice Requires="x14">
            <control shapeId="18725" r:id="rId75" name="Spinner 293">
              <controlPr defaultSize="0" autoPict="0">
                <anchor moveWithCells="1" sizeWithCells="1">
                  <from>
                    <xdr:col>9</xdr:col>
                    <xdr:colOff>0</xdr:colOff>
                    <xdr:row>33</xdr:row>
                    <xdr:rowOff>9575</xdr:rowOff>
                  </from>
                  <to>
                    <xdr:col>9</xdr:col>
                    <xdr:colOff>134048</xdr:colOff>
                    <xdr:row>33</xdr:row>
                    <xdr:rowOff>239372</xdr:rowOff>
                  </to>
                </anchor>
              </controlPr>
            </control>
          </mc:Choice>
        </mc:AlternateContent>
        <mc:AlternateContent xmlns:mc="http://schemas.openxmlformats.org/markup-compatibility/2006">
          <mc:Choice Requires="x14">
            <control shapeId="18727" r:id="rId76" name="Drop Down 295">
              <controlPr defaultSize="0" autoLine="0" autoPict="0">
                <anchor moveWithCells="1">
                  <from>
                    <xdr:col>12</xdr:col>
                    <xdr:colOff>502681</xdr:colOff>
                    <xdr:row>33</xdr:row>
                    <xdr:rowOff>28725</xdr:rowOff>
                  </from>
                  <to>
                    <xdr:col>13</xdr:col>
                    <xdr:colOff>531405</xdr:colOff>
                    <xdr:row>33</xdr:row>
                    <xdr:rowOff>229797</xdr:rowOff>
                  </to>
                </anchor>
              </controlPr>
            </control>
          </mc:Choice>
        </mc:AlternateContent>
        <mc:AlternateContent xmlns:mc="http://schemas.openxmlformats.org/markup-compatibility/2006">
          <mc:Choice Requires="x14">
            <control shapeId="18728" r:id="rId77" name="Spinner 296">
              <controlPr defaultSize="0" autoPict="0">
                <anchor moveWithCells="1" sizeWithCells="1">
                  <from>
                    <xdr:col>12</xdr:col>
                    <xdr:colOff>335120</xdr:colOff>
                    <xdr:row>33</xdr:row>
                    <xdr:rowOff>38299</xdr:rowOff>
                  </from>
                  <to>
                    <xdr:col>12</xdr:col>
                    <xdr:colOff>464381</xdr:colOff>
                    <xdr:row>33</xdr:row>
                    <xdr:rowOff>229797</xdr:rowOff>
                  </to>
                </anchor>
              </controlPr>
            </control>
          </mc:Choice>
        </mc:AlternateContent>
        <mc:AlternateContent xmlns:mc="http://schemas.openxmlformats.org/markup-compatibility/2006">
          <mc:Choice Requires="x14">
            <control shapeId="18730" r:id="rId78" name="Spinner 298">
              <controlPr defaultSize="0" autoPict="0">
                <anchor moveWithCells="1" sizeWithCells="1">
                  <from>
                    <xdr:col>7</xdr:col>
                    <xdr:colOff>450019</xdr:colOff>
                    <xdr:row>35</xdr:row>
                    <xdr:rowOff>28725</xdr:rowOff>
                  </from>
                  <to>
                    <xdr:col>7</xdr:col>
                    <xdr:colOff>579280</xdr:colOff>
                    <xdr:row>35</xdr:row>
                    <xdr:rowOff>220222</xdr:rowOff>
                  </to>
                </anchor>
              </controlPr>
            </control>
          </mc:Choice>
        </mc:AlternateContent>
        <mc:AlternateContent xmlns:mc="http://schemas.openxmlformats.org/markup-compatibility/2006">
          <mc:Choice Requires="x14">
            <control shapeId="18731" r:id="rId79" name="Spinner 299">
              <controlPr defaultSize="0" autoPict="0">
                <anchor moveWithCells="1" sizeWithCells="1">
                  <from>
                    <xdr:col>2</xdr:col>
                    <xdr:colOff>493106</xdr:colOff>
                    <xdr:row>35</xdr:row>
                    <xdr:rowOff>19150</xdr:rowOff>
                  </from>
                  <to>
                    <xdr:col>3</xdr:col>
                    <xdr:colOff>0</xdr:colOff>
                    <xdr:row>35</xdr:row>
                    <xdr:rowOff>229797</xdr:rowOff>
                  </to>
                </anchor>
              </controlPr>
            </control>
          </mc:Choice>
        </mc:AlternateContent>
        <mc:AlternateContent xmlns:mc="http://schemas.openxmlformats.org/markup-compatibility/2006">
          <mc:Choice Requires="x14">
            <control shapeId="18732" r:id="rId80" name="Spinner 300">
              <controlPr defaultSize="0" autoPict="0">
                <anchor moveWithCells="1" sizeWithCells="1">
                  <from>
                    <xdr:col>9</xdr:col>
                    <xdr:colOff>0</xdr:colOff>
                    <xdr:row>35</xdr:row>
                    <xdr:rowOff>9575</xdr:rowOff>
                  </from>
                  <to>
                    <xdr:col>9</xdr:col>
                    <xdr:colOff>134048</xdr:colOff>
                    <xdr:row>35</xdr:row>
                    <xdr:rowOff>239372</xdr:rowOff>
                  </to>
                </anchor>
              </controlPr>
            </control>
          </mc:Choice>
        </mc:AlternateContent>
        <mc:AlternateContent xmlns:mc="http://schemas.openxmlformats.org/markup-compatibility/2006">
          <mc:Choice Requires="x14">
            <control shapeId="18734" r:id="rId81" name="Drop Down 302">
              <controlPr defaultSize="0" autoLine="0" autoPict="0">
                <anchor moveWithCells="1">
                  <from>
                    <xdr:col>12</xdr:col>
                    <xdr:colOff>502681</xdr:colOff>
                    <xdr:row>35</xdr:row>
                    <xdr:rowOff>28725</xdr:rowOff>
                  </from>
                  <to>
                    <xdr:col>13</xdr:col>
                    <xdr:colOff>531405</xdr:colOff>
                    <xdr:row>35</xdr:row>
                    <xdr:rowOff>229797</xdr:rowOff>
                  </to>
                </anchor>
              </controlPr>
            </control>
          </mc:Choice>
        </mc:AlternateContent>
        <mc:AlternateContent xmlns:mc="http://schemas.openxmlformats.org/markup-compatibility/2006">
          <mc:Choice Requires="x14">
            <control shapeId="18735" r:id="rId82" name="Spinner 303">
              <controlPr defaultSize="0" autoPict="0">
                <anchor moveWithCells="1" sizeWithCells="1">
                  <from>
                    <xdr:col>12</xdr:col>
                    <xdr:colOff>335120</xdr:colOff>
                    <xdr:row>35</xdr:row>
                    <xdr:rowOff>38299</xdr:rowOff>
                  </from>
                  <to>
                    <xdr:col>12</xdr:col>
                    <xdr:colOff>464381</xdr:colOff>
                    <xdr:row>35</xdr:row>
                    <xdr:rowOff>229797</xdr:rowOff>
                  </to>
                </anchor>
              </controlPr>
            </control>
          </mc:Choice>
        </mc:AlternateContent>
        <mc:AlternateContent xmlns:mc="http://schemas.openxmlformats.org/markup-compatibility/2006">
          <mc:Choice Requires="x14">
            <control shapeId="18737" r:id="rId83" name="Spinner 305">
              <controlPr defaultSize="0" autoPict="0">
                <anchor moveWithCells="1" sizeWithCells="1">
                  <from>
                    <xdr:col>7</xdr:col>
                    <xdr:colOff>450019</xdr:colOff>
                    <xdr:row>37</xdr:row>
                    <xdr:rowOff>28725</xdr:rowOff>
                  </from>
                  <to>
                    <xdr:col>7</xdr:col>
                    <xdr:colOff>579280</xdr:colOff>
                    <xdr:row>37</xdr:row>
                    <xdr:rowOff>220222</xdr:rowOff>
                  </to>
                </anchor>
              </controlPr>
            </control>
          </mc:Choice>
        </mc:AlternateContent>
        <mc:AlternateContent xmlns:mc="http://schemas.openxmlformats.org/markup-compatibility/2006">
          <mc:Choice Requires="x14">
            <control shapeId="18738" r:id="rId84" name="Spinner 306">
              <controlPr defaultSize="0" autoPict="0">
                <anchor moveWithCells="1" sizeWithCells="1">
                  <from>
                    <xdr:col>2</xdr:col>
                    <xdr:colOff>493106</xdr:colOff>
                    <xdr:row>37</xdr:row>
                    <xdr:rowOff>19150</xdr:rowOff>
                  </from>
                  <to>
                    <xdr:col>3</xdr:col>
                    <xdr:colOff>0</xdr:colOff>
                    <xdr:row>37</xdr:row>
                    <xdr:rowOff>229797</xdr:rowOff>
                  </to>
                </anchor>
              </controlPr>
            </control>
          </mc:Choice>
        </mc:AlternateContent>
        <mc:AlternateContent xmlns:mc="http://schemas.openxmlformats.org/markup-compatibility/2006">
          <mc:Choice Requires="x14">
            <control shapeId="18739" r:id="rId85" name="Spinner 307">
              <controlPr defaultSize="0" autoPict="0">
                <anchor moveWithCells="1" sizeWithCells="1">
                  <from>
                    <xdr:col>9</xdr:col>
                    <xdr:colOff>0</xdr:colOff>
                    <xdr:row>37</xdr:row>
                    <xdr:rowOff>9575</xdr:rowOff>
                  </from>
                  <to>
                    <xdr:col>9</xdr:col>
                    <xdr:colOff>134048</xdr:colOff>
                    <xdr:row>37</xdr:row>
                    <xdr:rowOff>239372</xdr:rowOff>
                  </to>
                </anchor>
              </controlPr>
            </control>
          </mc:Choice>
        </mc:AlternateContent>
        <mc:AlternateContent xmlns:mc="http://schemas.openxmlformats.org/markup-compatibility/2006">
          <mc:Choice Requires="x14">
            <control shapeId="18741" r:id="rId86" name="Drop Down 309">
              <controlPr defaultSize="0" autoLine="0" autoPict="0">
                <anchor moveWithCells="1">
                  <from>
                    <xdr:col>12</xdr:col>
                    <xdr:colOff>502681</xdr:colOff>
                    <xdr:row>37</xdr:row>
                    <xdr:rowOff>28725</xdr:rowOff>
                  </from>
                  <to>
                    <xdr:col>13</xdr:col>
                    <xdr:colOff>531405</xdr:colOff>
                    <xdr:row>37</xdr:row>
                    <xdr:rowOff>229797</xdr:rowOff>
                  </to>
                </anchor>
              </controlPr>
            </control>
          </mc:Choice>
        </mc:AlternateContent>
        <mc:AlternateContent xmlns:mc="http://schemas.openxmlformats.org/markup-compatibility/2006">
          <mc:Choice Requires="x14">
            <control shapeId="18742" r:id="rId87" name="Spinner 310">
              <controlPr defaultSize="0" autoPict="0">
                <anchor moveWithCells="1" sizeWithCells="1">
                  <from>
                    <xdr:col>12</xdr:col>
                    <xdr:colOff>335120</xdr:colOff>
                    <xdr:row>37</xdr:row>
                    <xdr:rowOff>38299</xdr:rowOff>
                  </from>
                  <to>
                    <xdr:col>12</xdr:col>
                    <xdr:colOff>464381</xdr:colOff>
                    <xdr:row>37</xdr:row>
                    <xdr:rowOff>229797</xdr:rowOff>
                  </to>
                </anchor>
              </controlPr>
            </control>
          </mc:Choice>
        </mc:AlternateContent>
        <mc:AlternateContent xmlns:mc="http://schemas.openxmlformats.org/markup-compatibility/2006">
          <mc:Choice Requires="x14">
            <control shapeId="18744" r:id="rId88" name="Spinner 312">
              <controlPr defaultSize="0" autoPict="0">
                <anchor moveWithCells="1" sizeWithCells="1">
                  <from>
                    <xdr:col>7</xdr:col>
                    <xdr:colOff>450019</xdr:colOff>
                    <xdr:row>39</xdr:row>
                    <xdr:rowOff>28725</xdr:rowOff>
                  </from>
                  <to>
                    <xdr:col>7</xdr:col>
                    <xdr:colOff>579280</xdr:colOff>
                    <xdr:row>39</xdr:row>
                    <xdr:rowOff>220222</xdr:rowOff>
                  </to>
                </anchor>
              </controlPr>
            </control>
          </mc:Choice>
        </mc:AlternateContent>
        <mc:AlternateContent xmlns:mc="http://schemas.openxmlformats.org/markup-compatibility/2006">
          <mc:Choice Requires="x14">
            <control shapeId="18745" r:id="rId89" name="Spinner 313">
              <controlPr defaultSize="0" autoPict="0">
                <anchor moveWithCells="1" sizeWithCells="1">
                  <from>
                    <xdr:col>2</xdr:col>
                    <xdr:colOff>493106</xdr:colOff>
                    <xdr:row>39</xdr:row>
                    <xdr:rowOff>19150</xdr:rowOff>
                  </from>
                  <to>
                    <xdr:col>3</xdr:col>
                    <xdr:colOff>0</xdr:colOff>
                    <xdr:row>39</xdr:row>
                    <xdr:rowOff>229797</xdr:rowOff>
                  </to>
                </anchor>
              </controlPr>
            </control>
          </mc:Choice>
        </mc:AlternateContent>
        <mc:AlternateContent xmlns:mc="http://schemas.openxmlformats.org/markup-compatibility/2006">
          <mc:Choice Requires="x14">
            <control shapeId="18746" r:id="rId90" name="Spinner 314">
              <controlPr defaultSize="0" autoPict="0">
                <anchor moveWithCells="1" sizeWithCells="1">
                  <from>
                    <xdr:col>9</xdr:col>
                    <xdr:colOff>0</xdr:colOff>
                    <xdr:row>39</xdr:row>
                    <xdr:rowOff>9575</xdr:rowOff>
                  </from>
                  <to>
                    <xdr:col>9</xdr:col>
                    <xdr:colOff>134048</xdr:colOff>
                    <xdr:row>39</xdr:row>
                    <xdr:rowOff>239372</xdr:rowOff>
                  </to>
                </anchor>
              </controlPr>
            </control>
          </mc:Choice>
        </mc:AlternateContent>
        <mc:AlternateContent xmlns:mc="http://schemas.openxmlformats.org/markup-compatibility/2006">
          <mc:Choice Requires="x14">
            <control shapeId="18748" r:id="rId91" name="Drop Down 316">
              <controlPr defaultSize="0" autoLine="0" autoPict="0">
                <anchor moveWithCells="1">
                  <from>
                    <xdr:col>12</xdr:col>
                    <xdr:colOff>502681</xdr:colOff>
                    <xdr:row>39</xdr:row>
                    <xdr:rowOff>28725</xdr:rowOff>
                  </from>
                  <to>
                    <xdr:col>13</xdr:col>
                    <xdr:colOff>531405</xdr:colOff>
                    <xdr:row>39</xdr:row>
                    <xdr:rowOff>229797</xdr:rowOff>
                  </to>
                </anchor>
              </controlPr>
            </control>
          </mc:Choice>
        </mc:AlternateContent>
        <mc:AlternateContent xmlns:mc="http://schemas.openxmlformats.org/markup-compatibility/2006">
          <mc:Choice Requires="x14">
            <control shapeId="18749" r:id="rId92" name="Spinner 317">
              <controlPr defaultSize="0" autoPict="0">
                <anchor moveWithCells="1" sizeWithCells="1">
                  <from>
                    <xdr:col>12</xdr:col>
                    <xdr:colOff>335120</xdr:colOff>
                    <xdr:row>39</xdr:row>
                    <xdr:rowOff>38299</xdr:rowOff>
                  </from>
                  <to>
                    <xdr:col>12</xdr:col>
                    <xdr:colOff>464381</xdr:colOff>
                    <xdr:row>39</xdr:row>
                    <xdr:rowOff>229797</xdr:rowOff>
                  </to>
                </anchor>
              </controlPr>
            </control>
          </mc:Choice>
        </mc:AlternateContent>
        <mc:AlternateContent xmlns:mc="http://schemas.openxmlformats.org/markup-compatibility/2006">
          <mc:Choice Requires="x14">
            <control shapeId="18751" r:id="rId93" name="Spinner 319">
              <controlPr defaultSize="0" autoPict="0">
                <anchor moveWithCells="1" sizeWithCells="1">
                  <from>
                    <xdr:col>7</xdr:col>
                    <xdr:colOff>450019</xdr:colOff>
                    <xdr:row>41</xdr:row>
                    <xdr:rowOff>28725</xdr:rowOff>
                  </from>
                  <to>
                    <xdr:col>7</xdr:col>
                    <xdr:colOff>579280</xdr:colOff>
                    <xdr:row>41</xdr:row>
                    <xdr:rowOff>220222</xdr:rowOff>
                  </to>
                </anchor>
              </controlPr>
            </control>
          </mc:Choice>
        </mc:AlternateContent>
        <mc:AlternateContent xmlns:mc="http://schemas.openxmlformats.org/markup-compatibility/2006">
          <mc:Choice Requires="x14">
            <control shapeId="18752" r:id="rId94" name="Spinner 320">
              <controlPr defaultSize="0" autoPict="0">
                <anchor moveWithCells="1" sizeWithCells="1">
                  <from>
                    <xdr:col>2</xdr:col>
                    <xdr:colOff>493106</xdr:colOff>
                    <xdr:row>41</xdr:row>
                    <xdr:rowOff>19150</xdr:rowOff>
                  </from>
                  <to>
                    <xdr:col>3</xdr:col>
                    <xdr:colOff>0</xdr:colOff>
                    <xdr:row>41</xdr:row>
                    <xdr:rowOff>229797</xdr:rowOff>
                  </to>
                </anchor>
              </controlPr>
            </control>
          </mc:Choice>
        </mc:AlternateContent>
        <mc:AlternateContent xmlns:mc="http://schemas.openxmlformats.org/markup-compatibility/2006">
          <mc:Choice Requires="x14">
            <control shapeId="18753" r:id="rId95" name="Spinner 321">
              <controlPr defaultSize="0" autoPict="0">
                <anchor moveWithCells="1" sizeWithCells="1">
                  <from>
                    <xdr:col>9</xdr:col>
                    <xdr:colOff>0</xdr:colOff>
                    <xdr:row>41</xdr:row>
                    <xdr:rowOff>9575</xdr:rowOff>
                  </from>
                  <to>
                    <xdr:col>9</xdr:col>
                    <xdr:colOff>134048</xdr:colOff>
                    <xdr:row>41</xdr:row>
                    <xdr:rowOff>239372</xdr:rowOff>
                  </to>
                </anchor>
              </controlPr>
            </control>
          </mc:Choice>
        </mc:AlternateContent>
        <mc:AlternateContent xmlns:mc="http://schemas.openxmlformats.org/markup-compatibility/2006">
          <mc:Choice Requires="x14">
            <control shapeId="18755" r:id="rId96" name="Drop Down 323">
              <controlPr defaultSize="0" autoLine="0" autoPict="0">
                <anchor moveWithCells="1">
                  <from>
                    <xdr:col>12</xdr:col>
                    <xdr:colOff>502681</xdr:colOff>
                    <xdr:row>41</xdr:row>
                    <xdr:rowOff>28725</xdr:rowOff>
                  </from>
                  <to>
                    <xdr:col>13</xdr:col>
                    <xdr:colOff>531405</xdr:colOff>
                    <xdr:row>41</xdr:row>
                    <xdr:rowOff>229797</xdr:rowOff>
                  </to>
                </anchor>
              </controlPr>
            </control>
          </mc:Choice>
        </mc:AlternateContent>
        <mc:AlternateContent xmlns:mc="http://schemas.openxmlformats.org/markup-compatibility/2006">
          <mc:Choice Requires="x14">
            <control shapeId="18756" r:id="rId97" name="Spinner 324">
              <controlPr defaultSize="0" autoPict="0">
                <anchor moveWithCells="1" sizeWithCells="1">
                  <from>
                    <xdr:col>12</xdr:col>
                    <xdr:colOff>335120</xdr:colOff>
                    <xdr:row>41</xdr:row>
                    <xdr:rowOff>38299</xdr:rowOff>
                  </from>
                  <to>
                    <xdr:col>12</xdr:col>
                    <xdr:colOff>464381</xdr:colOff>
                    <xdr:row>41</xdr:row>
                    <xdr:rowOff>229797</xdr:rowOff>
                  </to>
                </anchor>
              </controlPr>
            </control>
          </mc:Choice>
        </mc:AlternateContent>
        <mc:AlternateContent xmlns:mc="http://schemas.openxmlformats.org/markup-compatibility/2006">
          <mc:Choice Requires="x14">
            <control shapeId="18758" r:id="rId98" name="Spinner 326">
              <controlPr defaultSize="0" autoPict="0">
                <anchor moveWithCells="1" sizeWithCells="1">
                  <from>
                    <xdr:col>7</xdr:col>
                    <xdr:colOff>450019</xdr:colOff>
                    <xdr:row>43</xdr:row>
                    <xdr:rowOff>28725</xdr:rowOff>
                  </from>
                  <to>
                    <xdr:col>7</xdr:col>
                    <xdr:colOff>579280</xdr:colOff>
                    <xdr:row>43</xdr:row>
                    <xdr:rowOff>220222</xdr:rowOff>
                  </to>
                </anchor>
              </controlPr>
            </control>
          </mc:Choice>
        </mc:AlternateContent>
        <mc:AlternateContent xmlns:mc="http://schemas.openxmlformats.org/markup-compatibility/2006">
          <mc:Choice Requires="x14">
            <control shapeId="18759" r:id="rId99" name="Spinner 327">
              <controlPr defaultSize="0" autoPict="0">
                <anchor moveWithCells="1" sizeWithCells="1">
                  <from>
                    <xdr:col>2</xdr:col>
                    <xdr:colOff>493106</xdr:colOff>
                    <xdr:row>43</xdr:row>
                    <xdr:rowOff>19150</xdr:rowOff>
                  </from>
                  <to>
                    <xdr:col>3</xdr:col>
                    <xdr:colOff>0</xdr:colOff>
                    <xdr:row>43</xdr:row>
                    <xdr:rowOff>229797</xdr:rowOff>
                  </to>
                </anchor>
              </controlPr>
            </control>
          </mc:Choice>
        </mc:AlternateContent>
        <mc:AlternateContent xmlns:mc="http://schemas.openxmlformats.org/markup-compatibility/2006">
          <mc:Choice Requires="x14">
            <control shapeId="18760" r:id="rId100" name="Spinner 328">
              <controlPr defaultSize="0" autoPict="0">
                <anchor moveWithCells="1" sizeWithCells="1">
                  <from>
                    <xdr:col>9</xdr:col>
                    <xdr:colOff>0</xdr:colOff>
                    <xdr:row>43</xdr:row>
                    <xdr:rowOff>9575</xdr:rowOff>
                  </from>
                  <to>
                    <xdr:col>9</xdr:col>
                    <xdr:colOff>134048</xdr:colOff>
                    <xdr:row>43</xdr:row>
                    <xdr:rowOff>239372</xdr:rowOff>
                  </to>
                </anchor>
              </controlPr>
            </control>
          </mc:Choice>
        </mc:AlternateContent>
        <mc:AlternateContent xmlns:mc="http://schemas.openxmlformats.org/markup-compatibility/2006">
          <mc:Choice Requires="x14">
            <control shapeId="18762" r:id="rId101" name="Drop Down 330">
              <controlPr defaultSize="0" autoLine="0" autoPict="0">
                <anchor moveWithCells="1">
                  <from>
                    <xdr:col>12</xdr:col>
                    <xdr:colOff>502681</xdr:colOff>
                    <xdr:row>43</xdr:row>
                    <xdr:rowOff>28725</xdr:rowOff>
                  </from>
                  <to>
                    <xdr:col>13</xdr:col>
                    <xdr:colOff>531405</xdr:colOff>
                    <xdr:row>43</xdr:row>
                    <xdr:rowOff>229797</xdr:rowOff>
                  </to>
                </anchor>
              </controlPr>
            </control>
          </mc:Choice>
        </mc:AlternateContent>
        <mc:AlternateContent xmlns:mc="http://schemas.openxmlformats.org/markup-compatibility/2006">
          <mc:Choice Requires="x14">
            <control shapeId="18763" r:id="rId102" name="Spinner 331">
              <controlPr defaultSize="0" autoPict="0">
                <anchor moveWithCells="1" sizeWithCells="1">
                  <from>
                    <xdr:col>12</xdr:col>
                    <xdr:colOff>335120</xdr:colOff>
                    <xdr:row>43</xdr:row>
                    <xdr:rowOff>38299</xdr:rowOff>
                  </from>
                  <to>
                    <xdr:col>12</xdr:col>
                    <xdr:colOff>464381</xdr:colOff>
                    <xdr:row>43</xdr:row>
                    <xdr:rowOff>229797</xdr:rowOff>
                  </to>
                </anchor>
              </controlPr>
            </control>
          </mc:Choice>
        </mc:AlternateContent>
        <mc:AlternateContent xmlns:mc="http://schemas.openxmlformats.org/markup-compatibility/2006">
          <mc:Choice Requires="x14">
            <control shapeId="18796" r:id="rId103" name="Spinner 364">
              <controlPr defaultSize="0" autoPict="0">
                <anchor moveWithCells="1" sizeWithCells="1">
                  <from>
                    <xdr:col>7</xdr:col>
                    <xdr:colOff>450019</xdr:colOff>
                    <xdr:row>7</xdr:row>
                    <xdr:rowOff>28725</xdr:rowOff>
                  </from>
                  <to>
                    <xdr:col>7</xdr:col>
                    <xdr:colOff>579280</xdr:colOff>
                    <xdr:row>7</xdr:row>
                    <xdr:rowOff>220222</xdr:rowOff>
                  </to>
                </anchor>
              </controlPr>
            </control>
          </mc:Choice>
        </mc:AlternateContent>
        <mc:AlternateContent xmlns:mc="http://schemas.openxmlformats.org/markup-compatibility/2006">
          <mc:Choice Requires="x14">
            <control shapeId="18797" r:id="rId104" name="Spinner 365">
              <controlPr defaultSize="0" autoPict="0">
                <anchor moveWithCells="1" sizeWithCells="1">
                  <from>
                    <xdr:col>15</xdr:col>
                    <xdr:colOff>47874</xdr:colOff>
                    <xdr:row>5</xdr:row>
                    <xdr:rowOff>38299</xdr:rowOff>
                  </from>
                  <to>
                    <xdr:col>15</xdr:col>
                    <xdr:colOff>181923</xdr:colOff>
                    <xdr:row>5</xdr:row>
                    <xdr:rowOff>229797</xdr:rowOff>
                  </to>
                </anchor>
              </controlPr>
            </control>
          </mc:Choice>
        </mc:AlternateContent>
        <mc:AlternateContent xmlns:mc="http://schemas.openxmlformats.org/markup-compatibility/2006">
          <mc:Choice Requires="x14">
            <control shapeId="18806" r:id="rId105" name="Spinner 374">
              <controlPr defaultSize="0" autoPict="0">
                <anchor moveWithCells="1" sizeWithCells="1">
                  <from>
                    <xdr:col>15</xdr:col>
                    <xdr:colOff>47874</xdr:colOff>
                    <xdr:row>7</xdr:row>
                    <xdr:rowOff>38299</xdr:rowOff>
                  </from>
                  <to>
                    <xdr:col>15</xdr:col>
                    <xdr:colOff>181923</xdr:colOff>
                    <xdr:row>7</xdr:row>
                    <xdr:rowOff>229797</xdr:rowOff>
                  </to>
                </anchor>
              </controlPr>
            </control>
          </mc:Choice>
        </mc:AlternateContent>
        <mc:AlternateContent xmlns:mc="http://schemas.openxmlformats.org/markup-compatibility/2006">
          <mc:Choice Requires="x14">
            <control shapeId="18807" r:id="rId106" name="Spinner 375">
              <controlPr defaultSize="0" autoPict="0">
                <anchor moveWithCells="1" sizeWithCells="1">
                  <from>
                    <xdr:col>15</xdr:col>
                    <xdr:colOff>47874</xdr:colOff>
                    <xdr:row>9</xdr:row>
                    <xdr:rowOff>38299</xdr:rowOff>
                  </from>
                  <to>
                    <xdr:col>15</xdr:col>
                    <xdr:colOff>181923</xdr:colOff>
                    <xdr:row>9</xdr:row>
                    <xdr:rowOff>229797</xdr:rowOff>
                  </to>
                </anchor>
              </controlPr>
            </control>
          </mc:Choice>
        </mc:AlternateContent>
        <mc:AlternateContent xmlns:mc="http://schemas.openxmlformats.org/markup-compatibility/2006">
          <mc:Choice Requires="x14">
            <control shapeId="18808" r:id="rId107" name="Spinner 376">
              <controlPr defaultSize="0" autoPict="0">
                <anchor moveWithCells="1" sizeWithCells="1">
                  <from>
                    <xdr:col>15</xdr:col>
                    <xdr:colOff>47874</xdr:colOff>
                    <xdr:row>11</xdr:row>
                    <xdr:rowOff>38299</xdr:rowOff>
                  </from>
                  <to>
                    <xdr:col>15</xdr:col>
                    <xdr:colOff>181923</xdr:colOff>
                    <xdr:row>11</xdr:row>
                    <xdr:rowOff>229797</xdr:rowOff>
                  </to>
                </anchor>
              </controlPr>
            </control>
          </mc:Choice>
        </mc:AlternateContent>
        <mc:AlternateContent xmlns:mc="http://schemas.openxmlformats.org/markup-compatibility/2006">
          <mc:Choice Requires="x14">
            <control shapeId="18809" r:id="rId108" name="Spinner 377">
              <controlPr defaultSize="0" autoPict="0">
                <anchor moveWithCells="1" sizeWithCells="1">
                  <from>
                    <xdr:col>15</xdr:col>
                    <xdr:colOff>47874</xdr:colOff>
                    <xdr:row>13</xdr:row>
                    <xdr:rowOff>38299</xdr:rowOff>
                  </from>
                  <to>
                    <xdr:col>15</xdr:col>
                    <xdr:colOff>181923</xdr:colOff>
                    <xdr:row>13</xdr:row>
                    <xdr:rowOff>229797</xdr:rowOff>
                  </to>
                </anchor>
              </controlPr>
            </control>
          </mc:Choice>
        </mc:AlternateContent>
        <mc:AlternateContent xmlns:mc="http://schemas.openxmlformats.org/markup-compatibility/2006">
          <mc:Choice Requires="x14">
            <control shapeId="18810" r:id="rId109" name="Spinner 378">
              <controlPr defaultSize="0" autoPict="0">
                <anchor moveWithCells="1" sizeWithCells="1">
                  <from>
                    <xdr:col>15</xdr:col>
                    <xdr:colOff>47874</xdr:colOff>
                    <xdr:row>15</xdr:row>
                    <xdr:rowOff>38299</xdr:rowOff>
                  </from>
                  <to>
                    <xdr:col>15</xdr:col>
                    <xdr:colOff>181923</xdr:colOff>
                    <xdr:row>15</xdr:row>
                    <xdr:rowOff>229797</xdr:rowOff>
                  </to>
                </anchor>
              </controlPr>
            </control>
          </mc:Choice>
        </mc:AlternateContent>
        <mc:AlternateContent xmlns:mc="http://schemas.openxmlformats.org/markup-compatibility/2006">
          <mc:Choice Requires="x14">
            <control shapeId="18811" r:id="rId110" name="Spinner 379">
              <controlPr defaultSize="0" autoPict="0">
                <anchor moveWithCells="1" sizeWithCells="1">
                  <from>
                    <xdr:col>15</xdr:col>
                    <xdr:colOff>47874</xdr:colOff>
                    <xdr:row>17</xdr:row>
                    <xdr:rowOff>38299</xdr:rowOff>
                  </from>
                  <to>
                    <xdr:col>15</xdr:col>
                    <xdr:colOff>181923</xdr:colOff>
                    <xdr:row>17</xdr:row>
                    <xdr:rowOff>229797</xdr:rowOff>
                  </to>
                </anchor>
              </controlPr>
            </control>
          </mc:Choice>
        </mc:AlternateContent>
        <mc:AlternateContent xmlns:mc="http://schemas.openxmlformats.org/markup-compatibility/2006">
          <mc:Choice Requires="x14">
            <control shapeId="18812" r:id="rId111" name="Spinner 380">
              <controlPr defaultSize="0" autoPict="0">
                <anchor moveWithCells="1" sizeWithCells="1">
                  <from>
                    <xdr:col>15</xdr:col>
                    <xdr:colOff>47874</xdr:colOff>
                    <xdr:row>19</xdr:row>
                    <xdr:rowOff>38299</xdr:rowOff>
                  </from>
                  <to>
                    <xdr:col>15</xdr:col>
                    <xdr:colOff>181923</xdr:colOff>
                    <xdr:row>19</xdr:row>
                    <xdr:rowOff>229797</xdr:rowOff>
                  </to>
                </anchor>
              </controlPr>
            </control>
          </mc:Choice>
        </mc:AlternateContent>
        <mc:AlternateContent xmlns:mc="http://schemas.openxmlformats.org/markup-compatibility/2006">
          <mc:Choice Requires="x14">
            <control shapeId="18813" r:id="rId112" name="Spinner 381">
              <controlPr defaultSize="0" autoPict="0">
                <anchor moveWithCells="1" sizeWithCells="1">
                  <from>
                    <xdr:col>15</xdr:col>
                    <xdr:colOff>47874</xdr:colOff>
                    <xdr:row>21</xdr:row>
                    <xdr:rowOff>38299</xdr:rowOff>
                  </from>
                  <to>
                    <xdr:col>15</xdr:col>
                    <xdr:colOff>181923</xdr:colOff>
                    <xdr:row>21</xdr:row>
                    <xdr:rowOff>229797</xdr:rowOff>
                  </to>
                </anchor>
              </controlPr>
            </control>
          </mc:Choice>
        </mc:AlternateContent>
        <mc:AlternateContent xmlns:mc="http://schemas.openxmlformats.org/markup-compatibility/2006">
          <mc:Choice Requires="x14">
            <control shapeId="18814" r:id="rId113" name="Spinner 382">
              <controlPr defaultSize="0" autoPict="0">
                <anchor moveWithCells="1" sizeWithCells="1">
                  <from>
                    <xdr:col>15</xdr:col>
                    <xdr:colOff>47874</xdr:colOff>
                    <xdr:row>23</xdr:row>
                    <xdr:rowOff>38299</xdr:rowOff>
                  </from>
                  <to>
                    <xdr:col>15</xdr:col>
                    <xdr:colOff>181923</xdr:colOff>
                    <xdr:row>23</xdr:row>
                    <xdr:rowOff>229797</xdr:rowOff>
                  </to>
                </anchor>
              </controlPr>
            </control>
          </mc:Choice>
        </mc:AlternateContent>
        <mc:AlternateContent xmlns:mc="http://schemas.openxmlformats.org/markup-compatibility/2006">
          <mc:Choice Requires="x14">
            <control shapeId="18815" r:id="rId114" name="Spinner 383">
              <controlPr defaultSize="0" autoPict="0">
                <anchor moveWithCells="1" sizeWithCells="1">
                  <from>
                    <xdr:col>15</xdr:col>
                    <xdr:colOff>47874</xdr:colOff>
                    <xdr:row>25</xdr:row>
                    <xdr:rowOff>38299</xdr:rowOff>
                  </from>
                  <to>
                    <xdr:col>15</xdr:col>
                    <xdr:colOff>181923</xdr:colOff>
                    <xdr:row>25</xdr:row>
                    <xdr:rowOff>229797</xdr:rowOff>
                  </to>
                </anchor>
              </controlPr>
            </control>
          </mc:Choice>
        </mc:AlternateContent>
        <mc:AlternateContent xmlns:mc="http://schemas.openxmlformats.org/markup-compatibility/2006">
          <mc:Choice Requires="x14">
            <control shapeId="18816" r:id="rId115" name="Spinner 384">
              <controlPr defaultSize="0" autoPict="0">
                <anchor moveWithCells="1" sizeWithCells="1">
                  <from>
                    <xdr:col>15</xdr:col>
                    <xdr:colOff>47874</xdr:colOff>
                    <xdr:row>27</xdr:row>
                    <xdr:rowOff>38299</xdr:rowOff>
                  </from>
                  <to>
                    <xdr:col>15</xdr:col>
                    <xdr:colOff>181923</xdr:colOff>
                    <xdr:row>27</xdr:row>
                    <xdr:rowOff>229797</xdr:rowOff>
                  </to>
                </anchor>
              </controlPr>
            </control>
          </mc:Choice>
        </mc:AlternateContent>
        <mc:AlternateContent xmlns:mc="http://schemas.openxmlformats.org/markup-compatibility/2006">
          <mc:Choice Requires="x14">
            <control shapeId="18817" r:id="rId116" name="Spinner 385">
              <controlPr defaultSize="0" autoPict="0">
                <anchor moveWithCells="1" sizeWithCells="1">
                  <from>
                    <xdr:col>15</xdr:col>
                    <xdr:colOff>47874</xdr:colOff>
                    <xdr:row>29</xdr:row>
                    <xdr:rowOff>38299</xdr:rowOff>
                  </from>
                  <to>
                    <xdr:col>15</xdr:col>
                    <xdr:colOff>181923</xdr:colOff>
                    <xdr:row>29</xdr:row>
                    <xdr:rowOff>229797</xdr:rowOff>
                  </to>
                </anchor>
              </controlPr>
            </control>
          </mc:Choice>
        </mc:AlternateContent>
        <mc:AlternateContent xmlns:mc="http://schemas.openxmlformats.org/markup-compatibility/2006">
          <mc:Choice Requires="x14">
            <control shapeId="18818" r:id="rId117" name="Spinner 386">
              <controlPr defaultSize="0" autoPict="0">
                <anchor moveWithCells="1" sizeWithCells="1">
                  <from>
                    <xdr:col>15</xdr:col>
                    <xdr:colOff>47874</xdr:colOff>
                    <xdr:row>31</xdr:row>
                    <xdr:rowOff>38299</xdr:rowOff>
                  </from>
                  <to>
                    <xdr:col>15</xdr:col>
                    <xdr:colOff>181923</xdr:colOff>
                    <xdr:row>31</xdr:row>
                    <xdr:rowOff>229797</xdr:rowOff>
                  </to>
                </anchor>
              </controlPr>
            </control>
          </mc:Choice>
        </mc:AlternateContent>
        <mc:AlternateContent xmlns:mc="http://schemas.openxmlformats.org/markup-compatibility/2006">
          <mc:Choice Requires="x14">
            <control shapeId="18819" r:id="rId118" name="Spinner 387">
              <controlPr defaultSize="0" autoPict="0">
                <anchor moveWithCells="1" sizeWithCells="1">
                  <from>
                    <xdr:col>15</xdr:col>
                    <xdr:colOff>47874</xdr:colOff>
                    <xdr:row>33</xdr:row>
                    <xdr:rowOff>38299</xdr:rowOff>
                  </from>
                  <to>
                    <xdr:col>15</xdr:col>
                    <xdr:colOff>181923</xdr:colOff>
                    <xdr:row>33</xdr:row>
                    <xdr:rowOff>229797</xdr:rowOff>
                  </to>
                </anchor>
              </controlPr>
            </control>
          </mc:Choice>
        </mc:AlternateContent>
        <mc:AlternateContent xmlns:mc="http://schemas.openxmlformats.org/markup-compatibility/2006">
          <mc:Choice Requires="x14">
            <control shapeId="18820" r:id="rId119" name="Spinner 388">
              <controlPr defaultSize="0" autoPict="0">
                <anchor moveWithCells="1" sizeWithCells="1">
                  <from>
                    <xdr:col>15</xdr:col>
                    <xdr:colOff>47874</xdr:colOff>
                    <xdr:row>35</xdr:row>
                    <xdr:rowOff>38299</xdr:rowOff>
                  </from>
                  <to>
                    <xdr:col>15</xdr:col>
                    <xdr:colOff>181923</xdr:colOff>
                    <xdr:row>35</xdr:row>
                    <xdr:rowOff>229797</xdr:rowOff>
                  </to>
                </anchor>
              </controlPr>
            </control>
          </mc:Choice>
        </mc:AlternateContent>
        <mc:AlternateContent xmlns:mc="http://schemas.openxmlformats.org/markup-compatibility/2006">
          <mc:Choice Requires="x14">
            <control shapeId="18821" r:id="rId120" name="Spinner 389">
              <controlPr defaultSize="0" autoPict="0">
                <anchor moveWithCells="1" sizeWithCells="1">
                  <from>
                    <xdr:col>15</xdr:col>
                    <xdr:colOff>47874</xdr:colOff>
                    <xdr:row>37</xdr:row>
                    <xdr:rowOff>38299</xdr:rowOff>
                  </from>
                  <to>
                    <xdr:col>15</xdr:col>
                    <xdr:colOff>181923</xdr:colOff>
                    <xdr:row>37</xdr:row>
                    <xdr:rowOff>229797</xdr:rowOff>
                  </to>
                </anchor>
              </controlPr>
            </control>
          </mc:Choice>
        </mc:AlternateContent>
        <mc:AlternateContent xmlns:mc="http://schemas.openxmlformats.org/markup-compatibility/2006">
          <mc:Choice Requires="x14">
            <control shapeId="18822" r:id="rId121" name="Spinner 390">
              <controlPr defaultSize="0" autoPict="0">
                <anchor moveWithCells="1" sizeWithCells="1">
                  <from>
                    <xdr:col>15</xdr:col>
                    <xdr:colOff>47874</xdr:colOff>
                    <xdr:row>39</xdr:row>
                    <xdr:rowOff>38299</xdr:rowOff>
                  </from>
                  <to>
                    <xdr:col>15</xdr:col>
                    <xdr:colOff>181923</xdr:colOff>
                    <xdr:row>39</xdr:row>
                    <xdr:rowOff>229797</xdr:rowOff>
                  </to>
                </anchor>
              </controlPr>
            </control>
          </mc:Choice>
        </mc:AlternateContent>
        <mc:AlternateContent xmlns:mc="http://schemas.openxmlformats.org/markup-compatibility/2006">
          <mc:Choice Requires="x14">
            <control shapeId="18823" r:id="rId122" name="Spinner 391">
              <controlPr defaultSize="0" autoPict="0">
                <anchor moveWithCells="1" sizeWithCells="1">
                  <from>
                    <xdr:col>15</xdr:col>
                    <xdr:colOff>47874</xdr:colOff>
                    <xdr:row>41</xdr:row>
                    <xdr:rowOff>38299</xdr:rowOff>
                  </from>
                  <to>
                    <xdr:col>15</xdr:col>
                    <xdr:colOff>181923</xdr:colOff>
                    <xdr:row>41</xdr:row>
                    <xdr:rowOff>229797</xdr:rowOff>
                  </to>
                </anchor>
              </controlPr>
            </control>
          </mc:Choice>
        </mc:AlternateContent>
        <mc:AlternateContent xmlns:mc="http://schemas.openxmlformats.org/markup-compatibility/2006">
          <mc:Choice Requires="x14">
            <control shapeId="18824" r:id="rId123" name="Spinner 392">
              <controlPr defaultSize="0" autoPict="0">
                <anchor moveWithCells="1" sizeWithCells="1">
                  <from>
                    <xdr:col>15</xdr:col>
                    <xdr:colOff>47874</xdr:colOff>
                    <xdr:row>43</xdr:row>
                    <xdr:rowOff>38299</xdr:rowOff>
                  </from>
                  <to>
                    <xdr:col>15</xdr:col>
                    <xdr:colOff>181923</xdr:colOff>
                    <xdr:row>43</xdr:row>
                    <xdr:rowOff>229797</xdr:rowOff>
                  </to>
                </anchor>
              </controlPr>
            </control>
          </mc:Choice>
        </mc:AlternateContent>
        <mc:AlternateContent xmlns:mc="http://schemas.openxmlformats.org/markup-compatibility/2006">
          <mc:Choice Requires="x14">
            <control shapeId="18863" r:id="rId124" name="Drop Down 431">
              <controlPr defaultSize="0" autoLine="0" autoPict="0">
                <anchor moveWithCells="1">
                  <from>
                    <xdr:col>12</xdr:col>
                    <xdr:colOff>502681</xdr:colOff>
                    <xdr:row>9</xdr:row>
                    <xdr:rowOff>28725</xdr:rowOff>
                  </from>
                  <to>
                    <xdr:col>13</xdr:col>
                    <xdr:colOff>531405</xdr:colOff>
                    <xdr:row>9</xdr:row>
                    <xdr:rowOff>229797</xdr:rowOff>
                  </to>
                </anchor>
              </controlPr>
            </control>
          </mc:Choice>
        </mc:AlternateContent>
        <mc:AlternateContent xmlns:mc="http://schemas.openxmlformats.org/markup-compatibility/2006">
          <mc:Choice Requires="x14">
            <control shapeId="18883" r:id="rId125" name="Spinner 451">
              <controlPr defaultSize="0" autoPict="0">
                <anchor moveWithCells="1" sizeWithCells="1">
                  <from>
                    <xdr:col>12</xdr:col>
                    <xdr:colOff>47874</xdr:colOff>
                    <xdr:row>2</xdr:row>
                    <xdr:rowOff>28725</xdr:rowOff>
                  </from>
                  <to>
                    <xdr:col>12</xdr:col>
                    <xdr:colOff>210647</xdr:colOff>
                    <xdr:row>2</xdr:row>
                    <xdr:rowOff>201072</xdr:rowOff>
                  </to>
                </anchor>
              </controlPr>
            </control>
          </mc:Choice>
        </mc:AlternateContent>
        <mc:AlternateContent xmlns:mc="http://schemas.openxmlformats.org/markup-compatibility/2006">
          <mc:Choice Requires="x14">
            <control shapeId="18884" r:id="rId126" name="Spinner 452">
              <controlPr defaultSize="0" autoPict="0">
                <anchor moveWithCells="1" sizeWithCells="1">
                  <from>
                    <xdr:col>14</xdr:col>
                    <xdr:colOff>354270</xdr:colOff>
                    <xdr:row>2</xdr:row>
                    <xdr:rowOff>28725</xdr:rowOff>
                  </from>
                  <to>
                    <xdr:col>14</xdr:col>
                    <xdr:colOff>512255</xdr:colOff>
                    <xdr:row>2</xdr:row>
                    <xdr:rowOff>201072</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MedDisc"/>
  <dimension ref="A1:AD38"/>
  <sheetViews>
    <sheetView zoomScale="74" workbookViewId="0">
      <selection activeCell="D34" sqref="D34"/>
    </sheetView>
  </sheetViews>
  <sheetFormatPr defaultRowHeight="12.85" x14ac:dyDescent="0.35"/>
  <cols>
    <col min="2" max="2" width="10.265625" customWidth="1"/>
    <col min="3" max="3" width="24.1328125" customWidth="1"/>
    <col min="4" max="4" width="11.3984375" customWidth="1"/>
    <col min="5" max="5" width="10.3984375" customWidth="1"/>
    <col min="21" max="21" width="24.1328125" customWidth="1"/>
    <col min="23" max="23" width="27.265625" customWidth="1"/>
    <col min="24" max="24" width="9.265625" bestFit="1" customWidth="1"/>
    <col min="25" max="25" width="17.1328125" customWidth="1"/>
    <col min="26" max="26" width="9.59765625" customWidth="1"/>
    <col min="28" max="28" width="35.1328125" customWidth="1"/>
  </cols>
  <sheetData>
    <row r="1" spans="1:30" x14ac:dyDescent="0.35">
      <c r="B1" t="s">
        <v>4177</v>
      </c>
      <c r="C1" t="s">
        <v>3341</v>
      </c>
      <c r="D1" t="s">
        <v>1834</v>
      </c>
      <c r="E1" t="s">
        <v>1835</v>
      </c>
      <c r="F1" t="s">
        <v>1529</v>
      </c>
      <c r="G1" t="s">
        <v>3342</v>
      </c>
      <c r="H1" t="s">
        <v>3780</v>
      </c>
      <c r="I1" t="s">
        <v>2121</v>
      </c>
      <c r="J1" t="s">
        <v>1530</v>
      </c>
      <c r="K1" t="s">
        <v>1531</v>
      </c>
      <c r="L1" t="s">
        <v>1164</v>
      </c>
      <c r="M1" t="s">
        <v>3648</v>
      </c>
      <c r="N1" t="s">
        <v>3649</v>
      </c>
      <c r="O1" t="s">
        <v>3651</v>
      </c>
      <c r="P1" t="s">
        <v>3781</v>
      </c>
      <c r="Q1" t="s">
        <v>2207</v>
      </c>
      <c r="R1" t="s">
        <v>3775</v>
      </c>
      <c r="S1" t="s">
        <v>3776</v>
      </c>
      <c r="T1" t="s">
        <v>594</v>
      </c>
      <c r="U1" t="s">
        <v>3519</v>
      </c>
      <c r="V1" t="s">
        <v>5048</v>
      </c>
      <c r="W1" t="s">
        <v>3342</v>
      </c>
      <c r="X1" t="s">
        <v>5049</v>
      </c>
      <c r="Y1" t="s">
        <v>1709</v>
      </c>
      <c r="Z1" t="s">
        <v>3781</v>
      </c>
      <c r="AA1" t="s">
        <v>5050</v>
      </c>
      <c r="AB1" t="s">
        <v>4745</v>
      </c>
    </row>
    <row r="2" spans="1:30" x14ac:dyDescent="0.35">
      <c r="A2">
        <v>1</v>
      </c>
      <c r="B2">
        <v>1500</v>
      </c>
      <c r="D2" s="23"/>
      <c r="G2">
        <f t="shared" ref="G2:G21" si="0">D2*F2</f>
        <v>0</v>
      </c>
      <c r="H2">
        <v>1</v>
      </c>
      <c r="I2">
        <f t="shared" ref="I2:I21" si="1">IF(AND(H2&gt;2,H2&lt;12),INDEX($C$27:$C$38,H2,1),)</f>
        <v>0</v>
      </c>
      <c r="J2">
        <f t="shared" ref="J2:J21" si="2">I2*G2</f>
        <v>0</v>
      </c>
      <c r="L2">
        <f t="shared" ref="L2:L21" si="3">IF(ROUND(10*J2/Gewicht,1) = 0,ROUND(10*J2/Gewicht,2),ROUND(10*J2/Gewicht,1) )</f>
        <v>0</v>
      </c>
      <c r="O2">
        <f>IF(N2&gt;1,M2*I2,0)</f>
        <v>0</v>
      </c>
      <c r="Q2">
        <f t="shared" ref="Q2:Q21" si="4">IF(N2=2,O2*0.155,0)</f>
        <v>0</v>
      </c>
      <c r="R2">
        <f t="shared" ref="R2:R21" si="5">IF(N2=3,O2*0.05,0)</f>
        <v>0</v>
      </c>
      <c r="S2">
        <f t="shared" ref="S2:S21" si="6">IF(N2=4,O2*0.1,0)</f>
        <v>0</v>
      </c>
      <c r="U2" t="str">
        <f t="shared" ref="U2:U21" si="7">IF(T2=0,"",IF(T2=-1,C2,INDEX(tblDBFormularium,T2+1,4)))</f>
        <v/>
      </c>
      <c r="V2" t="str">
        <f>IF(U2="","",INDEX($C$27:$D$38,H2,2))</f>
        <v/>
      </c>
      <c r="W2" t="str">
        <f t="shared" ref="W2:W21" si="8">IF(U2="","",G2&amp;" "&amp;E2&amp;" ("&amp;ROUND(J2*10/Gewicht,AC2)&amp;" "&amp;E2&amp;"/kg/dag)")</f>
        <v/>
      </c>
      <c r="X2" t="str">
        <f>IF(U2="","",TRIM(K2))</f>
        <v/>
      </c>
      <c r="Y2" t="str">
        <f>IF(O2=0,"","opl: "&amp;M2&amp;" mL "&amp;INDEX(B$27:B$38,N2,1)&amp;" "&amp;IF(P2=0,"","("&amp;ROUND(ber_Med_disc!G2/ber_Med_disc!M2,2)&amp;" "&amp;ber_Med_disc!E2&amp;"/ml)"))</f>
        <v/>
      </c>
      <c r="Z2" t="str">
        <f>IF(OR(P2=0,Y2=""),"","in "&amp;P2&amp;" min")</f>
        <v/>
      </c>
      <c r="AA2" t="str">
        <f>IF(ber_Opm!C16=0,"",ber_Opm!C16)</f>
        <v/>
      </c>
      <c r="AB2" t="str">
        <f>IF(OR(U2="",U2=0),"",TRIM(U2)&amp;"||"&amp;TRIM(V2)&amp;"||"&amp;TRIM(W2)&amp;"||"&amp;TRIM(X2)&amp;"||"&amp;TRIM(Y2)&amp;"||"&amp;TRIM(Z2)&amp;"||"&amp;TRIM(AA2))</f>
        <v/>
      </c>
      <c r="AC2">
        <f>IF(AD2&gt;=10,0,IF(AD2&gt;=1,1,IF(AD2&gt;=0,2,IF(AD2&gt;=0.1,3,IF(AD2&gt;=0.01,4,5)))))</f>
        <v>2</v>
      </c>
      <c r="AD2">
        <f t="shared" ref="AD2:AD21" si="9">J2*10/Gewicht</f>
        <v>0</v>
      </c>
    </row>
    <row r="3" spans="1:30" x14ac:dyDescent="0.35">
      <c r="A3">
        <v>2</v>
      </c>
      <c r="B3">
        <v>1500</v>
      </c>
      <c r="D3" s="23"/>
      <c r="G3">
        <f t="shared" si="0"/>
        <v>0</v>
      </c>
      <c r="H3">
        <v>1</v>
      </c>
      <c r="I3">
        <f t="shared" si="1"/>
        <v>0</v>
      </c>
      <c r="J3">
        <f t="shared" si="2"/>
        <v>0</v>
      </c>
      <c r="L3">
        <f t="shared" si="3"/>
        <v>0</v>
      </c>
      <c r="O3">
        <f t="shared" ref="O3:O21" si="10">IF(N3&gt;1,M3*I3,0)</f>
        <v>0</v>
      </c>
      <c r="Q3">
        <f t="shared" si="4"/>
        <v>0</v>
      </c>
      <c r="R3">
        <f t="shared" si="5"/>
        <v>0</v>
      </c>
      <c r="S3">
        <f t="shared" si="6"/>
        <v>0</v>
      </c>
      <c r="U3" t="str">
        <f t="shared" si="7"/>
        <v/>
      </c>
      <c r="V3" t="str">
        <f t="shared" ref="V3:V21" si="11">IF(U3="","",INDEX($C$27:$D$38,H3,2))</f>
        <v/>
      </c>
      <c r="W3" t="str">
        <f t="shared" si="8"/>
        <v/>
      </c>
      <c r="X3" t="str">
        <f t="shared" ref="X3:X21" si="12">IF(U3="","",TRIM(K3))</f>
        <v/>
      </c>
      <c r="Y3" t="str">
        <f>IF(O3=0,"","opl: "&amp;M3&amp;" mL "&amp;INDEX(B$27:B$38,N3,1)&amp;" "&amp;IF(P3=0,"","("&amp;ROUND(ber_Med_disc!G3/ber_Med_disc!M3,2)&amp;" "&amp;ber_Med_disc!E3&amp;"/ml)"))</f>
        <v/>
      </c>
      <c r="Z3" t="str">
        <f t="shared" ref="Z3:Z21" si="13">IF(OR(P3=0,Y3=""),"","in "&amp;P3&amp;" min")</f>
        <v/>
      </c>
      <c r="AA3" t="str">
        <f>IF(ber_Opm!C17=0,"",ber_Opm!C17)</f>
        <v/>
      </c>
      <c r="AB3" t="str">
        <f t="shared" ref="AB3:AB21" si="14">IF(OR(U3="",U3=0),"",TRIM(U3)&amp;"||"&amp;TRIM(V3)&amp;"||"&amp;TRIM(W3)&amp;"||"&amp;TRIM(X3)&amp;"||"&amp;TRIM(Y3)&amp;"||"&amp;TRIM(Z3)&amp;"||"&amp;TRIM(AA3))</f>
        <v/>
      </c>
      <c r="AC3">
        <f t="shared" ref="AC3:AC21" si="15">IF(AD3&gt;=10,0,IF(AD3&gt;=1,1,IF(AD3&gt;=0,2,IF(AD3&gt;=0.1,3,IF(AD3&gt;=0.01,4,5)))))</f>
        <v>2</v>
      </c>
      <c r="AD3">
        <f t="shared" si="9"/>
        <v>0</v>
      </c>
    </row>
    <row r="4" spans="1:30" x14ac:dyDescent="0.35">
      <c r="A4">
        <v>3</v>
      </c>
      <c r="B4">
        <v>1500</v>
      </c>
      <c r="D4" s="23"/>
      <c r="G4">
        <f t="shared" si="0"/>
        <v>0</v>
      </c>
      <c r="H4">
        <v>1</v>
      </c>
      <c r="I4">
        <f t="shared" si="1"/>
        <v>0</v>
      </c>
      <c r="J4">
        <f t="shared" si="2"/>
        <v>0</v>
      </c>
      <c r="L4">
        <f t="shared" si="3"/>
        <v>0</v>
      </c>
      <c r="O4">
        <f t="shared" si="10"/>
        <v>0</v>
      </c>
      <c r="Q4">
        <f t="shared" si="4"/>
        <v>0</v>
      </c>
      <c r="R4">
        <f t="shared" si="5"/>
        <v>0</v>
      </c>
      <c r="S4">
        <f t="shared" si="6"/>
        <v>0</v>
      </c>
      <c r="U4" t="str">
        <f t="shared" si="7"/>
        <v/>
      </c>
      <c r="V4" t="str">
        <f t="shared" si="11"/>
        <v/>
      </c>
      <c r="W4" t="str">
        <f t="shared" si="8"/>
        <v/>
      </c>
      <c r="X4" t="str">
        <f t="shared" si="12"/>
        <v/>
      </c>
      <c r="Y4" t="str">
        <f>IF(O4=0,"","opl: "&amp;M4&amp;" mL "&amp;INDEX(B$27:B$38,N4,1)&amp;" "&amp;IF(P4=0,"","("&amp;ROUND(ber_Med_disc!G4/ber_Med_disc!M4,2)&amp;" "&amp;ber_Med_disc!E4&amp;"/ml)"))</f>
        <v/>
      </c>
      <c r="Z4" t="str">
        <f t="shared" si="13"/>
        <v/>
      </c>
      <c r="AA4" t="str">
        <f>IF(ber_Opm!C18=0,"",ber_Opm!C18)</f>
        <v/>
      </c>
      <c r="AB4" t="str">
        <f t="shared" si="14"/>
        <v/>
      </c>
      <c r="AC4">
        <f t="shared" si="15"/>
        <v>2</v>
      </c>
      <c r="AD4">
        <f t="shared" si="9"/>
        <v>0</v>
      </c>
    </row>
    <row r="5" spans="1:30" x14ac:dyDescent="0.35">
      <c r="A5">
        <v>4</v>
      </c>
      <c r="B5">
        <v>1500</v>
      </c>
      <c r="D5" s="23"/>
      <c r="G5">
        <f t="shared" si="0"/>
        <v>0</v>
      </c>
      <c r="H5">
        <v>1</v>
      </c>
      <c r="I5">
        <f t="shared" si="1"/>
        <v>0</v>
      </c>
      <c r="J5">
        <f t="shared" si="2"/>
        <v>0</v>
      </c>
      <c r="L5">
        <f t="shared" si="3"/>
        <v>0</v>
      </c>
      <c r="O5">
        <f t="shared" si="10"/>
        <v>0</v>
      </c>
      <c r="Q5">
        <f t="shared" si="4"/>
        <v>0</v>
      </c>
      <c r="R5">
        <f t="shared" si="5"/>
        <v>0</v>
      </c>
      <c r="S5">
        <f t="shared" si="6"/>
        <v>0</v>
      </c>
      <c r="U5" t="str">
        <f t="shared" si="7"/>
        <v/>
      </c>
      <c r="V5" t="str">
        <f t="shared" si="11"/>
        <v/>
      </c>
      <c r="W5" t="str">
        <f t="shared" si="8"/>
        <v/>
      </c>
      <c r="X5" t="str">
        <f t="shared" si="12"/>
        <v/>
      </c>
      <c r="Y5" t="str">
        <f>IF(O5=0,"","opl: "&amp;M5&amp;" mL "&amp;INDEX(B$27:B$38,N5,1)&amp;" "&amp;IF(P5=0,"","("&amp;ROUND(ber_Med_disc!G5/ber_Med_disc!M5,2)&amp;" "&amp;ber_Med_disc!E5&amp;"/ml)"))</f>
        <v/>
      </c>
      <c r="Z5" t="str">
        <f t="shared" si="13"/>
        <v/>
      </c>
      <c r="AA5" t="str">
        <f>IF(ber_Opm!C19=0,"",ber_Opm!C19)</f>
        <v/>
      </c>
      <c r="AB5" t="str">
        <f t="shared" si="14"/>
        <v/>
      </c>
      <c r="AC5">
        <f t="shared" si="15"/>
        <v>2</v>
      </c>
      <c r="AD5">
        <f t="shared" si="9"/>
        <v>0</v>
      </c>
    </row>
    <row r="6" spans="1:30" x14ac:dyDescent="0.35">
      <c r="A6">
        <v>5</v>
      </c>
      <c r="B6">
        <v>1500</v>
      </c>
      <c r="D6" s="23"/>
      <c r="G6">
        <f t="shared" si="0"/>
        <v>0</v>
      </c>
      <c r="H6">
        <v>1</v>
      </c>
      <c r="I6">
        <f t="shared" si="1"/>
        <v>0</v>
      </c>
      <c r="J6">
        <f t="shared" si="2"/>
        <v>0</v>
      </c>
      <c r="L6">
        <f t="shared" si="3"/>
        <v>0</v>
      </c>
      <c r="O6">
        <f t="shared" si="10"/>
        <v>0</v>
      </c>
      <c r="Q6">
        <f t="shared" si="4"/>
        <v>0</v>
      </c>
      <c r="R6">
        <f t="shared" si="5"/>
        <v>0</v>
      </c>
      <c r="S6">
        <f t="shared" si="6"/>
        <v>0</v>
      </c>
      <c r="U6" t="str">
        <f t="shared" si="7"/>
        <v/>
      </c>
      <c r="V6" t="str">
        <f t="shared" si="11"/>
        <v/>
      </c>
      <c r="W6" t="str">
        <f t="shared" si="8"/>
        <v/>
      </c>
      <c r="X6" t="str">
        <f t="shared" si="12"/>
        <v/>
      </c>
      <c r="Y6" t="str">
        <f>IF(O6=0,"","opl: "&amp;M6&amp;" mL "&amp;INDEX(B$27:B$38,N6,1)&amp;" "&amp;IF(P6=0,"","("&amp;ROUND(ber_Med_disc!G6/ber_Med_disc!M6,2)&amp;" "&amp;ber_Med_disc!E6&amp;"/ml)"))</f>
        <v/>
      </c>
      <c r="Z6" t="str">
        <f t="shared" si="13"/>
        <v/>
      </c>
      <c r="AA6" t="str">
        <f>IF(ber_Opm!C20=0,"",ber_Opm!C20)</f>
        <v/>
      </c>
      <c r="AB6" t="str">
        <f t="shared" si="14"/>
        <v/>
      </c>
      <c r="AC6">
        <f t="shared" si="15"/>
        <v>2</v>
      </c>
      <c r="AD6">
        <f t="shared" si="9"/>
        <v>0</v>
      </c>
    </row>
    <row r="7" spans="1:30" x14ac:dyDescent="0.35">
      <c r="A7">
        <v>6</v>
      </c>
      <c r="B7">
        <v>1500</v>
      </c>
      <c r="D7" s="23"/>
      <c r="G7">
        <f t="shared" si="0"/>
        <v>0</v>
      </c>
      <c r="H7">
        <v>1</v>
      </c>
      <c r="I7">
        <f t="shared" si="1"/>
        <v>0</v>
      </c>
      <c r="J7">
        <f t="shared" si="2"/>
        <v>0</v>
      </c>
      <c r="L7">
        <f t="shared" si="3"/>
        <v>0</v>
      </c>
      <c r="O7">
        <f t="shared" si="10"/>
        <v>0</v>
      </c>
      <c r="Q7">
        <f t="shared" si="4"/>
        <v>0</v>
      </c>
      <c r="R7">
        <f t="shared" si="5"/>
        <v>0</v>
      </c>
      <c r="S7">
        <f t="shared" si="6"/>
        <v>0</v>
      </c>
      <c r="U7" t="str">
        <f t="shared" si="7"/>
        <v/>
      </c>
      <c r="V7" t="str">
        <f t="shared" si="11"/>
        <v/>
      </c>
      <c r="W7" t="str">
        <f t="shared" si="8"/>
        <v/>
      </c>
      <c r="X7" t="str">
        <f t="shared" si="12"/>
        <v/>
      </c>
      <c r="Y7" t="str">
        <f>IF(O7=0,"","opl: "&amp;M7&amp;" mL "&amp;INDEX(B$27:B$38,N7,1)&amp;" "&amp;IF(P7=0,"","("&amp;ROUND(ber_Med_disc!G7/ber_Med_disc!M7,2)&amp;" "&amp;ber_Med_disc!E7&amp;"/ml)"))</f>
        <v/>
      </c>
      <c r="Z7" t="str">
        <f t="shared" si="13"/>
        <v/>
      </c>
      <c r="AA7" t="str">
        <f>IF(ber_Opm!C21=0,"",ber_Opm!C21)</f>
        <v/>
      </c>
      <c r="AB7" t="str">
        <f t="shared" si="14"/>
        <v/>
      </c>
      <c r="AC7">
        <f t="shared" si="15"/>
        <v>2</v>
      </c>
      <c r="AD7">
        <f t="shared" si="9"/>
        <v>0</v>
      </c>
    </row>
    <row r="8" spans="1:30" x14ac:dyDescent="0.35">
      <c r="A8">
        <v>7</v>
      </c>
      <c r="B8">
        <v>1500</v>
      </c>
      <c r="D8" s="23"/>
      <c r="G8">
        <f t="shared" si="0"/>
        <v>0</v>
      </c>
      <c r="H8">
        <v>1</v>
      </c>
      <c r="I8">
        <f t="shared" si="1"/>
        <v>0</v>
      </c>
      <c r="J8">
        <f t="shared" si="2"/>
        <v>0</v>
      </c>
      <c r="L8">
        <f t="shared" si="3"/>
        <v>0</v>
      </c>
      <c r="O8">
        <f t="shared" si="10"/>
        <v>0</v>
      </c>
      <c r="Q8">
        <f t="shared" si="4"/>
        <v>0</v>
      </c>
      <c r="R8">
        <f t="shared" si="5"/>
        <v>0</v>
      </c>
      <c r="S8">
        <f t="shared" si="6"/>
        <v>0</v>
      </c>
      <c r="U8" t="str">
        <f t="shared" si="7"/>
        <v/>
      </c>
      <c r="V8" t="str">
        <f t="shared" si="11"/>
        <v/>
      </c>
      <c r="W8" t="str">
        <f t="shared" si="8"/>
        <v/>
      </c>
      <c r="X8" t="str">
        <f t="shared" si="12"/>
        <v/>
      </c>
      <c r="Y8" t="str">
        <f>IF(O8=0,"","opl: "&amp;M8&amp;" mL "&amp;INDEX(B$27:B$38,N8,1)&amp;" "&amp;IF(P8=0,"","("&amp;ROUND(ber_Med_disc!G8/ber_Med_disc!M8,2)&amp;" "&amp;ber_Med_disc!E8&amp;"/ml)"))</f>
        <v/>
      </c>
      <c r="Z8" t="str">
        <f t="shared" si="13"/>
        <v/>
      </c>
      <c r="AA8" t="str">
        <f>IF(ber_Opm!C22=0,"",ber_Opm!C22)</f>
        <v/>
      </c>
      <c r="AB8" t="str">
        <f t="shared" si="14"/>
        <v/>
      </c>
      <c r="AC8">
        <f t="shared" si="15"/>
        <v>2</v>
      </c>
      <c r="AD8">
        <f t="shared" si="9"/>
        <v>0</v>
      </c>
    </row>
    <row r="9" spans="1:30" x14ac:dyDescent="0.35">
      <c r="A9">
        <v>8</v>
      </c>
      <c r="B9">
        <v>1500</v>
      </c>
      <c r="D9" s="23"/>
      <c r="G9">
        <f t="shared" si="0"/>
        <v>0</v>
      </c>
      <c r="H9">
        <v>1</v>
      </c>
      <c r="I9">
        <f t="shared" si="1"/>
        <v>0</v>
      </c>
      <c r="J9">
        <f t="shared" si="2"/>
        <v>0</v>
      </c>
      <c r="L9">
        <f t="shared" si="3"/>
        <v>0</v>
      </c>
      <c r="O9">
        <f t="shared" si="10"/>
        <v>0</v>
      </c>
      <c r="Q9">
        <f t="shared" si="4"/>
        <v>0</v>
      </c>
      <c r="R9">
        <f t="shared" si="5"/>
        <v>0</v>
      </c>
      <c r="S9">
        <f t="shared" si="6"/>
        <v>0</v>
      </c>
      <c r="U9" t="str">
        <f t="shared" si="7"/>
        <v/>
      </c>
      <c r="V9" t="str">
        <f t="shared" si="11"/>
        <v/>
      </c>
      <c r="W9" t="str">
        <f t="shared" si="8"/>
        <v/>
      </c>
      <c r="X9" t="str">
        <f t="shared" si="12"/>
        <v/>
      </c>
      <c r="Y9" t="str">
        <f>IF(O9=0,"","opl: "&amp;M9&amp;" mL "&amp;INDEX(B$27:B$38,N9,1)&amp;" "&amp;IF(P9=0,"","("&amp;ROUND(ber_Med_disc!G9/ber_Med_disc!M9,2)&amp;" "&amp;ber_Med_disc!E9&amp;"/ml)"))</f>
        <v/>
      </c>
      <c r="Z9" t="str">
        <f t="shared" si="13"/>
        <v/>
      </c>
      <c r="AA9" t="str">
        <f>IF(ber_Opm!C23=0,"",ber_Opm!C23)</f>
        <v/>
      </c>
      <c r="AB9" t="str">
        <f t="shared" si="14"/>
        <v/>
      </c>
      <c r="AC9">
        <f t="shared" si="15"/>
        <v>2</v>
      </c>
      <c r="AD9">
        <f t="shared" si="9"/>
        <v>0</v>
      </c>
    </row>
    <row r="10" spans="1:30" x14ac:dyDescent="0.35">
      <c r="A10">
        <v>9</v>
      </c>
      <c r="B10">
        <v>1500</v>
      </c>
      <c r="D10" s="23"/>
      <c r="G10">
        <f t="shared" si="0"/>
        <v>0</v>
      </c>
      <c r="H10">
        <v>1</v>
      </c>
      <c r="I10">
        <f t="shared" si="1"/>
        <v>0</v>
      </c>
      <c r="J10">
        <f t="shared" si="2"/>
        <v>0</v>
      </c>
      <c r="L10">
        <f t="shared" si="3"/>
        <v>0</v>
      </c>
      <c r="O10">
        <f t="shared" si="10"/>
        <v>0</v>
      </c>
      <c r="Q10">
        <f t="shared" si="4"/>
        <v>0</v>
      </c>
      <c r="R10">
        <f t="shared" si="5"/>
        <v>0</v>
      </c>
      <c r="S10">
        <f t="shared" si="6"/>
        <v>0</v>
      </c>
      <c r="U10" t="str">
        <f t="shared" si="7"/>
        <v/>
      </c>
      <c r="V10" t="str">
        <f t="shared" si="11"/>
        <v/>
      </c>
      <c r="W10" t="str">
        <f t="shared" si="8"/>
        <v/>
      </c>
      <c r="X10" t="str">
        <f t="shared" si="12"/>
        <v/>
      </c>
      <c r="Y10" t="str">
        <f>IF(O10=0,"","opl: "&amp;M10&amp;" mL "&amp;INDEX(B$27:B$38,N10,1)&amp;" "&amp;IF(P10=0,"","("&amp;ROUND(ber_Med_disc!G10/ber_Med_disc!M10,2)&amp;" "&amp;ber_Med_disc!E10&amp;"/ml)"))</f>
        <v/>
      </c>
      <c r="Z10" t="str">
        <f t="shared" si="13"/>
        <v/>
      </c>
      <c r="AA10" t="str">
        <f>IF(ber_Opm!C24=0,"",ber_Opm!C24)</f>
        <v/>
      </c>
      <c r="AB10" t="str">
        <f t="shared" si="14"/>
        <v/>
      </c>
      <c r="AC10">
        <f t="shared" si="15"/>
        <v>2</v>
      </c>
      <c r="AD10">
        <f t="shared" si="9"/>
        <v>0</v>
      </c>
    </row>
    <row r="11" spans="1:30" x14ac:dyDescent="0.35">
      <c r="A11">
        <v>10</v>
      </c>
      <c r="B11">
        <v>1500</v>
      </c>
      <c r="D11" s="23"/>
      <c r="G11">
        <f t="shared" si="0"/>
        <v>0</v>
      </c>
      <c r="H11">
        <v>1</v>
      </c>
      <c r="I11">
        <f t="shared" si="1"/>
        <v>0</v>
      </c>
      <c r="J11">
        <f t="shared" si="2"/>
        <v>0</v>
      </c>
      <c r="L11">
        <f t="shared" si="3"/>
        <v>0</v>
      </c>
      <c r="O11">
        <f t="shared" si="10"/>
        <v>0</v>
      </c>
      <c r="Q11">
        <f t="shared" si="4"/>
        <v>0</v>
      </c>
      <c r="R11">
        <f t="shared" si="5"/>
        <v>0</v>
      </c>
      <c r="S11">
        <f t="shared" si="6"/>
        <v>0</v>
      </c>
      <c r="U11" t="str">
        <f t="shared" si="7"/>
        <v/>
      </c>
      <c r="V11" t="str">
        <f t="shared" si="11"/>
        <v/>
      </c>
      <c r="W11" t="str">
        <f t="shared" si="8"/>
        <v/>
      </c>
      <c r="X11" t="str">
        <f t="shared" si="12"/>
        <v/>
      </c>
      <c r="Y11" t="str">
        <f>IF(O11=0,"","opl: "&amp;M11&amp;" mL "&amp;INDEX(B$27:B$38,N11,1)&amp;" "&amp;IF(P11=0,"","("&amp;ROUND(ber_Med_disc!G11/ber_Med_disc!M11,2)&amp;" "&amp;ber_Med_disc!E11&amp;"/ml)"))</f>
        <v/>
      </c>
      <c r="Z11" t="str">
        <f t="shared" si="13"/>
        <v/>
      </c>
      <c r="AA11" t="str">
        <f>IF(ber_Opm!C25=0,"",ber_Opm!C25)</f>
        <v/>
      </c>
      <c r="AB11" t="str">
        <f t="shared" si="14"/>
        <v/>
      </c>
      <c r="AC11">
        <f t="shared" si="15"/>
        <v>2</v>
      </c>
      <c r="AD11">
        <f t="shared" si="9"/>
        <v>0</v>
      </c>
    </row>
    <row r="12" spans="1:30" x14ac:dyDescent="0.35">
      <c r="A12">
        <v>11</v>
      </c>
      <c r="B12">
        <v>1500</v>
      </c>
      <c r="D12" s="23"/>
      <c r="G12">
        <f t="shared" si="0"/>
        <v>0</v>
      </c>
      <c r="H12">
        <v>1</v>
      </c>
      <c r="I12">
        <f t="shared" si="1"/>
        <v>0</v>
      </c>
      <c r="J12">
        <f t="shared" si="2"/>
        <v>0</v>
      </c>
      <c r="L12">
        <f t="shared" si="3"/>
        <v>0</v>
      </c>
      <c r="O12">
        <f t="shared" si="10"/>
        <v>0</v>
      </c>
      <c r="Q12">
        <f t="shared" si="4"/>
        <v>0</v>
      </c>
      <c r="R12">
        <f t="shared" si="5"/>
        <v>0</v>
      </c>
      <c r="S12">
        <f t="shared" si="6"/>
        <v>0</v>
      </c>
      <c r="U12" t="str">
        <f t="shared" si="7"/>
        <v/>
      </c>
      <c r="V12" t="str">
        <f t="shared" si="11"/>
        <v/>
      </c>
      <c r="W12" t="str">
        <f t="shared" si="8"/>
        <v/>
      </c>
      <c r="X12" t="str">
        <f t="shared" si="12"/>
        <v/>
      </c>
      <c r="Y12" t="str">
        <f>IF(O12=0,"","opl: "&amp;M12&amp;" mL "&amp;INDEX(B$27:B$38,N12,1)&amp;" "&amp;IF(P12=0,"","("&amp;ROUND(ber_Med_disc!G12/ber_Med_disc!M12,2)&amp;" "&amp;ber_Med_disc!E12&amp;"/ml)"))</f>
        <v/>
      </c>
      <c r="Z12" t="str">
        <f t="shared" si="13"/>
        <v/>
      </c>
      <c r="AA12" t="str">
        <f>IF(ber_Opm!C26=0,"",ber_Opm!C26)</f>
        <v/>
      </c>
      <c r="AB12" t="str">
        <f t="shared" si="14"/>
        <v/>
      </c>
      <c r="AC12">
        <f t="shared" si="15"/>
        <v>2</v>
      </c>
      <c r="AD12">
        <f t="shared" si="9"/>
        <v>0</v>
      </c>
    </row>
    <row r="13" spans="1:30" x14ac:dyDescent="0.35">
      <c r="A13">
        <v>12</v>
      </c>
      <c r="B13">
        <v>1500</v>
      </c>
      <c r="D13" s="23"/>
      <c r="G13">
        <f t="shared" si="0"/>
        <v>0</v>
      </c>
      <c r="H13">
        <v>1</v>
      </c>
      <c r="I13">
        <f t="shared" si="1"/>
        <v>0</v>
      </c>
      <c r="J13">
        <f t="shared" si="2"/>
        <v>0</v>
      </c>
      <c r="L13">
        <f t="shared" si="3"/>
        <v>0</v>
      </c>
      <c r="O13">
        <f t="shared" si="10"/>
        <v>0</v>
      </c>
      <c r="Q13">
        <f t="shared" si="4"/>
        <v>0</v>
      </c>
      <c r="R13">
        <f t="shared" si="5"/>
        <v>0</v>
      </c>
      <c r="S13">
        <f t="shared" si="6"/>
        <v>0</v>
      </c>
      <c r="U13" t="str">
        <f t="shared" si="7"/>
        <v/>
      </c>
      <c r="V13" t="str">
        <f t="shared" si="11"/>
        <v/>
      </c>
      <c r="W13" t="str">
        <f t="shared" si="8"/>
        <v/>
      </c>
      <c r="X13" t="str">
        <f t="shared" si="12"/>
        <v/>
      </c>
      <c r="Y13" t="str">
        <f>IF(O13=0,"","opl: "&amp;M13&amp;" mL "&amp;INDEX(B$27:B$38,N13,1)&amp;" "&amp;IF(P13=0,"","("&amp;ROUND(ber_Med_disc!G13/ber_Med_disc!M13,2)&amp;" "&amp;ber_Med_disc!E13&amp;"/ml)"))</f>
        <v/>
      </c>
      <c r="Z13" t="str">
        <f t="shared" si="13"/>
        <v/>
      </c>
      <c r="AA13" t="str">
        <f>IF(ber_Opm!C27=0,"",ber_Opm!C27)</f>
        <v/>
      </c>
      <c r="AB13" t="str">
        <f t="shared" si="14"/>
        <v/>
      </c>
      <c r="AC13">
        <f t="shared" si="15"/>
        <v>2</v>
      </c>
      <c r="AD13">
        <f t="shared" si="9"/>
        <v>0</v>
      </c>
    </row>
    <row r="14" spans="1:30" x14ac:dyDescent="0.35">
      <c r="A14">
        <v>13</v>
      </c>
      <c r="B14">
        <v>1500</v>
      </c>
      <c r="D14" s="23"/>
      <c r="G14">
        <f t="shared" si="0"/>
        <v>0</v>
      </c>
      <c r="H14">
        <v>1</v>
      </c>
      <c r="I14">
        <f t="shared" si="1"/>
        <v>0</v>
      </c>
      <c r="J14">
        <f t="shared" si="2"/>
        <v>0</v>
      </c>
      <c r="L14">
        <f t="shared" si="3"/>
        <v>0</v>
      </c>
      <c r="O14">
        <f t="shared" si="10"/>
        <v>0</v>
      </c>
      <c r="Q14">
        <f t="shared" si="4"/>
        <v>0</v>
      </c>
      <c r="R14">
        <f t="shared" si="5"/>
        <v>0</v>
      </c>
      <c r="S14">
        <f t="shared" si="6"/>
        <v>0</v>
      </c>
      <c r="U14" t="str">
        <f t="shared" si="7"/>
        <v/>
      </c>
      <c r="V14" t="str">
        <f t="shared" si="11"/>
        <v/>
      </c>
      <c r="W14" t="str">
        <f t="shared" si="8"/>
        <v/>
      </c>
      <c r="X14" t="str">
        <f t="shared" si="12"/>
        <v/>
      </c>
      <c r="Y14" t="str">
        <f>IF(O14=0,"","opl: "&amp;M14&amp;" mL "&amp;INDEX(B$27:B$38,N14,1)&amp;" "&amp;IF(P14=0,"","("&amp;ROUND(ber_Med_disc!G14/ber_Med_disc!M14,2)&amp;" "&amp;ber_Med_disc!E14&amp;"/ml)"))</f>
        <v/>
      </c>
      <c r="Z14" t="str">
        <f t="shared" si="13"/>
        <v/>
      </c>
      <c r="AA14" t="str">
        <f>IF(ber_Opm!C28=0,"",ber_Opm!C28)</f>
        <v/>
      </c>
      <c r="AB14" t="str">
        <f t="shared" si="14"/>
        <v/>
      </c>
      <c r="AC14">
        <f t="shared" si="15"/>
        <v>2</v>
      </c>
      <c r="AD14">
        <f t="shared" si="9"/>
        <v>0</v>
      </c>
    </row>
    <row r="15" spans="1:30" x14ac:dyDescent="0.35">
      <c r="A15">
        <v>14</v>
      </c>
      <c r="B15">
        <v>1500</v>
      </c>
      <c r="D15" s="23"/>
      <c r="G15">
        <f t="shared" si="0"/>
        <v>0</v>
      </c>
      <c r="H15">
        <v>1</v>
      </c>
      <c r="I15">
        <f t="shared" si="1"/>
        <v>0</v>
      </c>
      <c r="J15">
        <f t="shared" si="2"/>
        <v>0</v>
      </c>
      <c r="L15">
        <f t="shared" si="3"/>
        <v>0</v>
      </c>
      <c r="O15">
        <f t="shared" si="10"/>
        <v>0</v>
      </c>
      <c r="Q15">
        <f t="shared" si="4"/>
        <v>0</v>
      </c>
      <c r="R15">
        <f t="shared" si="5"/>
        <v>0</v>
      </c>
      <c r="S15">
        <f t="shared" si="6"/>
        <v>0</v>
      </c>
      <c r="U15" t="str">
        <f t="shared" si="7"/>
        <v/>
      </c>
      <c r="V15" t="str">
        <f t="shared" si="11"/>
        <v/>
      </c>
      <c r="W15" t="str">
        <f t="shared" si="8"/>
        <v/>
      </c>
      <c r="X15" t="str">
        <f t="shared" si="12"/>
        <v/>
      </c>
      <c r="Y15" t="str">
        <f>IF(O15=0,"","opl: "&amp;M15&amp;" mL "&amp;INDEX(B$27:B$38,N15,1)&amp;" "&amp;IF(P15=0,"","("&amp;ROUND(ber_Med_disc!G15/ber_Med_disc!M15,2)&amp;" "&amp;ber_Med_disc!E15&amp;"/ml)"))</f>
        <v/>
      </c>
      <c r="Z15" t="str">
        <f t="shared" si="13"/>
        <v/>
      </c>
      <c r="AA15" t="str">
        <f>IF(ber_Opm!C29=0,"",ber_Opm!C29)</f>
        <v/>
      </c>
      <c r="AB15" t="str">
        <f t="shared" si="14"/>
        <v/>
      </c>
      <c r="AC15">
        <f t="shared" si="15"/>
        <v>2</v>
      </c>
      <c r="AD15">
        <f t="shared" si="9"/>
        <v>0</v>
      </c>
    </row>
    <row r="16" spans="1:30" x14ac:dyDescent="0.35">
      <c r="A16">
        <v>15</v>
      </c>
      <c r="B16">
        <v>1500</v>
      </c>
      <c r="D16" s="23"/>
      <c r="G16">
        <f t="shared" si="0"/>
        <v>0</v>
      </c>
      <c r="H16">
        <v>1</v>
      </c>
      <c r="I16">
        <f t="shared" si="1"/>
        <v>0</v>
      </c>
      <c r="J16">
        <f t="shared" si="2"/>
        <v>0</v>
      </c>
      <c r="L16">
        <f t="shared" si="3"/>
        <v>0</v>
      </c>
      <c r="O16">
        <f t="shared" si="10"/>
        <v>0</v>
      </c>
      <c r="Q16">
        <f t="shared" si="4"/>
        <v>0</v>
      </c>
      <c r="R16">
        <f t="shared" si="5"/>
        <v>0</v>
      </c>
      <c r="S16">
        <f t="shared" si="6"/>
        <v>0</v>
      </c>
      <c r="U16" t="str">
        <f t="shared" si="7"/>
        <v/>
      </c>
      <c r="V16" t="str">
        <f t="shared" si="11"/>
        <v/>
      </c>
      <c r="W16" t="str">
        <f t="shared" si="8"/>
        <v/>
      </c>
      <c r="X16" t="str">
        <f t="shared" si="12"/>
        <v/>
      </c>
      <c r="Y16" t="str">
        <f>IF(O16=0,"","opl: "&amp;M16&amp;" mL "&amp;INDEX(B$27:B$38,N16,1)&amp;" "&amp;IF(P16=0,"","("&amp;ROUND(ber_Med_disc!G16/ber_Med_disc!M16,2)&amp;" "&amp;ber_Med_disc!E16&amp;"/ml)"))</f>
        <v/>
      </c>
      <c r="Z16" t="str">
        <f t="shared" si="13"/>
        <v/>
      </c>
      <c r="AA16" t="str">
        <f>IF(ber_Opm!C30=0,"",ber_Opm!C30)</f>
        <v/>
      </c>
      <c r="AB16" t="str">
        <f t="shared" si="14"/>
        <v/>
      </c>
      <c r="AC16">
        <f t="shared" si="15"/>
        <v>2</v>
      </c>
      <c r="AD16">
        <f t="shared" si="9"/>
        <v>0</v>
      </c>
    </row>
    <row r="17" spans="1:30" x14ac:dyDescent="0.35">
      <c r="A17">
        <v>16</v>
      </c>
      <c r="B17">
        <v>1500</v>
      </c>
      <c r="D17" s="23"/>
      <c r="G17">
        <f t="shared" si="0"/>
        <v>0</v>
      </c>
      <c r="H17">
        <v>1</v>
      </c>
      <c r="I17">
        <f t="shared" si="1"/>
        <v>0</v>
      </c>
      <c r="J17">
        <f t="shared" si="2"/>
        <v>0</v>
      </c>
      <c r="L17">
        <f t="shared" si="3"/>
        <v>0</v>
      </c>
      <c r="O17">
        <f t="shared" si="10"/>
        <v>0</v>
      </c>
      <c r="Q17">
        <f t="shared" si="4"/>
        <v>0</v>
      </c>
      <c r="R17">
        <f t="shared" si="5"/>
        <v>0</v>
      </c>
      <c r="S17">
        <f t="shared" si="6"/>
        <v>0</v>
      </c>
      <c r="U17" t="str">
        <f t="shared" si="7"/>
        <v/>
      </c>
      <c r="V17" t="str">
        <f t="shared" si="11"/>
        <v/>
      </c>
      <c r="W17" t="str">
        <f t="shared" si="8"/>
        <v/>
      </c>
      <c r="X17" t="str">
        <f t="shared" si="12"/>
        <v/>
      </c>
      <c r="Y17" t="str">
        <f>IF(O17=0,"","opl: "&amp;M17&amp;" mL "&amp;INDEX(B$27:B$38,N17,1)&amp;" "&amp;IF(P17=0,"","("&amp;ROUND(ber_Med_disc!G17/ber_Med_disc!M17,2)&amp;" "&amp;ber_Med_disc!E17&amp;"/ml)"))</f>
        <v/>
      </c>
      <c r="Z17" t="str">
        <f t="shared" si="13"/>
        <v/>
      </c>
      <c r="AA17" t="str">
        <f>IF(ber_Opm!C31=0,"",ber_Opm!C31)</f>
        <v/>
      </c>
      <c r="AB17" t="str">
        <f t="shared" si="14"/>
        <v/>
      </c>
      <c r="AC17">
        <f t="shared" si="15"/>
        <v>2</v>
      </c>
      <c r="AD17">
        <f t="shared" si="9"/>
        <v>0</v>
      </c>
    </row>
    <row r="18" spans="1:30" x14ac:dyDescent="0.35">
      <c r="A18">
        <v>17</v>
      </c>
      <c r="B18">
        <v>1500</v>
      </c>
      <c r="D18" s="23"/>
      <c r="G18">
        <f t="shared" si="0"/>
        <v>0</v>
      </c>
      <c r="H18">
        <v>1</v>
      </c>
      <c r="I18">
        <f t="shared" si="1"/>
        <v>0</v>
      </c>
      <c r="J18">
        <f t="shared" si="2"/>
        <v>0</v>
      </c>
      <c r="L18">
        <f t="shared" si="3"/>
        <v>0</v>
      </c>
      <c r="O18">
        <f t="shared" si="10"/>
        <v>0</v>
      </c>
      <c r="Q18">
        <f t="shared" si="4"/>
        <v>0</v>
      </c>
      <c r="R18">
        <f t="shared" si="5"/>
        <v>0</v>
      </c>
      <c r="S18">
        <f t="shared" si="6"/>
        <v>0</v>
      </c>
      <c r="U18" t="str">
        <f t="shared" si="7"/>
        <v/>
      </c>
      <c r="V18" t="str">
        <f t="shared" si="11"/>
        <v/>
      </c>
      <c r="W18" t="str">
        <f t="shared" si="8"/>
        <v/>
      </c>
      <c r="X18" t="str">
        <f t="shared" si="12"/>
        <v/>
      </c>
      <c r="Y18" t="str">
        <f>IF(O18=0,"","opl: "&amp;M18&amp;" mL "&amp;INDEX(B$27:B$38,N18,1)&amp;" "&amp;IF(P18=0,"","("&amp;ROUND(ber_Med_disc!G18/ber_Med_disc!M18,2)&amp;" "&amp;ber_Med_disc!E18&amp;"/ml)"))</f>
        <v/>
      </c>
      <c r="Z18" t="str">
        <f t="shared" si="13"/>
        <v/>
      </c>
      <c r="AA18" t="str">
        <f>IF(ber_Opm!C32=0,"",ber_Opm!C32)</f>
        <v/>
      </c>
      <c r="AB18" t="str">
        <f t="shared" si="14"/>
        <v/>
      </c>
      <c r="AC18">
        <f t="shared" si="15"/>
        <v>2</v>
      </c>
      <c r="AD18">
        <f t="shared" si="9"/>
        <v>0</v>
      </c>
    </row>
    <row r="19" spans="1:30" x14ac:dyDescent="0.35">
      <c r="A19">
        <v>18</v>
      </c>
      <c r="B19">
        <v>1500</v>
      </c>
      <c r="D19" s="23"/>
      <c r="G19">
        <f t="shared" si="0"/>
        <v>0</v>
      </c>
      <c r="H19">
        <v>1</v>
      </c>
      <c r="I19">
        <f t="shared" si="1"/>
        <v>0</v>
      </c>
      <c r="J19">
        <f t="shared" si="2"/>
        <v>0</v>
      </c>
      <c r="L19">
        <f t="shared" si="3"/>
        <v>0</v>
      </c>
      <c r="O19">
        <f t="shared" si="10"/>
        <v>0</v>
      </c>
      <c r="Q19">
        <f t="shared" si="4"/>
        <v>0</v>
      </c>
      <c r="R19">
        <f t="shared" si="5"/>
        <v>0</v>
      </c>
      <c r="S19">
        <f t="shared" si="6"/>
        <v>0</v>
      </c>
      <c r="U19" t="str">
        <f t="shared" si="7"/>
        <v/>
      </c>
      <c r="V19" t="str">
        <f t="shared" si="11"/>
        <v/>
      </c>
      <c r="W19" t="str">
        <f t="shared" si="8"/>
        <v/>
      </c>
      <c r="X19" t="str">
        <f t="shared" si="12"/>
        <v/>
      </c>
      <c r="Y19" t="str">
        <f>IF(O19=0,"","opl: "&amp;M19&amp;" mL "&amp;INDEX(B$27:B$38,N19,1)&amp;" "&amp;IF(P19=0,"","("&amp;ROUND(ber_Med_disc!G19/ber_Med_disc!M19,2)&amp;" "&amp;ber_Med_disc!E19&amp;"/ml)"))</f>
        <v/>
      </c>
      <c r="Z19" t="str">
        <f t="shared" si="13"/>
        <v/>
      </c>
      <c r="AA19" t="str">
        <f>IF(ber_Opm!C33=0,"",ber_Opm!C33)</f>
        <v/>
      </c>
      <c r="AB19" t="str">
        <f t="shared" si="14"/>
        <v/>
      </c>
      <c r="AC19">
        <f t="shared" si="15"/>
        <v>2</v>
      </c>
      <c r="AD19">
        <f t="shared" si="9"/>
        <v>0</v>
      </c>
    </row>
    <row r="20" spans="1:30" x14ac:dyDescent="0.35">
      <c r="A20">
        <v>19</v>
      </c>
      <c r="B20">
        <v>1500</v>
      </c>
      <c r="D20" s="23"/>
      <c r="G20">
        <f t="shared" si="0"/>
        <v>0</v>
      </c>
      <c r="H20">
        <v>1</v>
      </c>
      <c r="I20">
        <f t="shared" si="1"/>
        <v>0</v>
      </c>
      <c r="J20">
        <f t="shared" si="2"/>
        <v>0</v>
      </c>
      <c r="L20">
        <f t="shared" si="3"/>
        <v>0</v>
      </c>
      <c r="O20">
        <f t="shared" si="10"/>
        <v>0</v>
      </c>
      <c r="Q20">
        <f t="shared" si="4"/>
        <v>0</v>
      </c>
      <c r="R20">
        <f t="shared" si="5"/>
        <v>0</v>
      </c>
      <c r="S20">
        <f t="shared" si="6"/>
        <v>0</v>
      </c>
      <c r="U20" t="str">
        <f t="shared" si="7"/>
        <v/>
      </c>
      <c r="V20" t="str">
        <f t="shared" si="11"/>
        <v/>
      </c>
      <c r="W20" t="str">
        <f t="shared" si="8"/>
        <v/>
      </c>
      <c r="X20" t="str">
        <f t="shared" si="12"/>
        <v/>
      </c>
      <c r="Y20" t="str">
        <f>IF(O20=0,"","opl: "&amp;M20&amp;" mL "&amp;INDEX(B$27:B$38,N20,1)&amp;" "&amp;IF(P20=0,"","("&amp;ROUND(ber_Med_disc!G20/ber_Med_disc!M20,2)&amp;" "&amp;ber_Med_disc!E20&amp;"/ml)"))</f>
        <v/>
      </c>
      <c r="Z20" t="str">
        <f t="shared" si="13"/>
        <v/>
      </c>
      <c r="AA20" t="str">
        <f>IF(ber_Opm!C34=0,"",ber_Opm!C34)</f>
        <v/>
      </c>
      <c r="AB20" t="str">
        <f t="shared" si="14"/>
        <v/>
      </c>
      <c r="AC20">
        <f t="shared" si="15"/>
        <v>2</v>
      </c>
      <c r="AD20">
        <f t="shared" si="9"/>
        <v>0</v>
      </c>
    </row>
    <row r="21" spans="1:30" x14ac:dyDescent="0.35">
      <c r="A21">
        <v>20</v>
      </c>
      <c r="B21">
        <v>1500</v>
      </c>
      <c r="D21" s="23"/>
      <c r="G21">
        <f t="shared" si="0"/>
        <v>0</v>
      </c>
      <c r="H21">
        <v>1</v>
      </c>
      <c r="I21">
        <f t="shared" si="1"/>
        <v>0</v>
      </c>
      <c r="J21">
        <f t="shared" si="2"/>
        <v>0</v>
      </c>
      <c r="L21">
        <f t="shared" si="3"/>
        <v>0</v>
      </c>
      <c r="O21">
        <f t="shared" si="10"/>
        <v>0</v>
      </c>
      <c r="Q21">
        <f t="shared" si="4"/>
        <v>0</v>
      </c>
      <c r="R21">
        <f t="shared" si="5"/>
        <v>0</v>
      </c>
      <c r="S21">
        <f t="shared" si="6"/>
        <v>0</v>
      </c>
      <c r="U21" t="str">
        <f t="shared" si="7"/>
        <v/>
      </c>
      <c r="V21" t="str">
        <f t="shared" si="11"/>
        <v/>
      </c>
      <c r="W21" t="str">
        <f t="shared" si="8"/>
        <v/>
      </c>
      <c r="X21" t="str">
        <f t="shared" si="12"/>
        <v/>
      </c>
      <c r="Y21" t="str">
        <f>IF(O21=0,"","opl: "&amp;M21&amp;" mL "&amp;INDEX(B$27:B$38,N21,1)&amp;" "&amp;IF(P21=0,"","("&amp;ROUND(ber_Med_disc!G21/ber_Med_disc!M21,2)&amp;" "&amp;ber_Med_disc!E21&amp;"/ml)"))</f>
        <v/>
      </c>
      <c r="Z21" t="str">
        <f t="shared" si="13"/>
        <v/>
      </c>
      <c r="AA21" t="str">
        <f>IF(ber_Opm!C35=0,"",ber_Opm!C35)</f>
        <v/>
      </c>
      <c r="AB21" t="str">
        <f t="shared" si="14"/>
        <v/>
      </c>
      <c r="AC21">
        <f t="shared" si="15"/>
        <v>2</v>
      </c>
      <c r="AD21">
        <f t="shared" si="9"/>
        <v>0</v>
      </c>
    </row>
    <row r="23" spans="1:30" x14ac:dyDescent="0.35">
      <c r="O23">
        <f>SUM(O2:O21)</f>
        <v>0</v>
      </c>
      <c r="Q23">
        <f>SUM(Q2:Q21)</f>
        <v>0</v>
      </c>
      <c r="S23">
        <f>SUM(R2:S21)</f>
        <v>0</v>
      </c>
    </row>
    <row r="25" spans="1:30" x14ac:dyDescent="0.35">
      <c r="A25" t="s">
        <v>721</v>
      </c>
      <c r="B25">
        <v>210</v>
      </c>
      <c r="C25">
        <f>INDEX(dbForm!A2:A1013,ber_Med_disc!B25,1)</f>
        <v>210</v>
      </c>
      <c r="D25" t="e">
        <f>VLOOKUP(ber_Med_disc!C25,dbForm!V2:AE1015,2,FALSE)+1</f>
        <v>#N/A</v>
      </c>
      <c r="E25">
        <f>INDEX(tblRecNo,MedKeuze_0,1)</f>
        <v>210</v>
      </c>
    </row>
    <row r="26" spans="1:30" x14ac:dyDescent="0.35">
      <c r="A26" t="s">
        <v>3644</v>
      </c>
      <c r="B26" t="s">
        <v>3650</v>
      </c>
      <c r="D26" t="s">
        <v>3779</v>
      </c>
      <c r="E26" t="s">
        <v>3276</v>
      </c>
    </row>
    <row r="28" spans="1:30" x14ac:dyDescent="0.35">
      <c r="A28" t="s">
        <v>998</v>
      </c>
      <c r="B28" t="s">
        <v>2751</v>
      </c>
      <c r="C28">
        <v>0</v>
      </c>
      <c r="D28" t="s">
        <v>4939</v>
      </c>
      <c r="E28" t="s">
        <v>1850</v>
      </c>
    </row>
    <row r="29" spans="1:30" x14ac:dyDescent="0.35">
      <c r="A29" t="s">
        <v>997</v>
      </c>
      <c r="B29" t="s">
        <v>2752</v>
      </c>
      <c r="C29">
        <v>1</v>
      </c>
      <c r="D29" t="s">
        <v>3778</v>
      </c>
      <c r="E29" t="s">
        <v>1836</v>
      </c>
    </row>
    <row r="30" spans="1:30" x14ac:dyDescent="0.35">
      <c r="A30" t="s">
        <v>539</v>
      </c>
      <c r="B30" t="s">
        <v>2753</v>
      </c>
      <c r="C30">
        <v>1</v>
      </c>
      <c r="D30" t="s">
        <v>4063</v>
      </c>
      <c r="E30" t="s">
        <v>372</v>
      </c>
    </row>
    <row r="31" spans="1:30" x14ac:dyDescent="0.35">
      <c r="A31" t="s">
        <v>2998</v>
      </c>
      <c r="C31">
        <v>2</v>
      </c>
      <c r="D31" t="s">
        <v>4064</v>
      </c>
      <c r="E31" t="s">
        <v>817</v>
      </c>
    </row>
    <row r="32" spans="1:30" x14ac:dyDescent="0.35">
      <c r="A32" t="s">
        <v>543</v>
      </c>
      <c r="C32">
        <v>3</v>
      </c>
      <c r="D32" t="s">
        <v>4065</v>
      </c>
      <c r="E32" t="s">
        <v>1837</v>
      </c>
    </row>
    <row r="33" spans="1:4" x14ac:dyDescent="0.35">
      <c r="A33" t="s">
        <v>2115</v>
      </c>
      <c r="C33">
        <v>4</v>
      </c>
      <c r="D33" t="s">
        <v>4066</v>
      </c>
    </row>
    <row r="34" spans="1:4" x14ac:dyDescent="0.35">
      <c r="A34" t="s">
        <v>3645</v>
      </c>
      <c r="C34">
        <v>5</v>
      </c>
      <c r="D34" t="s">
        <v>4938</v>
      </c>
    </row>
    <row r="35" spans="1:4" x14ac:dyDescent="0.35">
      <c r="A35" t="s">
        <v>3646</v>
      </c>
      <c r="C35">
        <v>6</v>
      </c>
      <c r="D35" t="s">
        <v>1922</v>
      </c>
    </row>
    <row r="36" spans="1:4" x14ac:dyDescent="0.35">
      <c r="A36" t="s">
        <v>3647</v>
      </c>
      <c r="C36">
        <v>8</v>
      </c>
      <c r="D36" t="s">
        <v>1923</v>
      </c>
    </row>
    <row r="37" spans="1:4" x14ac:dyDescent="0.35">
      <c r="A37" t="s">
        <v>581</v>
      </c>
      <c r="C37">
        <v>12</v>
      </c>
      <c r="D37" t="s">
        <v>1924</v>
      </c>
    </row>
    <row r="38" spans="1:4" x14ac:dyDescent="0.35">
      <c r="A38" t="s">
        <v>1664</v>
      </c>
      <c r="C38">
        <v>24</v>
      </c>
      <c r="D38" t="s">
        <v>276</v>
      </c>
    </row>
  </sheetData>
  <phoneticPr fontId="26"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ijden"/>
  <dimension ref="A1:X28"/>
  <sheetViews>
    <sheetView workbookViewId="0">
      <selection activeCell="A17" sqref="A17"/>
    </sheetView>
  </sheetViews>
  <sheetFormatPr defaultRowHeight="12.85" x14ac:dyDescent="0.35"/>
  <cols>
    <col min="2" max="24" width="4.73046875" customWidth="1"/>
  </cols>
  <sheetData>
    <row r="1" spans="1:24" x14ac:dyDescent="0.35">
      <c r="A1" t="s">
        <v>4062</v>
      </c>
    </row>
    <row r="2" spans="1:24" x14ac:dyDescent="0.35">
      <c r="A2" t="s">
        <v>3887</v>
      </c>
      <c r="B2">
        <v>20</v>
      </c>
    </row>
    <row r="3" spans="1:24" x14ac:dyDescent="0.35">
      <c r="A3" t="s">
        <v>4063</v>
      </c>
      <c r="B3">
        <v>10</v>
      </c>
    </row>
    <row r="4" spans="1:24" x14ac:dyDescent="0.35">
      <c r="A4" t="s">
        <v>4064</v>
      </c>
      <c r="B4">
        <v>10</v>
      </c>
      <c r="C4">
        <v>22</v>
      </c>
    </row>
    <row r="5" spans="1:24" x14ac:dyDescent="0.35">
      <c r="A5" t="s">
        <v>4065</v>
      </c>
      <c r="B5">
        <v>10</v>
      </c>
      <c r="C5">
        <v>18</v>
      </c>
      <c r="D5">
        <v>2</v>
      </c>
    </row>
    <row r="6" spans="1:24" x14ac:dyDescent="0.35">
      <c r="A6" t="s">
        <v>4066</v>
      </c>
      <c r="B6">
        <v>10</v>
      </c>
      <c r="C6">
        <v>18</v>
      </c>
      <c r="D6">
        <v>24</v>
      </c>
      <c r="E6">
        <v>6</v>
      </c>
    </row>
    <row r="7" spans="1:24" x14ac:dyDescent="0.35">
      <c r="A7" t="s">
        <v>1922</v>
      </c>
      <c r="B7">
        <v>10</v>
      </c>
      <c r="C7">
        <v>14</v>
      </c>
      <c r="D7">
        <v>18</v>
      </c>
      <c r="E7">
        <v>22</v>
      </c>
      <c r="F7">
        <v>2</v>
      </c>
      <c r="G7">
        <v>6</v>
      </c>
    </row>
    <row r="8" spans="1:24" x14ac:dyDescent="0.35">
      <c r="A8" t="s">
        <v>1923</v>
      </c>
      <c r="B8">
        <v>11</v>
      </c>
      <c r="C8">
        <v>14</v>
      </c>
      <c r="D8">
        <v>17</v>
      </c>
      <c r="E8">
        <v>20</v>
      </c>
      <c r="F8">
        <v>23</v>
      </c>
      <c r="G8">
        <v>2</v>
      </c>
      <c r="H8">
        <v>5</v>
      </c>
      <c r="I8">
        <v>8</v>
      </c>
    </row>
    <row r="9" spans="1:24" x14ac:dyDescent="0.35">
      <c r="A9" t="s">
        <v>1924</v>
      </c>
      <c r="B9">
        <v>10</v>
      </c>
      <c r="C9">
        <v>12</v>
      </c>
      <c r="D9">
        <v>14</v>
      </c>
      <c r="E9">
        <v>16</v>
      </c>
      <c r="F9">
        <v>18</v>
      </c>
      <c r="G9">
        <v>20</v>
      </c>
      <c r="H9">
        <v>22</v>
      </c>
      <c r="I9">
        <v>24</v>
      </c>
      <c r="J9">
        <v>2</v>
      </c>
      <c r="K9">
        <v>4</v>
      </c>
      <c r="L9">
        <v>6</v>
      </c>
      <c r="M9">
        <v>8</v>
      </c>
    </row>
    <row r="10" spans="1:24" x14ac:dyDescent="0.35">
      <c r="A10" t="s">
        <v>276</v>
      </c>
    </row>
    <row r="12" spans="1:24" x14ac:dyDescent="0.35">
      <c r="A12">
        <v>10</v>
      </c>
      <c r="B12" t="s">
        <v>4063</v>
      </c>
      <c r="C12" t="s">
        <v>4064</v>
      </c>
      <c r="D12" t="s">
        <v>4065</v>
      </c>
      <c r="E12" t="s">
        <v>4066</v>
      </c>
      <c r="F12" t="s">
        <v>1922</v>
      </c>
      <c r="G12" t="s">
        <v>1924</v>
      </c>
    </row>
    <row r="14" spans="1:24" x14ac:dyDescent="0.35">
      <c r="B14">
        <v>2</v>
      </c>
      <c r="C14">
        <v>3</v>
      </c>
      <c r="D14">
        <v>4</v>
      </c>
      <c r="E14">
        <v>5</v>
      </c>
      <c r="F14">
        <v>6</v>
      </c>
      <c r="G14">
        <v>7</v>
      </c>
      <c r="H14">
        <v>8</v>
      </c>
      <c r="I14">
        <v>9</v>
      </c>
      <c r="J14">
        <v>10</v>
      </c>
      <c r="K14">
        <v>11</v>
      </c>
      <c r="L14">
        <v>12</v>
      </c>
      <c r="M14">
        <v>13</v>
      </c>
      <c r="N14">
        <v>14</v>
      </c>
      <c r="O14">
        <v>15</v>
      </c>
      <c r="P14">
        <v>16</v>
      </c>
      <c r="Q14">
        <v>17</v>
      </c>
      <c r="R14">
        <v>18</v>
      </c>
      <c r="S14">
        <v>19</v>
      </c>
      <c r="T14">
        <v>20</v>
      </c>
      <c r="U14">
        <v>21</v>
      </c>
      <c r="V14">
        <v>22</v>
      </c>
      <c r="W14">
        <v>23</v>
      </c>
      <c r="X14">
        <v>24</v>
      </c>
    </row>
    <row r="15" spans="1:24" x14ac:dyDescent="0.35">
      <c r="B15" s="16">
        <v>10</v>
      </c>
      <c r="C15" s="16">
        <v>11</v>
      </c>
      <c r="D15" s="16">
        <v>12</v>
      </c>
      <c r="E15" s="16">
        <v>13</v>
      </c>
      <c r="F15" s="16">
        <v>14</v>
      </c>
      <c r="G15" s="16">
        <v>15</v>
      </c>
      <c r="H15" s="16">
        <v>16</v>
      </c>
      <c r="I15" s="16">
        <v>17</v>
      </c>
      <c r="J15" s="16">
        <v>18</v>
      </c>
      <c r="K15" s="16">
        <v>19</v>
      </c>
      <c r="L15" s="16">
        <v>20</v>
      </c>
      <c r="M15" s="16">
        <v>21</v>
      </c>
      <c r="N15" s="16">
        <v>22</v>
      </c>
      <c r="O15" s="16">
        <v>23</v>
      </c>
      <c r="P15" s="16">
        <v>24</v>
      </c>
      <c r="Q15" s="16">
        <v>1</v>
      </c>
      <c r="R15" s="16">
        <v>2</v>
      </c>
      <c r="S15" s="16">
        <v>3</v>
      </c>
      <c r="T15" s="16">
        <v>4</v>
      </c>
      <c r="U15" s="16">
        <v>5</v>
      </c>
      <c r="V15" s="16">
        <v>6</v>
      </c>
      <c r="W15" s="16">
        <v>7</v>
      </c>
      <c r="X15" s="16">
        <v>8</v>
      </c>
    </row>
    <row r="16" spans="1:24" x14ac:dyDescent="0.35">
      <c r="A16" t="s">
        <v>3777</v>
      </c>
      <c r="B16" s="39"/>
      <c r="C16" s="39"/>
      <c r="D16" s="41" t="s">
        <v>1925</v>
      </c>
      <c r="E16" s="39"/>
      <c r="F16" s="39"/>
      <c r="G16" s="39"/>
      <c r="H16" s="39"/>
      <c r="I16" s="39"/>
      <c r="J16" s="39"/>
      <c r="K16" s="39"/>
      <c r="L16" s="39"/>
      <c r="M16" s="39"/>
      <c r="N16" s="39"/>
      <c r="O16" s="39"/>
      <c r="P16" s="39"/>
      <c r="Q16" s="39"/>
      <c r="R16" s="40"/>
      <c r="S16" s="40"/>
      <c r="T16" s="40"/>
      <c r="U16" s="40"/>
      <c r="V16" s="40"/>
      <c r="W16" s="40"/>
      <c r="X16" s="40"/>
    </row>
    <row r="17" spans="1:24" x14ac:dyDescent="0.35">
      <c r="A17" t="s">
        <v>3778</v>
      </c>
      <c r="B17" s="39"/>
      <c r="C17" s="39"/>
      <c r="D17" s="39"/>
      <c r="E17" s="39"/>
      <c r="F17" s="39"/>
      <c r="G17" s="39"/>
      <c r="H17" s="39"/>
      <c r="I17" s="39"/>
      <c r="J17" s="39"/>
      <c r="K17" s="39"/>
      <c r="L17" s="41" t="s">
        <v>1925</v>
      </c>
      <c r="M17" s="39"/>
      <c r="N17" s="41"/>
      <c r="O17" s="39"/>
      <c r="P17" s="39"/>
      <c r="Q17" s="39"/>
      <c r="R17" s="40"/>
      <c r="S17" s="40"/>
      <c r="T17" s="40"/>
      <c r="U17" s="40"/>
      <c r="V17" s="40"/>
      <c r="W17" s="40"/>
      <c r="X17" s="40"/>
    </row>
    <row r="18" spans="1:24" x14ac:dyDescent="0.35">
      <c r="A18" t="s">
        <v>4063</v>
      </c>
      <c r="B18" s="17" t="s">
        <v>1925</v>
      </c>
      <c r="C18" s="17"/>
      <c r="D18" s="17"/>
      <c r="E18" s="17"/>
      <c r="F18" s="17"/>
      <c r="G18" s="17"/>
      <c r="H18" s="17"/>
      <c r="I18" s="17"/>
      <c r="J18" s="17"/>
      <c r="K18" s="17"/>
      <c r="L18" s="17"/>
      <c r="M18" s="17"/>
      <c r="N18" s="17"/>
      <c r="O18" s="17"/>
      <c r="P18" s="17"/>
      <c r="Q18" s="17"/>
    </row>
    <row r="19" spans="1:24" x14ac:dyDescent="0.35">
      <c r="A19" t="s">
        <v>4064</v>
      </c>
      <c r="B19" s="17" t="s">
        <v>1925</v>
      </c>
      <c r="C19" s="17"/>
      <c r="D19" s="17"/>
      <c r="E19" s="17"/>
      <c r="F19" s="17"/>
      <c r="G19" s="17"/>
      <c r="H19" s="17"/>
      <c r="I19" s="17"/>
      <c r="J19" s="17"/>
      <c r="K19" s="17"/>
      <c r="L19" s="17"/>
      <c r="M19" s="17"/>
      <c r="N19" s="17" t="s">
        <v>1925</v>
      </c>
      <c r="O19" s="17"/>
      <c r="P19" s="17"/>
      <c r="Q19" s="17"/>
    </row>
    <row r="20" spans="1:24" x14ac:dyDescent="0.35">
      <c r="A20" t="s">
        <v>4065</v>
      </c>
      <c r="B20" s="17" t="s">
        <v>1925</v>
      </c>
      <c r="C20" s="17"/>
      <c r="D20" s="17"/>
      <c r="E20" s="17"/>
      <c r="F20" s="17"/>
      <c r="G20" s="17"/>
      <c r="H20" s="17"/>
      <c r="I20" s="17"/>
      <c r="J20" s="17" t="s">
        <v>1925</v>
      </c>
      <c r="K20" s="17"/>
      <c r="L20" s="17"/>
      <c r="M20" s="17"/>
      <c r="N20" s="17"/>
      <c r="O20" s="17"/>
      <c r="P20" s="17"/>
      <c r="Q20" s="17"/>
      <c r="R20" t="s">
        <v>1925</v>
      </c>
    </row>
    <row r="21" spans="1:24" x14ac:dyDescent="0.35">
      <c r="A21" t="s">
        <v>4066</v>
      </c>
      <c r="B21" s="17"/>
      <c r="C21" s="17"/>
      <c r="D21" s="17" t="s">
        <v>1925</v>
      </c>
      <c r="E21" s="17"/>
      <c r="F21" s="17"/>
      <c r="G21" s="17"/>
      <c r="H21" s="17"/>
      <c r="I21" s="17"/>
      <c r="J21" s="17" t="s">
        <v>1925</v>
      </c>
      <c r="K21" s="17"/>
      <c r="L21" s="17"/>
      <c r="M21" s="17"/>
      <c r="N21" s="17"/>
      <c r="O21" s="17"/>
      <c r="P21" s="17" t="s">
        <v>1925</v>
      </c>
      <c r="Q21" s="17"/>
      <c r="V21" t="s">
        <v>1925</v>
      </c>
    </row>
    <row r="22" spans="1:24" x14ac:dyDescent="0.35">
      <c r="A22" t="s">
        <v>1922</v>
      </c>
      <c r="B22" s="17" t="s">
        <v>1925</v>
      </c>
      <c r="C22" s="17"/>
      <c r="D22" s="17"/>
      <c r="E22" s="17"/>
      <c r="F22" s="17" t="s">
        <v>1925</v>
      </c>
      <c r="G22" s="17"/>
      <c r="H22" s="17"/>
      <c r="I22" s="17"/>
      <c r="J22" s="17" t="s">
        <v>1925</v>
      </c>
      <c r="K22" s="17"/>
      <c r="L22" s="17"/>
      <c r="M22" s="17"/>
      <c r="N22" s="17" t="s">
        <v>1925</v>
      </c>
      <c r="O22" s="17"/>
      <c r="P22" s="17"/>
      <c r="Q22" s="17"/>
      <c r="R22" t="s">
        <v>1925</v>
      </c>
      <c r="V22" t="s">
        <v>1925</v>
      </c>
    </row>
    <row r="23" spans="1:24" x14ac:dyDescent="0.35">
      <c r="A23" t="s">
        <v>1923</v>
      </c>
      <c r="B23" s="17"/>
      <c r="C23" s="17" t="s">
        <v>1925</v>
      </c>
      <c r="D23" s="17"/>
      <c r="E23" s="17"/>
      <c r="F23" s="17" t="s">
        <v>1925</v>
      </c>
      <c r="G23" s="17"/>
      <c r="H23" s="17"/>
      <c r="I23" s="17" t="s">
        <v>1925</v>
      </c>
      <c r="J23" s="17"/>
      <c r="K23" s="17"/>
      <c r="L23" s="17" t="s">
        <v>1925</v>
      </c>
      <c r="M23" s="17"/>
      <c r="N23" s="17"/>
      <c r="O23" s="17" t="s">
        <v>1925</v>
      </c>
      <c r="P23" s="17"/>
      <c r="Q23" s="17"/>
      <c r="R23" t="s">
        <v>1925</v>
      </c>
      <c r="U23" t="s">
        <v>1925</v>
      </c>
      <c r="X23" t="s">
        <v>1925</v>
      </c>
    </row>
    <row r="24" spans="1:24" x14ac:dyDescent="0.35">
      <c r="A24" t="s">
        <v>1924</v>
      </c>
      <c r="B24" s="17" t="s">
        <v>1925</v>
      </c>
      <c r="C24" s="17"/>
      <c r="D24" s="17" t="s">
        <v>1925</v>
      </c>
      <c r="E24" s="17"/>
      <c r="F24" s="17" t="s">
        <v>1925</v>
      </c>
      <c r="G24" s="17"/>
      <c r="H24" s="17" t="s">
        <v>1925</v>
      </c>
      <c r="I24" s="17"/>
      <c r="J24" s="17" t="s">
        <v>1925</v>
      </c>
      <c r="K24" s="17"/>
      <c r="L24" s="17" t="s">
        <v>1925</v>
      </c>
      <c r="M24" s="17"/>
      <c r="N24" s="17" t="s">
        <v>1925</v>
      </c>
      <c r="O24" s="17"/>
      <c r="P24" s="17" t="s">
        <v>1925</v>
      </c>
      <c r="Q24" s="17"/>
      <c r="R24" t="s">
        <v>1925</v>
      </c>
      <c r="T24" t="s">
        <v>1925</v>
      </c>
      <c r="V24" t="s">
        <v>1925</v>
      </c>
      <c r="X24" t="s">
        <v>1925</v>
      </c>
    </row>
    <row r="25" spans="1:24" x14ac:dyDescent="0.35">
      <c r="A25" t="s">
        <v>276</v>
      </c>
      <c r="B25" s="17"/>
      <c r="C25" s="17"/>
      <c r="D25" s="17"/>
      <c r="E25" s="17"/>
      <c r="F25" s="17"/>
      <c r="G25" s="17"/>
      <c r="H25" s="17"/>
      <c r="I25" s="17"/>
      <c r="J25" s="17"/>
      <c r="K25" s="17"/>
      <c r="L25" s="17"/>
      <c r="M25" s="17"/>
      <c r="N25" s="17"/>
      <c r="O25" s="17"/>
      <c r="P25" s="17"/>
      <c r="Q25" s="17"/>
    </row>
    <row r="26" spans="1:24" x14ac:dyDescent="0.35">
      <c r="B26" s="17"/>
      <c r="C26" s="17"/>
      <c r="D26" s="17"/>
      <c r="E26" s="17"/>
      <c r="F26" s="17"/>
      <c r="G26" s="17"/>
      <c r="H26" s="17"/>
      <c r="I26" s="17"/>
      <c r="J26" s="17"/>
      <c r="K26" s="17"/>
      <c r="L26" s="17"/>
      <c r="M26" s="17"/>
      <c r="N26" s="17"/>
      <c r="O26" s="17"/>
      <c r="P26" s="17"/>
      <c r="Q26" s="17"/>
    </row>
    <row r="27" spans="1:24" x14ac:dyDescent="0.35">
      <c r="B27" s="17"/>
      <c r="C27" s="17"/>
      <c r="D27" s="17"/>
      <c r="E27" s="17"/>
      <c r="F27" s="17"/>
      <c r="G27" s="17"/>
      <c r="H27" s="17"/>
      <c r="I27" s="17"/>
      <c r="J27" s="17"/>
      <c r="K27" s="17"/>
      <c r="L27" s="17"/>
      <c r="M27" s="17"/>
      <c r="N27" s="17"/>
      <c r="O27" s="17"/>
      <c r="P27" s="17"/>
      <c r="Q27" s="17"/>
    </row>
    <row r="28" spans="1:24" x14ac:dyDescent="0.35">
      <c r="B28" s="17"/>
      <c r="C28" s="17"/>
      <c r="D28" s="17"/>
      <c r="E28" s="17"/>
      <c r="F28" s="17"/>
      <c r="G28" s="17"/>
      <c r="H28" s="17"/>
      <c r="I28" s="17"/>
      <c r="J28" s="17"/>
      <c r="K28" s="17"/>
      <c r="L28" s="17"/>
      <c r="M28" s="17"/>
      <c r="N28" s="17"/>
      <c r="O28" s="17"/>
      <c r="P28" s="17"/>
      <c r="Q28" s="17"/>
    </row>
  </sheetData>
  <phoneticPr fontId="26" type="noConversion"/>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Medicatie">
    <outlinePr showOutlineSymbols="0"/>
  </sheetPr>
  <dimension ref="B1:AG22"/>
  <sheetViews>
    <sheetView showGridLines="0" showRowColHeaders="0" showZeros="0" showOutlineSymbols="0" zoomScaleNormal="100" workbookViewId="0">
      <selection activeCell="C7" sqref="C7"/>
    </sheetView>
  </sheetViews>
  <sheetFormatPr defaultRowHeight="12.85" x14ac:dyDescent="0.35"/>
  <cols>
    <col min="1" max="1" width="7.1328125" customWidth="1"/>
    <col min="2" max="2" width="6" customWidth="1"/>
    <col min="3" max="3" width="26.3984375" customWidth="1"/>
    <col min="4" max="4" width="4.59765625" customWidth="1"/>
    <col min="6" max="6" width="4.265625" customWidth="1"/>
    <col min="7" max="7" width="11.73046875" customWidth="1"/>
    <col min="8" max="23" width="2.73046875" style="18" customWidth="1"/>
    <col min="24" max="33" width="2.73046875" customWidth="1"/>
  </cols>
  <sheetData>
    <row r="1" spans="2:33" ht="19.55" customHeight="1" thickBot="1" x14ac:dyDescent="0.4">
      <c r="B1" t="str">
        <f>"Naam: "&amp;AchterNaam&amp;", "&amp;VoorNaam</f>
        <v>Naam: Achternaam, Voornaam</v>
      </c>
      <c r="D1" t="str">
        <f>"Geboortedatum: "</f>
        <v xml:space="preserve">Geboortedatum: </v>
      </c>
      <c r="F1" s="401">
        <f>GebDatum</f>
        <v>40909</v>
      </c>
      <c r="G1" s="401"/>
      <c r="I1" s="11" t="str">
        <f>"Gewicht: "&amp;ROUND(Gewicht/10,1)&amp;"kg"</f>
        <v>Gewicht: 10kg</v>
      </c>
      <c r="P1" s="11" t="s">
        <v>1926</v>
      </c>
      <c r="R1" s="399"/>
      <c r="S1" s="399"/>
      <c r="T1" s="399"/>
      <c r="U1" s="399"/>
      <c r="V1" s="399"/>
      <c r="W1" s="399"/>
      <c r="Y1" t="s">
        <v>2977</v>
      </c>
      <c r="AB1" s="400">
        <f ca="1">TODAY()</f>
        <v>42188</v>
      </c>
      <c r="AC1" s="400"/>
      <c r="AD1" s="400"/>
      <c r="AE1" s="400"/>
      <c r="AF1" s="400"/>
    </row>
    <row r="2" spans="2:33" ht="26.1" customHeight="1" x14ac:dyDescent="0.35">
      <c r="B2" s="167" t="s">
        <v>4177</v>
      </c>
      <c r="C2" s="168" t="s">
        <v>3341</v>
      </c>
      <c r="D2" s="169" t="s">
        <v>3342</v>
      </c>
      <c r="E2" s="169"/>
      <c r="F2" s="169"/>
      <c r="G2" s="170" t="s">
        <v>3061</v>
      </c>
      <c r="H2" s="171">
        <v>10</v>
      </c>
      <c r="I2" s="171">
        <v>11</v>
      </c>
      <c r="J2" s="171">
        <v>12</v>
      </c>
      <c r="K2" s="171">
        <v>13</v>
      </c>
      <c r="L2" s="171">
        <v>14</v>
      </c>
      <c r="M2" s="171">
        <v>15</v>
      </c>
      <c r="N2" s="171">
        <v>16</v>
      </c>
      <c r="O2" s="171">
        <v>17</v>
      </c>
      <c r="P2" s="171">
        <v>18</v>
      </c>
      <c r="Q2" s="171">
        <v>19</v>
      </c>
      <c r="R2" s="172">
        <v>20</v>
      </c>
      <c r="S2" s="172">
        <v>21</v>
      </c>
      <c r="T2" s="172">
        <v>22</v>
      </c>
      <c r="U2" s="172">
        <v>23</v>
      </c>
      <c r="V2" s="172">
        <v>24</v>
      </c>
      <c r="W2" s="172">
        <v>1</v>
      </c>
      <c r="X2" s="171">
        <v>2</v>
      </c>
      <c r="Y2" s="171">
        <v>3</v>
      </c>
      <c r="Z2" s="171">
        <v>4</v>
      </c>
      <c r="AA2" s="171">
        <v>5</v>
      </c>
      <c r="AB2" s="171">
        <v>6</v>
      </c>
      <c r="AC2" s="171">
        <v>7</v>
      </c>
      <c r="AD2" s="171">
        <v>8</v>
      </c>
      <c r="AE2" s="173"/>
      <c r="AF2" s="173"/>
      <c r="AG2" s="173"/>
    </row>
    <row r="3" spans="2:33" ht="26.1" customHeight="1" x14ac:dyDescent="0.35">
      <c r="B3" s="175" t="str">
        <f>IF(C3&lt;&gt;" ",Med_disc!C6,"")</f>
        <v/>
      </c>
      <c r="C3" s="343" t="str">
        <f>IF(ber_Med_disc!C2&lt;&gt;"",IF(ber_Med_disc!C2&gt;1,TRIM(ber_Med_disc!C2)&amp;", "&amp;ber_Opm!C16&amp;" ("&amp;ber_Med_disc!L2&amp;" "&amp;ber_Med_disc!E2&amp;"/kg/dag)",TRIM(ber_Med_disc!C2)&amp;", "&amp;ber_Opm!C16),"")</f>
        <v/>
      </c>
      <c r="D3" s="344" t="str">
        <f>IF(Med_disc!H6&lt;&gt;"",Med_disc!H6,"")</f>
        <v/>
      </c>
      <c r="E3" s="345" t="str">
        <f>IF(AND(D3&lt;&gt;"",D3&lt;&gt;"STOP"),ber_Med_disc!G2&amp;" "&amp;ber_Med_disc!E2,"")</f>
        <v/>
      </c>
      <c r="F3" s="345" t="str">
        <f>IF(AND(D3&lt;&gt;"",D3&lt;&gt;"STOP"),ber_Med_disc!K2," ")</f>
        <v xml:space="preserve"> </v>
      </c>
      <c r="G3" s="345" t="str">
        <f>IF(Med_disc!L6&lt;&gt;"",Med_disc!L6&amp;" "&amp;Med_disc!M6&amp;" "&amp;INDEX(ber_Med_disc!$B$27:$B$30,ber_Med_disc!N2,1)&amp;" in "&amp;Med_disc!$O$6,"")</f>
        <v/>
      </c>
      <c r="H3" s="174" t="str">
        <f>IF(OR($D3="1 dd",$D3="2 dd",$D3="3 dd",$D3="4 dd",$D3="6 dd",$D3="8 dd",$D3="12 dd",$D3="an",$D3="1 X"),VLOOKUP($D3,ber_tijden!$A$16:$X$25,ber_tijden!B$14,FALSE),"")</f>
        <v/>
      </c>
      <c r="I3" s="17" t="str">
        <f>IF(OR($D3="1 dd",$D3="2 dd",$D3="3 dd",$D3="4 dd",$D3="6 dd",$D3="8 dd",$D3="12 dd",$D3="an",$D3="1 X"),VLOOKUP($D3,ber_tijden!$A$16:$X$25,ber_tijden!C$14,FALSE),"")</f>
        <v/>
      </c>
      <c r="J3" s="174" t="str">
        <f>IF(OR($D3="1 dd",$D3="2 dd",$D3="3 dd",$D3="4 dd",$D3="6 dd",$D3="8 dd",$D3="12 dd",$D3="an",$D3="1 X"),VLOOKUP($D3,ber_tijden!$A$16:$X$25,ber_tijden!D$14,FALSE),"")</f>
        <v/>
      </c>
      <c r="K3" s="17" t="str">
        <f>IF(OR($D3="1 dd",$D3="2 dd",$D3="3 dd",$D3="4 dd",$D3="6 dd",$D3="8 dd",$D3="12 dd",$D3="an",$D3="1 X"),VLOOKUP($D3,ber_tijden!$A$16:$X$25,ber_tijden!E$14,FALSE),"")</f>
        <v/>
      </c>
      <c r="L3" s="174" t="str">
        <f>IF(OR($D3="1 dd",$D3="2 dd",$D3="3 dd",$D3="4 dd",$D3="6 dd",$D3="8 dd",$D3="12 dd",$D3="an",$D3="1 X"),VLOOKUP($D3,ber_tijden!$A$16:$X$25,ber_tijden!F$14,FALSE),"")</f>
        <v/>
      </c>
      <c r="M3" s="17" t="str">
        <f>IF(OR($D3="1 dd",$D3="2 dd",$D3="3 dd",$D3="4 dd",$D3="6 dd",$D3="8 dd",$D3="12 dd",$D3="an",$D3="1 X"),VLOOKUP($D3,ber_tijden!$A$16:$X$25,ber_tijden!G$14,FALSE),"")</f>
        <v/>
      </c>
      <c r="N3" s="174" t="str">
        <f>IF(OR($D3="1 dd",$D3="2 dd",$D3="3 dd",$D3="4 dd",$D3="6 dd",$D3="8 dd",$D3="12 dd",$D3="an",$D3="1 X"),VLOOKUP($D3,ber_tijden!$A$16:$X$25,ber_tijden!H$14,FALSE),"")</f>
        <v/>
      </c>
      <c r="O3" s="17" t="str">
        <f>IF(OR($D3="1 dd",$D3="2 dd",$D3="3 dd",$D3="4 dd",$D3="6 dd",$D3="8 dd",$D3="12 dd",$D3="an",$D3="1 X"),VLOOKUP($D3,ber_tijden!$A$16:$X$25,ber_tijden!I$14,FALSE),"")</f>
        <v/>
      </c>
      <c r="P3" s="174" t="str">
        <f>IF(OR($D3="1 dd",$D3="2 dd",$D3="3 dd",$D3="4 dd",$D3="6 dd",$D3="8 dd",$D3="12 dd",$D3="an",$D3="1 X"),VLOOKUP($D3,ber_tijden!$A$16:$X$25,ber_tijden!J$14,FALSE),"")</f>
        <v/>
      </c>
      <c r="Q3" s="17" t="str">
        <f>IF(OR($D3="1 dd",$D3="2 dd",$D3="3 dd",$D3="4 dd",$D3="6 dd",$D3="8 dd",$D3="12 dd",$D3="an",$D3="1 X"),VLOOKUP($D3,ber_tijden!$A$16:$X$25,ber_tijden!K$14,FALSE),"")</f>
        <v/>
      </c>
      <c r="R3" s="174" t="str">
        <f>IF(OR($D3="1 dd",$D3="2 dd",$D3="3 dd",$D3="4 dd",$D3="6 dd",$D3="8 dd",$D3="12 dd",$D3="an",$D3="1 X"),VLOOKUP($D3,ber_tijden!$A$16:$X$25,ber_tijden!L$14,FALSE),"")</f>
        <v/>
      </c>
      <c r="S3" s="17" t="str">
        <f>IF(OR($D3="1 dd",$D3="2 dd",$D3="3 dd",$D3="4 dd",$D3="6 dd",$D3="8 dd",$D3="12 dd",$D3="an",$D3="1 X"),VLOOKUP($D3,ber_tijden!$A$16:$X$25,ber_tijden!M$14,FALSE),"")</f>
        <v/>
      </c>
      <c r="T3" s="174" t="str">
        <f>IF(OR($D3="1 dd",$D3="2 dd",$D3="3 dd",$D3="4 dd",$D3="6 dd",$D3="8 dd",$D3="12 dd",$D3="an",$D3="1 X"),VLOOKUP($D3,ber_tijden!$A$16:$X$25,ber_tijden!N$14,FALSE),"")</f>
        <v/>
      </c>
      <c r="U3" s="17" t="str">
        <f>IF(OR($D3="1 dd",$D3="2 dd",$D3="3 dd",$D3="4 dd",$D3="6 dd",$D3="8 dd",$D3="12 dd",$D3="an",$D3="1 X"),VLOOKUP($D3,ber_tijden!$A$16:$X$25,ber_tijden!O$14,FALSE),"")</f>
        <v/>
      </c>
      <c r="V3" s="174" t="str">
        <f>IF(OR($D3="1 dd",$D3="2 dd",$D3="3 dd",$D3="4 dd",$D3="6 dd",$D3="8 dd",$D3="12 dd",$D3="an",$D3="1 X"),VLOOKUP($D3,ber_tijden!$A$16:$X$25,ber_tijden!P$14,FALSE),"")</f>
        <v/>
      </c>
      <c r="W3" s="17" t="str">
        <f>IF(OR($D3="1 dd",$D3="2 dd",$D3="3 dd",$D3="4 dd",$D3="6 dd",$D3="8 dd",$D3="12 dd",$D3="an",$D3="1 X"),VLOOKUP($D3,ber_tijden!$A$16:$X$25,ber_tijden!Q$14,FALSE),"")</f>
        <v/>
      </c>
      <c r="X3" s="174" t="str">
        <f>IF(OR($D3="1 dd",$D3="2 dd",$D3="3 dd",$D3="4 dd",$D3="6 dd",$D3="8 dd",$D3="12 dd",$D3="an",$D3="1 X"),VLOOKUP($D3,ber_tijden!$A$16:$X$25,ber_tijden!R$14,FALSE),"")</f>
        <v/>
      </c>
      <c r="Y3" s="17" t="str">
        <f>IF(OR($D3="1 dd",$D3="2 dd",$D3="3 dd",$D3="4 dd",$D3="6 dd",$D3="8 dd",$D3="12 dd",$D3="an",$D3="1 X"),VLOOKUP($D3,ber_tijden!$A$16:$X$25,ber_tijden!S$14,FALSE),"")</f>
        <v/>
      </c>
      <c r="Z3" s="174" t="str">
        <f>IF(OR($D3="1 dd",$D3="2 dd",$D3="3 dd",$D3="4 dd",$D3="6 dd",$D3="8 dd",$D3="12 dd",$D3="an",$D3="1 X"),VLOOKUP($D3,ber_tijden!$A$16:$X$25,ber_tijden!T$14,FALSE),"")</f>
        <v/>
      </c>
      <c r="AA3" s="17" t="str">
        <f>IF(OR($D3="1 dd",$D3="2 dd",$D3="3 dd",$D3="4 dd",$D3="6 dd",$D3="8 dd",$D3="12 dd",$D3="an",$D3="1 X"),VLOOKUP($D3,ber_tijden!$A$16:$X$25,ber_tijden!U$14,FALSE),"")</f>
        <v/>
      </c>
      <c r="AB3" s="174" t="str">
        <f>IF(OR($D3="1 dd",$D3="2 dd",$D3="3 dd",$D3="4 dd",$D3="6 dd",$D3="8 dd",$D3="12 dd",$D3="an",$D3="1 X"),VLOOKUP($D3,ber_tijden!$A$16:$X$25,ber_tijden!V$14,FALSE),"")</f>
        <v/>
      </c>
      <c r="AC3" s="17" t="str">
        <f>IF(OR($D3="1 dd",$D3="2 dd",$D3="3 dd",$D3="4 dd",$D3="6 dd",$D3="8 dd",$D3="12 dd",$D3="an",$D3="1 X"),VLOOKUP($D3,ber_tijden!$A$16:$X$25,ber_tijden!W$14,FALSE),"")</f>
        <v/>
      </c>
      <c r="AD3" s="174" t="str">
        <f>IF(OR($D3="1 dd",$D3="2 dd",$D3="3 dd",$D3="4 dd",$D3="6 dd",$D3="8 dd",$D3="12 dd",$D3="an",$D3="1 X"),VLOOKUP($D3,ber_tijden!$A$16:$X$25,ber_tijden!X$14,FALSE),"")</f>
        <v/>
      </c>
      <c r="AE3" s="19"/>
      <c r="AF3" s="173"/>
      <c r="AG3" s="19"/>
    </row>
    <row r="4" spans="2:33" ht="26.1" customHeight="1" x14ac:dyDescent="0.35">
      <c r="B4" s="175" t="str">
        <f>IF(C4&lt;&gt;" ",Med_disc!C8,"")</f>
        <v/>
      </c>
      <c r="C4" s="343" t="str">
        <f>IF(ber_Med_disc!C3&lt;&gt;"",IF(ber_Med_disc!C3&gt;1,TRIM(ber_Med_disc!C3)&amp;", "&amp;ber_Opm!C17&amp;" ("&amp;ber_Med_disc!L3&amp;" "&amp;ber_Med_disc!E3&amp;"/kg/dag)",TRIM(ber_Med_disc!C3)&amp;", "&amp;ber_Opm!C17),"")</f>
        <v/>
      </c>
      <c r="D4" s="344" t="str">
        <f>IF(Med_disc!H8&lt;&gt;"",Med_disc!H8,"")</f>
        <v/>
      </c>
      <c r="E4" s="345" t="str">
        <f>IF(AND(D4&lt;&gt;"",D4&lt;&gt;"STOP"),ber_Med_disc!G3&amp;" "&amp;ber_Med_disc!E3,"")</f>
        <v/>
      </c>
      <c r="F4" s="345" t="str">
        <f>IF(AND(D4&lt;&gt;"",D4&lt;&gt;"STOP"),ber_Med_disc!K3," ")</f>
        <v xml:space="preserve"> </v>
      </c>
      <c r="G4" s="345" t="str">
        <f>IF(Med_disc!L8&lt;&gt;"",Med_disc!L8&amp;" "&amp;Med_disc!M8&amp;" "&amp;INDEX(ber_Med_disc!$B$27:$B$30,ber_Med_disc!N3,1)&amp;" in "&amp;Med_disc!$O$8,"")</f>
        <v/>
      </c>
      <c r="H4" s="174" t="str">
        <f>IF(OR($D4="1 dd",$D4="2 dd",$D4="3 dd",$D4="4 dd",$D4="6 dd",$D4="8 dd",$D4="12 dd",$D4="an",$D4="1 X"),VLOOKUP($D4,ber_tijden!$A$16:$X$25,ber_tijden!B$14,FALSE),"")</f>
        <v/>
      </c>
      <c r="I4" s="17" t="str">
        <f>IF(OR($D4="1 dd",$D4="2 dd",$D4="3 dd",$D4="4 dd",$D4="6 dd",$D4="8 dd",$D4="12 dd",$D4="an",$D4="1 X"),VLOOKUP($D4,ber_tijden!$A$16:$X$25,ber_tijden!C$14,FALSE),"")</f>
        <v/>
      </c>
      <c r="J4" s="174" t="str">
        <f>IF(OR($D4="1 dd",$D4="2 dd",$D4="3 dd",$D4="4 dd",$D4="6 dd",$D4="8 dd",$D4="12 dd",$D4="an",$D4="1 X"),VLOOKUP($D4,ber_tijden!$A$16:$X$25,ber_tijden!D$14,FALSE),"")</f>
        <v/>
      </c>
      <c r="K4" s="17" t="str">
        <f>IF(OR($D4="1 dd",$D4="2 dd",$D4="3 dd",$D4="4 dd",$D4="6 dd",$D4="8 dd",$D4="12 dd",$D4="an",$D4="1 X"),VLOOKUP($D4,ber_tijden!$A$16:$X$25,ber_tijden!E$14,FALSE),"")</f>
        <v/>
      </c>
      <c r="L4" s="174" t="str">
        <f>IF(OR($D4="1 dd",$D4="2 dd",$D4="3 dd",$D4="4 dd",$D4="6 dd",$D4="8 dd",$D4="12 dd",$D4="an",$D4="1 X"),VLOOKUP($D4,ber_tijden!$A$16:$X$25,ber_tijden!F$14,FALSE),"")</f>
        <v/>
      </c>
      <c r="M4" s="17" t="str">
        <f>IF(OR($D4="1 dd",$D4="2 dd",$D4="3 dd",$D4="4 dd",$D4="6 dd",$D4="8 dd",$D4="12 dd",$D4="an",$D4="1 X"),VLOOKUP($D4,ber_tijden!$A$16:$X$25,ber_tijden!G$14,FALSE),"")</f>
        <v/>
      </c>
      <c r="N4" s="174" t="str">
        <f>IF(OR($D4="1 dd",$D4="2 dd",$D4="3 dd",$D4="4 dd",$D4="6 dd",$D4="8 dd",$D4="12 dd",$D4="an",$D4="1 X"),VLOOKUP($D4,ber_tijden!$A$16:$X$25,ber_tijden!H$14,FALSE),"")</f>
        <v/>
      </c>
      <c r="O4" s="17" t="str">
        <f>IF(OR($D4="1 dd",$D4="2 dd",$D4="3 dd",$D4="4 dd",$D4="6 dd",$D4="8 dd",$D4="12 dd",$D4="an",$D4="1 X"),VLOOKUP($D4,ber_tijden!$A$16:$X$25,ber_tijden!I$14,FALSE),"")</f>
        <v/>
      </c>
      <c r="P4" s="174" t="str">
        <f>IF(OR($D4="1 dd",$D4="2 dd",$D4="3 dd",$D4="4 dd",$D4="6 dd",$D4="8 dd",$D4="12 dd",$D4="an",$D4="1 X"),VLOOKUP($D4,ber_tijden!$A$16:$X$25,ber_tijden!J$14,FALSE),"")</f>
        <v/>
      </c>
      <c r="Q4" s="17" t="str">
        <f>IF(OR($D4="1 dd",$D4="2 dd",$D4="3 dd",$D4="4 dd",$D4="6 dd",$D4="8 dd",$D4="12 dd",$D4="an",$D4="1 X"),VLOOKUP($D4,ber_tijden!$A$16:$X$25,ber_tijden!K$14,FALSE),"")</f>
        <v/>
      </c>
      <c r="R4" s="174" t="str">
        <f>IF(OR($D4="1 dd",$D4="2 dd",$D4="3 dd",$D4="4 dd",$D4="6 dd",$D4="8 dd",$D4="12 dd",$D4="an",$D4="1 X"),VLOOKUP($D4,ber_tijden!$A$16:$X$25,ber_tijden!L$14,FALSE),"")</f>
        <v/>
      </c>
      <c r="S4" s="17" t="str">
        <f>IF(OR($D4="1 dd",$D4="2 dd",$D4="3 dd",$D4="4 dd",$D4="6 dd",$D4="8 dd",$D4="12 dd",$D4="an",$D4="1 X"),VLOOKUP($D4,ber_tijden!$A$16:$X$25,ber_tijden!M$14,FALSE),"")</f>
        <v/>
      </c>
      <c r="T4" s="174" t="str">
        <f>IF(OR($D4="1 dd",$D4="2 dd",$D4="3 dd",$D4="4 dd",$D4="6 dd",$D4="8 dd",$D4="12 dd",$D4="an",$D4="1 X"),VLOOKUP($D4,ber_tijden!$A$16:$X$25,ber_tijden!N$14,FALSE),"")</f>
        <v/>
      </c>
      <c r="U4" s="17" t="str">
        <f>IF(OR($D4="1 dd",$D4="2 dd",$D4="3 dd",$D4="4 dd",$D4="6 dd",$D4="8 dd",$D4="12 dd",$D4="an",$D4="1 X"),VLOOKUP($D4,ber_tijden!$A$16:$X$25,ber_tijden!O$14,FALSE),"")</f>
        <v/>
      </c>
      <c r="V4" s="174" t="str">
        <f>IF(OR($D4="1 dd",$D4="2 dd",$D4="3 dd",$D4="4 dd",$D4="6 dd",$D4="8 dd",$D4="12 dd",$D4="an",$D4="1 X"),VLOOKUP($D4,ber_tijden!$A$16:$X$25,ber_tijden!P$14,FALSE),"")</f>
        <v/>
      </c>
      <c r="W4" s="17" t="str">
        <f>IF(OR($D4="1 dd",$D4="2 dd",$D4="3 dd",$D4="4 dd",$D4="6 dd",$D4="8 dd",$D4="12 dd",$D4="an",$D4="1 X"),VLOOKUP($D4,ber_tijden!$A$16:$X$25,ber_tijden!Q$14,FALSE),"")</f>
        <v/>
      </c>
      <c r="X4" s="174" t="str">
        <f>IF(OR($D4="1 dd",$D4="2 dd",$D4="3 dd",$D4="4 dd",$D4="6 dd",$D4="8 dd",$D4="12 dd",$D4="an",$D4="1 X"),VLOOKUP($D4,ber_tijden!$A$16:$X$25,ber_tijden!R$14,FALSE),"")</f>
        <v/>
      </c>
      <c r="Y4" s="17" t="str">
        <f>IF(OR($D4="1 dd",$D4="2 dd",$D4="3 dd",$D4="4 dd",$D4="6 dd",$D4="8 dd",$D4="12 dd",$D4="an",$D4="1 X"),VLOOKUP($D4,ber_tijden!$A$16:$X$25,ber_tijden!S$14,FALSE),"")</f>
        <v/>
      </c>
      <c r="Z4" s="174" t="str">
        <f>IF(OR($D4="1 dd",$D4="2 dd",$D4="3 dd",$D4="4 dd",$D4="6 dd",$D4="8 dd",$D4="12 dd",$D4="an",$D4="1 X"),VLOOKUP($D4,ber_tijden!$A$16:$X$25,ber_tijden!T$14,FALSE),"")</f>
        <v/>
      </c>
      <c r="AA4" s="17" t="str">
        <f>IF(OR($D4="1 dd",$D4="2 dd",$D4="3 dd",$D4="4 dd",$D4="6 dd",$D4="8 dd",$D4="12 dd",$D4="an",$D4="1 X"),VLOOKUP($D4,ber_tijden!$A$16:$X$25,ber_tijden!U$14,FALSE),"")</f>
        <v/>
      </c>
      <c r="AB4" s="174" t="str">
        <f>IF(OR($D4="1 dd",$D4="2 dd",$D4="3 dd",$D4="4 dd",$D4="6 dd",$D4="8 dd",$D4="12 dd",$D4="an",$D4="1 X"),VLOOKUP($D4,ber_tijden!$A$16:$X$25,ber_tijden!V$14,FALSE),"")</f>
        <v/>
      </c>
      <c r="AC4" s="17" t="str">
        <f>IF(OR($D4="1 dd",$D4="2 dd",$D4="3 dd",$D4="4 dd",$D4="6 dd",$D4="8 dd",$D4="12 dd",$D4="an",$D4="1 X"),VLOOKUP($D4,ber_tijden!$A$16:$X$25,ber_tijden!W$14,FALSE),"")</f>
        <v/>
      </c>
      <c r="AD4" s="174" t="str">
        <f>IF(OR($D4="1 dd",$D4="2 dd",$D4="3 dd",$D4="4 dd",$D4="6 dd",$D4="8 dd",$D4="12 dd",$D4="an",$D4="1 X"),VLOOKUP($D4,ber_tijden!$A$16:$X$25,ber_tijden!X$14,FALSE),"")</f>
        <v/>
      </c>
      <c r="AE4" s="19"/>
      <c r="AF4" s="173"/>
      <c r="AG4" s="19"/>
    </row>
    <row r="5" spans="2:33" ht="26.1" customHeight="1" x14ac:dyDescent="0.35">
      <c r="B5" s="175" t="str">
        <f>IF(C5&lt;&gt;" ",Med_disc!C10,"")</f>
        <v/>
      </c>
      <c r="C5" s="343" t="str">
        <f>IF(ber_Med_disc!C4&lt;&gt;"",IF(ber_Med_disc!C4&gt;1,TRIM(ber_Med_disc!C4)&amp;", "&amp;ber_Opm!C18&amp;" ("&amp;ber_Med_disc!L4&amp;" "&amp;ber_Med_disc!E4&amp;"/kg/dag)",TRIM(ber_Med_disc!C4)&amp;", "&amp;ber_Opm!C18),"")</f>
        <v/>
      </c>
      <c r="D5" s="344" t="str">
        <f>IF(Med_disc!H10&lt;&gt;"",Med_disc!H10,"")</f>
        <v/>
      </c>
      <c r="E5" s="345" t="str">
        <f>IF(AND(D5&lt;&gt;"",D5&lt;&gt;"STOP"),ber_Med_disc!G4&amp;" "&amp;ber_Med_disc!E4,"")</f>
        <v/>
      </c>
      <c r="F5" s="345" t="str">
        <f>IF(AND(D5&lt;&gt;"",D5&lt;&gt;"STOP"),ber_Med_disc!K4," ")</f>
        <v xml:space="preserve"> </v>
      </c>
      <c r="G5" s="345" t="str">
        <f>IF(Med_disc!L10&lt;&gt;"",Med_disc!L10&amp;" "&amp;Med_disc!M10&amp;" "&amp;INDEX(ber_Med_disc!$B$27:$B$30,ber_Med_disc!N4,1)&amp;" in "&amp;Med_disc!$O$10,"")</f>
        <v/>
      </c>
      <c r="H5" s="174" t="str">
        <f>IF(OR($D5="1 dd",$D5="2 dd",$D5="3 dd",$D5="4 dd",$D5="6 dd",$D5="8 dd",$D5="12 dd",$D5="an",$D5="1 X"),VLOOKUP($D5,ber_tijden!$A$16:$X$25,ber_tijden!B$14,FALSE),"")</f>
        <v/>
      </c>
      <c r="I5" s="17" t="str">
        <f>IF(OR($D5="1 dd",$D5="2 dd",$D5="3 dd",$D5="4 dd",$D5="6 dd",$D5="8 dd",$D5="12 dd",$D5="an",$D5="1 X"),VLOOKUP($D5,ber_tijden!$A$16:$X$25,ber_tijden!C$14,FALSE),"")</f>
        <v/>
      </c>
      <c r="J5" s="174" t="str">
        <f>IF(OR($D5="1 dd",$D5="2 dd",$D5="3 dd",$D5="4 dd",$D5="6 dd",$D5="8 dd",$D5="12 dd",$D5="an",$D5="1 X"),VLOOKUP($D5,ber_tijden!$A$16:$X$25,ber_tijden!D$14,FALSE),"")</f>
        <v/>
      </c>
      <c r="K5" s="17" t="str">
        <f>IF(OR($D5="1 dd",$D5="2 dd",$D5="3 dd",$D5="4 dd",$D5="6 dd",$D5="8 dd",$D5="12 dd",$D5="an",$D5="1 X"),VLOOKUP($D5,ber_tijden!$A$16:$X$25,ber_tijden!E$14,FALSE),"")</f>
        <v/>
      </c>
      <c r="L5" s="174" t="str">
        <f>IF(OR($D5="1 dd",$D5="2 dd",$D5="3 dd",$D5="4 dd",$D5="6 dd",$D5="8 dd",$D5="12 dd",$D5="an",$D5="1 X"),VLOOKUP($D5,ber_tijden!$A$16:$X$25,ber_tijden!F$14,FALSE),"")</f>
        <v/>
      </c>
      <c r="M5" s="17" t="str">
        <f>IF(OR($D5="1 dd",$D5="2 dd",$D5="3 dd",$D5="4 dd",$D5="6 dd",$D5="8 dd",$D5="12 dd",$D5="an",$D5="1 X"),VLOOKUP($D5,ber_tijden!$A$16:$X$25,ber_tijden!G$14,FALSE),"")</f>
        <v/>
      </c>
      <c r="N5" s="174" t="str">
        <f>IF(OR($D5="1 dd",$D5="2 dd",$D5="3 dd",$D5="4 dd",$D5="6 dd",$D5="8 dd",$D5="12 dd",$D5="an",$D5="1 X"),VLOOKUP($D5,ber_tijden!$A$16:$X$25,ber_tijden!H$14,FALSE),"")</f>
        <v/>
      </c>
      <c r="O5" s="17" t="str">
        <f>IF(OR($D5="1 dd",$D5="2 dd",$D5="3 dd",$D5="4 dd",$D5="6 dd",$D5="8 dd",$D5="12 dd",$D5="an",$D5="1 X"),VLOOKUP($D5,ber_tijden!$A$16:$X$25,ber_tijden!I$14,FALSE),"")</f>
        <v/>
      </c>
      <c r="P5" s="174" t="str">
        <f>IF(OR($D5="1 dd",$D5="2 dd",$D5="3 dd",$D5="4 dd",$D5="6 dd",$D5="8 dd",$D5="12 dd",$D5="an",$D5="1 X"),VLOOKUP($D5,ber_tijden!$A$16:$X$25,ber_tijden!J$14,FALSE),"")</f>
        <v/>
      </c>
      <c r="Q5" s="17" t="str">
        <f>IF(OR($D5="1 dd",$D5="2 dd",$D5="3 dd",$D5="4 dd",$D5="6 dd",$D5="8 dd",$D5="12 dd",$D5="an",$D5="1 X"),VLOOKUP($D5,ber_tijden!$A$16:$X$25,ber_tijden!K$14,FALSE),"")</f>
        <v/>
      </c>
      <c r="R5" s="174" t="str">
        <f>IF(OR($D5="1 dd",$D5="2 dd",$D5="3 dd",$D5="4 dd",$D5="6 dd",$D5="8 dd",$D5="12 dd",$D5="an",$D5="1 X"),VLOOKUP($D5,ber_tijden!$A$16:$X$25,ber_tijden!L$14,FALSE),"")</f>
        <v/>
      </c>
      <c r="S5" s="17" t="str">
        <f>IF(OR($D5="1 dd",$D5="2 dd",$D5="3 dd",$D5="4 dd",$D5="6 dd",$D5="8 dd",$D5="12 dd",$D5="an",$D5="1 X"),VLOOKUP($D5,ber_tijden!$A$16:$X$25,ber_tijden!M$14,FALSE),"")</f>
        <v/>
      </c>
      <c r="T5" s="174" t="str">
        <f>IF(OR($D5="1 dd",$D5="2 dd",$D5="3 dd",$D5="4 dd",$D5="6 dd",$D5="8 dd",$D5="12 dd",$D5="an",$D5="1 X"),VLOOKUP($D5,ber_tijden!$A$16:$X$25,ber_tijden!N$14,FALSE),"")</f>
        <v/>
      </c>
      <c r="U5" s="17" t="str">
        <f>IF(OR($D5="1 dd",$D5="2 dd",$D5="3 dd",$D5="4 dd",$D5="6 dd",$D5="8 dd",$D5="12 dd",$D5="an",$D5="1 X"),VLOOKUP($D5,ber_tijden!$A$16:$X$25,ber_tijden!O$14,FALSE),"")</f>
        <v/>
      </c>
      <c r="V5" s="174" t="str">
        <f>IF(OR($D5="1 dd",$D5="2 dd",$D5="3 dd",$D5="4 dd",$D5="6 dd",$D5="8 dd",$D5="12 dd",$D5="an",$D5="1 X"),VLOOKUP($D5,ber_tijden!$A$16:$X$25,ber_tijden!P$14,FALSE),"")</f>
        <v/>
      </c>
      <c r="W5" s="17" t="str">
        <f>IF(OR($D5="1 dd",$D5="2 dd",$D5="3 dd",$D5="4 dd",$D5="6 dd",$D5="8 dd",$D5="12 dd",$D5="an",$D5="1 X"),VLOOKUP($D5,ber_tijden!$A$16:$X$25,ber_tijden!Q$14,FALSE),"")</f>
        <v/>
      </c>
      <c r="X5" s="174" t="str">
        <f>IF(OR($D5="1 dd",$D5="2 dd",$D5="3 dd",$D5="4 dd",$D5="6 dd",$D5="8 dd",$D5="12 dd",$D5="an",$D5="1 X"),VLOOKUP($D5,ber_tijden!$A$16:$X$25,ber_tijden!R$14,FALSE),"")</f>
        <v/>
      </c>
      <c r="Y5" s="17" t="str">
        <f>IF(OR($D5="1 dd",$D5="2 dd",$D5="3 dd",$D5="4 dd",$D5="6 dd",$D5="8 dd",$D5="12 dd",$D5="an",$D5="1 X"),VLOOKUP($D5,ber_tijden!$A$16:$X$25,ber_tijden!S$14,FALSE),"")</f>
        <v/>
      </c>
      <c r="Z5" s="174" t="str">
        <f>IF(OR($D5="1 dd",$D5="2 dd",$D5="3 dd",$D5="4 dd",$D5="6 dd",$D5="8 dd",$D5="12 dd",$D5="an",$D5="1 X"),VLOOKUP($D5,ber_tijden!$A$16:$X$25,ber_tijden!T$14,FALSE),"")</f>
        <v/>
      </c>
      <c r="AA5" s="17" t="str">
        <f>IF(OR($D5="1 dd",$D5="2 dd",$D5="3 dd",$D5="4 dd",$D5="6 dd",$D5="8 dd",$D5="12 dd",$D5="an",$D5="1 X"),VLOOKUP($D5,ber_tijden!$A$16:$X$25,ber_tijden!U$14,FALSE),"")</f>
        <v/>
      </c>
      <c r="AB5" s="174" t="str">
        <f>IF(OR($D5="1 dd",$D5="2 dd",$D5="3 dd",$D5="4 dd",$D5="6 dd",$D5="8 dd",$D5="12 dd",$D5="an",$D5="1 X"),VLOOKUP($D5,ber_tijden!$A$16:$X$25,ber_tijden!V$14,FALSE),"")</f>
        <v/>
      </c>
      <c r="AC5" s="17" t="str">
        <f>IF(OR($D5="1 dd",$D5="2 dd",$D5="3 dd",$D5="4 dd",$D5="6 dd",$D5="8 dd",$D5="12 dd",$D5="an",$D5="1 X"),VLOOKUP($D5,ber_tijden!$A$16:$X$25,ber_tijden!W$14,FALSE),"")</f>
        <v/>
      </c>
      <c r="AD5" s="174" t="str">
        <f>IF(OR($D5="1 dd",$D5="2 dd",$D5="3 dd",$D5="4 dd",$D5="6 dd",$D5="8 dd",$D5="12 dd",$D5="an",$D5="1 X"),VLOOKUP($D5,ber_tijden!$A$16:$X$25,ber_tijden!X$14,FALSE),"")</f>
        <v/>
      </c>
      <c r="AE5" s="19"/>
      <c r="AF5" s="173"/>
      <c r="AG5" s="19"/>
    </row>
    <row r="6" spans="2:33" ht="26.1" customHeight="1" x14ac:dyDescent="0.35">
      <c r="B6" s="175" t="str">
        <f>IF(C6&lt;&gt;" ",Med_disc!C12,"")</f>
        <v/>
      </c>
      <c r="C6" s="343" t="str">
        <f>IF(ber_Med_disc!C5&lt;&gt;"",IF(ber_Med_disc!C5&gt;1,TRIM(ber_Med_disc!C5)&amp;", "&amp;ber_Opm!C19&amp;" ("&amp;ber_Med_disc!L5&amp;" "&amp;ber_Med_disc!E5&amp;"/kg/dag)",TRIM(ber_Med_disc!C5)&amp;", "&amp;ber_Opm!C19),"")</f>
        <v/>
      </c>
      <c r="D6" s="344" t="str">
        <f>IF(Med_disc!H12&lt;&gt;"",Med_disc!H12,"")</f>
        <v/>
      </c>
      <c r="E6" s="345" t="str">
        <f>IF(AND(D6&lt;&gt;"",D6&lt;&gt;"STOP"),ber_Med_disc!G5&amp;" "&amp;ber_Med_disc!E5,"")</f>
        <v/>
      </c>
      <c r="F6" s="345" t="str">
        <f>IF(AND(D6&lt;&gt;"",D6&lt;&gt;"STOP"),ber_Med_disc!K5," ")</f>
        <v xml:space="preserve"> </v>
      </c>
      <c r="G6" s="345" t="str">
        <f>IF(Med_disc!L12&lt;&gt;"",Med_disc!L12&amp;" "&amp;Med_disc!M12&amp;" "&amp;INDEX(ber_Med_disc!$B$27:$B$30,ber_Med_disc!N5,1)&amp;" in "&amp;Med_disc!$O$12,"")</f>
        <v/>
      </c>
      <c r="H6" s="174" t="str">
        <f>IF(OR($D6="1 dd",$D6="2 dd",$D6="3 dd",$D6="4 dd",$D6="6 dd",$D6="8 dd",$D6="12 dd",$D6="an",$D6="1 X"),VLOOKUP($D6,ber_tijden!$A$16:$X$25,ber_tijden!B$14,FALSE),"")</f>
        <v/>
      </c>
      <c r="I6" s="17" t="str">
        <f>IF(OR($D6="1 dd",$D6="2 dd",$D6="3 dd",$D6="4 dd",$D6="6 dd",$D6="8 dd",$D6="12 dd",$D6="an",$D6="1 X"),VLOOKUP($D6,ber_tijden!$A$16:$X$25,ber_tijden!C$14,FALSE),"")</f>
        <v/>
      </c>
      <c r="J6" s="174" t="str">
        <f>IF(OR($D6="1 dd",$D6="2 dd",$D6="3 dd",$D6="4 dd",$D6="6 dd",$D6="8 dd",$D6="12 dd",$D6="an",$D6="1 X"),VLOOKUP($D6,ber_tijden!$A$16:$X$25,ber_tijden!D$14,FALSE),"")</f>
        <v/>
      </c>
      <c r="K6" s="17" t="str">
        <f>IF(OR($D6="1 dd",$D6="2 dd",$D6="3 dd",$D6="4 dd",$D6="6 dd",$D6="8 dd",$D6="12 dd",$D6="an",$D6="1 X"),VLOOKUP($D6,ber_tijden!$A$16:$X$25,ber_tijden!E$14,FALSE),"")</f>
        <v/>
      </c>
      <c r="L6" s="174" t="str">
        <f>IF(OR($D6="1 dd",$D6="2 dd",$D6="3 dd",$D6="4 dd",$D6="6 dd",$D6="8 dd",$D6="12 dd",$D6="an",$D6="1 X"),VLOOKUP($D6,ber_tijden!$A$16:$X$25,ber_tijden!F$14,FALSE),"")</f>
        <v/>
      </c>
      <c r="M6" s="17" t="str">
        <f>IF(OR($D6="1 dd",$D6="2 dd",$D6="3 dd",$D6="4 dd",$D6="6 dd",$D6="8 dd",$D6="12 dd",$D6="an",$D6="1 X"),VLOOKUP($D6,ber_tijden!$A$16:$X$25,ber_tijden!G$14,FALSE),"")</f>
        <v/>
      </c>
      <c r="N6" s="174" t="str">
        <f>IF(OR($D6="1 dd",$D6="2 dd",$D6="3 dd",$D6="4 dd",$D6="6 dd",$D6="8 dd",$D6="12 dd",$D6="an",$D6="1 X"),VLOOKUP($D6,ber_tijden!$A$16:$X$25,ber_tijden!H$14,FALSE),"")</f>
        <v/>
      </c>
      <c r="O6" s="17" t="str">
        <f>IF(OR($D6="1 dd",$D6="2 dd",$D6="3 dd",$D6="4 dd",$D6="6 dd",$D6="8 dd",$D6="12 dd",$D6="an",$D6="1 X"),VLOOKUP($D6,ber_tijden!$A$16:$X$25,ber_tijden!I$14,FALSE),"")</f>
        <v/>
      </c>
      <c r="P6" s="174" t="str">
        <f>IF(OR($D6="1 dd",$D6="2 dd",$D6="3 dd",$D6="4 dd",$D6="6 dd",$D6="8 dd",$D6="12 dd",$D6="an",$D6="1 X"),VLOOKUP($D6,ber_tijden!$A$16:$X$25,ber_tijden!J$14,FALSE),"")</f>
        <v/>
      </c>
      <c r="Q6" s="17" t="str">
        <f>IF(OR($D6="1 dd",$D6="2 dd",$D6="3 dd",$D6="4 dd",$D6="6 dd",$D6="8 dd",$D6="12 dd",$D6="an",$D6="1 X"),VLOOKUP($D6,ber_tijden!$A$16:$X$25,ber_tijden!K$14,FALSE),"")</f>
        <v/>
      </c>
      <c r="R6" s="174" t="str">
        <f>IF(OR($D6="1 dd",$D6="2 dd",$D6="3 dd",$D6="4 dd",$D6="6 dd",$D6="8 dd",$D6="12 dd",$D6="an",$D6="1 X"),VLOOKUP($D6,ber_tijden!$A$16:$X$25,ber_tijden!L$14,FALSE),"")</f>
        <v/>
      </c>
      <c r="S6" s="17" t="str">
        <f>IF(OR($D6="1 dd",$D6="2 dd",$D6="3 dd",$D6="4 dd",$D6="6 dd",$D6="8 dd",$D6="12 dd",$D6="an",$D6="1 X"),VLOOKUP($D6,ber_tijden!$A$16:$X$25,ber_tijden!M$14,FALSE),"")</f>
        <v/>
      </c>
      <c r="T6" s="174" t="str">
        <f>IF(OR($D6="1 dd",$D6="2 dd",$D6="3 dd",$D6="4 dd",$D6="6 dd",$D6="8 dd",$D6="12 dd",$D6="an",$D6="1 X"),VLOOKUP($D6,ber_tijden!$A$16:$X$25,ber_tijden!N$14,FALSE),"")</f>
        <v/>
      </c>
      <c r="U6" s="17" t="str">
        <f>IF(OR($D6="1 dd",$D6="2 dd",$D6="3 dd",$D6="4 dd",$D6="6 dd",$D6="8 dd",$D6="12 dd",$D6="an",$D6="1 X"),VLOOKUP($D6,ber_tijden!$A$16:$X$25,ber_tijden!O$14,FALSE),"")</f>
        <v/>
      </c>
      <c r="V6" s="174" t="str">
        <f>IF(OR($D6="1 dd",$D6="2 dd",$D6="3 dd",$D6="4 dd",$D6="6 dd",$D6="8 dd",$D6="12 dd",$D6="an",$D6="1 X"),VLOOKUP($D6,ber_tijden!$A$16:$X$25,ber_tijden!P$14,FALSE),"")</f>
        <v/>
      </c>
      <c r="W6" s="17" t="str">
        <f>IF(OR($D6="1 dd",$D6="2 dd",$D6="3 dd",$D6="4 dd",$D6="6 dd",$D6="8 dd",$D6="12 dd",$D6="an",$D6="1 X"),VLOOKUP($D6,ber_tijden!$A$16:$X$25,ber_tijden!Q$14,FALSE),"")</f>
        <v/>
      </c>
      <c r="X6" s="174" t="str">
        <f>IF(OR($D6="1 dd",$D6="2 dd",$D6="3 dd",$D6="4 dd",$D6="6 dd",$D6="8 dd",$D6="12 dd",$D6="an",$D6="1 X"),VLOOKUP($D6,ber_tijden!$A$16:$X$25,ber_tijden!R$14,FALSE),"")</f>
        <v/>
      </c>
      <c r="Y6" s="17" t="str">
        <f>IF(OR($D6="1 dd",$D6="2 dd",$D6="3 dd",$D6="4 dd",$D6="6 dd",$D6="8 dd",$D6="12 dd",$D6="an",$D6="1 X"),VLOOKUP($D6,ber_tijden!$A$16:$X$25,ber_tijden!S$14,FALSE),"")</f>
        <v/>
      </c>
      <c r="Z6" s="174" t="str">
        <f>IF(OR($D6="1 dd",$D6="2 dd",$D6="3 dd",$D6="4 dd",$D6="6 dd",$D6="8 dd",$D6="12 dd",$D6="an",$D6="1 X"),VLOOKUP($D6,ber_tijden!$A$16:$X$25,ber_tijden!T$14,FALSE),"")</f>
        <v/>
      </c>
      <c r="AA6" s="17" t="str">
        <f>IF(OR($D6="1 dd",$D6="2 dd",$D6="3 dd",$D6="4 dd",$D6="6 dd",$D6="8 dd",$D6="12 dd",$D6="an",$D6="1 X"),VLOOKUP($D6,ber_tijden!$A$16:$X$25,ber_tijden!U$14,FALSE),"")</f>
        <v/>
      </c>
      <c r="AB6" s="174" t="str">
        <f>IF(OR($D6="1 dd",$D6="2 dd",$D6="3 dd",$D6="4 dd",$D6="6 dd",$D6="8 dd",$D6="12 dd",$D6="an",$D6="1 X"),VLOOKUP($D6,ber_tijden!$A$16:$X$25,ber_tijden!V$14,FALSE),"")</f>
        <v/>
      </c>
      <c r="AC6" s="17" t="str">
        <f>IF(OR($D6="1 dd",$D6="2 dd",$D6="3 dd",$D6="4 dd",$D6="6 dd",$D6="8 dd",$D6="12 dd",$D6="an",$D6="1 X"),VLOOKUP($D6,ber_tijden!$A$16:$X$25,ber_tijden!W$14,FALSE),"")</f>
        <v/>
      </c>
      <c r="AD6" s="174" t="str">
        <f>IF(OR($D6="1 dd",$D6="2 dd",$D6="3 dd",$D6="4 dd",$D6="6 dd",$D6="8 dd",$D6="12 dd",$D6="an",$D6="1 X"),VLOOKUP($D6,ber_tijden!$A$16:$X$25,ber_tijden!X$14,FALSE),"")</f>
        <v/>
      </c>
      <c r="AE6" s="19"/>
      <c r="AF6" s="173"/>
      <c r="AG6" s="19"/>
    </row>
    <row r="7" spans="2:33" ht="26.1" customHeight="1" x14ac:dyDescent="0.35">
      <c r="B7" s="175" t="str">
        <f>IF(C7&lt;&gt;" ",Med_disc!C14,"")</f>
        <v/>
      </c>
      <c r="C7" s="343" t="str">
        <f>IF(ber_Med_disc!C6&lt;&gt;"",IF(ber_Med_disc!C6&gt;1,TRIM(ber_Med_disc!C6)&amp;", "&amp;ber_Opm!C20&amp;" ("&amp;ber_Med_disc!L6&amp;" "&amp;ber_Med_disc!E6&amp;"/kg/dag)",TRIM(ber_Med_disc!C6)&amp;", "&amp;ber_Opm!C20),"")</f>
        <v/>
      </c>
      <c r="D7" s="344" t="str">
        <f>IF(Med_disc!H14&lt;&gt;"",Med_disc!H14,"")</f>
        <v/>
      </c>
      <c r="E7" s="345" t="str">
        <f>IF(AND(D7&lt;&gt;"",D7&lt;&gt;"STOP"),ber_Med_disc!G6&amp;" "&amp;ber_Med_disc!E6,"")</f>
        <v/>
      </c>
      <c r="F7" s="345" t="str">
        <f>IF(AND(D7&lt;&gt;"",D7&lt;&gt;"STOP"),ber_Med_disc!K6," ")</f>
        <v xml:space="preserve"> </v>
      </c>
      <c r="G7" s="345" t="str">
        <f>IF(Med_disc!L14&lt;&gt;"",Med_disc!L14&amp;" "&amp;Med_disc!M14&amp;" "&amp;INDEX(ber_Med_disc!$B$27:$B$30,ber_Med_disc!N6,1)&amp;" in "&amp;Med_disc!$O$14,"")</f>
        <v/>
      </c>
      <c r="H7" s="174" t="str">
        <f>IF(OR($D7="1 dd",$D7="2 dd",$D7="3 dd",$D7="4 dd",$D7="6 dd",$D7="8 dd",$D7="12 dd",$D7="an",$D7="1 X"),VLOOKUP($D7,ber_tijden!$A$16:$X$25,ber_tijden!B$14,FALSE),"")</f>
        <v/>
      </c>
      <c r="I7" s="17" t="str">
        <f>IF(OR($D7="1 dd",$D7="2 dd",$D7="3 dd",$D7="4 dd",$D7="6 dd",$D7="8 dd",$D7="12 dd",$D7="an",$D7="1 X"),VLOOKUP($D7,ber_tijden!$A$16:$X$25,ber_tijden!C$14,FALSE),"")</f>
        <v/>
      </c>
      <c r="J7" s="174" t="str">
        <f>IF(OR($D7="1 dd",$D7="2 dd",$D7="3 dd",$D7="4 dd",$D7="6 dd",$D7="8 dd",$D7="12 dd",$D7="an",$D7="1 X"),VLOOKUP($D7,ber_tijden!$A$16:$X$25,ber_tijden!D$14,FALSE),"")</f>
        <v/>
      </c>
      <c r="K7" s="17" t="str">
        <f>IF(OR($D7="1 dd",$D7="2 dd",$D7="3 dd",$D7="4 dd",$D7="6 dd",$D7="8 dd",$D7="12 dd",$D7="an",$D7="1 X"),VLOOKUP($D7,ber_tijden!$A$16:$X$25,ber_tijden!E$14,FALSE),"")</f>
        <v/>
      </c>
      <c r="L7" s="174" t="str">
        <f>IF(OR($D7="1 dd",$D7="2 dd",$D7="3 dd",$D7="4 dd",$D7="6 dd",$D7="8 dd",$D7="12 dd",$D7="an",$D7="1 X"),VLOOKUP($D7,ber_tijden!$A$16:$X$25,ber_tijden!F$14,FALSE),"")</f>
        <v/>
      </c>
      <c r="M7" s="17" t="str">
        <f>IF(OR($D7="1 dd",$D7="2 dd",$D7="3 dd",$D7="4 dd",$D7="6 dd",$D7="8 dd",$D7="12 dd",$D7="an",$D7="1 X"),VLOOKUP($D7,ber_tijden!$A$16:$X$25,ber_tijden!G$14,FALSE),"")</f>
        <v/>
      </c>
      <c r="N7" s="174" t="str">
        <f>IF(OR($D7="1 dd",$D7="2 dd",$D7="3 dd",$D7="4 dd",$D7="6 dd",$D7="8 dd",$D7="12 dd",$D7="an",$D7="1 X"),VLOOKUP($D7,ber_tijden!$A$16:$X$25,ber_tijden!H$14,FALSE),"")</f>
        <v/>
      </c>
      <c r="O7" s="17" t="str">
        <f>IF(OR($D7="1 dd",$D7="2 dd",$D7="3 dd",$D7="4 dd",$D7="6 dd",$D7="8 dd",$D7="12 dd",$D7="an",$D7="1 X"),VLOOKUP($D7,ber_tijden!$A$16:$X$25,ber_tijden!I$14,FALSE),"")</f>
        <v/>
      </c>
      <c r="P7" s="174" t="str">
        <f>IF(OR($D7="1 dd",$D7="2 dd",$D7="3 dd",$D7="4 dd",$D7="6 dd",$D7="8 dd",$D7="12 dd",$D7="an",$D7="1 X"),VLOOKUP($D7,ber_tijden!$A$16:$X$25,ber_tijden!J$14,FALSE),"")</f>
        <v/>
      </c>
      <c r="Q7" s="17" t="str">
        <f>IF(OR($D7="1 dd",$D7="2 dd",$D7="3 dd",$D7="4 dd",$D7="6 dd",$D7="8 dd",$D7="12 dd",$D7="an",$D7="1 X"),VLOOKUP($D7,ber_tijden!$A$16:$X$25,ber_tijden!K$14,FALSE),"")</f>
        <v/>
      </c>
      <c r="R7" s="174" t="str">
        <f>IF(OR($D7="1 dd",$D7="2 dd",$D7="3 dd",$D7="4 dd",$D7="6 dd",$D7="8 dd",$D7="12 dd",$D7="an",$D7="1 X"),VLOOKUP($D7,ber_tijden!$A$16:$X$25,ber_tijden!L$14,FALSE),"")</f>
        <v/>
      </c>
      <c r="S7" s="17" t="str">
        <f>IF(OR($D7="1 dd",$D7="2 dd",$D7="3 dd",$D7="4 dd",$D7="6 dd",$D7="8 dd",$D7="12 dd",$D7="an",$D7="1 X"),VLOOKUP($D7,ber_tijden!$A$16:$X$25,ber_tijden!M$14,FALSE),"")</f>
        <v/>
      </c>
      <c r="T7" s="174" t="str">
        <f>IF(OR($D7="1 dd",$D7="2 dd",$D7="3 dd",$D7="4 dd",$D7="6 dd",$D7="8 dd",$D7="12 dd",$D7="an",$D7="1 X"),VLOOKUP($D7,ber_tijden!$A$16:$X$25,ber_tijden!N$14,FALSE),"")</f>
        <v/>
      </c>
      <c r="U7" s="17" t="str">
        <f>IF(OR($D7="1 dd",$D7="2 dd",$D7="3 dd",$D7="4 dd",$D7="6 dd",$D7="8 dd",$D7="12 dd",$D7="an",$D7="1 X"),VLOOKUP($D7,ber_tijden!$A$16:$X$25,ber_tijden!O$14,FALSE),"")</f>
        <v/>
      </c>
      <c r="V7" s="174" t="str">
        <f>IF(OR($D7="1 dd",$D7="2 dd",$D7="3 dd",$D7="4 dd",$D7="6 dd",$D7="8 dd",$D7="12 dd",$D7="an",$D7="1 X"),VLOOKUP($D7,ber_tijden!$A$16:$X$25,ber_tijden!P$14,FALSE),"")</f>
        <v/>
      </c>
      <c r="W7" s="17" t="str">
        <f>IF(OR($D7="1 dd",$D7="2 dd",$D7="3 dd",$D7="4 dd",$D7="6 dd",$D7="8 dd",$D7="12 dd",$D7="an",$D7="1 X"),VLOOKUP($D7,ber_tijden!$A$16:$X$25,ber_tijden!Q$14,FALSE),"")</f>
        <v/>
      </c>
      <c r="X7" s="174" t="str">
        <f>IF(OR($D7="1 dd",$D7="2 dd",$D7="3 dd",$D7="4 dd",$D7="6 dd",$D7="8 dd",$D7="12 dd",$D7="an",$D7="1 X"),VLOOKUP($D7,ber_tijden!$A$16:$X$25,ber_tijden!R$14,FALSE),"")</f>
        <v/>
      </c>
      <c r="Y7" s="17" t="str">
        <f>IF(OR($D7="1 dd",$D7="2 dd",$D7="3 dd",$D7="4 dd",$D7="6 dd",$D7="8 dd",$D7="12 dd",$D7="an",$D7="1 X"),VLOOKUP($D7,ber_tijden!$A$16:$X$25,ber_tijden!S$14,FALSE),"")</f>
        <v/>
      </c>
      <c r="Z7" s="174" t="str">
        <f>IF(OR($D7="1 dd",$D7="2 dd",$D7="3 dd",$D7="4 dd",$D7="6 dd",$D7="8 dd",$D7="12 dd",$D7="an",$D7="1 X"),VLOOKUP($D7,ber_tijden!$A$16:$X$25,ber_tijden!T$14,FALSE),"")</f>
        <v/>
      </c>
      <c r="AA7" s="17" t="str">
        <f>IF(OR($D7="1 dd",$D7="2 dd",$D7="3 dd",$D7="4 dd",$D7="6 dd",$D7="8 dd",$D7="12 dd",$D7="an",$D7="1 X"),VLOOKUP($D7,ber_tijden!$A$16:$X$25,ber_tijden!U$14,FALSE),"")</f>
        <v/>
      </c>
      <c r="AB7" s="174" t="str">
        <f>IF(OR($D7="1 dd",$D7="2 dd",$D7="3 dd",$D7="4 dd",$D7="6 dd",$D7="8 dd",$D7="12 dd",$D7="an",$D7="1 X"),VLOOKUP($D7,ber_tijden!$A$16:$X$25,ber_tijden!V$14,FALSE),"")</f>
        <v/>
      </c>
      <c r="AC7" s="17" t="str">
        <f>IF(OR($D7="1 dd",$D7="2 dd",$D7="3 dd",$D7="4 dd",$D7="6 dd",$D7="8 dd",$D7="12 dd",$D7="an",$D7="1 X"),VLOOKUP($D7,ber_tijden!$A$16:$X$25,ber_tijden!W$14,FALSE),"")</f>
        <v/>
      </c>
      <c r="AD7" s="174" t="str">
        <f>IF(OR($D7="1 dd",$D7="2 dd",$D7="3 dd",$D7="4 dd",$D7="6 dd",$D7="8 dd",$D7="12 dd",$D7="an",$D7="1 X"),VLOOKUP($D7,ber_tijden!$A$16:$X$25,ber_tijden!X$14,FALSE),"")</f>
        <v/>
      </c>
      <c r="AE7" s="19"/>
      <c r="AF7" s="173"/>
      <c r="AG7" s="19"/>
    </row>
    <row r="8" spans="2:33" ht="26.1" customHeight="1" x14ac:dyDescent="0.35">
      <c r="B8" s="175" t="str">
        <f>IF(C8&lt;&gt;" ",Med_disc!C16,"")</f>
        <v/>
      </c>
      <c r="C8" s="343" t="str">
        <f>IF(ber_Med_disc!C7&lt;&gt;"",IF(ber_Med_disc!C7&gt;1,TRIM(ber_Med_disc!C7)&amp;", "&amp;ber_Opm!C21&amp;" ("&amp;ber_Med_disc!L7&amp;" "&amp;ber_Med_disc!E7&amp;"/kg/dag)",TRIM(ber_Med_disc!C7)&amp;", "&amp;ber_Opm!C21),"")</f>
        <v/>
      </c>
      <c r="D8" s="344" t="str">
        <f>IF(Med_disc!H16&lt;&gt;"",Med_disc!H16,"")</f>
        <v/>
      </c>
      <c r="E8" s="345" t="str">
        <f>IF(AND(D8&lt;&gt;"",D8&lt;&gt;"STOP"),ber_Med_disc!G7&amp;" "&amp;ber_Med_disc!E7,"")</f>
        <v/>
      </c>
      <c r="F8" s="345" t="str">
        <f>IF(AND(D8&lt;&gt;"",D8&lt;&gt;"STOP"),ber_Med_disc!K7," ")</f>
        <v xml:space="preserve"> </v>
      </c>
      <c r="G8" s="345" t="str">
        <f>IF(Med_disc!L16&lt;&gt;"",Med_disc!L16&amp;" "&amp;Med_disc!M16&amp;" "&amp;INDEX(ber_Med_disc!$B$27:$B$30,ber_Med_disc!N7,1)&amp;" in "&amp;Med_disc!$O$16,"")</f>
        <v/>
      </c>
      <c r="H8" s="174" t="str">
        <f>IF(OR($D8="1 dd",$D8="2 dd",$D8="3 dd",$D8="4 dd",$D8="6 dd",$D8="8 dd",$D8="12 dd",$D8="an",$D8="1 X"),VLOOKUP($D8,ber_tijden!$A$16:$X$25,ber_tijden!B$14,FALSE),"")</f>
        <v/>
      </c>
      <c r="I8" s="17" t="str">
        <f>IF(OR($D8="1 dd",$D8="2 dd",$D8="3 dd",$D8="4 dd",$D8="6 dd",$D8="8 dd",$D8="12 dd",$D8="an",$D8="1 X"),VLOOKUP($D8,ber_tijden!$A$16:$X$25,ber_tijden!C$14,FALSE),"")</f>
        <v/>
      </c>
      <c r="J8" s="174" t="str">
        <f>IF(OR($D8="1 dd",$D8="2 dd",$D8="3 dd",$D8="4 dd",$D8="6 dd",$D8="8 dd",$D8="12 dd",$D8="an",$D8="1 X"),VLOOKUP($D8,ber_tijden!$A$16:$X$25,ber_tijden!D$14,FALSE),"")</f>
        <v/>
      </c>
      <c r="K8" s="17" t="str">
        <f>IF(OR($D8="1 dd",$D8="2 dd",$D8="3 dd",$D8="4 dd",$D8="6 dd",$D8="8 dd",$D8="12 dd",$D8="an",$D8="1 X"),VLOOKUP($D8,ber_tijden!$A$16:$X$25,ber_tijden!E$14,FALSE),"")</f>
        <v/>
      </c>
      <c r="L8" s="174" t="str">
        <f>IF(OR($D8="1 dd",$D8="2 dd",$D8="3 dd",$D8="4 dd",$D8="6 dd",$D8="8 dd",$D8="12 dd",$D8="an",$D8="1 X"),VLOOKUP($D8,ber_tijden!$A$16:$X$25,ber_tijden!F$14,FALSE),"")</f>
        <v/>
      </c>
      <c r="M8" s="17" t="str">
        <f>IF(OR($D8="1 dd",$D8="2 dd",$D8="3 dd",$D8="4 dd",$D8="6 dd",$D8="8 dd",$D8="12 dd",$D8="an",$D8="1 X"),VLOOKUP($D8,ber_tijden!$A$16:$X$25,ber_tijden!G$14,FALSE),"")</f>
        <v/>
      </c>
      <c r="N8" s="174" t="str">
        <f>IF(OR($D8="1 dd",$D8="2 dd",$D8="3 dd",$D8="4 dd",$D8="6 dd",$D8="8 dd",$D8="12 dd",$D8="an",$D8="1 X"),VLOOKUP($D8,ber_tijden!$A$16:$X$25,ber_tijden!H$14,FALSE),"")</f>
        <v/>
      </c>
      <c r="O8" s="17" t="str">
        <f>IF(OR($D8="1 dd",$D8="2 dd",$D8="3 dd",$D8="4 dd",$D8="6 dd",$D8="8 dd",$D8="12 dd",$D8="an",$D8="1 X"),VLOOKUP($D8,ber_tijden!$A$16:$X$25,ber_tijden!I$14,FALSE),"")</f>
        <v/>
      </c>
      <c r="P8" s="174" t="str">
        <f>IF(OR($D8="1 dd",$D8="2 dd",$D8="3 dd",$D8="4 dd",$D8="6 dd",$D8="8 dd",$D8="12 dd",$D8="an",$D8="1 X"),VLOOKUP($D8,ber_tijden!$A$16:$X$25,ber_tijden!J$14,FALSE),"")</f>
        <v/>
      </c>
      <c r="Q8" s="17" t="str">
        <f>IF(OR($D8="1 dd",$D8="2 dd",$D8="3 dd",$D8="4 dd",$D8="6 dd",$D8="8 dd",$D8="12 dd",$D8="an",$D8="1 X"),VLOOKUP($D8,ber_tijden!$A$16:$X$25,ber_tijden!K$14,FALSE),"")</f>
        <v/>
      </c>
      <c r="R8" s="174" t="str">
        <f>IF(OR($D8="1 dd",$D8="2 dd",$D8="3 dd",$D8="4 dd",$D8="6 dd",$D8="8 dd",$D8="12 dd",$D8="an",$D8="1 X"),VLOOKUP($D8,ber_tijden!$A$16:$X$25,ber_tijden!L$14,FALSE),"")</f>
        <v/>
      </c>
      <c r="S8" s="17" t="str">
        <f>IF(OR($D8="1 dd",$D8="2 dd",$D8="3 dd",$D8="4 dd",$D8="6 dd",$D8="8 dd",$D8="12 dd",$D8="an",$D8="1 X"),VLOOKUP($D8,ber_tijden!$A$16:$X$25,ber_tijden!M$14,FALSE),"")</f>
        <v/>
      </c>
      <c r="T8" s="174" t="str">
        <f>IF(OR($D8="1 dd",$D8="2 dd",$D8="3 dd",$D8="4 dd",$D8="6 dd",$D8="8 dd",$D8="12 dd",$D8="an",$D8="1 X"),VLOOKUP($D8,ber_tijden!$A$16:$X$25,ber_tijden!N$14,FALSE),"")</f>
        <v/>
      </c>
      <c r="U8" s="17" t="str">
        <f>IF(OR($D8="1 dd",$D8="2 dd",$D8="3 dd",$D8="4 dd",$D8="6 dd",$D8="8 dd",$D8="12 dd",$D8="an",$D8="1 X"),VLOOKUP($D8,ber_tijden!$A$16:$X$25,ber_tijden!O$14,FALSE),"")</f>
        <v/>
      </c>
      <c r="V8" s="174" t="str">
        <f>IF(OR($D8="1 dd",$D8="2 dd",$D8="3 dd",$D8="4 dd",$D8="6 dd",$D8="8 dd",$D8="12 dd",$D8="an",$D8="1 X"),VLOOKUP($D8,ber_tijden!$A$16:$X$25,ber_tijden!P$14,FALSE),"")</f>
        <v/>
      </c>
      <c r="W8" s="17" t="str">
        <f>IF(OR($D8="1 dd",$D8="2 dd",$D8="3 dd",$D8="4 dd",$D8="6 dd",$D8="8 dd",$D8="12 dd",$D8="an",$D8="1 X"),VLOOKUP($D8,ber_tijden!$A$16:$X$25,ber_tijden!Q$14,FALSE),"")</f>
        <v/>
      </c>
      <c r="X8" s="174" t="str">
        <f>IF(OR($D8="1 dd",$D8="2 dd",$D8="3 dd",$D8="4 dd",$D8="6 dd",$D8="8 dd",$D8="12 dd",$D8="an",$D8="1 X"),VLOOKUP($D8,ber_tijden!$A$16:$X$25,ber_tijden!R$14,FALSE),"")</f>
        <v/>
      </c>
      <c r="Y8" s="17" t="str">
        <f>IF(OR($D8="1 dd",$D8="2 dd",$D8="3 dd",$D8="4 dd",$D8="6 dd",$D8="8 dd",$D8="12 dd",$D8="an",$D8="1 X"),VLOOKUP($D8,ber_tijden!$A$16:$X$25,ber_tijden!S$14,FALSE),"")</f>
        <v/>
      </c>
      <c r="Z8" s="174" t="str">
        <f>IF(OR($D8="1 dd",$D8="2 dd",$D8="3 dd",$D8="4 dd",$D8="6 dd",$D8="8 dd",$D8="12 dd",$D8="an",$D8="1 X"),VLOOKUP($D8,ber_tijden!$A$16:$X$25,ber_tijden!T$14,FALSE),"")</f>
        <v/>
      </c>
      <c r="AA8" s="17" t="str">
        <f>IF(OR($D8="1 dd",$D8="2 dd",$D8="3 dd",$D8="4 dd",$D8="6 dd",$D8="8 dd",$D8="12 dd",$D8="an",$D8="1 X"),VLOOKUP($D8,ber_tijden!$A$16:$X$25,ber_tijden!U$14,FALSE),"")</f>
        <v/>
      </c>
      <c r="AB8" s="174" t="str">
        <f>IF(OR($D8="1 dd",$D8="2 dd",$D8="3 dd",$D8="4 dd",$D8="6 dd",$D8="8 dd",$D8="12 dd",$D8="an",$D8="1 X"),VLOOKUP($D8,ber_tijden!$A$16:$X$25,ber_tijden!V$14,FALSE),"")</f>
        <v/>
      </c>
      <c r="AC8" s="17" t="str">
        <f>IF(OR($D8="1 dd",$D8="2 dd",$D8="3 dd",$D8="4 dd",$D8="6 dd",$D8="8 dd",$D8="12 dd",$D8="an",$D8="1 X"),VLOOKUP($D8,ber_tijden!$A$16:$X$25,ber_tijden!W$14,FALSE),"")</f>
        <v/>
      </c>
      <c r="AD8" s="174" t="str">
        <f>IF(OR($D8="1 dd",$D8="2 dd",$D8="3 dd",$D8="4 dd",$D8="6 dd",$D8="8 dd",$D8="12 dd",$D8="an",$D8="1 X"),VLOOKUP($D8,ber_tijden!$A$16:$X$25,ber_tijden!X$14,FALSE),"")</f>
        <v/>
      </c>
      <c r="AE8" s="19"/>
      <c r="AF8" s="173"/>
      <c r="AG8" s="19"/>
    </row>
    <row r="9" spans="2:33" ht="26.1" customHeight="1" x14ac:dyDescent="0.35">
      <c r="B9" s="175" t="str">
        <f>IF(C9&lt;&gt;" ",Med_disc!C18,"")</f>
        <v/>
      </c>
      <c r="C9" s="343" t="str">
        <f>IF(ber_Med_disc!C8&lt;&gt;"",IF(ber_Med_disc!C8&gt;1,TRIM(ber_Med_disc!C8)&amp;", "&amp;ber_Opm!C22&amp;" ("&amp;ber_Med_disc!L8&amp;" "&amp;ber_Med_disc!E8&amp;"/kg/dag)",TRIM(ber_Med_disc!C8)&amp;", "&amp;ber_Opm!C22),"")</f>
        <v/>
      </c>
      <c r="D9" s="344" t="str">
        <f>IF(Med_disc!H18&lt;&gt;"",Med_disc!H18,"")</f>
        <v/>
      </c>
      <c r="E9" s="345" t="str">
        <f>IF(AND(D9&lt;&gt;"",D9&lt;&gt;"STOP"),ber_Med_disc!G8&amp;" "&amp;ber_Med_disc!E8,"")</f>
        <v/>
      </c>
      <c r="F9" s="345" t="str">
        <f>IF(AND(D9&lt;&gt;"",D9&lt;&gt;"STOP"),ber_Med_disc!K8," ")</f>
        <v xml:space="preserve"> </v>
      </c>
      <c r="G9" s="345" t="str">
        <f>IF(Med_disc!L18&lt;&gt;"",Med_disc!L18&amp;" "&amp;Med_disc!M18&amp;" "&amp;INDEX(ber_Med_disc!$B$27:$B$30,ber_Med_disc!N8,1)&amp;" in "&amp;Med_disc!$O$18,"")</f>
        <v/>
      </c>
      <c r="H9" s="174" t="str">
        <f>IF(OR($D9="1 dd",$D9="2 dd",$D9="3 dd",$D9="4 dd",$D9="6 dd",$D9="8 dd",$D9="12 dd",$D9="an",$D9="1 X"),VLOOKUP($D9,ber_tijden!$A$16:$X$25,ber_tijden!B$14,FALSE),"")</f>
        <v/>
      </c>
      <c r="I9" s="17" t="str">
        <f>IF(OR($D9="1 dd",$D9="2 dd",$D9="3 dd",$D9="4 dd",$D9="6 dd",$D9="8 dd",$D9="12 dd",$D9="an",$D9="1 X"),VLOOKUP($D9,ber_tijden!$A$16:$X$25,ber_tijden!C$14,FALSE),"")</f>
        <v/>
      </c>
      <c r="J9" s="174" t="str">
        <f>IF(OR($D9="1 dd",$D9="2 dd",$D9="3 dd",$D9="4 dd",$D9="6 dd",$D9="8 dd",$D9="12 dd",$D9="an",$D9="1 X"),VLOOKUP($D9,ber_tijden!$A$16:$X$25,ber_tijden!D$14,FALSE),"")</f>
        <v/>
      </c>
      <c r="K9" s="17" t="str">
        <f>IF(OR($D9="1 dd",$D9="2 dd",$D9="3 dd",$D9="4 dd",$D9="6 dd",$D9="8 dd",$D9="12 dd",$D9="an",$D9="1 X"),VLOOKUP($D9,ber_tijden!$A$16:$X$25,ber_tijden!E$14,FALSE),"")</f>
        <v/>
      </c>
      <c r="L9" s="174" t="str">
        <f>IF(OR($D9="1 dd",$D9="2 dd",$D9="3 dd",$D9="4 dd",$D9="6 dd",$D9="8 dd",$D9="12 dd",$D9="an",$D9="1 X"),VLOOKUP($D9,ber_tijden!$A$16:$X$25,ber_tijden!F$14,FALSE),"")</f>
        <v/>
      </c>
      <c r="M9" s="17" t="str">
        <f>IF(OR($D9="1 dd",$D9="2 dd",$D9="3 dd",$D9="4 dd",$D9="6 dd",$D9="8 dd",$D9="12 dd",$D9="an",$D9="1 X"),VLOOKUP($D9,ber_tijden!$A$16:$X$25,ber_tijden!G$14,FALSE),"")</f>
        <v/>
      </c>
      <c r="N9" s="174" t="str">
        <f>IF(OR($D9="1 dd",$D9="2 dd",$D9="3 dd",$D9="4 dd",$D9="6 dd",$D9="8 dd",$D9="12 dd",$D9="an",$D9="1 X"),VLOOKUP($D9,ber_tijden!$A$16:$X$25,ber_tijden!H$14,FALSE),"")</f>
        <v/>
      </c>
      <c r="O9" s="17" t="str">
        <f>IF(OR($D9="1 dd",$D9="2 dd",$D9="3 dd",$D9="4 dd",$D9="6 dd",$D9="8 dd",$D9="12 dd",$D9="an",$D9="1 X"),VLOOKUP($D9,ber_tijden!$A$16:$X$25,ber_tijden!I$14,FALSE),"")</f>
        <v/>
      </c>
      <c r="P9" s="174" t="str">
        <f>IF(OR($D9="1 dd",$D9="2 dd",$D9="3 dd",$D9="4 dd",$D9="6 dd",$D9="8 dd",$D9="12 dd",$D9="an",$D9="1 X"),VLOOKUP($D9,ber_tijden!$A$16:$X$25,ber_tijden!J$14,FALSE),"")</f>
        <v/>
      </c>
      <c r="Q9" s="17" t="str">
        <f>IF(OR($D9="1 dd",$D9="2 dd",$D9="3 dd",$D9="4 dd",$D9="6 dd",$D9="8 dd",$D9="12 dd",$D9="an",$D9="1 X"),VLOOKUP($D9,ber_tijden!$A$16:$X$25,ber_tijden!K$14,FALSE),"")</f>
        <v/>
      </c>
      <c r="R9" s="174" t="str">
        <f>IF(OR($D9="1 dd",$D9="2 dd",$D9="3 dd",$D9="4 dd",$D9="6 dd",$D9="8 dd",$D9="12 dd",$D9="an",$D9="1 X"),VLOOKUP($D9,ber_tijden!$A$16:$X$25,ber_tijden!L$14,FALSE),"")</f>
        <v/>
      </c>
      <c r="S9" s="17" t="str">
        <f>IF(OR($D9="1 dd",$D9="2 dd",$D9="3 dd",$D9="4 dd",$D9="6 dd",$D9="8 dd",$D9="12 dd",$D9="an",$D9="1 X"),VLOOKUP($D9,ber_tijden!$A$16:$X$25,ber_tijden!M$14,FALSE),"")</f>
        <v/>
      </c>
      <c r="T9" s="174" t="str">
        <f>IF(OR($D9="1 dd",$D9="2 dd",$D9="3 dd",$D9="4 dd",$D9="6 dd",$D9="8 dd",$D9="12 dd",$D9="an",$D9="1 X"),VLOOKUP($D9,ber_tijden!$A$16:$X$25,ber_tijden!N$14,FALSE),"")</f>
        <v/>
      </c>
      <c r="U9" s="17" t="str">
        <f>IF(OR($D9="1 dd",$D9="2 dd",$D9="3 dd",$D9="4 dd",$D9="6 dd",$D9="8 dd",$D9="12 dd",$D9="an",$D9="1 X"),VLOOKUP($D9,ber_tijden!$A$16:$X$25,ber_tijden!O$14,FALSE),"")</f>
        <v/>
      </c>
      <c r="V9" s="174" t="str">
        <f>IF(OR($D9="1 dd",$D9="2 dd",$D9="3 dd",$D9="4 dd",$D9="6 dd",$D9="8 dd",$D9="12 dd",$D9="an",$D9="1 X"),VLOOKUP($D9,ber_tijden!$A$16:$X$25,ber_tijden!P$14,FALSE),"")</f>
        <v/>
      </c>
      <c r="W9" s="17" t="str">
        <f>IF(OR($D9="1 dd",$D9="2 dd",$D9="3 dd",$D9="4 dd",$D9="6 dd",$D9="8 dd",$D9="12 dd",$D9="an",$D9="1 X"),VLOOKUP($D9,ber_tijden!$A$16:$X$25,ber_tijden!Q$14,FALSE),"")</f>
        <v/>
      </c>
      <c r="X9" s="174" t="str">
        <f>IF(OR($D9="1 dd",$D9="2 dd",$D9="3 dd",$D9="4 dd",$D9="6 dd",$D9="8 dd",$D9="12 dd",$D9="an",$D9="1 X"),VLOOKUP($D9,ber_tijden!$A$16:$X$25,ber_tijden!R$14,FALSE),"")</f>
        <v/>
      </c>
      <c r="Y9" s="17" t="str">
        <f>IF(OR($D9="1 dd",$D9="2 dd",$D9="3 dd",$D9="4 dd",$D9="6 dd",$D9="8 dd",$D9="12 dd",$D9="an",$D9="1 X"),VLOOKUP($D9,ber_tijden!$A$16:$X$25,ber_tijden!S$14,FALSE),"")</f>
        <v/>
      </c>
      <c r="Z9" s="174" t="str">
        <f>IF(OR($D9="1 dd",$D9="2 dd",$D9="3 dd",$D9="4 dd",$D9="6 dd",$D9="8 dd",$D9="12 dd",$D9="an",$D9="1 X"),VLOOKUP($D9,ber_tijden!$A$16:$X$25,ber_tijden!T$14,FALSE),"")</f>
        <v/>
      </c>
      <c r="AA9" s="17" t="str">
        <f>IF(OR($D9="1 dd",$D9="2 dd",$D9="3 dd",$D9="4 dd",$D9="6 dd",$D9="8 dd",$D9="12 dd",$D9="an",$D9="1 X"),VLOOKUP($D9,ber_tijden!$A$16:$X$25,ber_tijden!U$14,FALSE),"")</f>
        <v/>
      </c>
      <c r="AB9" s="174" t="str">
        <f>IF(OR($D9="1 dd",$D9="2 dd",$D9="3 dd",$D9="4 dd",$D9="6 dd",$D9="8 dd",$D9="12 dd",$D9="an",$D9="1 X"),VLOOKUP($D9,ber_tijden!$A$16:$X$25,ber_tijden!V$14,FALSE),"")</f>
        <v/>
      </c>
      <c r="AC9" s="17" t="str">
        <f>IF(OR($D9="1 dd",$D9="2 dd",$D9="3 dd",$D9="4 dd",$D9="6 dd",$D9="8 dd",$D9="12 dd",$D9="an",$D9="1 X"),VLOOKUP($D9,ber_tijden!$A$16:$X$25,ber_tijden!W$14,FALSE),"")</f>
        <v/>
      </c>
      <c r="AD9" s="174" t="str">
        <f>IF(OR($D9="1 dd",$D9="2 dd",$D9="3 dd",$D9="4 dd",$D9="6 dd",$D9="8 dd",$D9="12 dd",$D9="an",$D9="1 X"),VLOOKUP($D9,ber_tijden!$A$16:$X$25,ber_tijden!X$14,FALSE),"")</f>
        <v/>
      </c>
      <c r="AE9" s="19"/>
      <c r="AF9" s="173"/>
      <c r="AG9" s="19"/>
    </row>
    <row r="10" spans="2:33" ht="26.1" customHeight="1" x14ac:dyDescent="0.35">
      <c r="B10" s="175" t="str">
        <f>IF(C10&lt;&gt;" ",Med_disc!C20,"")</f>
        <v/>
      </c>
      <c r="C10" s="343" t="str">
        <f>IF(ber_Med_disc!C9&lt;&gt;"",IF(ber_Med_disc!C9&gt;1,TRIM(ber_Med_disc!C9)&amp;", "&amp;ber_Opm!C23&amp;" ("&amp;ber_Med_disc!L9&amp;" "&amp;ber_Med_disc!E9&amp;"/kg/dag)",TRIM(ber_Med_disc!C9)&amp;", "&amp;ber_Opm!C23),"")</f>
        <v/>
      </c>
      <c r="D10" s="344" t="str">
        <f>IF(Med_disc!H20&lt;&gt;"",Med_disc!H20,"")</f>
        <v/>
      </c>
      <c r="E10" s="345" t="str">
        <f>IF(AND(D10&lt;&gt;"",D10&lt;&gt;"STOP"),ber_Med_disc!G9&amp;" "&amp;ber_Med_disc!E9,"")</f>
        <v/>
      </c>
      <c r="F10" s="345" t="str">
        <f>IF(AND(D10&lt;&gt;"",D10&lt;&gt;"STOP"),ber_Med_disc!K9," ")</f>
        <v xml:space="preserve"> </v>
      </c>
      <c r="G10" s="345" t="str">
        <f>IF(Med_disc!L20&lt;&gt;"",Med_disc!L20&amp;" "&amp;Med_disc!M20&amp;" "&amp;INDEX(ber_Med_disc!$B$27:$B$30,ber_Med_disc!N9,1)&amp;" in "&amp;Med_disc!$O$20,"")</f>
        <v/>
      </c>
      <c r="H10" s="174" t="str">
        <f>IF(OR($D10="1 dd",$D10="2 dd",$D10="3 dd",$D10="4 dd",$D10="6 dd",$D10="8 dd",$D10="12 dd",$D10="an",$D10="1 X"),VLOOKUP($D10,ber_tijden!$A$16:$X$25,ber_tijden!B$14,FALSE),"")</f>
        <v/>
      </c>
      <c r="I10" s="17" t="str">
        <f>IF(OR($D10="1 dd",$D10="2 dd",$D10="3 dd",$D10="4 dd",$D10="6 dd",$D10="8 dd",$D10="12 dd",$D10="an",$D10="1 X"),VLOOKUP($D10,ber_tijden!$A$16:$X$25,ber_tijden!C$14,FALSE),"")</f>
        <v/>
      </c>
      <c r="J10" s="174" t="str">
        <f>IF(OR($D10="1 dd",$D10="2 dd",$D10="3 dd",$D10="4 dd",$D10="6 dd",$D10="8 dd",$D10="12 dd",$D10="an",$D10="1 X"),VLOOKUP($D10,ber_tijden!$A$16:$X$25,ber_tijden!D$14,FALSE),"")</f>
        <v/>
      </c>
      <c r="K10" s="17" t="str">
        <f>IF(OR($D10="1 dd",$D10="2 dd",$D10="3 dd",$D10="4 dd",$D10="6 dd",$D10="8 dd",$D10="12 dd",$D10="an",$D10="1 X"),VLOOKUP($D10,ber_tijden!$A$16:$X$25,ber_tijden!E$14,FALSE),"")</f>
        <v/>
      </c>
      <c r="L10" s="174" t="str">
        <f>IF(OR($D10="1 dd",$D10="2 dd",$D10="3 dd",$D10="4 dd",$D10="6 dd",$D10="8 dd",$D10="12 dd",$D10="an",$D10="1 X"),VLOOKUP($D10,ber_tijden!$A$16:$X$25,ber_tijden!F$14,FALSE),"")</f>
        <v/>
      </c>
      <c r="M10" s="17" t="str">
        <f>IF(OR($D10="1 dd",$D10="2 dd",$D10="3 dd",$D10="4 dd",$D10="6 dd",$D10="8 dd",$D10="12 dd",$D10="an",$D10="1 X"),VLOOKUP($D10,ber_tijden!$A$16:$X$25,ber_tijden!G$14,FALSE),"")</f>
        <v/>
      </c>
      <c r="N10" s="174" t="str">
        <f>IF(OR($D10="1 dd",$D10="2 dd",$D10="3 dd",$D10="4 dd",$D10="6 dd",$D10="8 dd",$D10="12 dd",$D10="an",$D10="1 X"),VLOOKUP($D10,ber_tijden!$A$16:$X$25,ber_tijden!H$14,FALSE),"")</f>
        <v/>
      </c>
      <c r="O10" s="17" t="str">
        <f>IF(OR($D10="1 dd",$D10="2 dd",$D10="3 dd",$D10="4 dd",$D10="6 dd",$D10="8 dd",$D10="12 dd",$D10="an",$D10="1 X"),VLOOKUP($D10,ber_tijden!$A$16:$X$25,ber_tijden!I$14,FALSE),"")</f>
        <v/>
      </c>
      <c r="P10" s="174" t="str">
        <f>IF(OR($D10="1 dd",$D10="2 dd",$D10="3 dd",$D10="4 dd",$D10="6 dd",$D10="8 dd",$D10="12 dd",$D10="an",$D10="1 X"),VLOOKUP($D10,ber_tijden!$A$16:$X$25,ber_tijden!J$14,FALSE),"")</f>
        <v/>
      </c>
      <c r="Q10" s="17" t="str">
        <f>IF(OR($D10="1 dd",$D10="2 dd",$D10="3 dd",$D10="4 dd",$D10="6 dd",$D10="8 dd",$D10="12 dd",$D10="an",$D10="1 X"),VLOOKUP($D10,ber_tijden!$A$16:$X$25,ber_tijden!K$14,FALSE),"")</f>
        <v/>
      </c>
      <c r="R10" s="174" t="str">
        <f>IF(OR($D10="1 dd",$D10="2 dd",$D10="3 dd",$D10="4 dd",$D10="6 dd",$D10="8 dd",$D10="12 dd",$D10="an",$D10="1 X"),VLOOKUP($D10,ber_tijden!$A$16:$X$25,ber_tijden!L$14,FALSE),"")</f>
        <v/>
      </c>
      <c r="S10" s="17" t="str">
        <f>IF(OR($D10="1 dd",$D10="2 dd",$D10="3 dd",$D10="4 dd",$D10="6 dd",$D10="8 dd",$D10="12 dd",$D10="an",$D10="1 X"),VLOOKUP($D10,ber_tijden!$A$16:$X$25,ber_tijden!M$14,FALSE),"")</f>
        <v/>
      </c>
      <c r="T10" s="174" t="str">
        <f>IF(OR($D10="1 dd",$D10="2 dd",$D10="3 dd",$D10="4 dd",$D10="6 dd",$D10="8 dd",$D10="12 dd",$D10="an",$D10="1 X"),VLOOKUP($D10,ber_tijden!$A$16:$X$25,ber_tijden!N$14,FALSE),"")</f>
        <v/>
      </c>
      <c r="U10" s="17" t="str">
        <f>IF(OR($D10="1 dd",$D10="2 dd",$D10="3 dd",$D10="4 dd",$D10="6 dd",$D10="8 dd",$D10="12 dd",$D10="an",$D10="1 X"),VLOOKUP($D10,ber_tijden!$A$16:$X$25,ber_tijden!O$14,FALSE),"")</f>
        <v/>
      </c>
      <c r="V10" s="174" t="str">
        <f>IF(OR($D10="1 dd",$D10="2 dd",$D10="3 dd",$D10="4 dd",$D10="6 dd",$D10="8 dd",$D10="12 dd",$D10="an",$D10="1 X"),VLOOKUP($D10,ber_tijden!$A$16:$X$25,ber_tijden!P$14,FALSE),"")</f>
        <v/>
      </c>
      <c r="W10" s="17" t="str">
        <f>IF(OR($D10="1 dd",$D10="2 dd",$D10="3 dd",$D10="4 dd",$D10="6 dd",$D10="8 dd",$D10="12 dd",$D10="an",$D10="1 X"),VLOOKUP($D10,ber_tijden!$A$16:$X$25,ber_tijden!Q$14,FALSE),"")</f>
        <v/>
      </c>
      <c r="X10" s="174" t="str">
        <f>IF(OR($D10="1 dd",$D10="2 dd",$D10="3 dd",$D10="4 dd",$D10="6 dd",$D10="8 dd",$D10="12 dd",$D10="an",$D10="1 X"),VLOOKUP($D10,ber_tijden!$A$16:$X$25,ber_tijden!R$14,FALSE),"")</f>
        <v/>
      </c>
      <c r="Y10" s="17" t="str">
        <f>IF(OR($D10="1 dd",$D10="2 dd",$D10="3 dd",$D10="4 dd",$D10="6 dd",$D10="8 dd",$D10="12 dd",$D10="an",$D10="1 X"),VLOOKUP($D10,ber_tijden!$A$16:$X$25,ber_tijden!S$14,FALSE),"")</f>
        <v/>
      </c>
      <c r="Z10" s="174" t="str">
        <f>IF(OR($D10="1 dd",$D10="2 dd",$D10="3 dd",$D10="4 dd",$D10="6 dd",$D10="8 dd",$D10="12 dd",$D10="an",$D10="1 X"),VLOOKUP($D10,ber_tijden!$A$16:$X$25,ber_tijden!T$14,FALSE),"")</f>
        <v/>
      </c>
      <c r="AA10" s="17" t="str">
        <f>IF(OR($D10="1 dd",$D10="2 dd",$D10="3 dd",$D10="4 dd",$D10="6 dd",$D10="8 dd",$D10="12 dd",$D10="an",$D10="1 X"),VLOOKUP($D10,ber_tijden!$A$16:$X$25,ber_tijden!U$14,FALSE),"")</f>
        <v/>
      </c>
      <c r="AB10" s="174" t="str">
        <f>IF(OR($D10="1 dd",$D10="2 dd",$D10="3 dd",$D10="4 dd",$D10="6 dd",$D10="8 dd",$D10="12 dd",$D10="an",$D10="1 X"),VLOOKUP($D10,ber_tijden!$A$16:$X$25,ber_tijden!V$14,FALSE),"")</f>
        <v/>
      </c>
      <c r="AC10" s="17" t="str">
        <f>IF(OR($D10="1 dd",$D10="2 dd",$D10="3 dd",$D10="4 dd",$D10="6 dd",$D10="8 dd",$D10="12 dd",$D10="an",$D10="1 X"),VLOOKUP($D10,ber_tijden!$A$16:$X$25,ber_tijden!W$14,FALSE),"")</f>
        <v/>
      </c>
      <c r="AD10" s="174" t="str">
        <f>IF(OR($D10="1 dd",$D10="2 dd",$D10="3 dd",$D10="4 dd",$D10="6 dd",$D10="8 dd",$D10="12 dd",$D10="an",$D10="1 X"),VLOOKUP($D10,ber_tijden!$A$16:$X$25,ber_tijden!X$14,FALSE),"")</f>
        <v/>
      </c>
      <c r="AE10" s="19"/>
      <c r="AF10" s="173"/>
      <c r="AG10" s="19"/>
    </row>
    <row r="11" spans="2:33" ht="26.1" customHeight="1" x14ac:dyDescent="0.35">
      <c r="B11" s="175" t="str">
        <f>IF(C11&lt;&gt;" ",Med_disc!C22,"")</f>
        <v/>
      </c>
      <c r="C11" s="343" t="str">
        <f>IF(ber_Med_disc!C10&lt;&gt;"",IF(ber_Med_disc!C10&gt;1,TRIM(ber_Med_disc!C10)&amp;", "&amp;ber_Opm!C24&amp;" ("&amp;ber_Med_disc!L10&amp;" "&amp;ber_Med_disc!E10&amp;"/kg/dag)",TRIM(ber_Med_disc!C10)&amp;", "&amp;ber_Opm!C24),"")</f>
        <v/>
      </c>
      <c r="D11" s="344" t="str">
        <f>IF(Med_disc!H22&lt;&gt;"",Med_disc!H22,"")</f>
        <v/>
      </c>
      <c r="E11" s="345" t="str">
        <f>IF(AND(D11&lt;&gt;"",D11&lt;&gt;"STOP"),ber_Med_disc!G10&amp;" "&amp;ber_Med_disc!E10,"")</f>
        <v/>
      </c>
      <c r="F11" s="345" t="str">
        <f>IF(AND(D11&lt;&gt;"",D11&lt;&gt;"STOP"),ber_Med_disc!K10," ")</f>
        <v xml:space="preserve"> </v>
      </c>
      <c r="G11" s="345" t="str">
        <f>IF(Med_disc!L22&lt;&gt;"",Med_disc!L22&amp;" "&amp;Med_disc!M22&amp;" "&amp;INDEX(ber_Med_disc!$B$27:$B$30,ber_Med_disc!N10,1)&amp;" in "&amp;Med_disc!$O$22,"")</f>
        <v/>
      </c>
      <c r="H11" s="174" t="str">
        <f>IF(OR($D11="1 dd",$D11="2 dd",$D11="3 dd",$D11="4 dd",$D11="6 dd",$D11="8 dd",$D11="12 dd",$D11="an",$D11="1 X"),VLOOKUP($D11,ber_tijden!$A$16:$X$25,ber_tijden!B$14,FALSE),"")</f>
        <v/>
      </c>
      <c r="I11" s="17" t="str">
        <f>IF(OR($D11="1 dd",$D11="2 dd",$D11="3 dd",$D11="4 dd",$D11="6 dd",$D11="8 dd",$D11="12 dd",$D11="an",$D11="1 X"),VLOOKUP($D11,ber_tijden!$A$16:$X$25,ber_tijden!C$14,FALSE),"")</f>
        <v/>
      </c>
      <c r="J11" s="174" t="str">
        <f>IF(OR($D11="1 dd",$D11="2 dd",$D11="3 dd",$D11="4 dd",$D11="6 dd",$D11="8 dd",$D11="12 dd",$D11="an",$D11="1 X"),VLOOKUP($D11,ber_tijden!$A$16:$X$25,ber_tijden!D$14,FALSE),"")</f>
        <v/>
      </c>
      <c r="K11" s="17" t="str">
        <f>IF(OR($D11="1 dd",$D11="2 dd",$D11="3 dd",$D11="4 dd",$D11="6 dd",$D11="8 dd",$D11="12 dd",$D11="an",$D11="1 X"),VLOOKUP($D11,ber_tijden!$A$16:$X$25,ber_tijden!E$14,FALSE),"")</f>
        <v/>
      </c>
      <c r="L11" s="174" t="str">
        <f>IF(OR($D11="1 dd",$D11="2 dd",$D11="3 dd",$D11="4 dd",$D11="6 dd",$D11="8 dd",$D11="12 dd",$D11="an",$D11="1 X"),VLOOKUP($D11,ber_tijden!$A$16:$X$25,ber_tijden!F$14,FALSE),"")</f>
        <v/>
      </c>
      <c r="M11" s="17" t="str">
        <f>IF(OR($D11="1 dd",$D11="2 dd",$D11="3 dd",$D11="4 dd",$D11="6 dd",$D11="8 dd",$D11="12 dd",$D11="an",$D11="1 X"),VLOOKUP($D11,ber_tijden!$A$16:$X$25,ber_tijden!G$14,FALSE),"")</f>
        <v/>
      </c>
      <c r="N11" s="174" t="str">
        <f>IF(OR($D11="1 dd",$D11="2 dd",$D11="3 dd",$D11="4 dd",$D11="6 dd",$D11="8 dd",$D11="12 dd",$D11="an",$D11="1 X"),VLOOKUP($D11,ber_tijden!$A$16:$X$25,ber_tijden!H$14,FALSE),"")</f>
        <v/>
      </c>
      <c r="O11" s="17" t="str">
        <f>IF(OR($D11="1 dd",$D11="2 dd",$D11="3 dd",$D11="4 dd",$D11="6 dd",$D11="8 dd",$D11="12 dd",$D11="an",$D11="1 X"),VLOOKUP($D11,ber_tijden!$A$16:$X$25,ber_tijden!I$14,FALSE),"")</f>
        <v/>
      </c>
      <c r="P11" s="174" t="str">
        <f>IF(OR($D11="1 dd",$D11="2 dd",$D11="3 dd",$D11="4 dd",$D11="6 dd",$D11="8 dd",$D11="12 dd",$D11="an",$D11="1 X"),VLOOKUP($D11,ber_tijden!$A$16:$X$25,ber_tijden!J$14,FALSE),"")</f>
        <v/>
      </c>
      <c r="Q11" s="17" t="str">
        <f>IF(OR($D11="1 dd",$D11="2 dd",$D11="3 dd",$D11="4 dd",$D11="6 dd",$D11="8 dd",$D11="12 dd",$D11="an",$D11="1 X"),VLOOKUP($D11,ber_tijden!$A$16:$X$25,ber_tijden!K$14,FALSE),"")</f>
        <v/>
      </c>
      <c r="R11" s="174" t="str">
        <f>IF(OR($D11="1 dd",$D11="2 dd",$D11="3 dd",$D11="4 dd",$D11="6 dd",$D11="8 dd",$D11="12 dd",$D11="an",$D11="1 X"),VLOOKUP($D11,ber_tijden!$A$16:$X$25,ber_tijden!L$14,FALSE),"")</f>
        <v/>
      </c>
      <c r="S11" s="17" t="str">
        <f>IF(OR($D11="1 dd",$D11="2 dd",$D11="3 dd",$D11="4 dd",$D11="6 dd",$D11="8 dd",$D11="12 dd",$D11="an",$D11="1 X"),VLOOKUP($D11,ber_tijden!$A$16:$X$25,ber_tijden!M$14,FALSE),"")</f>
        <v/>
      </c>
      <c r="T11" s="174" t="str">
        <f>IF(OR($D11="1 dd",$D11="2 dd",$D11="3 dd",$D11="4 dd",$D11="6 dd",$D11="8 dd",$D11="12 dd",$D11="an",$D11="1 X"),VLOOKUP($D11,ber_tijden!$A$16:$X$25,ber_tijden!N$14,FALSE),"")</f>
        <v/>
      </c>
      <c r="U11" s="17" t="str">
        <f>IF(OR($D11="1 dd",$D11="2 dd",$D11="3 dd",$D11="4 dd",$D11="6 dd",$D11="8 dd",$D11="12 dd",$D11="an",$D11="1 X"),VLOOKUP($D11,ber_tijden!$A$16:$X$25,ber_tijden!O$14,FALSE),"")</f>
        <v/>
      </c>
      <c r="V11" s="174" t="str">
        <f>IF(OR($D11="1 dd",$D11="2 dd",$D11="3 dd",$D11="4 dd",$D11="6 dd",$D11="8 dd",$D11="12 dd",$D11="an",$D11="1 X"),VLOOKUP($D11,ber_tijden!$A$16:$X$25,ber_tijden!P$14,FALSE),"")</f>
        <v/>
      </c>
      <c r="W11" s="17" t="str">
        <f>IF(OR($D11="1 dd",$D11="2 dd",$D11="3 dd",$D11="4 dd",$D11="6 dd",$D11="8 dd",$D11="12 dd",$D11="an",$D11="1 X"),VLOOKUP($D11,ber_tijden!$A$16:$X$25,ber_tijden!Q$14,FALSE),"")</f>
        <v/>
      </c>
      <c r="X11" s="174" t="str">
        <f>IF(OR($D11="1 dd",$D11="2 dd",$D11="3 dd",$D11="4 dd",$D11="6 dd",$D11="8 dd",$D11="12 dd",$D11="an",$D11="1 X"),VLOOKUP($D11,ber_tijden!$A$16:$X$25,ber_tijden!R$14,FALSE),"")</f>
        <v/>
      </c>
      <c r="Y11" s="17" t="str">
        <f>IF(OR($D11="1 dd",$D11="2 dd",$D11="3 dd",$D11="4 dd",$D11="6 dd",$D11="8 dd",$D11="12 dd",$D11="an",$D11="1 X"),VLOOKUP($D11,ber_tijden!$A$16:$X$25,ber_tijden!S$14,FALSE),"")</f>
        <v/>
      </c>
      <c r="Z11" s="174" t="str">
        <f>IF(OR($D11="1 dd",$D11="2 dd",$D11="3 dd",$D11="4 dd",$D11="6 dd",$D11="8 dd",$D11="12 dd",$D11="an",$D11="1 X"),VLOOKUP($D11,ber_tijden!$A$16:$X$25,ber_tijden!T$14,FALSE),"")</f>
        <v/>
      </c>
      <c r="AA11" s="17" t="str">
        <f>IF(OR($D11="1 dd",$D11="2 dd",$D11="3 dd",$D11="4 dd",$D11="6 dd",$D11="8 dd",$D11="12 dd",$D11="an",$D11="1 X"),VLOOKUP($D11,ber_tijden!$A$16:$X$25,ber_tijden!U$14,FALSE),"")</f>
        <v/>
      </c>
      <c r="AB11" s="174" t="str">
        <f>IF(OR($D11="1 dd",$D11="2 dd",$D11="3 dd",$D11="4 dd",$D11="6 dd",$D11="8 dd",$D11="12 dd",$D11="an",$D11="1 X"),VLOOKUP($D11,ber_tijden!$A$16:$X$25,ber_tijden!V$14,FALSE),"")</f>
        <v/>
      </c>
      <c r="AC11" s="17" t="str">
        <f>IF(OR($D11="1 dd",$D11="2 dd",$D11="3 dd",$D11="4 dd",$D11="6 dd",$D11="8 dd",$D11="12 dd",$D11="an",$D11="1 X"),VLOOKUP($D11,ber_tijden!$A$16:$X$25,ber_tijden!W$14,FALSE),"")</f>
        <v/>
      </c>
      <c r="AD11" s="174" t="str">
        <f>IF(OR($D11="1 dd",$D11="2 dd",$D11="3 dd",$D11="4 dd",$D11="6 dd",$D11="8 dd",$D11="12 dd",$D11="an",$D11="1 X"),VLOOKUP($D11,ber_tijden!$A$16:$X$25,ber_tijden!X$14,FALSE),"")</f>
        <v/>
      </c>
      <c r="AE11" s="19"/>
      <c r="AF11" s="173"/>
      <c r="AG11" s="19"/>
    </row>
    <row r="12" spans="2:33" ht="26.1" customHeight="1" x14ac:dyDescent="0.35">
      <c r="B12" s="175" t="str">
        <f>IF(C12&lt;&gt;" ",Med_disc!C24,"")</f>
        <v/>
      </c>
      <c r="C12" s="343" t="str">
        <f>IF(ber_Med_disc!C11&lt;&gt;"",IF(ber_Med_disc!C11&gt;1,TRIM(ber_Med_disc!C11)&amp;", "&amp;ber_Opm!C25&amp;" ("&amp;ber_Med_disc!L11&amp;" "&amp;ber_Med_disc!E11&amp;"/kg/dag)",TRIM(ber_Med_disc!C11)&amp;", "&amp;ber_Opm!C25),"")</f>
        <v/>
      </c>
      <c r="D12" s="344" t="str">
        <f>IF(Med_disc!H24&lt;&gt;"",Med_disc!H24,"")</f>
        <v/>
      </c>
      <c r="E12" s="345" t="str">
        <f>IF(AND(D12&lt;&gt;"",D12&lt;&gt;"STOP"),ber_Med_disc!G11&amp;" "&amp;ber_Med_disc!E11,"")</f>
        <v/>
      </c>
      <c r="F12" s="345" t="str">
        <f>IF(AND(D12&lt;&gt;"",D12&lt;&gt;"STOP"),ber_Med_disc!K11," ")</f>
        <v xml:space="preserve"> </v>
      </c>
      <c r="G12" s="345" t="str">
        <f>IF(Med_disc!L24&lt;&gt;"",Med_disc!L24&amp;" "&amp;Med_disc!M24&amp;" "&amp;INDEX(ber_Med_disc!$B$27:$B$30,ber_Med_disc!N11,1)&amp;" in "&amp;Med_disc!$O$1424,"")</f>
        <v/>
      </c>
      <c r="H12" s="174" t="str">
        <f>IF(OR($D12="1 dd",$D12="2 dd",$D12="3 dd",$D12="4 dd",$D12="6 dd",$D12="8 dd",$D12="12 dd",$D12="an",$D12="1 X"),VLOOKUP($D12,ber_tijden!$A$16:$X$25,ber_tijden!B$14,FALSE),"")</f>
        <v/>
      </c>
      <c r="I12" s="17" t="str">
        <f>IF(OR($D12="1 dd",$D12="2 dd",$D12="3 dd",$D12="4 dd",$D12="6 dd",$D12="8 dd",$D12="12 dd",$D12="an",$D12="1 X"),VLOOKUP($D12,ber_tijden!$A$16:$X$25,ber_tijden!C$14,FALSE),"")</f>
        <v/>
      </c>
      <c r="J12" s="174" t="str">
        <f>IF(OR($D12="1 dd",$D12="2 dd",$D12="3 dd",$D12="4 dd",$D12="6 dd",$D12="8 dd",$D12="12 dd",$D12="an",$D12="1 X"),VLOOKUP($D12,ber_tijden!$A$16:$X$25,ber_tijden!D$14,FALSE),"")</f>
        <v/>
      </c>
      <c r="K12" s="17" t="str">
        <f>IF(OR($D12="1 dd",$D12="2 dd",$D12="3 dd",$D12="4 dd",$D12="6 dd",$D12="8 dd",$D12="12 dd",$D12="an",$D12="1 X"),VLOOKUP($D12,ber_tijden!$A$16:$X$25,ber_tijden!E$14,FALSE),"")</f>
        <v/>
      </c>
      <c r="L12" s="174" t="str">
        <f>IF(OR($D12="1 dd",$D12="2 dd",$D12="3 dd",$D12="4 dd",$D12="6 dd",$D12="8 dd",$D12="12 dd",$D12="an",$D12="1 X"),VLOOKUP($D12,ber_tijden!$A$16:$X$25,ber_tijden!F$14,FALSE),"")</f>
        <v/>
      </c>
      <c r="M12" s="17" t="str">
        <f>IF(OR($D12="1 dd",$D12="2 dd",$D12="3 dd",$D12="4 dd",$D12="6 dd",$D12="8 dd",$D12="12 dd",$D12="an",$D12="1 X"),VLOOKUP($D12,ber_tijden!$A$16:$X$25,ber_tijden!G$14,FALSE),"")</f>
        <v/>
      </c>
      <c r="N12" s="174" t="str">
        <f>IF(OR($D12="1 dd",$D12="2 dd",$D12="3 dd",$D12="4 dd",$D12="6 dd",$D12="8 dd",$D12="12 dd",$D12="an",$D12="1 X"),VLOOKUP($D12,ber_tijden!$A$16:$X$25,ber_tijden!H$14,FALSE),"")</f>
        <v/>
      </c>
      <c r="O12" s="17" t="str">
        <f>IF(OR($D12="1 dd",$D12="2 dd",$D12="3 dd",$D12="4 dd",$D12="6 dd",$D12="8 dd",$D12="12 dd",$D12="an",$D12="1 X"),VLOOKUP($D12,ber_tijden!$A$16:$X$25,ber_tijden!I$14,FALSE),"")</f>
        <v/>
      </c>
      <c r="P12" s="174" t="str">
        <f>IF(OR($D12="1 dd",$D12="2 dd",$D12="3 dd",$D12="4 dd",$D12="6 dd",$D12="8 dd",$D12="12 dd",$D12="an",$D12="1 X"),VLOOKUP($D12,ber_tijden!$A$16:$X$25,ber_tijden!J$14,FALSE),"")</f>
        <v/>
      </c>
      <c r="Q12" s="17" t="str">
        <f>IF(OR($D12="1 dd",$D12="2 dd",$D12="3 dd",$D12="4 dd",$D12="6 dd",$D12="8 dd",$D12="12 dd",$D12="an",$D12="1 X"),VLOOKUP($D12,ber_tijden!$A$16:$X$25,ber_tijden!K$14,FALSE),"")</f>
        <v/>
      </c>
      <c r="R12" s="174" t="str">
        <f>IF(OR($D12="1 dd",$D12="2 dd",$D12="3 dd",$D12="4 dd",$D12="6 dd",$D12="8 dd",$D12="12 dd",$D12="an",$D12="1 X"),VLOOKUP($D12,ber_tijden!$A$16:$X$25,ber_tijden!L$14,FALSE),"")</f>
        <v/>
      </c>
      <c r="S12" s="17" t="str">
        <f>IF(OR($D12="1 dd",$D12="2 dd",$D12="3 dd",$D12="4 dd",$D12="6 dd",$D12="8 dd",$D12="12 dd",$D12="an",$D12="1 X"),VLOOKUP($D12,ber_tijden!$A$16:$X$25,ber_tijden!M$14,FALSE),"")</f>
        <v/>
      </c>
      <c r="T12" s="174" t="str">
        <f>IF(OR($D12="1 dd",$D12="2 dd",$D12="3 dd",$D12="4 dd",$D12="6 dd",$D12="8 dd",$D12="12 dd",$D12="an",$D12="1 X"),VLOOKUP($D12,ber_tijden!$A$16:$X$25,ber_tijden!N$14,FALSE),"")</f>
        <v/>
      </c>
      <c r="U12" s="17" t="str">
        <f>IF(OR($D12="1 dd",$D12="2 dd",$D12="3 dd",$D12="4 dd",$D12="6 dd",$D12="8 dd",$D12="12 dd",$D12="an",$D12="1 X"),VLOOKUP($D12,ber_tijden!$A$16:$X$25,ber_tijden!O$14,FALSE),"")</f>
        <v/>
      </c>
      <c r="V12" s="174" t="str">
        <f>IF(OR($D12="1 dd",$D12="2 dd",$D12="3 dd",$D12="4 dd",$D12="6 dd",$D12="8 dd",$D12="12 dd",$D12="an",$D12="1 X"),VLOOKUP($D12,ber_tijden!$A$16:$X$25,ber_tijden!P$14,FALSE),"")</f>
        <v/>
      </c>
      <c r="W12" s="17" t="str">
        <f>IF(OR($D12="1 dd",$D12="2 dd",$D12="3 dd",$D12="4 dd",$D12="6 dd",$D12="8 dd",$D12="12 dd",$D12="an",$D12="1 X"),VLOOKUP($D12,ber_tijden!$A$16:$X$25,ber_tijden!Q$14,FALSE),"")</f>
        <v/>
      </c>
      <c r="X12" s="174" t="str">
        <f>IF(OR($D12="1 dd",$D12="2 dd",$D12="3 dd",$D12="4 dd",$D12="6 dd",$D12="8 dd",$D12="12 dd",$D12="an",$D12="1 X"),VLOOKUP($D12,ber_tijden!$A$16:$X$25,ber_tijden!R$14,FALSE),"")</f>
        <v/>
      </c>
      <c r="Y12" s="17" t="str">
        <f>IF(OR($D12="1 dd",$D12="2 dd",$D12="3 dd",$D12="4 dd",$D12="6 dd",$D12="8 dd",$D12="12 dd",$D12="an",$D12="1 X"),VLOOKUP($D12,ber_tijden!$A$16:$X$25,ber_tijden!S$14,FALSE),"")</f>
        <v/>
      </c>
      <c r="Z12" s="174" t="str">
        <f>IF(OR($D12="1 dd",$D12="2 dd",$D12="3 dd",$D12="4 dd",$D12="6 dd",$D12="8 dd",$D12="12 dd",$D12="an",$D12="1 X"),VLOOKUP($D12,ber_tijden!$A$16:$X$25,ber_tijden!T$14,FALSE),"")</f>
        <v/>
      </c>
      <c r="AA12" s="17" t="str">
        <f>IF(OR($D12="1 dd",$D12="2 dd",$D12="3 dd",$D12="4 dd",$D12="6 dd",$D12="8 dd",$D12="12 dd",$D12="an",$D12="1 X"),VLOOKUP($D12,ber_tijden!$A$16:$X$25,ber_tijden!U$14,FALSE),"")</f>
        <v/>
      </c>
      <c r="AB12" s="174" t="str">
        <f>IF(OR($D12="1 dd",$D12="2 dd",$D12="3 dd",$D12="4 dd",$D12="6 dd",$D12="8 dd",$D12="12 dd",$D12="an",$D12="1 X"),VLOOKUP($D12,ber_tijden!$A$16:$X$25,ber_tijden!V$14,FALSE),"")</f>
        <v/>
      </c>
      <c r="AC12" s="17" t="str">
        <f>IF(OR($D12="1 dd",$D12="2 dd",$D12="3 dd",$D12="4 dd",$D12="6 dd",$D12="8 dd",$D12="12 dd",$D12="an",$D12="1 X"),VLOOKUP($D12,ber_tijden!$A$16:$X$25,ber_tijden!W$14,FALSE),"")</f>
        <v/>
      </c>
      <c r="AD12" s="174" t="str">
        <f>IF(OR($D12="1 dd",$D12="2 dd",$D12="3 dd",$D12="4 dd",$D12="6 dd",$D12="8 dd",$D12="12 dd",$D12="an",$D12="1 X"),VLOOKUP($D12,ber_tijden!$A$16:$X$25,ber_tijden!X$14,FALSE),"")</f>
        <v/>
      </c>
      <c r="AE12" s="19"/>
      <c r="AF12" s="173"/>
      <c r="AG12" s="19"/>
    </row>
    <row r="13" spans="2:33" ht="26.1" customHeight="1" x14ac:dyDescent="0.35">
      <c r="B13" s="175" t="str">
        <f>IF(C13&lt;&gt;" ",Med_disc!C26,"")</f>
        <v/>
      </c>
      <c r="C13" s="343" t="str">
        <f>IF(ber_Med_disc!C12&lt;&gt;"",IF(ber_Med_disc!C12&gt;1,TRIM(ber_Med_disc!C12)&amp;", "&amp;ber_Opm!C26&amp;" ("&amp;ber_Med_disc!L12&amp;" "&amp;ber_Med_disc!E12&amp;"/kg/dag)",TRIM(ber_Med_disc!C12)&amp;", "&amp;ber_Opm!C26),"")</f>
        <v/>
      </c>
      <c r="D13" s="344" t="str">
        <f>IF(Med_disc!H26&lt;&gt;"",Med_disc!H26,"")</f>
        <v/>
      </c>
      <c r="E13" s="345" t="str">
        <f>IF(AND(D13&lt;&gt;"",D13&lt;&gt;"STOP"),ber_Med_disc!G12&amp;" "&amp;ber_Med_disc!E12,"")</f>
        <v/>
      </c>
      <c r="F13" s="345" t="str">
        <f>IF(AND(D13&lt;&gt;"",D13&lt;&gt;"STOP"),ber_Med_disc!K12," ")</f>
        <v xml:space="preserve"> </v>
      </c>
      <c r="G13" s="345" t="str">
        <f>IF(Med_disc!L26&lt;&gt;"",Med_disc!L26&amp;" "&amp;Med_disc!M26&amp;" "&amp;INDEX(ber_Med_disc!$B$27:$B$30,ber_Med_disc!N12,1)&amp;" in "&amp;Med_disc!$O$26,"")</f>
        <v/>
      </c>
      <c r="H13" s="174" t="str">
        <f>IF(OR($D13="1 dd",$D13="2 dd",$D13="3 dd",$D13="4 dd",$D13="6 dd",$D13="8 dd",$D13="12 dd",$D13="an",$D13="1 X"),VLOOKUP($D13,ber_tijden!$A$16:$X$25,ber_tijden!B$14,FALSE),"")</f>
        <v/>
      </c>
      <c r="I13" s="17" t="str">
        <f>IF(OR($D13="1 dd",$D13="2 dd",$D13="3 dd",$D13="4 dd",$D13="6 dd",$D13="8 dd",$D13="12 dd",$D13="an",$D13="1 X"),VLOOKUP($D13,ber_tijden!$A$16:$X$25,ber_tijden!C$14,FALSE),"")</f>
        <v/>
      </c>
      <c r="J13" s="174" t="str">
        <f>IF(OR($D13="1 dd",$D13="2 dd",$D13="3 dd",$D13="4 dd",$D13="6 dd",$D13="8 dd",$D13="12 dd",$D13="an",$D13="1 X"),VLOOKUP($D13,ber_tijden!$A$16:$X$25,ber_tijden!D$14,FALSE),"")</f>
        <v/>
      </c>
      <c r="K13" s="17" t="str">
        <f>IF(OR($D13="1 dd",$D13="2 dd",$D13="3 dd",$D13="4 dd",$D13="6 dd",$D13="8 dd",$D13="12 dd",$D13="an",$D13="1 X"),VLOOKUP($D13,ber_tijden!$A$16:$X$25,ber_tijden!E$14,FALSE),"")</f>
        <v/>
      </c>
      <c r="L13" s="174" t="str">
        <f>IF(OR($D13="1 dd",$D13="2 dd",$D13="3 dd",$D13="4 dd",$D13="6 dd",$D13="8 dd",$D13="12 dd",$D13="an",$D13="1 X"),VLOOKUP($D13,ber_tijden!$A$16:$X$25,ber_tijden!F$14,FALSE),"")</f>
        <v/>
      </c>
      <c r="M13" s="17" t="str">
        <f>IF(OR($D13="1 dd",$D13="2 dd",$D13="3 dd",$D13="4 dd",$D13="6 dd",$D13="8 dd",$D13="12 dd",$D13="an",$D13="1 X"),VLOOKUP($D13,ber_tijden!$A$16:$X$25,ber_tijden!G$14,FALSE),"")</f>
        <v/>
      </c>
      <c r="N13" s="174" t="str">
        <f>IF(OR($D13="1 dd",$D13="2 dd",$D13="3 dd",$D13="4 dd",$D13="6 dd",$D13="8 dd",$D13="12 dd",$D13="an",$D13="1 X"),VLOOKUP($D13,ber_tijden!$A$16:$X$25,ber_tijden!H$14,FALSE),"")</f>
        <v/>
      </c>
      <c r="O13" s="17" t="str">
        <f>IF(OR($D13="1 dd",$D13="2 dd",$D13="3 dd",$D13="4 dd",$D13="6 dd",$D13="8 dd",$D13="12 dd",$D13="an",$D13="1 X"),VLOOKUP($D13,ber_tijden!$A$16:$X$25,ber_tijden!I$14,FALSE),"")</f>
        <v/>
      </c>
      <c r="P13" s="174" t="str">
        <f>IF(OR($D13="1 dd",$D13="2 dd",$D13="3 dd",$D13="4 dd",$D13="6 dd",$D13="8 dd",$D13="12 dd",$D13="an",$D13="1 X"),VLOOKUP($D13,ber_tijden!$A$16:$X$25,ber_tijden!J$14,FALSE),"")</f>
        <v/>
      </c>
      <c r="Q13" s="17" t="str">
        <f>IF(OR($D13="1 dd",$D13="2 dd",$D13="3 dd",$D13="4 dd",$D13="6 dd",$D13="8 dd",$D13="12 dd",$D13="an",$D13="1 X"),VLOOKUP($D13,ber_tijden!$A$16:$X$25,ber_tijden!K$14,FALSE),"")</f>
        <v/>
      </c>
      <c r="R13" s="174" t="str">
        <f>IF(OR($D13="1 dd",$D13="2 dd",$D13="3 dd",$D13="4 dd",$D13="6 dd",$D13="8 dd",$D13="12 dd",$D13="an",$D13="1 X"),VLOOKUP($D13,ber_tijden!$A$16:$X$25,ber_tijden!L$14,FALSE),"")</f>
        <v/>
      </c>
      <c r="S13" s="17" t="str">
        <f>IF(OR($D13="1 dd",$D13="2 dd",$D13="3 dd",$D13="4 dd",$D13="6 dd",$D13="8 dd",$D13="12 dd",$D13="an",$D13="1 X"),VLOOKUP($D13,ber_tijden!$A$16:$X$25,ber_tijden!M$14,FALSE),"")</f>
        <v/>
      </c>
      <c r="T13" s="174" t="str">
        <f>IF(OR($D13="1 dd",$D13="2 dd",$D13="3 dd",$D13="4 dd",$D13="6 dd",$D13="8 dd",$D13="12 dd",$D13="an",$D13="1 X"),VLOOKUP($D13,ber_tijden!$A$16:$X$25,ber_tijden!N$14,FALSE),"")</f>
        <v/>
      </c>
      <c r="U13" s="17" t="str">
        <f>IF(OR($D13="1 dd",$D13="2 dd",$D13="3 dd",$D13="4 dd",$D13="6 dd",$D13="8 dd",$D13="12 dd",$D13="an",$D13="1 X"),VLOOKUP($D13,ber_tijden!$A$16:$X$25,ber_tijden!O$14,FALSE),"")</f>
        <v/>
      </c>
      <c r="V13" s="174" t="str">
        <f>IF(OR($D13="1 dd",$D13="2 dd",$D13="3 dd",$D13="4 dd",$D13="6 dd",$D13="8 dd",$D13="12 dd",$D13="an",$D13="1 X"),VLOOKUP($D13,ber_tijden!$A$16:$X$25,ber_tijden!P$14,FALSE),"")</f>
        <v/>
      </c>
      <c r="W13" s="17" t="str">
        <f>IF(OR($D13="1 dd",$D13="2 dd",$D13="3 dd",$D13="4 dd",$D13="6 dd",$D13="8 dd",$D13="12 dd",$D13="an",$D13="1 X"),VLOOKUP($D13,ber_tijden!$A$16:$X$25,ber_tijden!Q$14,FALSE),"")</f>
        <v/>
      </c>
      <c r="X13" s="174" t="str">
        <f>IF(OR($D13="1 dd",$D13="2 dd",$D13="3 dd",$D13="4 dd",$D13="6 dd",$D13="8 dd",$D13="12 dd",$D13="an",$D13="1 X"),VLOOKUP($D13,ber_tijden!$A$16:$X$25,ber_tijden!R$14,FALSE),"")</f>
        <v/>
      </c>
      <c r="Y13" s="17" t="str">
        <f>IF(OR($D13="1 dd",$D13="2 dd",$D13="3 dd",$D13="4 dd",$D13="6 dd",$D13="8 dd",$D13="12 dd",$D13="an",$D13="1 X"),VLOOKUP($D13,ber_tijden!$A$16:$X$25,ber_tijden!S$14,FALSE),"")</f>
        <v/>
      </c>
      <c r="Z13" s="174" t="str">
        <f>IF(OR($D13="1 dd",$D13="2 dd",$D13="3 dd",$D13="4 dd",$D13="6 dd",$D13="8 dd",$D13="12 dd",$D13="an",$D13="1 X"),VLOOKUP($D13,ber_tijden!$A$16:$X$25,ber_tijden!T$14,FALSE),"")</f>
        <v/>
      </c>
      <c r="AA13" s="17" t="str">
        <f>IF(OR($D13="1 dd",$D13="2 dd",$D13="3 dd",$D13="4 dd",$D13="6 dd",$D13="8 dd",$D13="12 dd",$D13="an",$D13="1 X"),VLOOKUP($D13,ber_tijden!$A$16:$X$25,ber_tijden!U$14,FALSE),"")</f>
        <v/>
      </c>
      <c r="AB13" s="174" t="str">
        <f>IF(OR($D13="1 dd",$D13="2 dd",$D13="3 dd",$D13="4 dd",$D13="6 dd",$D13="8 dd",$D13="12 dd",$D13="an",$D13="1 X"),VLOOKUP($D13,ber_tijden!$A$16:$X$25,ber_tijden!V$14,FALSE),"")</f>
        <v/>
      </c>
      <c r="AC13" s="17" t="str">
        <f>IF(OR($D13="1 dd",$D13="2 dd",$D13="3 dd",$D13="4 dd",$D13="6 dd",$D13="8 dd",$D13="12 dd",$D13="an",$D13="1 X"),VLOOKUP($D13,ber_tijden!$A$16:$X$25,ber_tijden!W$14,FALSE),"")</f>
        <v/>
      </c>
      <c r="AD13" s="174" t="str">
        <f>IF(OR($D13="1 dd",$D13="2 dd",$D13="3 dd",$D13="4 dd",$D13="6 dd",$D13="8 dd",$D13="12 dd",$D13="an",$D13="1 X"),VLOOKUP($D13,ber_tijden!$A$16:$X$25,ber_tijden!X$14,FALSE),"")</f>
        <v/>
      </c>
      <c r="AE13" s="19"/>
      <c r="AF13" s="173"/>
      <c r="AG13" s="19"/>
    </row>
    <row r="14" spans="2:33" ht="26.1" customHeight="1" x14ac:dyDescent="0.35">
      <c r="B14" s="175" t="str">
        <f>IF(C14&lt;&gt;" ",Med_disc!C28,"")</f>
        <v/>
      </c>
      <c r="C14" s="343" t="str">
        <f>IF(ber_Med_disc!C13&lt;&gt;"",IF(ber_Med_disc!C13&gt;1,TRIM(ber_Med_disc!C13)&amp;", "&amp;ber_Opm!C27&amp;" ("&amp;ber_Med_disc!L13&amp;" "&amp;ber_Med_disc!E13&amp;"/kg/dag)",TRIM(ber_Med_disc!C13)&amp;", "&amp;ber_Opm!C27),"")</f>
        <v/>
      </c>
      <c r="D14" s="344" t="str">
        <f>IF(Med_disc!H28&lt;&gt;"",Med_disc!H28,"")</f>
        <v/>
      </c>
      <c r="E14" s="345" t="str">
        <f>IF(AND(D14&lt;&gt;"",D14&lt;&gt;"STOP"),ber_Med_disc!G13&amp;" "&amp;ber_Med_disc!E13,"")</f>
        <v/>
      </c>
      <c r="F14" s="345" t="str">
        <f>IF(AND(D14&lt;&gt;"",D14&lt;&gt;"STOP"),ber_Med_disc!K13," ")</f>
        <v xml:space="preserve"> </v>
      </c>
      <c r="G14" s="345" t="str">
        <f>IF(Med_disc!L28&lt;&gt;"",Med_disc!L28&amp;" "&amp;Med_disc!M28&amp;" "&amp;INDEX(ber_Med_disc!$B$27:$B$30,ber_Med_disc!N13,1)&amp;" in "&amp;Med_disc!$O$28,"")</f>
        <v/>
      </c>
      <c r="H14" s="174" t="str">
        <f>IF(OR($D14="1 dd",$D14="2 dd",$D14="3 dd",$D14="4 dd",$D14="6 dd",$D14="8 dd",$D14="12 dd",$D14="an",$D14="1 X"),VLOOKUP($D14,ber_tijden!$A$16:$X$25,ber_tijden!B$14,FALSE),"")</f>
        <v/>
      </c>
      <c r="I14" s="17" t="str">
        <f>IF(OR($D14="1 dd",$D14="2 dd",$D14="3 dd",$D14="4 dd",$D14="6 dd",$D14="8 dd",$D14="12 dd",$D14="an",$D14="1 X"),VLOOKUP($D14,ber_tijden!$A$16:$X$25,ber_tijden!C$14,FALSE),"")</f>
        <v/>
      </c>
      <c r="J14" s="174" t="str">
        <f>IF(OR($D14="1 dd",$D14="2 dd",$D14="3 dd",$D14="4 dd",$D14="6 dd",$D14="8 dd",$D14="12 dd",$D14="an",$D14="1 X"),VLOOKUP($D14,ber_tijden!$A$16:$X$25,ber_tijden!D$14,FALSE),"")</f>
        <v/>
      </c>
      <c r="K14" s="17" t="str">
        <f>IF(OR($D14="1 dd",$D14="2 dd",$D14="3 dd",$D14="4 dd",$D14="6 dd",$D14="8 dd",$D14="12 dd",$D14="an",$D14="1 X"),VLOOKUP($D14,ber_tijden!$A$16:$X$25,ber_tijden!E$14,FALSE),"")</f>
        <v/>
      </c>
      <c r="L14" s="174" t="str">
        <f>IF(OR($D14="1 dd",$D14="2 dd",$D14="3 dd",$D14="4 dd",$D14="6 dd",$D14="8 dd",$D14="12 dd",$D14="an",$D14="1 X"),VLOOKUP($D14,ber_tijden!$A$16:$X$25,ber_tijden!F$14,FALSE),"")</f>
        <v/>
      </c>
      <c r="M14" s="17" t="str">
        <f>IF(OR($D14="1 dd",$D14="2 dd",$D14="3 dd",$D14="4 dd",$D14="6 dd",$D14="8 dd",$D14="12 dd",$D14="an",$D14="1 X"),VLOOKUP($D14,ber_tijden!$A$16:$X$25,ber_tijden!G$14,FALSE),"")</f>
        <v/>
      </c>
      <c r="N14" s="174" t="str">
        <f>IF(OR($D14="1 dd",$D14="2 dd",$D14="3 dd",$D14="4 dd",$D14="6 dd",$D14="8 dd",$D14="12 dd",$D14="an",$D14="1 X"),VLOOKUP($D14,ber_tijden!$A$16:$X$25,ber_tijden!H$14,FALSE),"")</f>
        <v/>
      </c>
      <c r="O14" s="17" t="str">
        <f>IF(OR($D14="1 dd",$D14="2 dd",$D14="3 dd",$D14="4 dd",$D14="6 dd",$D14="8 dd",$D14="12 dd",$D14="an",$D14="1 X"),VLOOKUP($D14,ber_tijden!$A$16:$X$25,ber_tijden!I$14,FALSE),"")</f>
        <v/>
      </c>
      <c r="P14" s="174" t="str">
        <f>IF(OR($D14="1 dd",$D14="2 dd",$D14="3 dd",$D14="4 dd",$D14="6 dd",$D14="8 dd",$D14="12 dd",$D14="an",$D14="1 X"),VLOOKUP($D14,ber_tijden!$A$16:$X$25,ber_tijden!J$14,FALSE),"")</f>
        <v/>
      </c>
      <c r="Q14" s="17" t="str">
        <f>IF(OR($D14="1 dd",$D14="2 dd",$D14="3 dd",$D14="4 dd",$D14="6 dd",$D14="8 dd",$D14="12 dd",$D14="an",$D14="1 X"),VLOOKUP($D14,ber_tijden!$A$16:$X$25,ber_tijden!K$14,FALSE),"")</f>
        <v/>
      </c>
      <c r="R14" s="174" t="str">
        <f>IF(OR($D14="1 dd",$D14="2 dd",$D14="3 dd",$D14="4 dd",$D14="6 dd",$D14="8 dd",$D14="12 dd",$D14="an",$D14="1 X"),VLOOKUP($D14,ber_tijden!$A$16:$X$25,ber_tijden!L$14,FALSE),"")</f>
        <v/>
      </c>
      <c r="S14" s="17" t="str">
        <f>IF(OR($D14="1 dd",$D14="2 dd",$D14="3 dd",$D14="4 dd",$D14="6 dd",$D14="8 dd",$D14="12 dd",$D14="an",$D14="1 X"),VLOOKUP($D14,ber_tijden!$A$16:$X$25,ber_tijden!M$14,FALSE),"")</f>
        <v/>
      </c>
      <c r="T14" s="174" t="str">
        <f>IF(OR($D14="1 dd",$D14="2 dd",$D14="3 dd",$D14="4 dd",$D14="6 dd",$D14="8 dd",$D14="12 dd",$D14="an",$D14="1 X"),VLOOKUP($D14,ber_tijden!$A$16:$X$25,ber_tijden!N$14,FALSE),"")</f>
        <v/>
      </c>
      <c r="U14" s="17" t="str">
        <f>IF(OR($D14="1 dd",$D14="2 dd",$D14="3 dd",$D14="4 dd",$D14="6 dd",$D14="8 dd",$D14="12 dd",$D14="an",$D14="1 X"),VLOOKUP($D14,ber_tijden!$A$16:$X$25,ber_tijden!O$14,FALSE),"")</f>
        <v/>
      </c>
      <c r="V14" s="174" t="str">
        <f>IF(OR($D14="1 dd",$D14="2 dd",$D14="3 dd",$D14="4 dd",$D14="6 dd",$D14="8 dd",$D14="12 dd",$D14="an",$D14="1 X"),VLOOKUP($D14,ber_tijden!$A$16:$X$25,ber_tijden!P$14,FALSE),"")</f>
        <v/>
      </c>
      <c r="W14" s="17" t="str">
        <f>IF(OR($D14="1 dd",$D14="2 dd",$D14="3 dd",$D14="4 dd",$D14="6 dd",$D14="8 dd",$D14="12 dd",$D14="an",$D14="1 X"),VLOOKUP($D14,ber_tijden!$A$16:$X$25,ber_tijden!Q$14,FALSE),"")</f>
        <v/>
      </c>
      <c r="X14" s="174" t="str">
        <f>IF(OR($D14="1 dd",$D14="2 dd",$D14="3 dd",$D14="4 dd",$D14="6 dd",$D14="8 dd",$D14="12 dd",$D14="an",$D14="1 X"),VLOOKUP($D14,ber_tijden!$A$16:$X$25,ber_tijden!R$14,FALSE),"")</f>
        <v/>
      </c>
      <c r="Y14" s="17" t="str">
        <f>IF(OR($D14="1 dd",$D14="2 dd",$D14="3 dd",$D14="4 dd",$D14="6 dd",$D14="8 dd",$D14="12 dd",$D14="an",$D14="1 X"),VLOOKUP($D14,ber_tijden!$A$16:$X$25,ber_tijden!S$14,FALSE),"")</f>
        <v/>
      </c>
      <c r="Z14" s="174" t="str">
        <f>IF(OR($D14="1 dd",$D14="2 dd",$D14="3 dd",$D14="4 dd",$D14="6 dd",$D14="8 dd",$D14="12 dd",$D14="an",$D14="1 X"),VLOOKUP($D14,ber_tijden!$A$16:$X$25,ber_tijden!T$14,FALSE),"")</f>
        <v/>
      </c>
      <c r="AA14" s="17" t="str">
        <f>IF(OR($D14="1 dd",$D14="2 dd",$D14="3 dd",$D14="4 dd",$D14="6 dd",$D14="8 dd",$D14="12 dd",$D14="an",$D14="1 X"),VLOOKUP($D14,ber_tijden!$A$16:$X$25,ber_tijden!U$14,FALSE),"")</f>
        <v/>
      </c>
      <c r="AB14" s="174" t="str">
        <f>IF(OR($D14="1 dd",$D14="2 dd",$D14="3 dd",$D14="4 dd",$D14="6 dd",$D14="8 dd",$D14="12 dd",$D14="an",$D14="1 X"),VLOOKUP($D14,ber_tijden!$A$16:$X$25,ber_tijden!V$14,FALSE),"")</f>
        <v/>
      </c>
      <c r="AC14" s="17" t="str">
        <f>IF(OR($D14="1 dd",$D14="2 dd",$D14="3 dd",$D14="4 dd",$D14="6 dd",$D14="8 dd",$D14="12 dd",$D14="an",$D14="1 X"),VLOOKUP($D14,ber_tijden!$A$16:$X$25,ber_tijden!W$14,FALSE),"")</f>
        <v/>
      </c>
      <c r="AD14" s="174" t="str">
        <f>IF(OR($D14="1 dd",$D14="2 dd",$D14="3 dd",$D14="4 dd",$D14="6 dd",$D14="8 dd",$D14="12 dd",$D14="an",$D14="1 X"),VLOOKUP($D14,ber_tijden!$A$16:$X$25,ber_tijden!X$14,FALSE),"")</f>
        <v/>
      </c>
      <c r="AE14" s="19"/>
      <c r="AF14" s="173"/>
      <c r="AG14" s="19"/>
    </row>
    <row r="15" spans="2:33" ht="26.1" customHeight="1" x14ac:dyDescent="0.35">
      <c r="B15" s="175" t="str">
        <f>IF(C15&lt;&gt;" ",Med_disc!C30,"")</f>
        <v/>
      </c>
      <c r="C15" s="343" t="str">
        <f>IF(ber_Med_disc!C14&lt;&gt;"",IF(ber_Med_disc!C14&gt;1,TRIM(ber_Med_disc!C14)&amp;", "&amp;ber_Opm!C28&amp;" ("&amp;ber_Med_disc!L14&amp;" "&amp;ber_Med_disc!E14&amp;"/kg/dag)",TRIM(ber_Med_disc!C14)&amp;", "&amp;ber_Opm!C28),"")</f>
        <v/>
      </c>
      <c r="D15" s="344" t="str">
        <f>IF(Med_disc!H30&lt;&gt;"",Med_disc!H30,"")</f>
        <v/>
      </c>
      <c r="E15" s="345" t="str">
        <f>IF(AND(D15&lt;&gt;"",D15&lt;&gt;"STOP"),ber_Med_disc!G14&amp;" "&amp;ber_Med_disc!E14,"")</f>
        <v/>
      </c>
      <c r="F15" s="345" t="str">
        <f>IF(AND(D15&lt;&gt;"",D15&lt;&gt;"STOP"),ber_Med_disc!K14," ")</f>
        <v xml:space="preserve"> </v>
      </c>
      <c r="G15" s="345" t="str">
        <f>IF(Med_disc!L30&lt;&gt;"",Med_disc!L30&amp;" "&amp;Med_disc!M30&amp;" "&amp;INDEX(ber_Med_disc!$B$27:$B$30,ber_Med_disc!N14,1)&amp;" in "&amp;Med_disc!$O$30,"")</f>
        <v/>
      </c>
      <c r="H15" s="174" t="str">
        <f>IF(OR($D15="1 dd",$D15="2 dd",$D15="3 dd",$D15="4 dd",$D15="6 dd",$D15="8 dd",$D15="12 dd",$D15="an",$D15="1 X"),VLOOKUP($D15,ber_tijden!$A$16:$X$25,ber_tijden!B$14,FALSE),"")</f>
        <v/>
      </c>
      <c r="I15" s="17" t="str">
        <f>IF(OR($D15="1 dd",$D15="2 dd",$D15="3 dd",$D15="4 dd",$D15="6 dd",$D15="8 dd",$D15="12 dd",$D15="an",$D15="1 X"),VLOOKUP($D15,ber_tijden!$A$16:$X$25,ber_tijden!C$14,FALSE),"")</f>
        <v/>
      </c>
      <c r="J15" s="174" t="str">
        <f>IF(OR($D15="1 dd",$D15="2 dd",$D15="3 dd",$D15="4 dd",$D15="6 dd",$D15="8 dd",$D15="12 dd",$D15="an",$D15="1 X"),VLOOKUP($D15,ber_tijden!$A$16:$X$25,ber_tijden!D$14,FALSE),"")</f>
        <v/>
      </c>
      <c r="K15" s="17" t="str">
        <f>IF(OR($D15="1 dd",$D15="2 dd",$D15="3 dd",$D15="4 dd",$D15="6 dd",$D15="8 dd",$D15="12 dd",$D15="an",$D15="1 X"),VLOOKUP($D15,ber_tijden!$A$16:$X$25,ber_tijden!E$14,FALSE),"")</f>
        <v/>
      </c>
      <c r="L15" s="174" t="str">
        <f>IF(OR($D15="1 dd",$D15="2 dd",$D15="3 dd",$D15="4 dd",$D15="6 dd",$D15="8 dd",$D15="12 dd",$D15="an",$D15="1 X"),VLOOKUP($D15,ber_tijden!$A$16:$X$25,ber_tijden!F$14,FALSE),"")</f>
        <v/>
      </c>
      <c r="M15" s="17" t="str">
        <f>IF(OR($D15="1 dd",$D15="2 dd",$D15="3 dd",$D15="4 dd",$D15="6 dd",$D15="8 dd",$D15="12 dd",$D15="an",$D15="1 X"),VLOOKUP($D15,ber_tijden!$A$16:$X$25,ber_tijden!G$14,FALSE),"")</f>
        <v/>
      </c>
      <c r="N15" s="174" t="str">
        <f>IF(OR($D15="1 dd",$D15="2 dd",$D15="3 dd",$D15="4 dd",$D15="6 dd",$D15="8 dd",$D15="12 dd",$D15="an",$D15="1 X"),VLOOKUP($D15,ber_tijden!$A$16:$X$25,ber_tijden!H$14,FALSE),"")</f>
        <v/>
      </c>
      <c r="O15" s="17" t="str">
        <f>IF(OR($D15="1 dd",$D15="2 dd",$D15="3 dd",$D15="4 dd",$D15="6 dd",$D15="8 dd",$D15="12 dd",$D15="an",$D15="1 X"),VLOOKUP($D15,ber_tijden!$A$16:$X$25,ber_tijden!I$14,FALSE),"")</f>
        <v/>
      </c>
      <c r="P15" s="174" t="str">
        <f>IF(OR($D15="1 dd",$D15="2 dd",$D15="3 dd",$D15="4 dd",$D15="6 dd",$D15="8 dd",$D15="12 dd",$D15="an",$D15="1 X"),VLOOKUP($D15,ber_tijden!$A$16:$X$25,ber_tijden!J$14,FALSE),"")</f>
        <v/>
      </c>
      <c r="Q15" s="17" t="str">
        <f>IF(OR($D15="1 dd",$D15="2 dd",$D15="3 dd",$D15="4 dd",$D15="6 dd",$D15="8 dd",$D15="12 dd",$D15="an",$D15="1 X"),VLOOKUP($D15,ber_tijden!$A$16:$X$25,ber_tijden!K$14,FALSE),"")</f>
        <v/>
      </c>
      <c r="R15" s="174" t="str">
        <f>IF(OR($D15="1 dd",$D15="2 dd",$D15="3 dd",$D15="4 dd",$D15="6 dd",$D15="8 dd",$D15="12 dd",$D15="an",$D15="1 X"),VLOOKUP($D15,ber_tijden!$A$16:$X$25,ber_tijden!L$14,FALSE),"")</f>
        <v/>
      </c>
      <c r="S15" s="17" t="str">
        <f>IF(OR($D15="1 dd",$D15="2 dd",$D15="3 dd",$D15="4 dd",$D15="6 dd",$D15="8 dd",$D15="12 dd",$D15="an",$D15="1 X"),VLOOKUP($D15,ber_tijden!$A$16:$X$25,ber_tijden!M$14,FALSE),"")</f>
        <v/>
      </c>
      <c r="T15" s="174" t="str">
        <f>IF(OR($D15="1 dd",$D15="2 dd",$D15="3 dd",$D15="4 dd",$D15="6 dd",$D15="8 dd",$D15="12 dd",$D15="an",$D15="1 X"),VLOOKUP($D15,ber_tijden!$A$16:$X$25,ber_tijden!N$14,FALSE),"")</f>
        <v/>
      </c>
      <c r="U15" s="17" t="str">
        <f>IF(OR($D15="1 dd",$D15="2 dd",$D15="3 dd",$D15="4 dd",$D15="6 dd",$D15="8 dd",$D15="12 dd",$D15="an",$D15="1 X"),VLOOKUP($D15,ber_tijden!$A$16:$X$25,ber_tijden!O$14,FALSE),"")</f>
        <v/>
      </c>
      <c r="V15" s="174" t="str">
        <f>IF(OR($D15="1 dd",$D15="2 dd",$D15="3 dd",$D15="4 dd",$D15="6 dd",$D15="8 dd",$D15="12 dd",$D15="an",$D15="1 X"),VLOOKUP($D15,ber_tijden!$A$16:$X$25,ber_tijden!P$14,FALSE),"")</f>
        <v/>
      </c>
      <c r="W15" s="17" t="str">
        <f>IF(OR($D15="1 dd",$D15="2 dd",$D15="3 dd",$D15="4 dd",$D15="6 dd",$D15="8 dd",$D15="12 dd",$D15="an",$D15="1 X"),VLOOKUP($D15,ber_tijden!$A$16:$X$25,ber_tijden!Q$14,FALSE),"")</f>
        <v/>
      </c>
      <c r="X15" s="174" t="str">
        <f>IF(OR($D15="1 dd",$D15="2 dd",$D15="3 dd",$D15="4 dd",$D15="6 dd",$D15="8 dd",$D15="12 dd",$D15="an",$D15="1 X"),VLOOKUP($D15,ber_tijden!$A$16:$X$25,ber_tijden!R$14,FALSE),"")</f>
        <v/>
      </c>
      <c r="Y15" s="17" t="str">
        <f>IF(OR($D15="1 dd",$D15="2 dd",$D15="3 dd",$D15="4 dd",$D15="6 dd",$D15="8 dd",$D15="12 dd",$D15="an",$D15="1 X"),VLOOKUP($D15,ber_tijden!$A$16:$X$25,ber_tijden!S$14,FALSE),"")</f>
        <v/>
      </c>
      <c r="Z15" s="174" t="str">
        <f>IF(OR($D15="1 dd",$D15="2 dd",$D15="3 dd",$D15="4 dd",$D15="6 dd",$D15="8 dd",$D15="12 dd",$D15="an",$D15="1 X"),VLOOKUP($D15,ber_tijden!$A$16:$X$25,ber_tijden!T$14,FALSE),"")</f>
        <v/>
      </c>
      <c r="AA15" s="17" t="str">
        <f>IF(OR($D15="1 dd",$D15="2 dd",$D15="3 dd",$D15="4 dd",$D15="6 dd",$D15="8 dd",$D15="12 dd",$D15="an",$D15="1 X"),VLOOKUP($D15,ber_tijden!$A$16:$X$25,ber_tijden!U$14,FALSE),"")</f>
        <v/>
      </c>
      <c r="AB15" s="174" t="str">
        <f>IF(OR($D15="1 dd",$D15="2 dd",$D15="3 dd",$D15="4 dd",$D15="6 dd",$D15="8 dd",$D15="12 dd",$D15="an",$D15="1 X"),VLOOKUP($D15,ber_tijden!$A$16:$X$25,ber_tijden!V$14,FALSE),"")</f>
        <v/>
      </c>
      <c r="AC15" s="17" t="str">
        <f>IF(OR($D15="1 dd",$D15="2 dd",$D15="3 dd",$D15="4 dd",$D15="6 dd",$D15="8 dd",$D15="12 dd",$D15="an",$D15="1 X"),VLOOKUP($D15,ber_tijden!$A$16:$X$25,ber_tijden!W$14,FALSE),"")</f>
        <v/>
      </c>
      <c r="AD15" s="174" t="str">
        <f>IF(OR($D15="1 dd",$D15="2 dd",$D15="3 dd",$D15="4 dd",$D15="6 dd",$D15="8 dd",$D15="12 dd",$D15="an",$D15="1 X"),VLOOKUP($D15,ber_tijden!$A$16:$X$25,ber_tijden!X$14,FALSE),"")</f>
        <v/>
      </c>
      <c r="AE15" s="19"/>
      <c r="AF15" s="173"/>
      <c r="AG15" s="19"/>
    </row>
    <row r="16" spans="2:33" ht="26.1" customHeight="1" x14ac:dyDescent="0.35">
      <c r="B16" s="175" t="str">
        <f>IF(C16&lt;&gt;" ",Med_disc!C32,"")</f>
        <v/>
      </c>
      <c r="C16" s="343" t="str">
        <f>IF(ber_Med_disc!C15&lt;&gt;"",IF(ber_Med_disc!C15&gt;1,TRIM(ber_Med_disc!C15)&amp;", "&amp;ber_Opm!C29&amp;" ("&amp;ber_Med_disc!L15&amp;" "&amp;ber_Med_disc!E15&amp;"/kg/dag)",TRIM(ber_Med_disc!C15)&amp;", "&amp;ber_Opm!C29),"")</f>
        <v/>
      </c>
      <c r="D16" s="344" t="str">
        <f>IF(Med_disc!H32&lt;&gt;"",Med_disc!H32,"")</f>
        <v/>
      </c>
      <c r="E16" s="345" t="str">
        <f>IF(AND(D16&lt;&gt;"",D16&lt;&gt;"STOP"),ber_Med_disc!G15&amp;" "&amp;ber_Med_disc!E15,"")</f>
        <v/>
      </c>
      <c r="F16" s="345" t="str">
        <f>IF(AND(D16&lt;&gt;"",D16&lt;&gt;"STOP"),ber_Med_disc!K15," ")</f>
        <v xml:space="preserve"> </v>
      </c>
      <c r="G16" s="345" t="str">
        <f>IF(Med_disc!L32&lt;&gt;"",Med_disc!L32&amp;" "&amp;Med_disc!M32&amp;" "&amp;INDEX(ber_Med_disc!$B$27:$B$30,ber_Med_disc!N15,1)&amp;" in "&amp;Med_disc!$O$32,"")</f>
        <v/>
      </c>
      <c r="H16" s="174" t="str">
        <f>IF(OR($D16="1 dd",$D16="2 dd",$D16="3 dd",$D16="4 dd",$D16="6 dd",$D16="8 dd",$D16="12 dd",$D16="an",$D16="1 X"),VLOOKUP($D16,ber_tijden!$A$16:$X$25,ber_tijden!B$14,FALSE),"")</f>
        <v/>
      </c>
      <c r="I16" s="17" t="str">
        <f>IF(OR($D16="1 dd",$D16="2 dd",$D16="3 dd",$D16="4 dd",$D16="6 dd",$D16="8 dd",$D16="12 dd",$D16="an",$D16="1 X"),VLOOKUP($D16,ber_tijden!$A$16:$X$25,ber_tijden!C$14,FALSE),"")</f>
        <v/>
      </c>
      <c r="J16" s="174" t="str">
        <f>IF(OR($D16="1 dd",$D16="2 dd",$D16="3 dd",$D16="4 dd",$D16="6 dd",$D16="8 dd",$D16="12 dd",$D16="an",$D16="1 X"),VLOOKUP($D16,ber_tijden!$A$16:$X$25,ber_tijden!D$14,FALSE),"")</f>
        <v/>
      </c>
      <c r="K16" s="17" t="str">
        <f>IF(OR($D16="1 dd",$D16="2 dd",$D16="3 dd",$D16="4 dd",$D16="6 dd",$D16="8 dd",$D16="12 dd",$D16="an",$D16="1 X"),VLOOKUP($D16,ber_tijden!$A$16:$X$25,ber_tijden!E$14,FALSE),"")</f>
        <v/>
      </c>
      <c r="L16" s="174" t="str">
        <f>IF(OR($D16="1 dd",$D16="2 dd",$D16="3 dd",$D16="4 dd",$D16="6 dd",$D16="8 dd",$D16="12 dd",$D16="an",$D16="1 X"),VLOOKUP($D16,ber_tijden!$A$16:$X$25,ber_tijden!F$14,FALSE),"")</f>
        <v/>
      </c>
      <c r="M16" s="17" t="str">
        <f>IF(OR($D16="1 dd",$D16="2 dd",$D16="3 dd",$D16="4 dd",$D16="6 dd",$D16="8 dd",$D16="12 dd",$D16="an",$D16="1 X"),VLOOKUP($D16,ber_tijden!$A$16:$X$25,ber_tijden!G$14,FALSE),"")</f>
        <v/>
      </c>
      <c r="N16" s="174" t="str">
        <f>IF(OR($D16="1 dd",$D16="2 dd",$D16="3 dd",$D16="4 dd",$D16="6 dd",$D16="8 dd",$D16="12 dd",$D16="an",$D16="1 X"),VLOOKUP($D16,ber_tijden!$A$16:$X$25,ber_tijden!H$14,FALSE),"")</f>
        <v/>
      </c>
      <c r="O16" s="17" t="str">
        <f>IF(OR($D16="1 dd",$D16="2 dd",$D16="3 dd",$D16="4 dd",$D16="6 dd",$D16="8 dd",$D16="12 dd",$D16="an",$D16="1 X"),VLOOKUP($D16,ber_tijden!$A$16:$X$25,ber_tijden!I$14,FALSE),"")</f>
        <v/>
      </c>
      <c r="P16" s="174" t="str">
        <f>IF(OR($D16="1 dd",$D16="2 dd",$D16="3 dd",$D16="4 dd",$D16="6 dd",$D16="8 dd",$D16="12 dd",$D16="an",$D16="1 X"),VLOOKUP($D16,ber_tijden!$A$16:$X$25,ber_tijden!J$14,FALSE),"")</f>
        <v/>
      </c>
      <c r="Q16" s="17" t="str">
        <f>IF(OR($D16="1 dd",$D16="2 dd",$D16="3 dd",$D16="4 dd",$D16="6 dd",$D16="8 dd",$D16="12 dd",$D16="an",$D16="1 X"),VLOOKUP($D16,ber_tijden!$A$16:$X$25,ber_tijden!K$14,FALSE),"")</f>
        <v/>
      </c>
      <c r="R16" s="174" t="str">
        <f>IF(OR($D16="1 dd",$D16="2 dd",$D16="3 dd",$D16="4 dd",$D16="6 dd",$D16="8 dd",$D16="12 dd",$D16="an",$D16="1 X"),VLOOKUP($D16,ber_tijden!$A$16:$X$25,ber_tijden!L$14,FALSE),"")</f>
        <v/>
      </c>
      <c r="S16" s="17" t="str">
        <f>IF(OR($D16="1 dd",$D16="2 dd",$D16="3 dd",$D16="4 dd",$D16="6 dd",$D16="8 dd",$D16="12 dd",$D16="an",$D16="1 X"),VLOOKUP($D16,ber_tijden!$A$16:$X$25,ber_tijden!M$14,FALSE),"")</f>
        <v/>
      </c>
      <c r="T16" s="174" t="str">
        <f>IF(OR($D16="1 dd",$D16="2 dd",$D16="3 dd",$D16="4 dd",$D16="6 dd",$D16="8 dd",$D16="12 dd",$D16="an",$D16="1 X"),VLOOKUP($D16,ber_tijden!$A$16:$X$25,ber_tijden!N$14,FALSE),"")</f>
        <v/>
      </c>
      <c r="U16" s="17" t="str">
        <f>IF(OR($D16="1 dd",$D16="2 dd",$D16="3 dd",$D16="4 dd",$D16="6 dd",$D16="8 dd",$D16="12 dd",$D16="an",$D16="1 X"),VLOOKUP($D16,ber_tijden!$A$16:$X$25,ber_tijden!O$14,FALSE),"")</f>
        <v/>
      </c>
      <c r="V16" s="174" t="str">
        <f>IF(OR($D16="1 dd",$D16="2 dd",$D16="3 dd",$D16="4 dd",$D16="6 dd",$D16="8 dd",$D16="12 dd",$D16="an",$D16="1 X"),VLOOKUP($D16,ber_tijden!$A$16:$X$25,ber_tijden!P$14,FALSE),"")</f>
        <v/>
      </c>
      <c r="W16" s="17" t="str">
        <f>IF(OR($D16="1 dd",$D16="2 dd",$D16="3 dd",$D16="4 dd",$D16="6 dd",$D16="8 dd",$D16="12 dd",$D16="an",$D16="1 X"),VLOOKUP($D16,ber_tijden!$A$16:$X$25,ber_tijden!Q$14,FALSE),"")</f>
        <v/>
      </c>
      <c r="X16" s="174" t="str">
        <f>IF(OR($D16="1 dd",$D16="2 dd",$D16="3 dd",$D16="4 dd",$D16="6 dd",$D16="8 dd",$D16="12 dd",$D16="an",$D16="1 X"),VLOOKUP($D16,ber_tijden!$A$16:$X$25,ber_tijden!R$14,FALSE),"")</f>
        <v/>
      </c>
      <c r="Y16" s="17" t="str">
        <f>IF(OR($D16="1 dd",$D16="2 dd",$D16="3 dd",$D16="4 dd",$D16="6 dd",$D16="8 dd",$D16="12 dd",$D16="an",$D16="1 X"),VLOOKUP($D16,ber_tijden!$A$16:$X$25,ber_tijden!S$14,FALSE),"")</f>
        <v/>
      </c>
      <c r="Z16" s="174" t="str">
        <f>IF(OR($D16="1 dd",$D16="2 dd",$D16="3 dd",$D16="4 dd",$D16="6 dd",$D16="8 dd",$D16="12 dd",$D16="an",$D16="1 X"),VLOOKUP($D16,ber_tijden!$A$16:$X$25,ber_tijden!T$14,FALSE),"")</f>
        <v/>
      </c>
      <c r="AA16" s="17" t="str">
        <f>IF(OR($D16="1 dd",$D16="2 dd",$D16="3 dd",$D16="4 dd",$D16="6 dd",$D16="8 dd",$D16="12 dd",$D16="an",$D16="1 X"),VLOOKUP($D16,ber_tijden!$A$16:$X$25,ber_tijden!U$14,FALSE),"")</f>
        <v/>
      </c>
      <c r="AB16" s="174" t="str">
        <f>IF(OR($D16="1 dd",$D16="2 dd",$D16="3 dd",$D16="4 dd",$D16="6 dd",$D16="8 dd",$D16="12 dd",$D16="an",$D16="1 X"),VLOOKUP($D16,ber_tijden!$A$16:$X$25,ber_tijden!V$14,FALSE),"")</f>
        <v/>
      </c>
      <c r="AC16" s="17" t="str">
        <f>IF(OR($D16="1 dd",$D16="2 dd",$D16="3 dd",$D16="4 dd",$D16="6 dd",$D16="8 dd",$D16="12 dd",$D16="an",$D16="1 X"),VLOOKUP($D16,ber_tijden!$A$16:$X$25,ber_tijden!W$14,FALSE),"")</f>
        <v/>
      </c>
      <c r="AD16" s="174" t="str">
        <f>IF(OR($D16="1 dd",$D16="2 dd",$D16="3 dd",$D16="4 dd",$D16="6 dd",$D16="8 dd",$D16="12 dd",$D16="an",$D16="1 X"),VLOOKUP($D16,ber_tijden!$A$16:$X$25,ber_tijden!X$14,FALSE),"")</f>
        <v/>
      </c>
      <c r="AE16" s="19"/>
      <c r="AF16" s="173"/>
      <c r="AG16" s="19"/>
    </row>
    <row r="17" spans="2:33" ht="26.1" customHeight="1" x14ac:dyDescent="0.35">
      <c r="B17" s="175" t="str">
        <f>IF(C17&lt;&gt;" ",Med_disc!C34,"")</f>
        <v/>
      </c>
      <c r="C17" s="343" t="str">
        <f>IF(ber_Med_disc!C16&lt;&gt;"",IF(ber_Med_disc!C16&gt;1,TRIM(ber_Med_disc!C16)&amp;", "&amp;ber_Opm!C30&amp;" ("&amp;ber_Med_disc!L16&amp;" "&amp;ber_Med_disc!E16&amp;"/kg/dag)",TRIM(ber_Med_disc!C16)&amp;", "&amp;ber_Opm!C30),"")</f>
        <v/>
      </c>
      <c r="D17" s="344" t="str">
        <f>IF(Med_disc!H34&lt;&gt;"",Med_disc!H34,"")</f>
        <v/>
      </c>
      <c r="E17" s="345" t="str">
        <f>IF(AND(D17&lt;&gt;"",D17&lt;&gt;"STOP"),ber_Med_disc!G16&amp;" "&amp;ber_Med_disc!E16,"")</f>
        <v/>
      </c>
      <c r="F17" s="345" t="str">
        <f>IF(AND(D17&lt;&gt;"",D17&lt;&gt;"STOP"),ber_Med_disc!K16," ")</f>
        <v xml:space="preserve"> </v>
      </c>
      <c r="G17" s="345" t="str">
        <f>IF(Med_disc!L34&lt;&gt;"",Med_disc!L34&amp;" "&amp;Med_disc!M34&amp;" "&amp;INDEX(ber_Med_disc!$B$27:$B$30,ber_Med_disc!N16,1)&amp;" in "&amp;Med_disc!$O$34,"")</f>
        <v/>
      </c>
      <c r="H17" s="174" t="str">
        <f>IF(OR($D17="1 dd",$D17="2 dd",$D17="3 dd",$D17="4 dd",$D17="6 dd",$D17="8 dd",$D17="12 dd",$D17="an",$D17="1 X"),VLOOKUP($D17,ber_tijden!$A$16:$X$25,ber_tijden!B$14,FALSE),"")</f>
        <v/>
      </c>
      <c r="I17" s="17" t="str">
        <f>IF(OR($D17="1 dd",$D17="2 dd",$D17="3 dd",$D17="4 dd",$D17="6 dd",$D17="8 dd",$D17="12 dd",$D17="an",$D17="1 X"),VLOOKUP($D17,ber_tijden!$A$16:$X$25,ber_tijden!C$14,FALSE),"")</f>
        <v/>
      </c>
      <c r="J17" s="174" t="str">
        <f>IF(OR($D17="1 dd",$D17="2 dd",$D17="3 dd",$D17="4 dd",$D17="6 dd",$D17="8 dd",$D17="12 dd",$D17="an",$D17="1 X"),VLOOKUP($D17,ber_tijden!$A$16:$X$25,ber_tijden!D$14,FALSE),"")</f>
        <v/>
      </c>
      <c r="K17" s="17" t="str">
        <f>IF(OR($D17="1 dd",$D17="2 dd",$D17="3 dd",$D17="4 dd",$D17="6 dd",$D17="8 dd",$D17="12 dd",$D17="an",$D17="1 X"),VLOOKUP($D17,ber_tijden!$A$16:$X$25,ber_tijden!E$14,FALSE),"")</f>
        <v/>
      </c>
      <c r="L17" s="174" t="str">
        <f>IF(OR($D17="1 dd",$D17="2 dd",$D17="3 dd",$D17="4 dd",$D17="6 dd",$D17="8 dd",$D17="12 dd",$D17="an",$D17="1 X"),VLOOKUP($D17,ber_tijden!$A$16:$X$25,ber_tijden!F$14,FALSE),"")</f>
        <v/>
      </c>
      <c r="M17" s="17" t="str">
        <f>IF(OR($D17="1 dd",$D17="2 dd",$D17="3 dd",$D17="4 dd",$D17="6 dd",$D17="8 dd",$D17="12 dd",$D17="an",$D17="1 X"),VLOOKUP($D17,ber_tijden!$A$16:$X$25,ber_tijden!G$14,FALSE),"")</f>
        <v/>
      </c>
      <c r="N17" s="174" t="str">
        <f>IF(OR($D17="1 dd",$D17="2 dd",$D17="3 dd",$D17="4 dd",$D17="6 dd",$D17="8 dd",$D17="12 dd",$D17="an",$D17="1 X"),VLOOKUP($D17,ber_tijden!$A$16:$X$25,ber_tijden!H$14,FALSE),"")</f>
        <v/>
      </c>
      <c r="O17" s="17" t="str">
        <f>IF(OR($D17="1 dd",$D17="2 dd",$D17="3 dd",$D17="4 dd",$D17="6 dd",$D17="8 dd",$D17="12 dd",$D17="an",$D17="1 X"),VLOOKUP($D17,ber_tijden!$A$16:$X$25,ber_tijden!I$14,FALSE),"")</f>
        <v/>
      </c>
      <c r="P17" s="174" t="str">
        <f>IF(OR($D17="1 dd",$D17="2 dd",$D17="3 dd",$D17="4 dd",$D17="6 dd",$D17="8 dd",$D17="12 dd",$D17="an",$D17="1 X"),VLOOKUP($D17,ber_tijden!$A$16:$X$25,ber_tijden!J$14,FALSE),"")</f>
        <v/>
      </c>
      <c r="Q17" s="17" t="str">
        <f>IF(OR($D17="1 dd",$D17="2 dd",$D17="3 dd",$D17="4 dd",$D17="6 dd",$D17="8 dd",$D17="12 dd",$D17="an",$D17="1 X"),VLOOKUP($D17,ber_tijden!$A$16:$X$25,ber_tijden!K$14,FALSE),"")</f>
        <v/>
      </c>
      <c r="R17" s="174" t="str">
        <f>IF(OR($D17="1 dd",$D17="2 dd",$D17="3 dd",$D17="4 dd",$D17="6 dd",$D17="8 dd",$D17="12 dd",$D17="an",$D17="1 X"),VLOOKUP($D17,ber_tijden!$A$16:$X$25,ber_tijden!L$14,FALSE),"")</f>
        <v/>
      </c>
      <c r="S17" s="17" t="str">
        <f>IF(OR($D17="1 dd",$D17="2 dd",$D17="3 dd",$D17="4 dd",$D17="6 dd",$D17="8 dd",$D17="12 dd",$D17="an",$D17="1 X"),VLOOKUP($D17,ber_tijden!$A$16:$X$25,ber_tijden!M$14,FALSE),"")</f>
        <v/>
      </c>
      <c r="T17" s="174" t="str">
        <f>IF(OR($D17="1 dd",$D17="2 dd",$D17="3 dd",$D17="4 dd",$D17="6 dd",$D17="8 dd",$D17="12 dd",$D17="an",$D17="1 X"),VLOOKUP($D17,ber_tijden!$A$16:$X$25,ber_tijden!N$14,FALSE),"")</f>
        <v/>
      </c>
      <c r="U17" s="17" t="str">
        <f>IF(OR($D17="1 dd",$D17="2 dd",$D17="3 dd",$D17="4 dd",$D17="6 dd",$D17="8 dd",$D17="12 dd",$D17="an",$D17="1 X"),VLOOKUP($D17,ber_tijden!$A$16:$X$25,ber_tijden!O$14,FALSE),"")</f>
        <v/>
      </c>
      <c r="V17" s="174" t="str">
        <f>IF(OR($D17="1 dd",$D17="2 dd",$D17="3 dd",$D17="4 dd",$D17="6 dd",$D17="8 dd",$D17="12 dd",$D17="an",$D17="1 X"),VLOOKUP($D17,ber_tijden!$A$16:$X$25,ber_tijden!P$14,FALSE),"")</f>
        <v/>
      </c>
      <c r="W17" s="17" t="str">
        <f>IF(OR($D17="1 dd",$D17="2 dd",$D17="3 dd",$D17="4 dd",$D17="6 dd",$D17="8 dd",$D17="12 dd",$D17="an",$D17="1 X"),VLOOKUP($D17,ber_tijden!$A$16:$X$25,ber_tijden!Q$14,FALSE),"")</f>
        <v/>
      </c>
      <c r="X17" s="174" t="str">
        <f>IF(OR($D17="1 dd",$D17="2 dd",$D17="3 dd",$D17="4 dd",$D17="6 dd",$D17="8 dd",$D17="12 dd",$D17="an",$D17="1 X"),VLOOKUP($D17,ber_tijden!$A$16:$X$25,ber_tijden!R$14,FALSE),"")</f>
        <v/>
      </c>
      <c r="Y17" s="17" t="str">
        <f>IF(OR($D17="1 dd",$D17="2 dd",$D17="3 dd",$D17="4 dd",$D17="6 dd",$D17="8 dd",$D17="12 dd",$D17="an",$D17="1 X"),VLOOKUP($D17,ber_tijden!$A$16:$X$25,ber_tijden!S$14,FALSE),"")</f>
        <v/>
      </c>
      <c r="Z17" s="174" t="str">
        <f>IF(OR($D17="1 dd",$D17="2 dd",$D17="3 dd",$D17="4 dd",$D17="6 dd",$D17="8 dd",$D17="12 dd",$D17="an",$D17="1 X"),VLOOKUP($D17,ber_tijden!$A$16:$X$25,ber_tijden!T$14,FALSE),"")</f>
        <v/>
      </c>
      <c r="AA17" s="17" t="str">
        <f>IF(OR($D17="1 dd",$D17="2 dd",$D17="3 dd",$D17="4 dd",$D17="6 dd",$D17="8 dd",$D17="12 dd",$D17="an",$D17="1 X"),VLOOKUP($D17,ber_tijden!$A$16:$X$25,ber_tijden!U$14,FALSE),"")</f>
        <v/>
      </c>
      <c r="AB17" s="174" t="str">
        <f>IF(OR($D17="1 dd",$D17="2 dd",$D17="3 dd",$D17="4 dd",$D17="6 dd",$D17="8 dd",$D17="12 dd",$D17="an",$D17="1 X"),VLOOKUP($D17,ber_tijden!$A$16:$X$25,ber_tijden!V$14,FALSE),"")</f>
        <v/>
      </c>
      <c r="AC17" s="17" t="str">
        <f>IF(OR($D17="1 dd",$D17="2 dd",$D17="3 dd",$D17="4 dd",$D17="6 dd",$D17="8 dd",$D17="12 dd",$D17="an",$D17="1 X"),VLOOKUP($D17,ber_tijden!$A$16:$X$25,ber_tijden!W$14,FALSE),"")</f>
        <v/>
      </c>
      <c r="AD17" s="174" t="str">
        <f>IF(OR($D17="1 dd",$D17="2 dd",$D17="3 dd",$D17="4 dd",$D17="6 dd",$D17="8 dd",$D17="12 dd",$D17="an",$D17="1 X"),VLOOKUP($D17,ber_tijden!$A$16:$X$25,ber_tijden!X$14,FALSE),"")</f>
        <v/>
      </c>
      <c r="AE17" s="19"/>
      <c r="AF17" s="173"/>
      <c r="AG17" s="19"/>
    </row>
    <row r="18" spans="2:33" ht="26.1" customHeight="1" x14ac:dyDescent="0.35">
      <c r="B18" s="175" t="str">
        <f>IF(C18&lt;&gt;" ",Med_disc!C36,"")</f>
        <v/>
      </c>
      <c r="C18" s="343" t="str">
        <f>IF(ber_Med_disc!C17&lt;&gt;"",IF(ber_Med_disc!C17&gt;1,TRIM(ber_Med_disc!C17)&amp;", "&amp;ber_Opm!C31&amp;" ("&amp;ber_Med_disc!L17&amp;" "&amp;ber_Med_disc!E17&amp;"/kg/dag)",TRIM(ber_Med_disc!C17)&amp;", "&amp;ber_Opm!C31),"")</f>
        <v/>
      </c>
      <c r="D18" s="344" t="str">
        <f>IF(Med_disc!H36&lt;&gt;"",Med_disc!H36,"")</f>
        <v/>
      </c>
      <c r="E18" s="345" t="str">
        <f>IF(AND(D18&lt;&gt;"",D18&lt;&gt;"STOP"),ber_Med_disc!G17&amp;" "&amp;ber_Med_disc!E17,"")</f>
        <v/>
      </c>
      <c r="F18" s="345" t="str">
        <f>IF(AND(D18&lt;&gt;"",D18&lt;&gt;"STOP"),ber_Med_disc!K17," ")</f>
        <v xml:space="preserve"> </v>
      </c>
      <c r="G18" s="345" t="str">
        <f>IF(Med_disc!L36&lt;&gt;"",Med_disc!L36&amp;" "&amp;Med_disc!M36&amp;" "&amp;INDEX(ber_Med_disc!$B$27:$B$30,ber_Med_disc!N17,1)&amp;" in "&amp;Med_disc!$O$36,"")</f>
        <v/>
      </c>
      <c r="H18" s="174" t="str">
        <f>IF(OR($D18="1 dd",$D18="2 dd",$D18="3 dd",$D18="4 dd",$D18="6 dd",$D18="8 dd",$D18="12 dd",$D18="an",$D18="1 X"),VLOOKUP($D18,ber_tijden!$A$16:$X$25,ber_tijden!B$14,FALSE),"")</f>
        <v/>
      </c>
      <c r="I18" s="17" t="str">
        <f>IF(OR($D18="1 dd",$D18="2 dd",$D18="3 dd",$D18="4 dd",$D18="6 dd",$D18="8 dd",$D18="12 dd",$D18="an",$D18="1 X"),VLOOKUP($D18,ber_tijden!$A$16:$X$25,ber_tijden!C$14,FALSE),"")</f>
        <v/>
      </c>
      <c r="J18" s="174" t="str">
        <f>IF(OR($D18="1 dd",$D18="2 dd",$D18="3 dd",$D18="4 dd",$D18="6 dd",$D18="8 dd",$D18="12 dd",$D18="an",$D18="1 X"),VLOOKUP($D18,ber_tijden!$A$16:$X$25,ber_tijden!D$14,FALSE),"")</f>
        <v/>
      </c>
      <c r="K18" s="17" t="str">
        <f>IF(OR($D18="1 dd",$D18="2 dd",$D18="3 dd",$D18="4 dd",$D18="6 dd",$D18="8 dd",$D18="12 dd",$D18="an",$D18="1 X"),VLOOKUP($D18,ber_tijden!$A$16:$X$25,ber_tijden!E$14,FALSE),"")</f>
        <v/>
      </c>
      <c r="L18" s="174" t="str">
        <f>IF(OR($D18="1 dd",$D18="2 dd",$D18="3 dd",$D18="4 dd",$D18="6 dd",$D18="8 dd",$D18="12 dd",$D18="an",$D18="1 X"),VLOOKUP($D18,ber_tijden!$A$16:$X$25,ber_tijden!F$14,FALSE),"")</f>
        <v/>
      </c>
      <c r="M18" s="17" t="str">
        <f>IF(OR($D18="1 dd",$D18="2 dd",$D18="3 dd",$D18="4 dd",$D18="6 dd",$D18="8 dd",$D18="12 dd",$D18="an",$D18="1 X"),VLOOKUP($D18,ber_tijden!$A$16:$X$25,ber_tijden!G$14,FALSE),"")</f>
        <v/>
      </c>
      <c r="N18" s="174" t="str">
        <f>IF(OR($D18="1 dd",$D18="2 dd",$D18="3 dd",$D18="4 dd",$D18="6 dd",$D18="8 dd",$D18="12 dd",$D18="an",$D18="1 X"),VLOOKUP($D18,ber_tijden!$A$16:$X$25,ber_tijden!H$14,FALSE),"")</f>
        <v/>
      </c>
      <c r="O18" s="17" t="str">
        <f>IF(OR($D18="1 dd",$D18="2 dd",$D18="3 dd",$D18="4 dd",$D18="6 dd",$D18="8 dd",$D18="12 dd",$D18="an",$D18="1 X"),VLOOKUP($D18,ber_tijden!$A$16:$X$25,ber_tijden!I$14,FALSE),"")</f>
        <v/>
      </c>
      <c r="P18" s="174" t="str">
        <f>IF(OR($D18="1 dd",$D18="2 dd",$D18="3 dd",$D18="4 dd",$D18="6 dd",$D18="8 dd",$D18="12 dd",$D18="an",$D18="1 X"),VLOOKUP($D18,ber_tijden!$A$16:$X$25,ber_tijden!J$14,FALSE),"")</f>
        <v/>
      </c>
      <c r="Q18" s="17" t="str">
        <f>IF(OR($D18="1 dd",$D18="2 dd",$D18="3 dd",$D18="4 dd",$D18="6 dd",$D18="8 dd",$D18="12 dd",$D18="an",$D18="1 X"),VLOOKUP($D18,ber_tijden!$A$16:$X$25,ber_tijden!K$14,FALSE),"")</f>
        <v/>
      </c>
      <c r="R18" s="174" t="str">
        <f>IF(OR($D18="1 dd",$D18="2 dd",$D18="3 dd",$D18="4 dd",$D18="6 dd",$D18="8 dd",$D18="12 dd",$D18="an",$D18="1 X"),VLOOKUP($D18,ber_tijden!$A$16:$X$25,ber_tijden!L$14,FALSE),"")</f>
        <v/>
      </c>
      <c r="S18" s="17" t="str">
        <f>IF(OR($D18="1 dd",$D18="2 dd",$D18="3 dd",$D18="4 dd",$D18="6 dd",$D18="8 dd",$D18="12 dd",$D18="an",$D18="1 X"),VLOOKUP($D18,ber_tijden!$A$16:$X$25,ber_tijden!M$14,FALSE),"")</f>
        <v/>
      </c>
      <c r="T18" s="174" t="str">
        <f>IF(OR($D18="1 dd",$D18="2 dd",$D18="3 dd",$D18="4 dd",$D18="6 dd",$D18="8 dd",$D18="12 dd",$D18="an",$D18="1 X"),VLOOKUP($D18,ber_tijden!$A$16:$X$25,ber_tijden!N$14,FALSE),"")</f>
        <v/>
      </c>
      <c r="U18" s="17" t="str">
        <f>IF(OR($D18="1 dd",$D18="2 dd",$D18="3 dd",$D18="4 dd",$D18="6 dd",$D18="8 dd",$D18="12 dd",$D18="an",$D18="1 X"),VLOOKUP($D18,ber_tijden!$A$16:$X$25,ber_tijden!O$14,FALSE),"")</f>
        <v/>
      </c>
      <c r="V18" s="174" t="str">
        <f>IF(OR($D18="1 dd",$D18="2 dd",$D18="3 dd",$D18="4 dd",$D18="6 dd",$D18="8 dd",$D18="12 dd",$D18="an",$D18="1 X"),VLOOKUP($D18,ber_tijden!$A$16:$X$25,ber_tijden!P$14,FALSE),"")</f>
        <v/>
      </c>
      <c r="W18" s="17" t="str">
        <f>IF(OR($D18="1 dd",$D18="2 dd",$D18="3 dd",$D18="4 dd",$D18="6 dd",$D18="8 dd",$D18="12 dd",$D18="an",$D18="1 X"),VLOOKUP($D18,ber_tijden!$A$16:$X$25,ber_tijden!Q$14,FALSE),"")</f>
        <v/>
      </c>
      <c r="X18" s="174" t="str">
        <f>IF(OR($D18="1 dd",$D18="2 dd",$D18="3 dd",$D18="4 dd",$D18="6 dd",$D18="8 dd",$D18="12 dd",$D18="an",$D18="1 X"),VLOOKUP($D18,ber_tijden!$A$16:$X$25,ber_tijden!R$14,FALSE),"")</f>
        <v/>
      </c>
      <c r="Y18" s="17" t="str">
        <f>IF(OR($D18="1 dd",$D18="2 dd",$D18="3 dd",$D18="4 dd",$D18="6 dd",$D18="8 dd",$D18="12 dd",$D18="an",$D18="1 X"),VLOOKUP($D18,ber_tijden!$A$16:$X$25,ber_tijden!S$14,FALSE),"")</f>
        <v/>
      </c>
      <c r="Z18" s="174" t="str">
        <f>IF(OR($D18="1 dd",$D18="2 dd",$D18="3 dd",$D18="4 dd",$D18="6 dd",$D18="8 dd",$D18="12 dd",$D18="an",$D18="1 X"),VLOOKUP($D18,ber_tijden!$A$16:$X$25,ber_tijden!T$14,FALSE),"")</f>
        <v/>
      </c>
      <c r="AA18" s="17" t="str">
        <f>IF(OR($D18="1 dd",$D18="2 dd",$D18="3 dd",$D18="4 dd",$D18="6 dd",$D18="8 dd",$D18="12 dd",$D18="an",$D18="1 X"),VLOOKUP($D18,ber_tijden!$A$16:$X$25,ber_tijden!U$14,FALSE),"")</f>
        <v/>
      </c>
      <c r="AB18" s="174" t="str">
        <f>IF(OR($D18="1 dd",$D18="2 dd",$D18="3 dd",$D18="4 dd",$D18="6 dd",$D18="8 dd",$D18="12 dd",$D18="an",$D18="1 X"),VLOOKUP($D18,ber_tijden!$A$16:$X$25,ber_tijden!V$14,FALSE),"")</f>
        <v/>
      </c>
      <c r="AC18" s="17" t="str">
        <f>IF(OR($D18="1 dd",$D18="2 dd",$D18="3 dd",$D18="4 dd",$D18="6 dd",$D18="8 dd",$D18="12 dd",$D18="an",$D18="1 X"),VLOOKUP($D18,ber_tijden!$A$16:$X$25,ber_tijden!W$14,FALSE),"")</f>
        <v/>
      </c>
      <c r="AD18" s="174" t="str">
        <f>IF(OR($D18="1 dd",$D18="2 dd",$D18="3 dd",$D18="4 dd",$D18="6 dd",$D18="8 dd",$D18="12 dd",$D18="an",$D18="1 X"),VLOOKUP($D18,ber_tijden!$A$16:$X$25,ber_tijden!X$14,FALSE),"")</f>
        <v/>
      </c>
      <c r="AE18" s="19"/>
      <c r="AF18" s="173"/>
      <c r="AG18" s="19"/>
    </row>
    <row r="19" spans="2:33" ht="26.1" customHeight="1" x14ac:dyDescent="0.35">
      <c r="B19" s="175" t="str">
        <f>IF(C19&lt;&gt;" ",Med_disc!C38,"")</f>
        <v/>
      </c>
      <c r="C19" s="343" t="str">
        <f>IF(ber_Med_disc!C18&lt;&gt;"",IF(ber_Med_disc!C18&gt;1,TRIM(ber_Med_disc!C18)&amp;", "&amp;ber_Opm!C32&amp;" ("&amp;ber_Med_disc!L18&amp;" "&amp;ber_Med_disc!E18&amp;"/kg/dag)",TRIM(ber_Med_disc!C18)&amp;", "&amp;ber_Opm!C32),"")</f>
        <v/>
      </c>
      <c r="D19" s="344" t="str">
        <f>IF(Med_disc!H38&lt;&gt;"",Med_disc!H38,"")</f>
        <v/>
      </c>
      <c r="E19" s="345" t="str">
        <f>IF(AND(D19&lt;&gt;"",D19&lt;&gt;"STOP"),ber_Med_disc!G18&amp;" "&amp;ber_Med_disc!E18,"")</f>
        <v/>
      </c>
      <c r="F19" s="345" t="str">
        <f>IF(AND(D19&lt;&gt;"",D19&lt;&gt;"STOP"),ber_Med_disc!K18," ")</f>
        <v xml:space="preserve"> </v>
      </c>
      <c r="G19" s="345" t="str">
        <f>IF(Med_disc!L38&lt;&gt;"",Med_disc!L38&amp;" "&amp;Med_disc!M38&amp;" "&amp;INDEX(ber_Med_disc!$B$27:$B$30,ber_Med_disc!N18,1)&amp;" in "&amp;Med_disc!$O$38,"")</f>
        <v/>
      </c>
      <c r="H19" s="174" t="str">
        <f>IF(OR($D19="1 dd",$D19="2 dd",$D19="3 dd",$D19="4 dd",$D19="6 dd",$D19="8 dd",$D19="12 dd",$D19="an",$D19="1 X"),VLOOKUP($D19,ber_tijden!$A$16:$X$25,ber_tijden!B$14,FALSE),"")</f>
        <v/>
      </c>
      <c r="I19" s="17" t="str">
        <f>IF(OR($D19="1 dd",$D19="2 dd",$D19="3 dd",$D19="4 dd",$D19="6 dd",$D19="8 dd",$D19="12 dd",$D19="an",$D19="1 X"),VLOOKUP($D19,ber_tijden!$A$16:$X$25,ber_tijden!C$14,FALSE),"")</f>
        <v/>
      </c>
      <c r="J19" s="174" t="str">
        <f>IF(OR($D19="1 dd",$D19="2 dd",$D19="3 dd",$D19="4 dd",$D19="6 dd",$D19="8 dd",$D19="12 dd",$D19="an",$D19="1 X"),VLOOKUP($D19,ber_tijden!$A$16:$X$25,ber_tijden!D$14,FALSE),"")</f>
        <v/>
      </c>
      <c r="K19" s="17" t="str">
        <f>IF(OR($D19="1 dd",$D19="2 dd",$D19="3 dd",$D19="4 dd",$D19="6 dd",$D19="8 dd",$D19="12 dd",$D19="an",$D19="1 X"),VLOOKUP($D19,ber_tijden!$A$16:$X$25,ber_tijden!E$14,FALSE),"")</f>
        <v/>
      </c>
      <c r="L19" s="174" t="str">
        <f>IF(OR($D19="1 dd",$D19="2 dd",$D19="3 dd",$D19="4 dd",$D19="6 dd",$D19="8 dd",$D19="12 dd",$D19="an",$D19="1 X"),VLOOKUP($D19,ber_tijden!$A$16:$X$25,ber_tijden!F$14,FALSE),"")</f>
        <v/>
      </c>
      <c r="M19" s="17" t="str">
        <f>IF(OR($D19="1 dd",$D19="2 dd",$D19="3 dd",$D19="4 dd",$D19="6 dd",$D19="8 dd",$D19="12 dd",$D19="an",$D19="1 X"),VLOOKUP($D19,ber_tijden!$A$16:$X$25,ber_tijden!G$14,FALSE),"")</f>
        <v/>
      </c>
      <c r="N19" s="174" t="str">
        <f>IF(OR($D19="1 dd",$D19="2 dd",$D19="3 dd",$D19="4 dd",$D19="6 dd",$D19="8 dd",$D19="12 dd",$D19="an",$D19="1 X"),VLOOKUP($D19,ber_tijden!$A$16:$X$25,ber_tijden!H$14,FALSE),"")</f>
        <v/>
      </c>
      <c r="O19" s="17" t="str">
        <f>IF(OR($D19="1 dd",$D19="2 dd",$D19="3 dd",$D19="4 dd",$D19="6 dd",$D19="8 dd",$D19="12 dd",$D19="an",$D19="1 X"),VLOOKUP($D19,ber_tijden!$A$16:$X$25,ber_tijden!I$14,FALSE),"")</f>
        <v/>
      </c>
      <c r="P19" s="174" t="str">
        <f>IF(OR($D19="1 dd",$D19="2 dd",$D19="3 dd",$D19="4 dd",$D19="6 dd",$D19="8 dd",$D19="12 dd",$D19="an",$D19="1 X"),VLOOKUP($D19,ber_tijden!$A$16:$X$25,ber_tijden!J$14,FALSE),"")</f>
        <v/>
      </c>
      <c r="Q19" s="17" t="str">
        <f>IF(OR($D19="1 dd",$D19="2 dd",$D19="3 dd",$D19="4 dd",$D19="6 dd",$D19="8 dd",$D19="12 dd",$D19="an",$D19="1 X"),VLOOKUP($D19,ber_tijden!$A$16:$X$25,ber_tijden!K$14,FALSE),"")</f>
        <v/>
      </c>
      <c r="R19" s="174" t="str">
        <f>IF(OR($D19="1 dd",$D19="2 dd",$D19="3 dd",$D19="4 dd",$D19="6 dd",$D19="8 dd",$D19="12 dd",$D19="an",$D19="1 X"),VLOOKUP($D19,ber_tijden!$A$16:$X$25,ber_tijden!L$14,FALSE),"")</f>
        <v/>
      </c>
      <c r="S19" s="17" t="str">
        <f>IF(OR($D19="1 dd",$D19="2 dd",$D19="3 dd",$D19="4 dd",$D19="6 dd",$D19="8 dd",$D19="12 dd",$D19="an",$D19="1 X"),VLOOKUP($D19,ber_tijden!$A$16:$X$25,ber_tijden!M$14,FALSE),"")</f>
        <v/>
      </c>
      <c r="T19" s="174" t="str">
        <f>IF(OR($D19="1 dd",$D19="2 dd",$D19="3 dd",$D19="4 dd",$D19="6 dd",$D19="8 dd",$D19="12 dd",$D19="an",$D19="1 X"),VLOOKUP($D19,ber_tijden!$A$16:$X$25,ber_tijden!N$14,FALSE),"")</f>
        <v/>
      </c>
      <c r="U19" s="17" t="str">
        <f>IF(OR($D19="1 dd",$D19="2 dd",$D19="3 dd",$D19="4 dd",$D19="6 dd",$D19="8 dd",$D19="12 dd",$D19="an",$D19="1 X"),VLOOKUP($D19,ber_tijden!$A$16:$X$25,ber_tijden!O$14,FALSE),"")</f>
        <v/>
      </c>
      <c r="V19" s="174" t="str">
        <f>IF(OR($D19="1 dd",$D19="2 dd",$D19="3 dd",$D19="4 dd",$D19="6 dd",$D19="8 dd",$D19="12 dd",$D19="an",$D19="1 X"),VLOOKUP($D19,ber_tijden!$A$16:$X$25,ber_tijden!P$14,FALSE),"")</f>
        <v/>
      </c>
      <c r="W19" s="17" t="str">
        <f>IF(OR($D19="1 dd",$D19="2 dd",$D19="3 dd",$D19="4 dd",$D19="6 dd",$D19="8 dd",$D19="12 dd",$D19="an",$D19="1 X"),VLOOKUP($D19,ber_tijden!$A$16:$X$25,ber_tijden!Q$14,FALSE),"")</f>
        <v/>
      </c>
      <c r="X19" s="174" t="str">
        <f>IF(OR($D19="1 dd",$D19="2 dd",$D19="3 dd",$D19="4 dd",$D19="6 dd",$D19="8 dd",$D19="12 dd",$D19="an",$D19="1 X"),VLOOKUP($D19,ber_tijden!$A$16:$X$25,ber_tijden!R$14,FALSE),"")</f>
        <v/>
      </c>
      <c r="Y19" s="17" t="str">
        <f>IF(OR($D19="1 dd",$D19="2 dd",$D19="3 dd",$D19="4 dd",$D19="6 dd",$D19="8 dd",$D19="12 dd",$D19="an",$D19="1 X"),VLOOKUP($D19,ber_tijden!$A$16:$X$25,ber_tijden!S$14,FALSE),"")</f>
        <v/>
      </c>
      <c r="Z19" s="174" t="str">
        <f>IF(OR($D19="1 dd",$D19="2 dd",$D19="3 dd",$D19="4 dd",$D19="6 dd",$D19="8 dd",$D19="12 dd",$D19="an",$D19="1 X"),VLOOKUP($D19,ber_tijden!$A$16:$X$25,ber_tijden!T$14,FALSE),"")</f>
        <v/>
      </c>
      <c r="AA19" s="17" t="str">
        <f>IF(OR($D19="1 dd",$D19="2 dd",$D19="3 dd",$D19="4 dd",$D19="6 dd",$D19="8 dd",$D19="12 dd",$D19="an",$D19="1 X"),VLOOKUP($D19,ber_tijden!$A$16:$X$25,ber_tijden!U$14,FALSE),"")</f>
        <v/>
      </c>
      <c r="AB19" s="174" t="str">
        <f>IF(OR($D19="1 dd",$D19="2 dd",$D19="3 dd",$D19="4 dd",$D19="6 dd",$D19="8 dd",$D19="12 dd",$D19="an",$D19="1 X"),VLOOKUP($D19,ber_tijden!$A$16:$X$25,ber_tijden!V$14,FALSE),"")</f>
        <v/>
      </c>
      <c r="AC19" s="17" t="str">
        <f>IF(OR($D19="1 dd",$D19="2 dd",$D19="3 dd",$D19="4 dd",$D19="6 dd",$D19="8 dd",$D19="12 dd",$D19="an",$D19="1 X"),VLOOKUP($D19,ber_tijden!$A$16:$X$25,ber_tijden!W$14,FALSE),"")</f>
        <v/>
      </c>
      <c r="AD19" s="174" t="str">
        <f>IF(OR($D19="1 dd",$D19="2 dd",$D19="3 dd",$D19="4 dd",$D19="6 dd",$D19="8 dd",$D19="12 dd",$D19="an",$D19="1 X"),VLOOKUP($D19,ber_tijden!$A$16:$X$25,ber_tijden!X$14,FALSE),"")</f>
        <v/>
      </c>
      <c r="AE19" s="19"/>
      <c r="AF19" s="173"/>
      <c r="AG19" s="19"/>
    </row>
    <row r="20" spans="2:33" ht="26.1" customHeight="1" x14ac:dyDescent="0.35">
      <c r="B20" s="175" t="str">
        <f>IF(C20&lt;&gt;" ",Med_disc!C40,"")</f>
        <v/>
      </c>
      <c r="C20" s="343" t="str">
        <f>IF(ber_Med_disc!C19&lt;&gt;"",IF(ber_Med_disc!C19&gt;1,TRIM(ber_Med_disc!C19)&amp;", "&amp;ber_Opm!C33&amp;" ("&amp;ber_Med_disc!L19&amp;" "&amp;ber_Med_disc!E19&amp;"/kg/dag)",TRIM(ber_Med_disc!C19)&amp;", "&amp;ber_Opm!C33),"")</f>
        <v/>
      </c>
      <c r="D20" s="344" t="str">
        <f>IF(Med_disc!H40&lt;&gt;"",Med_disc!H40,"")</f>
        <v/>
      </c>
      <c r="E20" s="345" t="str">
        <f>IF(AND(D20&lt;&gt;"",D20&lt;&gt;"STOP"),ber_Med_disc!G19&amp;" "&amp;ber_Med_disc!E19,"")</f>
        <v/>
      </c>
      <c r="F20" s="345" t="str">
        <f>IF(AND(D20&lt;&gt;"",D20&lt;&gt;"STOP"),ber_Med_disc!K19," ")</f>
        <v xml:space="preserve"> </v>
      </c>
      <c r="G20" s="345" t="str">
        <f>IF(Med_disc!L40&lt;&gt;"",Med_disc!L40&amp;" "&amp;Med_disc!M40&amp;" "&amp;INDEX(ber_Med_disc!$B$27:$B$30,ber_Med_disc!N19,1)&amp;" in "&amp;Med_disc!$O$40,"")</f>
        <v/>
      </c>
      <c r="H20" s="174" t="str">
        <f>IF(OR($D20="1 dd",$D20="2 dd",$D20="3 dd",$D20="4 dd",$D20="6 dd",$D20="8 dd",$D20="12 dd",$D20="an",$D20="1 X"),VLOOKUP($D20,ber_tijden!$A$16:$X$25,ber_tijden!B$14,FALSE),"")</f>
        <v/>
      </c>
      <c r="I20" s="17" t="str">
        <f>IF(OR($D20="1 dd",$D20="2 dd",$D20="3 dd",$D20="4 dd",$D20="6 dd",$D20="8 dd",$D20="12 dd",$D20="an",$D20="1 X"),VLOOKUP($D20,ber_tijden!$A$16:$X$25,ber_tijden!C$14,FALSE),"")</f>
        <v/>
      </c>
      <c r="J20" s="174" t="str">
        <f>IF(OR($D20="1 dd",$D20="2 dd",$D20="3 dd",$D20="4 dd",$D20="6 dd",$D20="8 dd",$D20="12 dd",$D20="an",$D20="1 X"),VLOOKUP($D20,ber_tijden!$A$16:$X$25,ber_tijden!D$14,FALSE),"")</f>
        <v/>
      </c>
      <c r="K20" s="17" t="str">
        <f>IF(OR($D20="1 dd",$D20="2 dd",$D20="3 dd",$D20="4 dd",$D20="6 dd",$D20="8 dd",$D20="12 dd",$D20="an",$D20="1 X"),VLOOKUP($D20,ber_tijden!$A$16:$X$25,ber_tijden!E$14,FALSE),"")</f>
        <v/>
      </c>
      <c r="L20" s="174" t="str">
        <f>IF(OR($D20="1 dd",$D20="2 dd",$D20="3 dd",$D20="4 dd",$D20="6 dd",$D20="8 dd",$D20="12 dd",$D20="an",$D20="1 X"),VLOOKUP($D20,ber_tijden!$A$16:$X$25,ber_tijden!F$14,FALSE),"")</f>
        <v/>
      </c>
      <c r="M20" s="17" t="str">
        <f>IF(OR($D20="1 dd",$D20="2 dd",$D20="3 dd",$D20="4 dd",$D20="6 dd",$D20="8 dd",$D20="12 dd",$D20="an",$D20="1 X"),VLOOKUP($D20,ber_tijden!$A$16:$X$25,ber_tijden!G$14,FALSE),"")</f>
        <v/>
      </c>
      <c r="N20" s="174" t="str">
        <f>IF(OR($D20="1 dd",$D20="2 dd",$D20="3 dd",$D20="4 dd",$D20="6 dd",$D20="8 dd",$D20="12 dd",$D20="an",$D20="1 X"),VLOOKUP($D20,ber_tijden!$A$16:$X$25,ber_tijden!H$14,FALSE),"")</f>
        <v/>
      </c>
      <c r="O20" s="17" t="str">
        <f>IF(OR($D20="1 dd",$D20="2 dd",$D20="3 dd",$D20="4 dd",$D20="6 dd",$D20="8 dd",$D20="12 dd",$D20="an",$D20="1 X"),VLOOKUP($D20,ber_tijden!$A$16:$X$25,ber_tijden!I$14,FALSE),"")</f>
        <v/>
      </c>
      <c r="P20" s="174" t="str">
        <f>IF(OR($D20="1 dd",$D20="2 dd",$D20="3 dd",$D20="4 dd",$D20="6 dd",$D20="8 dd",$D20="12 dd",$D20="an",$D20="1 X"),VLOOKUP($D20,ber_tijden!$A$16:$X$25,ber_tijden!J$14,FALSE),"")</f>
        <v/>
      </c>
      <c r="Q20" s="17" t="str">
        <f>IF(OR($D20="1 dd",$D20="2 dd",$D20="3 dd",$D20="4 dd",$D20="6 dd",$D20="8 dd",$D20="12 dd",$D20="an",$D20="1 X"),VLOOKUP($D20,ber_tijden!$A$16:$X$25,ber_tijden!K$14,FALSE),"")</f>
        <v/>
      </c>
      <c r="R20" s="174" t="str">
        <f>IF(OR($D20="1 dd",$D20="2 dd",$D20="3 dd",$D20="4 dd",$D20="6 dd",$D20="8 dd",$D20="12 dd",$D20="an",$D20="1 X"),VLOOKUP($D20,ber_tijden!$A$16:$X$25,ber_tijden!L$14,FALSE),"")</f>
        <v/>
      </c>
      <c r="S20" s="17" t="str">
        <f>IF(OR($D20="1 dd",$D20="2 dd",$D20="3 dd",$D20="4 dd",$D20="6 dd",$D20="8 dd",$D20="12 dd",$D20="an",$D20="1 X"),VLOOKUP($D20,ber_tijden!$A$16:$X$25,ber_tijden!M$14,FALSE),"")</f>
        <v/>
      </c>
      <c r="T20" s="174" t="str">
        <f>IF(OR($D20="1 dd",$D20="2 dd",$D20="3 dd",$D20="4 dd",$D20="6 dd",$D20="8 dd",$D20="12 dd",$D20="an",$D20="1 X"),VLOOKUP($D20,ber_tijden!$A$16:$X$25,ber_tijden!N$14,FALSE),"")</f>
        <v/>
      </c>
      <c r="U20" s="17" t="str">
        <f>IF(OR($D20="1 dd",$D20="2 dd",$D20="3 dd",$D20="4 dd",$D20="6 dd",$D20="8 dd",$D20="12 dd",$D20="an",$D20="1 X"),VLOOKUP($D20,ber_tijden!$A$16:$X$25,ber_tijden!O$14,FALSE),"")</f>
        <v/>
      </c>
      <c r="V20" s="174" t="str">
        <f>IF(OR($D20="1 dd",$D20="2 dd",$D20="3 dd",$D20="4 dd",$D20="6 dd",$D20="8 dd",$D20="12 dd",$D20="an",$D20="1 X"),VLOOKUP($D20,ber_tijden!$A$16:$X$25,ber_tijden!P$14,FALSE),"")</f>
        <v/>
      </c>
      <c r="W20" s="17" t="str">
        <f>IF(OR($D20="1 dd",$D20="2 dd",$D20="3 dd",$D20="4 dd",$D20="6 dd",$D20="8 dd",$D20="12 dd",$D20="an",$D20="1 X"),VLOOKUP($D20,ber_tijden!$A$16:$X$25,ber_tijden!Q$14,FALSE),"")</f>
        <v/>
      </c>
      <c r="X20" s="174" t="str">
        <f>IF(OR($D20="1 dd",$D20="2 dd",$D20="3 dd",$D20="4 dd",$D20="6 dd",$D20="8 dd",$D20="12 dd",$D20="an",$D20="1 X"),VLOOKUP($D20,ber_tijden!$A$16:$X$25,ber_tijden!R$14,FALSE),"")</f>
        <v/>
      </c>
      <c r="Y20" s="17" t="str">
        <f>IF(OR($D20="1 dd",$D20="2 dd",$D20="3 dd",$D20="4 dd",$D20="6 dd",$D20="8 dd",$D20="12 dd",$D20="an",$D20="1 X"),VLOOKUP($D20,ber_tijden!$A$16:$X$25,ber_tijden!S$14,FALSE),"")</f>
        <v/>
      </c>
      <c r="Z20" s="174" t="str">
        <f>IF(OR($D20="1 dd",$D20="2 dd",$D20="3 dd",$D20="4 dd",$D20="6 dd",$D20="8 dd",$D20="12 dd",$D20="an",$D20="1 X"),VLOOKUP($D20,ber_tijden!$A$16:$X$25,ber_tijden!T$14,FALSE),"")</f>
        <v/>
      </c>
      <c r="AA20" s="17" t="str">
        <f>IF(OR($D20="1 dd",$D20="2 dd",$D20="3 dd",$D20="4 dd",$D20="6 dd",$D20="8 dd",$D20="12 dd",$D20="an",$D20="1 X"),VLOOKUP($D20,ber_tijden!$A$16:$X$25,ber_tijden!U$14,FALSE),"")</f>
        <v/>
      </c>
      <c r="AB20" s="174" t="str">
        <f>IF(OR($D20="1 dd",$D20="2 dd",$D20="3 dd",$D20="4 dd",$D20="6 dd",$D20="8 dd",$D20="12 dd",$D20="an",$D20="1 X"),VLOOKUP($D20,ber_tijden!$A$16:$X$25,ber_tijden!V$14,FALSE),"")</f>
        <v/>
      </c>
      <c r="AC20" s="17" t="str">
        <f>IF(OR($D20="1 dd",$D20="2 dd",$D20="3 dd",$D20="4 dd",$D20="6 dd",$D20="8 dd",$D20="12 dd",$D20="an",$D20="1 X"),VLOOKUP($D20,ber_tijden!$A$16:$X$25,ber_tijden!W$14,FALSE),"")</f>
        <v/>
      </c>
      <c r="AD20" s="174" t="str">
        <f>IF(OR($D20="1 dd",$D20="2 dd",$D20="3 dd",$D20="4 dd",$D20="6 dd",$D20="8 dd",$D20="12 dd",$D20="an",$D20="1 X"),VLOOKUP($D20,ber_tijden!$A$16:$X$25,ber_tijden!X$14,FALSE),"")</f>
        <v/>
      </c>
      <c r="AE20" s="19"/>
      <c r="AF20" s="173"/>
      <c r="AG20" s="19"/>
    </row>
    <row r="21" spans="2:33" ht="26.1" customHeight="1" x14ac:dyDescent="0.35">
      <c r="B21" s="175" t="str">
        <f>IF(C21&lt;&gt;" ",Med_disc!C42,"")</f>
        <v/>
      </c>
      <c r="C21" s="343" t="str">
        <f>IF(ber_Med_disc!C20&lt;&gt;"",IF(ber_Med_disc!C20&gt;1,TRIM(ber_Med_disc!C20)&amp;", "&amp;ber_Opm!C34&amp;" ("&amp;ber_Med_disc!L20&amp;" "&amp;ber_Med_disc!E20&amp;"/kg/dag)",TRIM(ber_Med_disc!C20)&amp;", "&amp;ber_Opm!C34),"")</f>
        <v/>
      </c>
      <c r="D21" s="344" t="str">
        <f>IF(Med_disc!H42&lt;&gt;"",Med_disc!H42,"")</f>
        <v/>
      </c>
      <c r="E21" s="345" t="str">
        <f>IF(AND(D21&lt;&gt;"",D21&lt;&gt;"STOP"),ber_Med_disc!G20&amp;" "&amp;ber_Med_disc!E20,"")</f>
        <v/>
      </c>
      <c r="F21" s="345" t="str">
        <f>IF(AND(D21&lt;&gt;"",D21&lt;&gt;"STOP"),ber_Med_disc!K20," ")</f>
        <v xml:space="preserve"> </v>
      </c>
      <c r="G21" s="345" t="str">
        <f>IF(Med_disc!L42&lt;&gt;"",Med_disc!L42&amp;" "&amp;Med_disc!M42&amp;" "&amp;INDEX(ber_Med_disc!$B$27:$B$30,ber_Med_disc!N20,1)&amp;" in "&amp;Med_disc!$O$42,"")</f>
        <v/>
      </c>
      <c r="H21" s="174" t="str">
        <f>IF(OR($D21="1 dd",$D21="2 dd",$D21="3 dd",$D21="4 dd",$D21="6 dd",$D21="8 dd",$D21="12 dd",$D21="an",$D21="1 X"),VLOOKUP($D21,ber_tijden!$A$16:$X$25,ber_tijden!B$14,FALSE),"")</f>
        <v/>
      </c>
      <c r="I21" s="17" t="str">
        <f>IF(OR($D21="1 dd",$D21="2 dd",$D21="3 dd",$D21="4 dd",$D21="6 dd",$D21="8 dd",$D21="12 dd",$D21="an",$D21="1 X"),VLOOKUP($D21,ber_tijden!$A$16:$X$25,ber_tijden!C$14,FALSE),"")</f>
        <v/>
      </c>
      <c r="J21" s="174" t="str">
        <f>IF(OR($D21="1 dd",$D21="2 dd",$D21="3 dd",$D21="4 dd",$D21="6 dd",$D21="8 dd",$D21="12 dd",$D21="an",$D21="1 X"),VLOOKUP($D21,ber_tijden!$A$16:$X$25,ber_tijden!D$14,FALSE),"")</f>
        <v/>
      </c>
      <c r="K21" s="17" t="str">
        <f>IF(OR($D21="1 dd",$D21="2 dd",$D21="3 dd",$D21="4 dd",$D21="6 dd",$D21="8 dd",$D21="12 dd",$D21="an",$D21="1 X"),VLOOKUP($D21,ber_tijden!$A$16:$X$25,ber_tijden!E$14,FALSE),"")</f>
        <v/>
      </c>
      <c r="L21" s="174" t="str">
        <f>IF(OR($D21="1 dd",$D21="2 dd",$D21="3 dd",$D21="4 dd",$D21="6 dd",$D21="8 dd",$D21="12 dd",$D21="an",$D21="1 X"),VLOOKUP($D21,ber_tijden!$A$16:$X$25,ber_tijden!F$14,FALSE),"")</f>
        <v/>
      </c>
      <c r="M21" s="17" t="str">
        <f>IF(OR($D21="1 dd",$D21="2 dd",$D21="3 dd",$D21="4 dd",$D21="6 dd",$D21="8 dd",$D21="12 dd",$D21="an",$D21="1 X"),VLOOKUP($D21,ber_tijden!$A$16:$X$25,ber_tijden!G$14,FALSE),"")</f>
        <v/>
      </c>
      <c r="N21" s="174" t="str">
        <f>IF(OR($D21="1 dd",$D21="2 dd",$D21="3 dd",$D21="4 dd",$D21="6 dd",$D21="8 dd",$D21="12 dd",$D21="an",$D21="1 X"),VLOOKUP($D21,ber_tijden!$A$16:$X$25,ber_tijden!H$14,FALSE),"")</f>
        <v/>
      </c>
      <c r="O21" s="17" t="str">
        <f>IF(OR($D21="1 dd",$D21="2 dd",$D21="3 dd",$D21="4 dd",$D21="6 dd",$D21="8 dd",$D21="12 dd",$D21="an",$D21="1 X"),VLOOKUP($D21,ber_tijden!$A$16:$X$25,ber_tijden!I$14,FALSE),"")</f>
        <v/>
      </c>
      <c r="P21" s="174" t="str">
        <f>IF(OR($D21="1 dd",$D21="2 dd",$D21="3 dd",$D21="4 dd",$D21="6 dd",$D21="8 dd",$D21="12 dd",$D21="an",$D21="1 X"),VLOOKUP($D21,ber_tijden!$A$16:$X$25,ber_tijden!J$14,FALSE),"")</f>
        <v/>
      </c>
      <c r="Q21" s="17" t="str">
        <f>IF(OR($D21="1 dd",$D21="2 dd",$D21="3 dd",$D21="4 dd",$D21="6 dd",$D21="8 dd",$D21="12 dd",$D21="an",$D21="1 X"),VLOOKUP($D21,ber_tijden!$A$16:$X$25,ber_tijden!K$14,FALSE),"")</f>
        <v/>
      </c>
      <c r="R21" s="174" t="str">
        <f>IF(OR($D21="1 dd",$D21="2 dd",$D21="3 dd",$D21="4 dd",$D21="6 dd",$D21="8 dd",$D21="12 dd",$D21="an",$D21="1 X"),VLOOKUP($D21,ber_tijden!$A$16:$X$25,ber_tijden!L$14,FALSE),"")</f>
        <v/>
      </c>
      <c r="S21" s="17" t="str">
        <f>IF(OR($D21="1 dd",$D21="2 dd",$D21="3 dd",$D21="4 dd",$D21="6 dd",$D21="8 dd",$D21="12 dd",$D21="an",$D21="1 X"),VLOOKUP($D21,ber_tijden!$A$16:$X$25,ber_tijden!M$14,FALSE),"")</f>
        <v/>
      </c>
      <c r="T21" s="174" t="str">
        <f>IF(OR($D21="1 dd",$D21="2 dd",$D21="3 dd",$D21="4 dd",$D21="6 dd",$D21="8 dd",$D21="12 dd",$D21="an",$D21="1 X"),VLOOKUP($D21,ber_tijden!$A$16:$X$25,ber_tijden!N$14,FALSE),"")</f>
        <v/>
      </c>
      <c r="U21" s="17" t="str">
        <f>IF(OR($D21="1 dd",$D21="2 dd",$D21="3 dd",$D21="4 dd",$D21="6 dd",$D21="8 dd",$D21="12 dd",$D21="an",$D21="1 X"),VLOOKUP($D21,ber_tijden!$A$16:$X$25,ber_tijden!O$14,FALSE),"")</f>
        <v/>
      </c>
      <c r="V21" s="174" t="str">
        <f>IF(OR($D21="1 dd",$D21="2 dd",$D21="3 dd",$D21="4 dd",$D21="6 dd",$D21="8 dd",$D21="12 dd",$D21="an",$D21="1 X"),VLOOKUP($D21,ber_tijden!$A$16:$X$25,ber_tijden!P$14,FALSE),"")</f>
        <v/>
      </c>
      <c r="W21" s="17" t="str">
        <f>IF(OR($D21="1 dd",$D21="2 dd",$D21="3 dd",$D21="4 dd",$D21="6 dd",$D21="8 dd",$D21="12 dd",$D21="an",$D21="1 X"),VLOOKUP($D21,ber_tijden!$A$16:$X$25,ber_tijden!Q$14,FALSE),"")</f>
        <v/>
      </c>
      <c r="X21" s="174" t="str">
        <f>IF(OR($D21="1 dd",$D21="2 dd",$D21="3 dd",$D21="4 dd",$D21="6 dd",$D21="8 dd",$D21="12 dd",$D21="an",$D21="1 X"),VLOOKUP($D21,ber_tijden!$A$16:$X$25,ber_tijden!R$14,FALSE),"")</f>
        <v/>
      </c>
      <c r="Y21" s="17" t="str">
        <f>IF(OR($D21="1 dd",$D21="2 dd",$D21="3 dd",$D21="4 dd",$D21="6 dd",$D21="8 dd",$D21="12 dd",$D21="an",$D21="1 X"),VLOOKUP($D21,ber_tijden!$A$16:$X$25,ber_tijden!S$14,FALSE),"")</f>
        <v/>
      </c>
      <c r="Z21" s="174" t="str">
        <f>IF(OR($D21="1 dd",$D21="2 dd",$D21="3 dd",$D21="4 dd",$D21="6 dd",$D21="8 dd",$D21="12 dd",$D21="an",$D21="1 X"),VLOOKUP($D21,ber_tijden!$A$16:$X$25,ber_tijden!T$14,FALSE),"")</f>
        <v/>
      </c>
      <c r="AA21" s="17" t="str">
        <f>IF(OR($D21="1 dd",$D21="2 dd",$D21="3 dd",$D21="4 dd",$D21="6 dd",$D21="8 dd",$D21="12 dd",$D21="an",$D21="1 X"),VLOOKUP($D21,ber_tijden!$A$16:$X$25,ber_tijden!U$14,FALSE),"")</f>
        <v/>
      </c>
      <c r="AB21" s="174" t="str">
        <f>IF(OR($D21="1 dd",$D21="2 dd",$D21="3 dd",$D21="4 dd",$D21="6 dd",$D21="8 dd",$D21="12 dd",$D21="an",$D21="1 X"),VLOOKUP($D21,ber_tijden!$A$16:$X$25,ber_tijden!V$14,FALSE),"")</f>
        <v/>
      </c>
      <c r="AC21" s="17" t="str">
        <f>IF(OR($D21="1 dd",$D21="2 dd",$D21="3 dd",$D21="4 dd",$D21="6 dd",$D21="8 dd",$D21="12 dd",$D21="an",$D21="1 X"),VLOOKUP($D21,ber_tijden!$A$16:$X$25,ber_tijden!W$14,FALSE),"")</f>
        <v/>
      </c>
      <c r="AD21" s="174" t="str">
        <f>IF(OR($D21="1 dd",$D21="2 dd",$D21="3 dd",$D21="4 dd",$D21="6 dd",$D21="8 dd",$D21="12 dd",$D21="an",$D21="1 X"),VLOOKUP($D21,ber_tijden!$A$16:$X$25,ber_tijden!X$14,FALSE),"")</f>
        <v/>
      </c>
      <c r="AE21" s="19"/>
      <c r="AF21" s="173"/>
      <c r="AG21" s="19"/>
    </row>
    <row r="22" spans="2:33" ht="26.1" customHeight="1" x14ac:dyDescent="0.35">
      <c r="B22" s="175" t="str">
        <f>IF(C22&lt;&gt;" ",Med_disc!C44,"")</f>
        <v/>
      </c>
      <c r="C22" s="343" t="str">
        <f>IF(ber_Med_disc!C21&lt;&gt;"",IF(ber_Med_disc!C21&gt;1,TRIM(ber_Med_disc!C21)&amp;", "&amp;ber_Opm!C35&amp;" ("&amp;ber_Med_disc!L21&amp;" "&amp;ber_Med_disc!E21&amp;"/kg/dag)",TRIM(ber_Med_disc!C21)&amp;", "&amp;ber_Opm!C35),"")</f>
        <v/>
      </c>
      <c r="D22" s="344" t="str">
        <f>IF(Med_disc!H44&lt;&gt;"",Med_disc!H44,"")</f>
        <v/>
      </c>
      <c r="E22" s="345" t="str">
        <f>IF(AND(D22&lt;&gt;"",D22&lt;&gt;"STOP"),ber_Med_disc!G21&amp;" "&amp;ber_Med_disc!E21,"")</f>
        <v/>
      </c>
      <c r="F22" s="345" t="str">
        <f>IF(AND(D22&lt;&gt;"",D22&lt;&gt;"STOP"),ber_Med_disc!K21," ")</f>
        <v xml:space="preserve"> </v>
      </c>
      <c r="G22" s="345" t="str">
        <f>IF(Med_disc!L44&lt;&gt;"",Med_disc!L44&amp;" "&amp;Med_disc!M44&amp;" "&amp;INDEX(ber_Med_disc!$B$27:$B$30,ber_Med_disc!N21,1)&amp;" in "&amp;Med_disc!$O$44,"")</f>
        <v/>
      </c>
      <c r="H22" s="174" t="str">
        <f>IF(OR($D22="1 dd",$D22="2 dd",$D22="3 dd",$D22="4 dd",$D22="6 dd",$D22="8 dd",$D22="12 dd",$D22="an",$D22="1 X"),VLOOKUP($D22,ber_tijden!$A$16:$X$25,ber_tijden!B$14,FALSE),"")</f>
        <v/>
      </c>
      <c r="I22" s="17" t="str">
        <f>IF(OR($D22="1 dd",$D22="2 dd",$D22="3 dd",$D22="4 dd",$D22="6 dd",$D22="8 dd",$D22="12 dd",$D22="an",$D22="1 X"),VLOOKUP($D22,ber_tijden!$A$16:$X$25,ber_tijden!C$14,FALSE),"")</f>
        <v/>
      </c>
      <c r="J22" s="174" t="str">
        <f>IF(OR($D22="1 dd",$D22="2 dd",$D22="3 dd",$D22="4 dd",$D22="6 dd",$D22="8 dd",$D22="12 dd",$D22="an",$D22="1 X"),VLOOKUP($D22,ber_tijden!$A$16:$X$25,ber_tijden!D$14,FALSE),"")</f>
        <v/>
      </c>
      <c r="K22" s="17" t="str">
        <f>IF(OR($D22="1 dd",$D22="2 dd",$D22="3 dd",$D22="4 dd",$D22="6 dd",$D22="8 dd",$D22="12 dd",$D22="an",$D22="1 X"),VLOOKUP($D22,ber_tijden!$A$16:$X$25,ber_tijden!E$14,FALSE),"")</f>
        <v/>
      </c>
      <c r="L22" s="174" t="str">
        <f>IF(OR($D22="1 dd",$D22="2 dd",$D22="3 dd",$D22="4 dd",$D22="6 dd",$D22="8 dd",$D22="12 dd",$D22="an",$D22="1 X"),VLOOKUP($D22,ber_tijden!$A$16:$X$25,ber_tijden!F$14,FALSE),"")</f>
        <v/>
      </c>
      <c r="M22" s="17" t="str">
        <f>IF(OR($D22="1 dd",$D22="2 dd",$D22="3 dd",$D22="4 dd",$D22="6 dd",$D22="8 dd",$D22="12 dd",$D22="an",$D22="1 X"),VLOOKUP($D22,ber_tijden!$A$16:$X$25,ber_tijden!G$14,FALSE),"")</f>
        <v/>
      </c>
      <c r="N22" s="174" t="str">
        <f>IF(OR($D22="1 dd",$D22="2 dd",$D22="3 dd",$D22="4 dd",$D22="6 dd",$D22="8 dd",$D22="12 dd",$D22="an",$D22="1 X"),VLOOKUP($D22,ber_tijden!$A$16:$X$25,ber_tijden!H$14,FALSE),"")</f>
        <v/>
      </c>
      <c r="O22" s="17" t="str">
        <f>IF(OR($D22="1 dd",$D22="2 dd",$D22="3 dd",$D22="4 dd",$D22="6 dd",$D22="8 dd",$D22="12 dd",$D22="an",$D22="1 X"),VLOOKUP($D22,ber_tijden!$A$16:$X$25,ber_tijden!I$14,FALSE),"")</f>
        <v/>
      </c>
      <c r="P22" s="174" t="str">
        <f>IF(OR($D22="1 dd",$D22="2 dd",$D22="3 dd",$D22="4 dd",$D22="6 dd",$D22="8 dd",$D22="12 dd",$D22="an",$D22="1 X"),VLOOKUP($D22,ber_tijden!$A$16:$X$25,ber_tijden!J$14,FALSE),"")</f>
        <v/>
      </c>
      <c r="Q22" s="17" t="str">
        <f>IF(OR($D22="1 dd",$D22="2 dd",$D22="3 dd",$D22="4 dd",$D22="6 dd",$D22="8 dd",$D22="12 dd",$D22="an",$D22="1 X"),VLOOKUP($D22,ber_tijden!$A$16:$X$25,ber_tijden!K$14,FALSE),"")</f>
        <v/>
      </c>
      <c r="R22" s="174" t="str">
        <f>IF(OR($D22="1 dd",$D22="2 dd",$D22="3 dd",$D22="4 dd",$D22="6 dd",$D22="8 dd",$D22="12 dd",$D22="an",$D22="1 X"),VLOOKUP($D22,ber_tijden!$A$16:$X$25,ber_tijden!L$14,FALSE),"")</f>
        <v/>
      </c>
      <c r="S22" s="17" t="str">
        <f>IF(OR($D22="1 dd",$D22="2 dd",$D22="3 dd",$D22="4 dd",$D22="6 dd",$D22="8 dd",$D22="12 dd",$D22="an",$D22="1 X"),VLOOKUP($D22,ber_tijden!$A$16:$X$25,ber_tijden!M$14,FALSE),"")</f>
        <v/>
      </c>
      <c r="T22" s="174" t="str">
        <f>IF(OR($D22="1 dd",$D22="2 dd",$D22="3 dd",$D22="4 dd",$D22="6 dd",$D22="8 dd",$D22="12 dd",$D22="an",$D22="1 X"),VLOOKUP($D22,ber_tijden!$A$16:$X$25,ber_tijden!N$14,FALSE),"")</f>
        <v/>
      </c>
      <c r="U22" s="17" t="str">
        <f>IF(OR($D22="1 dd",$D22="2 dd",$D22="3 dd",$D22="4 dd",$D22="6 dd",$D22="8 dd",$D22="12 dd",$D22="an",$D22="1 X"),VLOOKUP($D22,ber_tijden!$A$16:$X$25,ber_tijden!O$14,FALSE),"")</f>
        <v/>
      </c>
      <c r="V22" s="174" t="str">
        <f>IF(OR($D22="1 dd",$D22="2 dd",$D22="3 dd",$D22="4 dd",$D22="6 dd",$D22="8 dd",$D22="12 dd",$D22="an",$D22="1 X"),VLOOKUP($D22,ber_tijden!$A$16:$X$25,ber_tijden!P$14,FALSE),"")</f>
        <v/>
      </c>
      <c r="W22" s="17" t="str">
        <f>IF(OR($D22="1 dd",$D22="2 dd",$D22="3 dd",$D22="4 dd",$D22="6 dd",$D22="8 dd",$D22="12 dd",$D22="an",$D22="1 X"),VLOOKUP($D22,ber_tijden!$A$16:$X$25,ber_tijden!Q$14,FALSE),"")</f>
        <v/>
      </c>
      <c r="X22" s="174" t="str">
        <f>IF(OR($D22="1 dd",$D22="2 dd",$D22="3 dd",$D22="4 dd",$D22="6 dd",$D22="8 dd",$D22="12 dd",$D22="an",$D22="1 X"),VLOOKUP($D22,ber_tijden!$A$16:$X$25,ber_tijden!R$14,FALSE),"")</f>
        <v/>
      </c>
      <c r="Y22" s="17" t="str">
        <f>IF(OR($D22="1 dd",$D22="2 dd",$D22="3 dd",$D22="4 dd",$D22="6 dd",$D22="8 dd",$D22="12 dd",$D22="an",$D22="1 X"),VLOOKUP($D22,ber_tijden!$A$16:$X$25,ber_tijden!S$14,FALSE),"")</f>
        <v/>
      </c>
      <c r="Z22" s="174" t="str">
        <f>IF(OR($D22="1 dd",$D22="2 dd",$D22="3 dd",$D22="4 dd",$D22="6 dd",$D22="8 dd",$D22="12 dd",$D22="an",$D22="1 X"),VLOOKUP($D22,ber_tijden!$A$16:$X$25,ber_tijden!T$14,FALSE),"")</f>
        <v/>
      </c>
      <c r="AA22" s="17" t="str">
        <f>IF(OR($D22="1 dd",$D22="2 dd",$D22="3 dd",$D22="4 dd",$D22="6 dd",$D22="8 dd",$D22="12 dd",$D22="an",$D22="1 X"),VLOOKUP($D22,ber_tijden!$A$16:$X$25,ber_tijden!U$14,FALSE),"")</f>
        <v/>
      </c>
      <c r="AB22" s="174" t="str">
        <f>IF(OR($D22="1 dd",$D22="2 dd",$D22="3 dd",$D22="4 dd",$D22="6 dd",$D22="8 dd",$D22="12 dd",$D22="an",$D22="1 X"),VLOOKUP($D22,ber_tijden!$A$16:$X$25,ber_tijden!V$14,FALSE),"")</f>
        <v/>
      </c>
      <c r="AC22" s="17" t="str">
        <f>IF(OR($D22="1 dd",$D22="2 dd",$D22="3 dd",$D22="4 dd",$D22="6 dd",$D22="8 dd",$D22="12 dd",$D22="an",$D22="1 X"),VLOOKUP($D22,ber_tijden!$A$16:$X$25,ber_tijden!W$14,FALSE),"")</f>
        <v/>
      </c>
      <c r="AD22" s="174" t="str">
        <f>IF(OR($D22="1 dd",$D22="2 dd",$D22="3 dd",$D22="4 dd",$D22="6 dd",$D22="8 dd",$D22="12 dd",$D22="an",$D22="1 X"),VLOOKUP($D22,ber_tijden!$A$16:$X$25,ber_tijden!X$14,FALSE),"")</f>
        <v/>
      </c>
      <c r="AE22" s="19"/>
      <c r="AF22" s="173"/>
      <c r="AG22" s="19"/>
    </row>
  </sheetData>
  <sheetProtection password="CC20" sheet="1" objects="1" scenarios="1" selectLockedCells="1" selectUnlockedCells="1"/>
  <mergeCells count="3">
    <mergeCell ref="R1:W1"/>
    <mergeCell ref="AB1:AF1"/>
    <mergeCell ref="F1:G1"/>
  </mergeCells>
  <phoneticPr fontId="26" type="noConversion"/>
  <conditionalFormatting sqref="B3:B22">
    <cfRule type="cellIs" dxfId="0" priority="1" stopIfTrue="1" operator="equal">
      <formula>$AB$1</formula>
    </cfRule>
  </conditionalFormatting>
  <printOptions horizontalCentered="1" verticalCentered="1"/>
  <pageMargins left="0.31" right="0.69" top="0.19685039370078741" bottom="0.19685039370078741" header="0.19685039370078741" footer="0.19685039370078741"/>
  <pageSetup paperSize="9" orientation="landscape" r:id="rId1"/>
  <headerFooter alignWithMargins="0">
    <oddHeader>&amp;LBed 1.4</oddHead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Form" filterMode="1"/>
  <dimension ref="A1:AJ2283"/>
  <sheetViews>
    <sheetView workbookViewId="0">
      <pane ySplit="1" topLeftCell="A1583" activePane="bottomLeft" state="frozenSplit"/>
      <selection pane="bottomLeft" activeCell="C1586" sqref="C1586"/>
    </sheetView>
  </sheetViews>
  <sheetFormatPr defaultColWidth="9.1328125" defaultRowHeight="12.85" x14ac:dyDescent="0.35"/>
  <cols>
    <col min="1" max="1" width="6.265625" style="349" customWidth="1"/>
    <col min="2" max="2" width="30.73046875" style="349" customWidth="1"/>
    <col min="3" max="3" width="35.1328125" style="349" customWidth="1"/>
    <col min="4" max="4" width="27" style="349" customWidth="1"/>
    <col min="5" max="5" width="10.86328125" style="349" customWidth="1"/>
    <col min="6" max="6" width="10.265625" style="350" customWidth="1"/>
    <col min="7" max="7" width="5" style="349" customWidth="1"/>
    <col min="8" max="8" width="30.59765625" style="349" customWidth="1"/>
    <col min="9" max="9" width="39.1328125" style="349" customWidth="1"/>
    <col min="10" max="10" width="7.3984375" style="349" customWidth="1"/>
    <col min="11" max="11" width="7.265625" style="349" customWidth="1"/>
    <col min="12" max="12" width="7.86328125" style="349" customWidth="1"/>
    <col min="13" max="13" width="8.3984375" style="349" customWidth="1"/>
    <col min="14" max="14" width="8.59765625" style="349" customWidth="1"/>
    <col min="15" max="15" width="8" style="349" customWidth="1"/>
    <col min="16" max="16" width="9.1328125" style="349"/>
    <col min="17" max="17" width="0" style="349" hidden="1" customWidth="1"/>
    <col min="18" max="18" width="19.3984375" style="349" customWidth="1"/>
    <col min="19" max="19" width="17.59765625" style="349" customWidth="1"/>
    <col min="20" max="21" width="10.59765625" style="349" customWidth="1"/>
    <col min="22" max="22" width="9.86328125" style="349" customWidth="1"/>
    <col min="23" max="23" width="9.1328125" style="349"/>
    <col min="24" max="24" width="48.59765625" style="349" customWidth="1"/>
    <col min="25" max="25" width="53.1328125" style="349" customWidth="1"/>
    <col min="26" max="26" width="10.86328125" style="349" customWidth="1"/>
    <col min="27" max="28" width="9.1328125" style="349"/>
    <col min="29" max="29" width="8.265625" style="349" customWidth="1"/>
    <col min="30" max="30" width="7.1328125" style="349" customWidth="1"/>
    <col min="31" max="36" width="9.1328125" style="351"/>
    <col min="37" max="16384" width="9.1328125" style="349"/>
  </cols>
  <sheetData>
    <row r="1" spans="1:30" ht="20.75" x14ac:dyDescent="0.35">
      <c r="A1" s="349" t="s">
        <v>594</v>
      </c>
      <c r="B1" s="349" t="s">
        <v>1101</v>
      </c>
      <c r="C1" s="349" t="s">
        <v>2744</v>
      </c>
      <c r="D1" s="349" t="s">
        <v>3519</v>
      </c>
      <c r="E1" s="349" t="s">
        <v>3520</v>
      </c>
      <c r="F1" s="350" t="s">
        <v>3521</v>
      </c>
      <c r="G1" s="349" t="s">
        <v>3522</v>
      </c>
      <c r="H1" s="349" t="s">
        <v>1102</v>
      </c>
      <c r="I1" s="349" t="s">
        <v>1865</v>
      </c>
      <c r="J1" s="349" t="s">
        <v>1103</v>
      </c>
      <c r="K1" s="349" t="s">
        <v>2114</v>
      </c>
      <c r="L1" s="349" t="s">
        <v>1104</v>
      </c>
      <c r="M1" s="349" t="s">
        <v>595</v>
      </c>
      <c r="N1" s="349" t="s">
        <v>1104</v>
      </c>
      <c r="O1" s="349" t="s">
        <v>1834</v>
      </c>
      <c r="P1" s="349" t="s">
        <v>1104</v>
      </c>
      <c r="R1" s="349" t="s">
        <v>1341</v>
      </c>
      <c r="S1" s="351"/>
      <c r="V1" s="352"/>
      <c r="W1" s="352"/>
      <c r="X1" s="37"/>
      <c r="Y1" s="176"/>
      <c r="Z1" s="351"/>
      <c r="AA1" s="352"/>
      <c r="AB1" s="351"/>
      <c r="AC1" s="352"/>
      <c r="AD1" s="351"/>
    </row>
    <row r="2" spans="1:30" ht="25.65" hidden="1" x14ac:dyDescent="0.35">
      <c r="A2" s="349">
        <v>1</v>
      </c>
      <c r="B2" s="352" t="s">
        <v>1105</v>
      </c>
      <c r="C2" s="351" t="s">
        <v>4354</v>
      </c>
      <c r="D2" s="352" t="s">
        <v>1549</v>
      </c>
      <c r="E2" s="352" t="s">
        <v>1106</v>
      </c>
      <c r="F2" s="353">
        <v>1.5867</v>
      </c>
      <c r="G2" s="352" t="s">
        <v>1107</v>
      </c>
      <c r="H2" s="37"/>
      <c r="I2" s="176" t="s">
        <v>2452</v>
      </c>
      <c r="J2" s="352" t="s">
        <v>1108</v>
      </c>
      <c r="K2" s="351"/>
      <c r="L2" s="351"/>
      <c r="M2" s="352">
        <v>500</v>
      </c>
      <c r="N2" s="352" t="s">
        <v>1109</v>
      </c>
      <c r="O2" s="351">
        <v>0</v>
      </c>
      <c r="P2" s="349" t="s">
        <v>1837</v>
      </c>
      <c r="R2" s="349">
        <f>LEN(D2)</f>
        <v>12</v>
      </c>
      <c r="S2" s="352"/>
      <c r="T2" s="352"/>
      <c r="U2" s="352"/>
      <c r="V2" s="353"/>
      <c r="W2" s="352"/>
      <c r="X2" s="37"/>
      <c r="Y2" s="176"/>
      <c r="Z2" s="352"/>
      <c r="AA2" s="352"/>
      <c r="AB2" s="352"/>
      <c r="AC2" s="352"/>
      <c r="AD2" s="352"/>
    </row>
    <row r="3" spans="1:30" ht="25.65" hidden="1" x14ac:dyDescent="0.35">
      <c r="A3" s="349">
        <v>2</v>
      </c>
      <c r="B3" s="352" t="s">
        <v>1105</v>
      </c>
      <c r="C3" s="351" t="s">
        <v>4355</v>
      </c>
      <c r="D3" s="352" t="s">
        <v>1549</v>
      </c>
      <c r="E3" s="352" t="s">
        <v>1110</v>
      </c>
      <c r="F3" s="353">
        <v>3.9</v>
      </c>
      <c r="G3" s="352" t="s">
        <v>1107</v>
      </c>
      <c r="H3" s="37"/>
      <c r="I3" s="176" t="s">
        <v>2453</v>
      </c>
      <c r="J3" s="352" t="s">
        <v>1108</v>
      </c>
      <c r="K3" s="351"/>
      <c r="L3" s="351"/>
      <c r="M3" s="352">
        <v>1000</v>
      </c>
      <c r="N3" s="352" t="s">
        <v>1109</v>
      </c>
      <c r="O3" s="351">
        <v>0</v>
      </c>
      <c r="P3" s="349" t="s">
        <v>1837</v>
      </c>
      <c r="R3" s="349">
        <f t="shared" ref="R3:R66" si="0">LEN(D3)</f>
        <v>12</v>
      </c>
      <c r="S3" s="352"/>
      <c r="T3" s="352"/>
      <c r="U3" s="352"/>
      <c r="V3" s="353"/>
      <c r="W3" s="352"/>
      <c r="X3" s="37"/>
      <c r="Y3" s="176"/>
      <c r="Z3" s="352"/>
      <c r="AA3" s="352"/>
      <c r="AB3" s="352"/>
      <c r="AC3" s="352"/>
      <c r="AD3" s="352"/>
    </row>
    <row r="4" spans="1:30" ht="25.65" hidden="1" x14ac:dyDescent="0.35">
      <c r="A4" s="349">
        <v>3</v>
      </c>
      <c r="B4" s="352" t="s">
        <v>1105</v>
      </c>
      <c r="C4" s="351" t="s">
        <v>4355</v>
      </c>
      <c r="D4" s="352" t="s">
        <v>1549</v>
      </c>
      <c r="E4" s="352" t="s">
        <v>1106</v>
      </c>
      <c r="F4" s="353">
        <v>2.6</v>
      </c>
      <c r="G4" s="352" t="s">
        <v>1107</v>
      </c>
      <c r="H4" s="37"/>
      <c r="I4" s="176" t="s">
        <v>2453</v>
      </c>
      <c r="J4" s="352" t="s">
        <v>1108</v>
      </c>
      <c r="K4" s="351"/>
      <c r="L4" s="351"/>
      <c r="M4" s="352">
        <v>500</v>
      </c>
      <c r="N4" s="352" t="s">
        <v>1109</v>
      </c>
      <c r="O4" s="351">
        <v>0</v>
      </c>
      <c r="P4" s="349" t="s">
        <v>1837</v>
      </c>
      <c r="R4" s="349">
        <f t="shared" si="0"/>
        <v>12</v>
      </c>
      <c r="S4" s="352"/>
      <c r="T4" s="352"/>
      <c r="U4" s="352"/>
      <c r="V4" s="353"/>
      <c r="W4" s="352"/>
      <c r="X4" s="176"/>
      <c r="Y4" s="176"/>
      <c r="Z4" s="352"/>
      <c r="AA4" s="352"/>
      <c r="AB4" s="352"/>
      <c r="AC4" s="352"/>
      <c r="AD4" s="352"/>
    </row>
    <row r="5" spans="1:30" ht="51.3" hidden="1" x14ac:dyDescent="0.35">
      <c r="A5" s="349">
        <v>4</v>
      </c>
      <c r="B5" s="352" t="s">
        <v>1105</v>
      </c>
      <c r="C5" s="351" t="s">
        <v>4356</v>
      </c>
      <c r="D5" s="352" t="s">
        <v>1549</v>
      </c>
      <c r="E5" s="352" t="s">
        <v>1111</v>
      </c>
      <c r="F5" s="353">
        <v>2.6</v>
      </c>
      <c r="G5" s="352" t="s">
        <v>1107</v>
      </c>
      <c r="H5" s="37"/>
      <c r="I5" s="176" t="s">
        <v>2454</v>
      </c>
      <c r="J5" s="352" t="s">
        <v>1108</v>
      </c>
      <c r="K5" s="351"/>
      <c r="L5" s="351"/>
      <c r="M5" s="352">
        <v>250</v>
      </c>
      <c r="N5" s="352" t="s">
        <v>1109</v>
      </c>
      <c r="O5" s="351">
        <v>0</v>
      </c>
      <c r="P5" s="349" t="s">
        <v>1837</v>
      </c>
      <c r="R5" s="349">
        <f t="shared" si="0"/>
        <v>12</v>
      </c>
      <c r="S5" s="352"/>
      <c r="T5" s="352"/>
      <c r="U5" s="352"/>
      <c r="V5" s="353"/>
      <c r="W5" s="352"/>
      <c r="X5" s="176"/>
      <c r="Y5" s="176"/>
      <c r="Z5" s="352"/>
      <c r="AA5" s="352"/>
      <c r="AB5" s="352"/>
      <c r="AC5" s="352"/>
      <c r="AD5" s="352"/>
    </row>
    <row r="6" spans="1:30" ht="51.3" hidden="1" x14ac:dyDescent="0.35">
      <c r="A6" s="349">
        <v>5</v>
      </c>
      <c r="B6" s="352" t="s">
        <v>1105</v>
      </c>
      <c r="C6" s="351" t="s">
        <v>4356</v>
      </c>
      <c r="D6" s="352" t="s">
        <v>1549</v>
      </c>
      <c r="E6" s="352" t="s">
        <v>1112</v>
      </c>
      <c r="F6" s="353">
        <v>2.6</v>
      </c>
      <c r="G6" s="352" t="s">
        <v>1107</v>
      </c>
      <c r="H6" s="37"/>
      <c r="I6" s="176" t="s">
        <v>2454</v>
      </c>
      <c r="J6" s="352" t="s">
        <v>1108</v>
      </c>
      <c r="K6" s="351"/>
      <c r="L6" s="351"/>
      <c r="M6" s="352">
        <v>400</v>
      </c>
      <c r="N6" s="352" t="s">
        <v>1109</v>
      </c>
      <c r="O6" s="351">
        <v>0</v>
      </c>
      <c r="P6" s="349" t="s">
        <v>1837</v>
      </c>
      <c r="R6" s="349">
        <f t="shared" si="0"/>
        <v>12</v>
      </c>
      <c r="S6" s="352"/>
      <c r="T6" s="352"/>
      <c r="U6" s="352"/>
      <c r="V6" s="353"/>
      <c r="W6" s="352"/>
      <c r="X6" s="176"/>
      <c r="Y6" s="176"/>
      <c r="Z6" s="352"/>
      <c r="AA6" s="352"/>
      <c r="AB6" s="352"/>
      <c r="AC6" s="352"/>
      <c r="AD6" s="352"/>
    </row>
    <row r="7" spans="1:30" ht="115.35" hidden="1" x14ac:dyDescent="0.35">
      <c r="A7" s="349">
        <v>6</v>
      </c>
      <c r="B7" s="352" t="s">
        <v>1113</v>
      </c>
      <c r="C7" s="351" t="s">
        <v>4195</v>
      </c>
      <c r="D7" s="352" t="s">
        <v>4195</v>
      </c>
      <c r="E7" s="352" t="s">
        <v>1114</v>
      </c>
      <c r="F7" s="353">
        <v>49.5</v>
      </c>
      <c r="G7" s="352" t="s">
        <v>1107</v>
      </c>
      <c r="H7" s="176" t="s">
        <v>4196</v>
      </c>
      <c r="I7" s="176" t="s">
        <v>3743</v>
      </c>
      <c r="J7" s="352" t="s">
        <v>1115</v>
      </c>
      <c r="K7" s="352">
        <v>50</v>
      </c>
      <c r="L7" s="352" t="s">
        <v>1116</v>
      </c>
      <c r="M7" s="352">
        <v>5</v>
      </c>
      <c r="N7" s="352" t="s">
        <v>1109</v>
      </c>
      <c r="O7" s="351">
        <v>50</v>
      </c>
      <c r="P7" s="349" t="s">
        <v>1836</v>
      </c>
      <c r="R7" s="349">
        <f t="shared" si="0"/>
        <v>21</v>
      </c>
      <c r="S7" s="352"/>
      <c r="T7" s="352"/>
      <c r="U7" s="352"/>
      <c r="V7" s="353"/>
      <c r="W7" s="352"/>
      <c r="X7" s="176"/>
      <c r="Y7" s="176"/>
      <c r="Z7" s="352"/>
      <c r="AA7" s="352"/>
      <c r="AB7" s="352"/>
      <c r="AC7" s="352"/>
      <c r="AD7" s="352"/>
    </row>
    <row r="8" spans="1:30" ht="115.35" hidden="1" x14ac:dyDescent="0.35">
      <c r="A8" s="349">
        <v>7</v>
      </c>
      <c r="B8" s="352" t="s">
        <v>1113</v>
      </c>
      <c r="C8" s="351" t="s">
        <v>4357</v>
      </c>
      <c r="D8" s="352" t="s">
        <v>4195</v>
      </c>
      <c r="E8" s="352" t="s">
        <v>1114</v>
      </c>
      <c r="F8" s="353">
        <v>49.5</v>
      </c>
      <c r="G8" s="352" t="s">
        <v>1107</v>
      </c>
      <c r="H8" s="176" t="s">
        <v>4196</v>
      </c>
      <c r="I8" s="176" t="s">
        <v>3743</v>
      </c>
      <c r="J8" s="352" t="s">
        <v>1115</v>
      </c>
      <c r="K8" s="352">
        <v>50</v>
      </c>
      <c r="L8" s="352" t="s">
        <v>1116</v>
      </c>
      <c r="M8" s="352">
        <v>5</v>
      </c>
      <c r="N8" s="352" t="s">
        <v>1109</v>
      </c>
      <c r="O8" s="351">
        <v>50</v>
      </c>
      <c r="P8" s="349" t="s">
        <v>1836</v>
      </c>
      <c r="R8" s="349">
        <f t="shared" si="0"/>
        <v>21</v>
      </c>
      <c r="S8" s="352"/>
      <c r="T8" s="352"/>
      <c r="U8" s="352"/>
      <c r="V8" s="353"/>
      <c r="W8" s="352"/>
      <c r="X8" s="37"/>
      <c r="Y8" s="176"/>
      <c r="Z8" s="352"/>
      <c r="AA8" s="352"/>
      <c r="AB8" s="352"/>
      <c r="AC8" s="351"/>
      <c r="AD8" s="351"/>
    </row>
    <row r="9" spans="1:30" ht="38.450000000000003" hidden="1" x14ac:dyDescent="0.35">
      <c r="A9" s="349">
        <v>8</v>
      </c>
      <c r="B9" s="352" t="s">
        <v>2125</v>
      </c>
      <c r="C9" s="351" t="s">
        <v>404</v>
      </c>
      <c r="D9" s="352" t="s">
        <v>404</v>
      </c>
      <c r="E9" s="352" t="s">
        <v>2004</v>
      </c>
      <c r="F9" s="351"/>
      <c r="G9" s="352" t="s">
        <v>2126</v>
      </c>
      <c r="H9" s="176" t="s">
        <v>2910</v>
      </c>
      <c r="I9" s="176"/>
      <c r="J9" s="352" t="s">
        <v>3577</v>
      </c>
      <c r="K9" s="351"/>
      <c r="L9" s="351"/>
      <c r="M9" s="351"/>
      <c r="N9" s="351"/>
      <c r="O9" s="351">
        <v>0</v>
      </c>
      <c r="P9" s="349" t="s">
        <v>2313</v>
      </c>
      <c r="R9" s="349">
        <f t="shared" si="0"/>
        <v>19</v>
      </c>
      <c r="S9" s="352"/>
      <c r="T9" s="352"/>
      <c r="U9" s="352"/>
      <c r="V9" s="351"/>
      <c r="W9" s="352"/>
      <c r="X9" s="37"/>
      <c r="Y9" s="176"/>
      <c r="Z9" s="352"/>
      <c r="AA9" s="352"/>
      <c r="AB9" s="352"/>
      <c r="AC9" s="351"/>
      <c r="AD9" s="351"/>
    </row>
    <row r="10" spans="1:30" ht="38.450000000000003" hidden="1" x14ac:dyDescent="0.35">
      <c r="A10" s="349">
        <v>9</v>
      </c>
      <c r="B10" s="352" t="s">
        <v>4100</v>
      </c>
      <c r="C10" s="351" t="s">
        <v>3147</v>
      </c>
      <c r="D10" s="352" t="s">
        <v>3147</v>
      </c>
      <c r="E10" s="352" t="s">
        <v>3578</v>
      </c>
      <c r="F10" s="353">
        <v>219.56</v>
      </c>
      <c r="G10" s="352" t="s">
        <v>2126</v>
      </c>
      <c r="H10" s="176" t="s">
        <v>3148</v>
      </c>
      <c r="I10" s="176" t="s">
        <v>3149</v>
      </c>
      <c r="J10" s="352" t="s">
        <v>3579</v>
      </c>
      <c r="K10" s="352">
        <v>20</v>
      </c>
      <c r="L10" s="352" t="s">
        <v>1116</v>
      </c>
      <c r="M10" s="352">
        <v>240</v>
      </c>
      <c r="N10" s="352" t="s">
        <v>1109</v>
      </c>
      <c r="O10" s="351">
        <v>20</v>
      </c>
      <c r="P10" s="349" t="s">
        <v>1836</v>
      </c>
      <c r="R10" s="349">
        <f t="shared" si="0"/>
        <v>8</v>
      </c>
      <c r="S10" s="352"/>
      <c r="T10" s="352"/>
      <c r="U10" s="352"/>
      <c r="V10" s="351"/>
      <c r="W10" s="352"/>
      <c r="X10" s="37"/>
      <c r="Y10" s="176"/>
      <c r="Z10" s="352"/>
      <c r="AA10" s="352"/>
      <c r="AB10" s="352"/>
      <c r="AC10" s="351"/>
      <c r="AD10" s="351"/>
    </row>
    <row r="11" spans="1:30" ht="38.450000000000003" hidden="1" x14ac:dyDescent="0.35">
      <c r="A11" s="349">
        <v>10</v>
      </c>
      <c r="B11" s="352" t="s">
        <v>4100</v>
      </c>
      <c r="C11" s="351" t="s">
        <v>3147</v>
      </c>
      <c r="D11" s="352" t="s">
        <v>3147</v>
      </c>
      <c r="E11" s="352" t="s">
        <v>1995</v>
      </c>
      <c r="F11" s="353">
        <v>12.27</v>
      </c>
      <c r="G11" s="352" t="s">
        <v>2126</v>
      </c>
      <c r="H11" s="176" t="s">
        <v>3148</v>
      </c>
      <c r="I11" s="176" t="s">
        <v>3149</v>
      </c>
      <c r="J11" s="352" t="s">
        <v>3580</v>
      </c>
      <c r="K11" s="352">
        <v>300</v>
      </c>
      <c r="L11" s="352" t="s">
        <v>3581</v>
      </c>
      <c r="M11" s="351"/>
      <c r="N11" s="351"/>
      <c r="O11" s="351">
        <v>300</v>
      </c>
      <c r="P11" s="349" t="s">
        <v>1836</v>
      </c>
      <c r="R11" s="349">
        <f t="shared" si="0"/>
        <v>8</v>
      </c>
      <c r="S11" s="352"/>
      <c r="T11" s="352"/>
      <c r="U11" s="352"/>
      <c r="V11" s="353"/>
      <c r="W11" s="352"/>
      <c r="X11" s="176"/>
      <c r="Y11" s="176"/>
      <c r="Z11" s="352"/>
      <c r="AA11" s="352"/>
      <c r="AB11" s="352"/>
      <c r="AC11" s="352"/>
      <c r="AD11" s="352"/>
    </row>
    <row r="12" spans="1:30" ht="25.65" hidden="1" x14ac:dyDescent="0.35">
      <c r="A12" s="349">
        <v>11</v>
      </c>
      <c r="B12" s="352" t="s">
        <v>3582</v>
      </c>
      <c r="C12" s="351" t="s">
        <v>5000</v>
      </c>
      <c r="D12" s="351" t="s">
        <v>4998</v>
      </c>
      <c r="E12" s="352" t="s">
        <v>3583</v>
      </c>
      <c r="F12" s="353">
        <v>335.58</v>
      </c>
      <c r="G12" s="352" t="s">
        <v>1107</v>
      </c>
      <c r="H12" s="176" t="s">
        <v>2137</v>
      </c>
      <c r="I12" s="176" t="s">
        <v>2138</v>
      </c>
      <c r="J12" s="352" t="s">
        <v>1115</v>
      </c>
      <c r="K12" s="352">
        <v>5</v>
      </c>
      <c r="L12" s="352" t="s">
        <v>1116</v>
      </c>
      <c r="M12" s="352">
        <v>20</v>
      </c>
      <c r="N12" s="352" t="s">
        <v>1109</v>
      </c>
      <c r="O12" s="351">
        <v>5</v>
      </c>
      <c r="P12" s="349" t="s">
        <v>1836</v>
      </c>
      <c r="R12" s="349">
        <f t="shared" si="0"/>
        <v>30</v>
      </c>
      <c r="S12" s="352"/>
      <c r="T12" s="352"/>
      <c r="U12" s="352"/>
      <c r="V12" s="353"/>
      <c r="W12" s="352"/>
      <c r="X12" s="176"/>
      <c r="Y12" s="176"/>
      <c r="Z12" s="352"/>
      <c r="AA12" s="352"/>
      <c r="AB12" s="352"/>
      <c r="AC12" s="352"/>
      <c r="AD12" s="352"/>
    </row>
    <row r="13" spans="1:30" ht="141" hidden="1" x14ac:dyDescent="0.35">
      <c r="A13" s="349">
        <v>12</v>
      </c>
      <c r="B13" s="352" t="s">
        <v>347</v>
      </c>
      <c r="C13" s="351" t="s">
        <v>1216</v>
      </c>
      <c r="D13" s="352" t="s">
        <v>1216</v>
      </c>
      <c r="E13" s="352" t="s">
        <v>2020</v>
      </c>
      <c r="F13" s="353">
        <v>6.6100000000000006E-2</v>
      </c>
      <c r="G13" s="352" t="s">
        <v>2126</v>
      </c>
      <c r="H13" s="176" t="s">
        <v>1718</v>
      </c>
      <c r="I13" s="176" t="s">
        <v>4596</v>
      </c>
      <c r="J13" s="352" t="s">
        <v>348</v>
      </c>
      <c r="K13" s="352">
        <v>1</v>
      </c>
      <c r="L13" s="352" t="s">
        <v>3581</v>
      </c>
      <c r="M13" s="351"/>
      <c r="N13" s="351"/>
      <c r="O13" s="351">
        <v>1</v>
      </c>
      <c r="P13" s="349" t="s">
        <v>1836</v>
      </c>
      <c r="R13" s="349">
        <f t="shared" si="0"/>
        <v>13</v>
      </c>
      <c r="S13" s="352"/>
      <c r="T13" s="352"/>
      <c r="U13" s="352"/>
      <c r="V13" s="353"/>
      <c r="W13" s="352"/>
      <c r="X13" s="176"/>
      <c r="Y13" s="176"/>
      <c r="Z13" s="352"/>
      <c r="AA13" s="352"/>
      <c r="AB13" s="352"/>
      <c r="AC13" s="352"/>
      <c r="AD13" s="352"/>
    </row>
    <row r="14" spans="1:30" ht="76.900000000000006" hidden="1" x14ac:dyDescent="0.35">
      <c r="A14" s="349">
        <v>13</v>
      </c>
      <c r="B14" s="352" t="s">
        <v>1463</v>
      </c>
      <c r="C14" s="351" t="s">
        <v>3227</v>
      </c>
      <c r="D14" s="352" t="s">
        <v>3227</v>
      </c>
      <c r="E14" s="352" t="s">
        <v>1997</v>
      </c>
      <c r="F14" s="353">
        <v>25.915600000000001</v>
      </c>
      <c r="G14" s="352" t="s">
        <v>1107</v>
      </c>
      <c r="H14" s="176" t="s">
        <v>2682</v>
      </c>
      <c r="I14" s="176" t="s">
        <v>3038</v>
      </c>
      <c r="J14" s="352" t="s">
        <v>1115</v>
      </c>
      <c r="K14" s="352">
        <v>500</v>
      </c>
      <c r="L14" s="352" t="s">
        <v>1464</v>
      </c>
      <c r="M14" s="351"/>
      <c r="N14" s="351"/>
      <c r="O14" s="351">
        <v>500</v>
      </c>
      <c r="P14" s="349" t="s">
        <v>1836</v>
      </c>
      <c r="R14" s="349">
        <f t="shared" si="0"/>
        <v>13</v>
      </c>
      <c r="S14" s="352"/>
      <c r="T14" s="352"/>
      <c r="U14" s="352"/>
      <c r="V14" s="353"/>
      <c r="W14" s="352"/>
      <c r="X14" s="176"/>
      <c r="Y14" s="176"/>
      <c r="Z14" s="352"/>
      <c r="AA14" s="352"/>
      <c r="AB14" s="352"/>
      <c r="AC14" s="352"/>
      <c r="AD14" s="352"/>
    </row>
    <row r="15" spans="1:30" ht="76.900000000000006" hidden="1" x14ac:dyDescent="0.35">
      <c r="A15" s="349">
        <v>14</v>
      </c>
      <c r="B15" s="352" t="s">
        <v>1463</v>
      </c>
      <c r="C15" s="351" t="s">
        <v>3227</v>
      </c>
      <c r="D15" s="352" t="s">
        <v>3227</v>
      </c>
      <c r="E15" s="352" t="s">
        <v>1995</v>
      </c>
      <c r="F15" s="353">
        <v>0.55000000000000004</v>
      </c>
      <c r="G15" s="352" t="s">
        <v>2126</v>
      </c>
      <c r="H15" s="176" t="s">
        <v>2683</v>
      </c>
      <c r="I15" s="176" t="s">
        <v>3038</v>
      </c>
      <c r="J15" s="352" t="s">
        <v>3580</v>
      </c>
      <c r="K15" s="352">
        <v>250</v>
      </c>
      <c r="L15" s="352" t="s">
        <v>3581</v>
      </c>
      <c r="M15" s="351"/>
      <c r="N15" s="351"/>
      <c r="O15" s="351">
        <v>250</v>
      </c>
      <c r="P15" s="349" t="s">
        <v>1836</v>
      </c>
      <c r="R15" s="349">
        <f t="shared" si="0"/>
        <v>13</v>
      </c>
      <c r="S15" s="352"/>
      <c r="T15" s="352"/>
      <c r="U15" s="352"/>
      <c r="V15" s="353"/>
      <c r="W15" s="352"/>
      <c r="X15" s="37"/>
      <c r="Y15" s="176"/>
      <c r="Z15" s="352"/>
      <c r="AA15" s="352"/>
      <c r="AB15" s="352"/>
      <c r="AC15" s="351"/>
      <c r="AD15" s="351"/>
    </row>
    <row r="16" spans="1:30" ht="25.65" hidden="1" x14ac:dyDescent="0.35">
      <c r="A16" s="349">
        <v>15</v>
      </c>
      <c r="B16" s="352" t="s">
        <v>466</v>
      </c>
      <c r="C16" s="351" t="s">
        <v>1275</v>
      </c>
      <c r="D16" s="352" t="s">
        <v>1275</v>
      </c>
      <c r="E16" s="352" t="s">
        <v>467</v>
      </c>
      <c r="F16" s="353">
        <v>30</v>
      </c>
      <c r="G16" s="352" t="s">
        <v>468</v>
      </c>
      <c r="H16" s="176" t="s">
        <v>357</v>
      </c>
      <c r="I16" s="176" t="s">
        <v>358</v>
      </c>
      <c r="J16" s="352" t="s">
        <v>469</v>
      </c>
      <c r="K16" s="352">
        <v>8</v>
      </c>
      <c r="L16" s="352" t="s">
        <v>470</v>
      </c>
      <c r="M16" s="352">
        <v>50</v>
      </c>
      <c r="N16" s="352" t="s">
        <v>1109</v>
      </c>
      <c r="O16" s="351">
        <v>8</v>
      </c>
      <c r="P16" s="349" t="s">
        <v>1838</v>
      </c>
      <c r="R16" s="349">
        <f t="shared" si="0"/>
        <v>14</v>
      </c>
      <c r="S16" s="352"/>
      <c r="T16" s="352"/>
      <c r="U16" s="352"/>
      <c r="V16" s="351"/>
      <c r="W16" s="352"/>
      <c r="X16" s="37"/>
      <c r="Y16" s="176"/>
      <c r="Z16" s="352"/>
      <c r="AA16" s="352"/>
      <c r="AB16" s="352"/>
      <c r="AC16" s="351"/>
      <c r="AD16" s="351"/>
    </row>
    <row r="17" spans="1:30" ht="102.55" hidden="1" x14ac:dyDescent="0.35">
      <c r="A17" s="349">
        <v>16</v>
      </c>
      <c r="B17" s="352" t="s">
        <v>3032</v>
      </c>
      <c r="C17" s="351" t="s">
        <v>1275</v>
      </c>
      <c r="D17" s="352" t="s">
        <v>1275</v>
      </c>
      <c r="E17" s="352" t="s">
        <v>3033</v>
      </c>
      <c r="F17" s="353">
        <v>8.51</v>
      </c>
      <c r="G17" s="352" t="s">
        <v>3034</v>
      </c>
      <c r="H17" s="176" t="s">
        <v>2075</v>
      </c>
      <c r="I17" s="176" t="s">
        <v>2076</v>
      </c>
      <c r="J17" s="352" t="s">
        <v>3035</v>
      </c>
      <c r="K17" s="352">
        <v>100</v>
      </c>
      <c r="L17" s="352" t="s">
        <v>1116</v>
      </c>
      <c r="M17" s="351">
        <v>25</v>
      </c>
      <c r="N17" s="351" t="s">
        <v>1109</v>
      </c>
      <c r="O17" s="351">
        <v>100</v>
      </c>
      <c r="P17" s="349" t="s">
        <v>1836</v>
      </c>
      <c r="R17" s="349">
        <f t="shared" si="0"/>
        <v>14</v>
      </c>
      <c r="S17" s="352"/>
      <c r="T17" s="352"/>
      <c r="U17" s="352"/>
      <c r="V17" s="351"/>
      <c r="W17" s="352"/>
      <c r="X17" s="37"/>
      <c r="Y17" s="176"/>
      <c r="Z17" s="352"/>
      <c r="AA17" s="352"/>
      <c r="AB17" s="352"/>
      <c r="AC17" s="351"/>
      <c r="AD17" s="351"/>
    </row>
    <row r="18" spans="1:30" ht="115.35" hidden="1" x14ac:dyDescent="0.35">
      <c r="A18" s="349">
        <v>17</v>
      </c>
      <c r="B18" s="352" t="s">
        <v>1113</v>
      </c>
      <c r="C18" s="351" t="s">
        <v>1275</v>
      </c>
      <c r="D18" s="352" t="s">
        <v>1275</v>
      </c>
      <c r="E18" s="352" t="s">
        <v>3036</v>
      </c>
      <c r="F18" s="353">
        <v>26.51</v>
      </c>
      <c r="G18" s="352" t="s">
        <v>1107</v>
      </c>
      <c r="H18" s="176" t="s">
        <v>562</v>
      </c>
      <c r="I18" s="176" t="s">
        <v>563</v>
      </c>
      <c r="J18" s="352" t="s">
        <v>1115</v>
      </c>
      <c r="K18" s="352">
        <v>200</v>
      </c>
      <c r="L18" s="352" t="s">
        <v>1116</v>
      </c>
      <c r="M18" s="351">
        <v>25</v>
      </c>
      <c r="N18" s="351" t="s">
        <v>1109</v>
      </c>
      <c r="O18" s="351">
        <v>200</v>
      </c>
      <c r="P18" s="349" t="s">
        <v>1836</v>
      </c>
      <c r="R18" s="349">
        <f t="shared" si="0"/>
        <v>14</v>
      </c>
      <c r="S18" s="352"/>
      <c r="T18" s="352"/>
      <c r="U18" s="352"/>
      <c r="V18" s="351"/>
      <c r="W18" s="352"/>
      <c r="X18" s="37"/>
      <c r="Y18" s="176"/>
      <c r="Z18" s="352"/>
      <c r="AA18" s="352"/>
      <c r="AB18" s="352"/>
      <c r="AC18" s="351"/>
      <c r="AD18" s="351"/>
    </row>
    <row r="19" spans="1:30" ht="115.35" hidden="1" x14ac:dyDescent="0.35">
      <c r="A19" s="349">
        <v>18</v>
      </c>
      <c r="B19" s="352" t="s">
        <v>1113</v>
      </c>
      <c r="C19" s="351" t="s">
        <v>1275</v>
      </c>
      <c r="D19" s="352" t="s">
        <v>1275</v>
      </c>
      <c r="E19" s="352" t="s">
        <v>2007</v>
      </c>
      <c r="F19" s="353">
        <v>1.23</v>
      </c>
      <c r="G19" s="352" t="s">
        <v>2126</v>
      </c>
      <c r="H19" s="176" t="s">
        <v>564</v>
      </c>
      <c r="I19" s="176" t="s">
        <v>563</v>
      </c>
      <c r="J19" s="352" t="s">
        <v>21</v>
      </c>
      <c r="K19" s="352">
        <v>600</v>
      </c>
      <c r="L19" s="352" t="s">
        <v>3581</v>
      </c>
      <c r="M19" s="352"/>
      <c r="N19" s="352"/>
      <c r="O19" s="351">
        <v>600</v>
      </c>
      <c r="P19" s="349" t="s">
        <v>1836</v>
      </c>
      <c r="R19" s="349">
        <f t="shared" si="0"/>
        <v>14</v>
      </c>
      <c r="S19" s="352"/>
      <c r="T19" s="352"/>
      <c r="U19" s="352"/>
      <c r="V19" s="351"/>
      <c r="W19" s="352"/>
      <c r="X19" s="37"/>
      <c r="Y19" s="176"/>
      <c r="Z19" s="352"/>
      <c r="AA19" s="352"/>
      <c r="AB19" s="352"/>
      <c r="AC19" s="351"/>
      <c r="AD19" s="351"/>
    </row>
    <row r="20" spans="1:30" ht="64.099999999999994" hidden="1" x14ac:dyDescent="0.35">
      <c r="A20" s="349">
        <v>19</v>
      </c>
      <c r="B20" s="352" t="s">
        <v>3032</v>
      </c>
      <c r="C20" s="351" t="s">
        <v>1275</v>
      </c>
      <c r="D20" s="352" t="s">
        <v>1275</v>
      </c>
      <c r="E20" s="352" t="s">
        <v>2007</v>
      </c>
      <c r="F20" s="353">
        <v>0.5</v>
      </c>
      <c r="G20" s="352" t="s">
        <v>2126</v>
      </c>
      <c r="H20" s="176" t="s">
        <v>809</v>
      </c>
      <c r="I20" s="176" t="s">
        <v>810</v>
      </c>
      <c r="J20" s="352" t="s">
        <v>21</v>
      </c>
      <c r="K20" s="352">
        <v>600</v>
      </c>
      <c r="L20" s="352" t="s">
        <v>3581</v>
      </c>
      <c r="M20" s="351"/>
      <c r="N20" s="351"/>
      <c r="O20" s="351">
        <v>600</v>
      </c>
      <c r="P20" s="349" t="s">
        <v>1836</v>
      </c>
      <c r="R20" s="349">
        <f t="shared" si="0"/>
        <v>14</v>
      </c>
      <c r="S20" s="352"/>
      <c r="T20" s="352"/>
      <c r="U20" s="352"/>
      <c r="V20" s="353"/>
      <c r="W20" s="352"/>
      <c r="X20" s="37"/>
      <c r="Y20" s="176"/>
      <c r="Z20" s="352"/>
      <c r="AA20" s="351"/>
      <c r="AB20" s="351"/>
      <c r="AC20" s="352"/>
      <c r="AD20" s="352"/>
    </row>
    <row r="21" spans="1:30" ht="115.35" hidden="1" x14ac:dyDescent="0.35">
      <c r="A21" s="349">
        <v>20</v>
      </c>
      <c r="B21" s="352" t="s">
        <v>1113</v>
      </c>
      <c r="C21" s="351" t="s">
        <v>1275</v>
      </c>
      <c r="D21" s="352" t="s">
        <v>1275</v>
      </c>
      <c r="E21" s="352" t="s">
        <v>1998</v>
      </c>
      <c r="F21" s="353">
        <v>0.3</v>
      </c>
      <c r="G21" s="352" t="s">
        <v>2126</v>
      </c>
      <c r="H21" s="176" t="s">
        <v>564</v>
      </c>
      <c r="I21" s="176" t="s">
        <v>563</v>
      </c>
      <c r="J21" s="352" t="s">
        <v>22</v>
      </c>
      <c r="K21" s="352">
        <v>200</v>
      </c>
      <c r="L21" s="352" t="s">
        <v>23</v>
      </c>
      <c r="M21" s="351"/>
      <c r="N21" s="351"/>
      <c r="O21" s="351">
        <v>200</v>
      </c>
      <c r="P21" s="349" t="s">
        <v>1836</v>
      </c>
      <c r="R21" s="349">
        <f t="shared" si="0"/>
        <v>14</v>
      </c>
      <c r="S21" s="352"/>
      <c r="T21" s="352"/>
      <c r="U21" s="352"/>
      <c r="V21" s="353"/>
      <c r="W21" s="352"/>
      <c r="X21" s="37"/>
      <c r="Y21" s="176"/>
      <c r="Z21" s="352"/>
      <c r="AA21" s="351"/>
      <c r="AB21" s="351"/>
      <c r="AC21" s="352"/>
      <c r="AD21" s="352"/>
    </row>
    <row r="22" spans="1:30" ht="64.099999999999994" hidden="1" x14ac:dyDescent="0.35">
      <c r="A22" s="349">
        <v>21</v>
      </c>
      <c r="B22" s="352" t="s">
        <v>3032</v>
      </c>
      <c r="C22" s="351" t="s">
        <v>1275</v>
      </c>
      <c r="D22" s="352" t="s">
        <v>1275</v>
      </c>
      <c r="E22" s="352" t="s">
        <v>1998</v>
      </c>
      <c r="F22" s="353">
        <v>0.3967</v>
      </c>
      <c r="G22" s="352" t="s">
        <v>2126</v>
      </c>
      <c r="H22" s="176" t="s">
        <v>809</v>
      </c>
      <c r="I22" s="176" t="s">
        <v>810</v>
      </c>
      <c r="J22" s="352" t="s">
        <v>22</v>
      </c>
      <c r="K22" s="352">
        <v>200</v>
      </c>
      <c r="L22" s="352" t="s">
        <v>23</v>
      </c>
      <c r="M22" s="351"/>
      <c r="N22" s="351"/>
      <c r="O22" s="351">
        <v>200</v>
      </c>
      <c r="P22" s="349" t="s">
        <v>1836</v>
      </c>
      <c r="R22" s="349">
        <f t="shared" si="0"/>
        <v>14</v>
      </c>
      <c r="S22" s="352"/>
      <c r="T22" s="352"/>
      <c r="U22" s="352"/>
      <c r="V22" s="353"/>
      <c r="W22" s="352"/>
      <c r="X22" s="37"/>
      <c r="Y22" s="176"/>
      <c r="Z22" s="352"/>
      <c r="AA22" s="351"/>
      <c r="AB22" s="351"/>
      <c r="AC22" s="352"/>
      <c r="AD22" s="352"/>
    </row>
    <row r="23" spans="1:30" ht="115.35" hidden="1" x14ac:dyDescent="0.35">
      <c r="A23" s="349">
        <v>22</v>
      </c>
      <c r="B23" s="352" t="s">
        <v>1113</v>
      </c>
      <c r="C23" s="351" t="s">
        <v>1275</v>
      </c>
      <c r="D23" s="352" t="s">
        <v>1275</v>
      </c>
      <c r="E23" s="352" t="s">
        <v>2006</v>
      </c>
      <c r="F23" s="353">
        <v>0.4</v>
      </c>
      <c r="G23" s="352" t="s">
        <v>2126</v>
      </c>
      <c r="H23" s="176" t="s">
        <v>564</v>
      </c>
      <c r="I23" s="176" t="s">
        <v>563</v>
      </c>
      <c r="J23" s="352" t="s">
        <v>24</v>
      </c>
      <c r="K23" s="352">
        <v>200</v>
      </c>
      <c r="L23" s="352" t="s">
        <v>25</v>
      </c>
      <c r="M23" s="352"/>
      <c r="N23" s="352"/>
      <c r="O23" s="351">
        <v>200</v>
      </c>
      <c r="P23" s="349" t="s">
        <v>1836</v>
      </c>
      <c r="R23" s="349">
        <f t="shared" si="0"/>
        <v>14</v>
      </c>
      <c r="S23" s="352"/>
      <c r="T23" s="352"/>
      <c r="U23" s="352"/>
      <c r="V23" s="353"/>
      <c r="W23" s="352"/>
      <c r="X23" s="37"/>
      <c r="Y23" s="176"/>
      <c r="Z23" s="352"/>
      <c r="AA23" s="351"/>
      <c r="AB23" s="351"/>
      <c r="AC23" s="352"/>
      <c r="AD23" s="352"/>
    </row>
    <row r="24" spans="1:30" ht="64.099999999999994" hidden="1" x14ac:dyDescent="0.35">
      <c r="A24" s="349">
        <v>23</v>
      </c>
      <c r="B24" s="352" t="s">
        <v>3032</v>
      </c>
      <c r="C24" s="351" t="s">
        <v>1275</v>
      </c>
      <c r="D24" s="352" t="s">
        <v>1275</v>
      </c>
      <c r="E24" s="352" t="s">
        <v>2006</v>
      </c>
      <c r="F24" s="353">
        <v>0.2424</v>
      </c>
      <c r="G24" s="352" t="s">
        <v>2126</v>
      </c>
      <c r="H24" s="176" t="s">
        <v>809</v>
      </c>
      <c r="I24" s="176" t="s">
        <v>810</v>
      </c>
      <c r="J24" s="352" t="s">
        <v>24</v>
      </c>
      <c r="K24" s="352">
        <v>200</v>
      </c>
      <c r="L24" s="352" t="s">
        <v>25</v>
      </c>
      <c r="M24" s="352"/>
      <c r="N24" s="352"/>
      <c r="O24" s="351">
        <v>200</v>
      </c>
      <c r="P24" s="349" t="s">
        <v>1836</v>
      </c>
      <c r="R24" s="349">
        <f t="shared" si="0"/>
        <v>14</v>
      </c>
      <c r="S24" s="352"/>
      <c r="T24" s="352"/>
      <c r="U24" s="352"/>
      <c r="V24" s="353"/>
      <c r="W24" s="352"/>
      <c r="X24" s="176"/>
      <c r="Y24" s="176"/>
      <c r="Z24" s="352"/>
      <c r="AA24" s="352"/>
      <c r="AB24" s="352"/>
      <c r="AC24" s="352"/>
      <c r="AD24" s="352"/>
    </row>
    <row r="25" spans="1:30" ht="102.55" hidden="1" x14ac:dyDescent="0.35">
      <c r="A25" s="349">
        <v>24</v>
      </c>
      <c r="B25" s="352" t="s">
        <v>3032</v>
      </c>
      <c r="C25" s="351" t="s">
        <v>1275</v>
      </c>
      <c r="D25" s="352" t="s">
        <v>1275</v>
      </c>
      <c r="E25" s="352" t="s">
        <v>3033</v>
      </c>
      <c r="F25" s="353">
        <v>8.51</v>
      </c>
      <c r="G25" s="352" t="s">
        <v>3034</v>
      </c>
      <c r="H25" s="176" t="s">
        <v>2075</v>
      </c>
      <c r="I25" s="176" t="s">
        <v>2076</v>
      </c>
      <c r="J25" s="352" t="s">
        <v>3035</v>
      </c>
      <c r="K25" s="352">
        <v>100</v>
      </c>
      <c r="L25" s="352" t="s">
        <v>1116</v>
      </c>
      <c r="M25" s="352">
        <v>25</v>
      </c>
      <c r="N25" s="352" t="s">
        <v>1109</v>
      </c>
      <c r="O25" s="351">
        <v>100</v>
      </c>
      <c r="P25" s="349" t="s">
        <v>1836</v>
      </c>
      <c r="R25" s="349">
        <f t="shared" si="0"/>
        <v>14</v>
      </c>
      <c r="S25" s="352"/>
      <c r="T25" s="352"/>
      <c r="U25" s="352"/>
      <c r="V25" s="353"/>
      <c r="W25" s="352"/>
      <c r="X25" s="176"/>
      <c r="Y25" s="176"/>
      <c r="Z25" s="352"/>
      <c r="AA25" s="352"/>
      <c r="AB25" s="352"/>
      <c r="AC25" s="352"/>
      <c r="AD25" s="352"/>
    </row>
    <row r="26" spans="1:30" ht="25.65" hidden="1" x14ac:dyDescent="0.35">
      <c r="A26" s="349">
        <v>25</v>
      </c>
      <c r="B26" s="352" t="s">
        <v>466</v>
      </c>
      <c r="C26" s="351" t="s">
        <v>4358</v>
      </c>
      <c r="D26" s="352" t="s">
        <v>1275</v>
      </c>
      <c r="E26" s="352" t="s">
        <v>467</v>
      </c>
      <c r="F26" s="353">
        <v>30</v>
      </c>
      <c r="G26" s="352" t="s">
        <v>468</v>
      </c>
      <c r="H26" s="176" t="s">
        <v>357</v>
      </c>
      <c r="I26" s="176" t="s">
        <v>358</v>
      </c>
      <c r="J26" s="352" t="s">
        <v>469</v>
      </c>
      <c r="K26" s="352">
        <v>8</v>
      </c>
      <c r="L26" s="352" t="s">
        <v>470</v>
      </c>
      <c r="M26" s="352">
        <v>50</v>
      </c>
      <c r="N26" s="352" t="s">
        <v>1109</v>
      </c>
      <c r="O26" s="351">
        <v>8</v>
      </c>
      <c r="P26" s="349" t="s">
        <v>1838</v>
      </c>
      <c r="R26" s="349">
        <f t="shared" si="0"/>
        <v>14</v>
      </c>
      <c r="S26" s="352"/>
      <c r="T26" s="352"/>
      <c r="U26" s="352"/>
      <c r="V26" s="353"/>
      <c r="W26" s="352"/>
      <c r="X26" s="176"/>
      <c r="Y26" s="176"/>
      <c r="Z26" s="352"/>
      <c r="AA26" s="352"/>
      <c r="AB26" s="352"/>
      <c r="AC26" s="352"/>
      <c r="AD26" s="352"/>
    </row>
    <row r="27" spans="1:30" ht="89.75" hidden="1" x14ac:dyDescent="0.35">
      <c r="A27" s="349">
        <v>26</v>
      </c>
      <c r="B27" s="352" t="s">
        <v>26</v>
      </c>
      <c r="C27" s="351" t="s">
        <v>3174</v>
      </c>
      <c r="D27" s="352" t="s">
        <v>3174</v>
      </c>
      <c r="E27" s="352" t="s">
        <v>1997</v>
      </c>
      <c r="F27" s="353">
        <v>2</v>
      </c>
      <c r="G27" s="352" t="s">
        <v>1107</v>
      </c>
      <c r="H27" s="176" t="s">
        <v>3921</v>
      </c>
      <c r="I27" s="176" t="s">
        <v>3854</v>
      </c>
      <c r="J27" s="352" t="s">
        <v>1115</v>
      </c>
      <c r="K27" s="352">
        <v>500</v>
      </c>
      <c r="L27" s="352" t="s">
        <v>1464</v>
      </c>
      <c r="M27" s="351"/>
      <c r="N27" s="351"/>
      <c r="O27" s="351">
        <v>500</v>
      </c>
      <c r="P27" s="349" t="s">
        <v>1836</v>
      </c>
      <c r="R27" s="349">
        <f t="shared" si="0"/>
        <v>17</v>
      </c>
      <c r="S27" s="352"/>
      <c r="T27" s="352"/>
      <c r="U27" s="352"/>
      <c r="V27" s="353"/>
      <c r="W27" s="352"/>
      <c r="X27" s="176"/>
      <c r="Y27" s="176"/>
      <c r="Z27" s="352"/>
      <c r="AA27" s="352"/>
      <c r="AB27" s="352"/>
      <c r="AC27" s="352"/>
      <c r="AD27" s="352"/>
    </row>
    <row r="28" spans="1:30" ht="38.450000000000003" hidden="1" x14ac:dyDescent="0.35">
      <c r="A28" s="349">
        <v>27</v>
      </c>
      <c r="B28" s="352" t="s">
        <v>4100</v>
      </c>
      <c r="C28" s="351" t="s">
        <v>648</v>
      </c>
      <c r="D28" s="352" t="s">
        <v>648</v>
      </c>
      <c r="E28" s="352" t="s">
        <v>27</v>
      </c>
      <c r="F28" s="353">
        <v>8.3741000000000003</v>
      </c>
      <c r="G28" s="352" t="s">
        <v>28</v>
      </c>
      <c r="H28" s="176" t="s">
        <v>3150</v>
      </c>
      <c r="I28" s="176" t="s">
        <v>605</v>
      </c>
      <c r="J28" s="352" t="s">
        <v>29</v>
      </c>
      <c r="K28" s="352">
        <v>50</v>
      </c>
      <c r="L28" s="352" t="s">
        <v>30</v>
      </c>
      <c r="M28" s="352">
        <v>10</v>
      </c>
      <c r="N28" s="352" t="s">
        <v>31</v>
      </c>
      <c r="O28" s="351">
        <v>50</v>
      </c>
      <c r="P28" s="349" t="s">
        <v>1836</v>
      </c>
      <c r="R28" s="349">
        <f t="shared" si="0"/>
        <v>9</v>
      </c>
      <c r="S28" s="352"/>
      <c r="T28" s="352"/>
      <c r="U28" s="352"/>
      <c r="V28" s="353"/>
      <c r="W28" s="352"/>
      <c r="X28" s="176"/>
      <c r="Y28" s="176"/>
      <c r="Z28" s="352"/>
      <c r="AA28" s="352"/>
      <c r="AB28" s="352"/>
      <c r="AC28" s="351"/>
      <c r="AD28" s="351"/>
    </row>
    <row r="29" spans="1:30" ht="38.450000000000003" hidden="1" x14ac:dyDescent="0.35">
      <c r="A29" s="349">
        <v>28</v>
      </c>
      <c r="B29" s="352" t="s">
        <v>4100</v>
      </c>
      <c r="C29" s="351" t="s">
        <v>648</v>
      </c>
      <c r="D29" s="352" t="s">
        <v>648</v>
      </c>
      <c r="E29" s="352" t="s">
        <v>27</v>
      </c>
      <c r="F29" s="353">
        <v>8.3741000000000003</v>
      </c>
      <c r="G29" s="352" t="s">
        <v>28</v>
      </c>
      <c r="H29" s="176" t="s">
        <v>2313</v>
      </c>
      <c r="I29" s="176" t="s">
        <v>605</v>
      </c>
      <c r="J29" s="352" t="s">
        <v>29</v>
      </c>
      <c r="K29" s="352">
        <v>50</v>
      </c>
      <c r="L29" s="352" t="s">
        <v>30</v>
      </c>
      <c r="M29" s="351">
        <v>10</v>
      </c>
      <c r="N29" s="351" t="s">
        <v>31</v>
      </c>
      <c r="O29" s="351">
        <v>50</v>
      </c>
      <c r="P29" s="349" t="s">
        <v>1836</v>
      </c>
      <c r="R29" s="349">
        <f t="shared" si="0"/>
        <v>9</v>
      </c>
      <c r="S29" s="352"/>
      <c r="T29" s="352"/>
      <c r="U29" s="352"/>
      <c r="V29" s="353"/>
      <c r="W29" s="352"/>
      <c r="X29" s="176"/>
      <c r="Y29" s="176"/>
      <c r="Z29" s="352"/>
      <c r="AA29" s="352"/>
      <c r="AB29" s="352"/>
      <c r="AC29" s="352"/>
      <c r="AD29" s="352"/>
    </row>
    <row r="30" spans="1:30" ht="38.450000000000003" hidden="1" x14ac:dyDescent="0.35">
      <c r="A30" s="349">
        <v>29</v>
      </c>
      <c r="B30" s="352" t="s">
        <v>4100</v>
      </c>
      <c r="C30" s="351" t="s">
        <v>648</v>
      </c>
      <c r="D30" s="352" t="s">
        <v>648</v>
      </c>
      <c r="E30" s="352" t="s">
        <v>27</v>
      </c>
      <c r="F30" s="353">
        <v>8.3741000000000003</v>
      </c>
      <c r="G30" s="352" t="s">
        <v>28</v>
      </c>
      <c r="H30" s="176" t="s">
        <v>3150</v>
      </c>
      <c r="I30" s="176" t="s">
        <v>605</v>
      </c>
      <c r="J30" s="352" t="s">
        <v>29</v>
      </c>
      <c r="K30" s="352">
        <v>50</v>
      </c>
      <c r="L30" s="352" t="s">
        <v>30</v>
      </c>
      <c r="M30" s="352">
        <v>10</v>
      </c>
      <c r="N30" s="352" t="s">
        <v>31</v>
      </c>
      <c r="O30" s="351">
        <v>50</v>
      </c>
      <c r="P30" s="349" t="s">
        <v>1836</v>
      </c>
      <c r="R30" s="349">
        <f t="shared" si="0"/>
        <v>9</v>
      </c>
      <c r="S30" s="352"/>
      <c r="T30" s="352"/>
      <c r="U30" s="352"/>
      <c r="V30" s="353"/>
      <c r="W30" s="352"/>
      <c r="X30" s="176"/>
      <c r="Y30" s="176"/>
      <c r="Z30" s="352"/>
      <c r="AA30" s="352"/>
      <c r="AB30" s="352"/>
      <c r="AC30" s="351"/>
      <c r="AD30" s="351"/>
    </row>
    <row r="31" spans="1:30" ht="38.450000000000003" hidden="1" x14ac:dyDescent="0.35">
      <c r="A31" s="349">
        <v>30</v>
      </c>
      <c r="B31" s="352" t="s">
        <v>4100</v>
      </c>
      <c r="C31" s="351" t="s">
        <v>648</v>
      </c>
      <c r="D31" s="352" t="s">
        <v>648</v>
      </c>
      <c r="E31" s="352" t="s">
        <v>27</v>
      </c>
      <c r="F31" s="353">
        <v>8.3741000000000003</v>
      </c>
      <c r="G31" s="352" t="s">
        <v>28</v>
      </c>
      <c r="H31" s="176" t="s">
        <v>3150</v>
      </c>
      <c r="I31" s="176" t="s">
        <v>605</v>
      </c>
      <c r="J31" s="352" t="s">
        <v>29</v>
      </c>
      <c r="K31" s="352">
        <v>50</v>
      </c>
      <c r="L31" s="352" t="s">
        <v>30</v>
      </c>
      <c r="M31" s="352">
        <v>10</v>
      </c>
      <c r="N31" s="352" t="s">
        <v>31</v>
      </c>
      <c r="O31" s="351">
        <v>50</v>
      </c>
      <c r="P31" s="349" t="s">
        <v>1836</v>
      </c>
      <c r="R31" s="349">
        <f t="shared" si="0"/>
        <v>9</v>
      </c>
      <c r="S31" s="352"/>
      <c r="T31" s="352"/>
      <c r="U31" s="352"/>
      <c r="V31" s="353"/>
      <c r="W31" s="352"/>
      <c r="X31" s="176"/>
      <c r="Y31" s="176"/>
      <c r="Z31" s="352"/>
      <c r="AA31" s="352"/>
      <c r="AB31" s="352"/>
      <c r="AC31" s="351"/>
      <c r="AD31" s="351"/>
    </row>
    <row r="32" spans="1:30" ht="205.1" hidden="1" x14ac:dyDescent="0.35">
      <c r="A32" s="349">
        <v>31</v>
      </c>
      <c r="B32" s="352" t="s">
        <v>4100</v>
      </c>
      <c r="C32" s="351" t="s">
        <v>648</v>
      </c>
      <c r="D32" s="352" t="s">
        <v>648</v>
      </c>
      <c r="E32" s="352" t="s">
        <v>1997</v>
      </c>
      <c r="F32" s="353">
        <v>5.2008000000000001</v>
      </c>
      <c r="G32" s="352" t="s">
        <v>1107</v>
      </c>
      <c r="H32" s="176" t="s">
        <v>3523</v>
      </c>
      <c r="I32" s="176" t="s">
        <v>4166</v>
      </c>
      <c r="J32" s="352" t="s">
        <v>1115</v>
      </c>
      <c r="K32" s="352">
        <v>250</v>
      </c>
      <c r="L32" s="352" t="s">
        <v>1464</v>
      </c>
      <c r="M32" s="351"/>
      <c r="N32" s="351"/>
      <c r="O32" s="351">
        <v>250</v>
      </c>
      <c r="P32" s="349" t="s">
        <v>1836</v>
      </c>
      <c r="R32" s="349">
        <f t="shared" si="0"/>
        <v>9</v>
      </c>
      <c r="S32" s="352"/>
      <c r="T32" s="352"/>
      <c r="U32" s="352"/>
      <c r="V32" s="353"/>
      <c r="W32" s="352"/>
      <c r="X32" s="176"/>
      <c r="Y32" s="176"/>
      <c r="Z32" s="352"/>
      <c r="AA32" s="352"/>
      <c r="AB32" s="352"/>
      <c r="AC32" s="352"/>
      <c r="AD32" s="352"/>
    </row>
    <row r="33" spans="1:30" ht="38.450000000000003" hidden="1" x14ac:dyDescent="0.35">
      <c r="A33" s="349">
        <v>32</v>
      </c>
      <c r="B33" s="352" t="s">
        <v>32</v>
      </c>
      <c r="C33" s="351" t="s">
        <v>648</v>
      </c>
      <c r="D33" s="352" t="s">
        <v>648</v>
      </c>
      <c r="E33" s="352" t="s">
        <v>33</v>
      </c>
      <c r="F33" s="353">
        <v>24.262799999999999</v>
      </c>
      <c r="G33" s="352" t="s">
        <v>34</v>
      </c>
      <c r="H33" s="176" t="s">
        <v>1721</v>
      </c>
      <c r="I33" s="176" t="s">
        <v>3584</v>
      </c>
      <c r="J33" s="352" t="s">
        <v>35</v>
      </c>
      <c r="K33" s="352">
        <v>30</v>
      </c>
      <c r="L33" s="352" t="s">
        <v>30</v>
      </c>
      <c r="M33" s="352">
        <v>4.5</v>
      </c>
      <c r="N33" s="352" t="s">
        <v>31</v>
      </c>
      <c r="O33" s="351">
        <v>30</v>
      </c>
      <c r="P33" s="349" t="s">
        <v>1836</v>
      </c>
      <c r="R33" s="349">
        <f t="shared" si="0"/>
        <v>9</v>
      </c>
      <c r="S33" s="352"/>
      <c r="T33" s="352"/>
      <c r="U33" s="352"/>
      <c r="V33" s="353"/>
      <c r="W33" s="352"/>
      <c r="X33" s="176"/>
      <c r="Y33" s="176"/>
      <c r="Z33" s="352"/>
      <c r="AA33" s="352"/>
      <c r="AB33" s="352"/>
      <c r="AC33" s="352"/>
      <c r="AD33" s="352"/>
    </row>
    <row r="34" spans="1:30" ht="38.450000000000003" hidden="1" x14ac:dyDescent="0.35">
      <c r="A34" s="349">
        <v>33</v>
      </c>
      <c r="B34" s="352" t="s">
        <v>4100</v>
      </c>
      <c r="C34" s="351" t="s">
        <v>648</v>
      </c>
      <c r="D34" s="352" t="s">
        <v>648</v>
      </c>
      <c r="E34" s="352" t="s">
        <v>33</v>
      </c>
      <c r="F34" s="353">
        <v>24.262799999999999</v>
      </c>
      <c r="G34" s="352" t="s">
        <v>1663</v>
      </c>
      <c r="H34" s="37" t="s">
        <v>606</v>
      </c>
      <c r="I34" s="176" t="s">
        <v>605</v>
      </c>
      <c r="J34" s="352" t="s">
        <v>35</v>
      </c>
      <c r="K34" s="352">
        <v>30</v>
      </c>
      <c r="L34" s="352" t="s">
        <v>30</v>
      </c>
      <c r="M34" s="352">
        <v>4.5</v>
      </c>
      <c r="N34" s="352" t="s">
        <v>31</v>
      </c>
      <c r="O34" s="351">
        <v>30</v>
      </c>
      <c r="P34" s="349" t="s">
        <v>1836</v>
      </c>
      <c r="R34" s="349">
        <f t="shared" si="0"/>
        <v>9</v>
      </c>
      <c r="S34" s="352"/>
      <c r="T34" s="352"/>
      <c r="U34" s="352"/>
      <c r="V34" s="353"/>
      <c r="W34" s="352"/>
      <c r="X34" s="176"/>
      <c r="Y34" s="176"/>
      <c r="Z34" s="352"/>
      <c r="AA34" s="352"/>
      <c r="AB34" s="352"/>
      <c r="AC34" s="352"/>
      <c r="AD34" s="352"/>
    </row>
    <row r="35" spans="1:30" ht="89.75" hidden="1" x14ac:dyDescent="0.35">
      <c r="A35" s="349">
        <v>34</v>
      </c>
      <c r="B35" s="352" t="s">
        <v>4100</v>
      </c>
      <c r="C35" s="351" t="s">
        <v>648</v>
      </c>
      <c r="D35" s="352" t="s">
        <v>648</v>
      </c>
      <c r="E35" s="352" t="s">
        <v>36</v>
      </c>
      <c r="F35" s="353">
        <v>85.063199999999995</v>
      </c>
      <c r="G35" s="352" t="s">
        <v>2126</v>
      </c>
      <c r="H35" s="176" t="s">
        <v>4167</v>
      </c>
      <c r="I35" s="176" t="s">
        <v>1578</v>
      </c>
      <c r="J35" s="352" t="s">
        <v>3579</v>
      </c>
      <c r="K35" s="352">
        <v>40</v>
      </c>
      <c r="L35" s="352" t="s">
        <v>1116</v>
      </c>
      <c r="M35" s="352">
        <v>125</v>
      </c>
      <c r="N35" s="352" t="s">
        <v>1109</v>
      </c>
      <c r="O35" s="351">
        <v>40</v>
      </c>
      <c r="P35" s="349" t="s">
        <v>1836</v>
      </c>
      <c r="R35" s="349">
        <f t="shared" si="0"/>
        <v>9</v>
      </c>
      <c r="S35" s="352"/>
      <c r="T35" s="352"/>
      <c r="U35" s="352"/>
      <c r="V35" s="353"/>
      <c r="W35" s="352"/>
      <c r="X35" s="176"/>
      <c r="Y35" s="176"/>
      <c r="Z35" s="352"/>
      <c r="AA35" s="352"/>
      <c r="AB35" s="352"/>
      <c r="AC35" s="351"/>
      <c r="AD35" s="351"/>
    </row>
    <row r="36" spans="1:30" ht="89.75" hidden="1" x14ac:dyDescent="0.35">
      <c r="A36" s="349">
        <v>35</v>
      </c>
      <c r="B36" s="352" t="s">
        <v>4100</v>
      </c>
      <c r="C36" s="351" t="s">
        <v>648</v>
      </c>
      <c r="D36" s="352" t="s">
        <v>648</v>
      </c>
      <c r="E36" s="352" t="s">
        <v>1995</v>
      </c>
      <c r="F36" s="353">
        <v>0.44069999999999998</v>
      </c>
      <c r="G36" s="352" t="s">
        <v>2126</v>
      </c>
      <c r="H36" s="176" t="s">
        <v>4167</v>
      </c>
      <c r="I36" s="176" t="s">
        <v>1578</v>
      </c>
      <c r="J36" s="352" t="s">
        <v>3580</v>
      </c>
      <c r="K36" s="352">
        <v>200</v>
      </c>
      <c r="L36" s="352" t="s">
        <v>3581</v>
      </c>
      <c r="M36" s="352"/>
      <c r="N36" s="352"/>
      <c r="O36" s="351">
        <v>200</v>
      </c>
      <c r="P36" s="349" t="s">
        <v>1836</v>
      </c>
      <c r="R36" s="349">
        <f t="shared" si="0"/>
        <v>9</v>
      </c>
      <c r="S36" s="352"/>
      <c r="T36" s="352"/>
      <c r="U36" s="352"/>
      <c r="V36" s="353"/>
      <c r="W36" s="352"/>
      <c r="X36" s="176"/>
      <c r="Y36" s="176"/>
      <c r="Z36" s="352"/>
      <c r="AA36" s="352"/>
      <c r="AB36" s="352"/>
      <c r="AC36" s="351"/>
      <c r="AD36" s="351"/>
    </row>
    <row r="37" spans="1:30" ht="205.1" hidden="1" x14ac:dyDescent="0.35">
      <c r="A37" s="349">
        <v>36</v>
      </c>
      <c r="B37" s="352" t="s">
        <v>4100</v>
      </c>
      <c r="C37" s="351" t="s">
        <v>4359</v>
      </c>
      <c r="D37" s="352" t="s">
        <v>648</v>
      </c>
      <c r="E37" s="352" t="s">
        <v>1997</v>
      </c>
      <c r="F37" s="353">
        <v>5.2008000000000001</v>
      </c>
      <c r="G37" s="352" t="s">
        <v>1107</v>
      </c>
      <c r="H37" s="176" t="s">
        <v>3523</v>
      </c>
      <c r="I37" s="176" t="s">
        <v>4166</v>
      </c>
      <c r="J37" s="352" t="s">
        <v>1115</v>
      </c>
      <c r="K37" s="352">
        <v>250</v>
      </c>
      <c r="L37" s="352" t="s">
        <v>1464</v>
      </c>
      <c r="M37" s="351"/>
      <c r="N37" s="351"/>
      <c r="O37" s="351">
        <v>250</v>
      </c>
      <c r="P37" s="349" t="s">
        <v>1836</v>
      </c>
      <c r="R37" s="349">
        <f t="shared" si="0"/>
        <v>9</v>
      </c>
      <c r="S37" s="352"/>
      <c r="T37" s="352"/>
      <c r="U37" s="352"/>
      <c r="V37" s="353"/>
      <c r="W37" s="352"/>
      <c r="X37" s="176"/>
      <c r="Y37" s="176"/>
      <c r="Z37" s="352"/>
      <c r="AA37" s="352"/>
      <c r="AB37" s="352"/>
      <c r="AC37" s="352"/>
      <c r="AD37" s="352"/>
    </row>
    <row r="38" spans="1:30" ht="89.75" hidden="1" x14ac:dyDescent="0.35">
      <c r="A38" s="349">
        <v>37</v>
      </c>
      <c r="B38" s="352" t="s">
        <v>4100</v>
      </c>
      <c r="C38" s="351" t="s">
        <v>4360</v>
      </c>
      <c r="D38" s="352" t="s">
        <v>648</v>
      </c>
      <c r="E38" s="352" t="s">
        <v>36</v>
      </c>
      <c r="F38" s="353">
        <v>85.063199999999995</v>
      </c>
      <c r="G38" s="352" t="s">
        <v>2126</v>
      </c>
      <c r="H38" s="176" t="s">
        <v>4167</v>
      </c>
      <c r="I38" s="176" t="s">
        <v>1578</v>
      </c>
      <c r="J38" s="352" t="s">
        <v>3579</v>
      </c>
      <c r="K38" s="352">
        <v>40</v>
      </c>
      <c r="L38" s="352" t="s">
        <v>1116</v>
      </c>
      <c r="M38" s="352">
        <v>125</v>
      </c>
      <c r="N38" s="352" t="s">
        <v>1109</v>
      </c>
      <c r="O38" s="351">
        <v>40</v>
      </c>
      <c r="P38" s="349" t="s">
        <v>1836</v>
      </c>
      <c r="R38" s="349">
        <f t="shared" si="0"/>
        <v>9</v>
      </c>
      <c r="S38" s="352"/>
      <c r="T38" s="352"/>
      <c r="U38" s="352"/>
      <c r="V38" s="353"/>
      <c r="W38" s="352"/>
      <c r="X38" s="176"/>
      <c r="Y38" s="176"/>
      <c r="Z38" s="352"/>
      <c r="AA38" s="352"/>
      <c r="AB38" s="352"/>
      <c r="AC38" s="352"/>
      <c r="AD38" s="352"/>
    </row>
    <row r="39" spans="1:30" ht="89.75" hidden="1" x14ac:dyDescent="0.35">
      <c r="A39" s="349">
        <v>38</v>
      </c>
      <c r="B39" s="352" t="s">
        <v>4100</v>
      </c>
      <c r="C39" s="351" t="s">
        <v>4360</v>
      </c>
      <c r="D39" s="352" t="s">
        <v>648</v>
      </c>
      <c r="E39" s="352" t="s">
        <v>1995</v>
      </c>
      <c r="F39" s="353">
        <v>0.44069999999999998</v>
      </c>
      <c r="G39" s="352" t="s">
        <v>2126</v>
      </c>
      <c r="H39" s="176" t="s">
        <v>4167</v>
      </c>
      <c r="I39" s="176" t="s">
        <v>1578</v>
      </c>
      <c r="J39" s="352" t="s">
        <v>3580</v>
      </c>
      <c r="K39" s="352">
        <v>200</v>
      </c>
      <c r="L39" s="352" t="s">
        <v>3581</v>
      </c>
      <c r="M39" s="351"/>
      <c r="N39" s="351"/>
      <c r="O39" s="351">
        <v>200</v>
      </c>
      <c r="P39" s="349" t="s">
        <v>1836</v>
      </c>
      <c r="R39" s="349">
        <f t="shared" si="0"/>
        <v>9</v>
      </c>
      <c r="S39" s="352"/>
      <c r="T39" s="352"/>
      <c r="U39" s="352"/>
      <c r="V39" s="353"/>
      <c r="W39" s="352"/>
      <c r="X39" s="176"/>
      <c r="Y39" s="176"/>
      <c r="Z39" s="352"/>
      <c r="AA39" s="352"/>
      <c r="AB39" s="352"/>
      <c r="AC39" s="352"/>
      <c r="AD39" s="352"/>
    </row>
    <row r="40" spans="1:30" ht="102.55" hidden="1" x14ac:dyDescent="0.35">
      <c r="A40" s="349">
        <v>39</v>
      </c>
      <c r="B40" s="352" t="s">
        <v>159</v>
      </c>
      <c r="C40" s="351" t="s">
        <v>4361</v>
      </c>
      <c r="D40" s="352" t="s">
        <v>2365</v>
      </c>
      <c r="E40" s="352" t="s">
        <v>160</v>
      </c>
      <c r="F40" s="353">
        <v>10.25</v>
      </c>
      <c r="G40" s="352" t="s">
        <v>34</v>
      </c>
      <c r="H40" s="176" t="s">
        <v>2366</v>
      </c>
      <c r="I40" s="176" t="s">
        <v>4353</v>
      </c>
      <c r="J40" s="352" t="s">
        <v>29</v>
      </c>
      <c r="K40" s="352">
        <v>0.05</v>
      </c>
      <c r="L40" s="352" t="s">
        <v>470</v>
      </c>
      <c r="M40" s="352">
        <v>20</v>
      </c>
      <c r="N40" s="352" t="s">
        <v>31</v>
      </c>
      <c r="O40" s="351">
        <v>0.05</v>
      </c>
      <c r="P40" s="349" t="s">
        <v>1838</v>
      </c>
      <c r="R40" s="349">
        <f t="shared" si="0"/>
        <v>10</v>
      </c>
      <c r="S40" s="352"/>
      <c r="T40" s="352"/>
      <c r="U40" s="352"/>
      <c r="V40" s="353"/>
      <c r="W40" s="352"/>
      <c r="X40" s="176"/>
      <c r="Y40" s="176"/>
      <c r="Z40" s="352"/>
      <c r="AA40" s="352"/>
      <c r="AB40" s="352"/>
      <c r="AC40" s="352"/>
      <c r="AD40" s="352"/>
    </row>
    <row r="41" spans="1:30" ht="25.65" hidden="1" x14ac:dyDescent="0.35">
      <c r="A41" s="349">
        <v>40</v>
      </c>
      <c r="B41" s="352" t="s">
        <v>826</v>
      </c>
      <c r="C41" s="351" t="s">
        <v>4362</v>
      </c>
      <c r="D41" s="352" t="s">
        <v>3072</v>
      </c>
      <c r="E41" s="352" t="s">
        <v>827</v>
      </c>
      <c r="F41" s="353">
        <v>0.99170000000000003</v>
      </c>
      <c r="G41" s="352" t="s">
        <v>1107</v>
      </c>
      <c r="H41" s="176" t="s">
        <v>2781</v>
      </c>
      <c r="I41" s="37"/>
      <c r="J41" s="352" t="s">
        <v>828</v>
      </c>
      <c r="K41" s="352">
        <v>100</v>
      </c>
      <c r="L41" s="352" t="s">
        <v>1116</v>
      </c>
      <c r="M41" s="351">
        <v>5</v>
      </c>
      <c r="N41" s="351" t="s">
        <v>1109</v>
      </c>
      <c r="O41" s="351">
        <v>100</v>
      </c>
      <c r="P41" s="349" t="s">
        <v>1836</v>
      </c>
      <c r="R41" s="349">
        <f t="shared" si="0"/>
        <v>13</v>
      </c>
      <c r="S41" s="352"/>
      <c r="T41" s="352"/>
      <c r="U41" s="352"/>
      <c r="V41" s="353"/>
      <c r="W41" s="352"/>
      <c r="X41" s="176"/>
      <c r="Y41" s="176"/>
      <c r="Z41" s="352"/>
      <c r="AA41" s="352"/>
      <c r="AB41" s="352"/>
      <c r="AC41" s="352"/>
      <c r="AD41" s="352"/>
    </row>
    <row r="42" spans="1:30" ht="38.450000000000003" hidden="1" x14ac:dyDescent="0.35">
      <c r="A42" s="349">
        <v>41</v>
      </c>
      <c r="B42" s="352" t="s">
        <v>826</v>
      </c>
      <c r="C42" s="351" t="s">
        <v>4362</v>
      </c>
      <c r="D42" s="352" t="s">
        <v>3072</v>
      </c>
      <c r="E42" s="352" t="s">
        <v>1995</v>
      </c>
      <c r="F42" s="353">
        <v>0.1</v>
      </c>
      <c r="G42" s="352" t="s">
        <v>2126</v>
      </c>
      <c r="H42" s="176" t="s">
        <v>733</v>
      </c>
      <c r="I42" s="37"/>
      <c r="J42" s="352" t="s">
        <v>3580</v>
      </c>
      <c r="K42" s="352">
        <v>50</v>
      </c>
      <c r="L42" s="352" t="s">
        <v>3581</v>
      </c>
      <c r="M42" s="351"/>
      <c r="N42" s="351"/>
      <c r="O42" s="351">
        <v>50</v>
      </c>
      <c r="P42" s="349" t="s">
        <v>1836</v>
      </c>
      <c r="R42" s="349">
        <f t="shared" si="0"/>
        <v>13</v>
      </c>
      <c r="S42" s="352"/>
      <c r="T42" s="352"/>
      <c r="U42" s="352"/>
      <c r="V42" s="353"/>
      <c r="W42" s="352"/>
      <c r="X42" s="176"/>
      <c r="Y42" s="176"/>
      <c r="Z42" s="352"/>
      <c r="AA42" s="352"/>
      <c r="AB42" s="352"/>
      <c r="AC42" s="352"/>
      <c r="AD42" s="352"/>
    </row>
    <row r="43" spans="1:30" ht="38.450000000000003" hidden="1" x14ac:dyDescent="0.35">
      <c r="A43" s="349">
        <v>42</v>
      </c>
      <c r="B43" s="352" t="s">
        <v>826</v>
      </c>
      <c r="C43" s="351" t="s">
        <v>4362</v>
      </c>
      <c r="D43" s="352" t="s">
        <v>3072</v>
      </c>
      <c r="E43" s="352" t="s">
        <v>1995</v>
      </c>
      <c r="F43" s="353">
        <v>0.1</v>
      </c>
      <c r="G43" s="352" t="s">
        <v>2126</v>
      </c>
      <c r="H43" s="176" t="s">
        <v>733</v>
      </c>
      <c r="I43" s="37"/>
      <c r="J43" s="352" t="s">
        <v>3580</v>
      </c>
      <c r="K43" s="352">
        <v>500</v>
      </c>
      <c r="L43" s="352" t="s">
        <v>3581</v>
      </c>
      <c r="M43" s="352"/>
      <c r="N43" s="352"/>
      <c r="O43" s="351">
        <v>500</v>
      </c>
      <c r="P43" s="349" t="s">
        <v>1836</v>
      </c>
      <c r="R43" s="349">
        <f t="shared" si="0"/>
        <v>13</v>
      </c>
      <c r="S43" s="352"/>
      <c r="T43" s="352"/>
      <c r="U43" s="352"/>
      <c r="V43" s="353"/>
      <c r="W43" s="352"/>
      <c r="X43" s="176"/>
      <c r="Y43" s="176"/>
      <c r="Z43" s="352"/>
      <c r="AA43" s="352"/>
      <c r="AB43" s="352"/>
      <c r="AC43" s="352"/>
      <c r="AD43" s="352"/>
    </row>
    <row r="44" spans="1:30" ht="51.3" hidden="1" x14ac:dyDescent="0.35">
      <c r="A44" s="349">
        <v>43</v>
      </c>
      <c r="B44" s="352" t="s">
        <v>829</v>
      </c>
      <c r="C44" s="351" t="s">
        <v>4864</v>
      </c>
      <c r="D44" s="352" t="s">
        <v>282</v>
      </c>
      <c r="E44" s="352" t="s">
        <v>1995</v>
      </c>
      <c r="F44" s="353">
        <v>0.15429999999999999</v>
      </c>
      <c r="G44" s="352" t="s">
        <v>2126</v>
      </c>
      <c r="H44" s="176" t="s">
        <v>2290</v>
      </c>
      <c r="I44" s="176" t="s">
        <v>2291</v>
      </c>
      <c r="J44" s="352" t="s">
        <v>3580</v>
      </c>
      <c r="K44" s="352">
        <v>5</v>
      </c>
      <c r="L44" s="352" t="s">
        <v>3581</v>
      </c>
      <c r="M44" s="351"/>
      <c r="N44" s="351"/>
      <c r="O44" s="351">
        <v>5</v>
      </c>
      <c r="P44" s="349" t="s">
        <v>1836</v>
      </c>
      <c r="R44" s="349">
        <f t="shared" si="0"/>
        <v>10</v>
      </c>
      <c r="S44" s="352"/>
      <c r="T44" s="352"/>
      <c r="U44" s="352"/>
      <c r="V44" s="353"/>
      <c r="W44" s="352"/>
      <c r="X44" s="176"/>
      <c r="Y44" s="176"/>
      <c r="Z44" s="352"/>
      <c r="AA44" s="352"/>
      <c r="AB44" s="352"/>
      <c r="AC44" s="352"/>
      <c r="AD44" s="352"/>
    </row>
    <row r="45" spans="1:30" ht="102.55" hidden="1" x14ac:dyDescent="0.35">
      <c r="A45" s="349">
        <v>44</v>
      </c>
      <c r="B45" s="352" t="s">
        <v>830</v>
      </c>
      <c r="C45" s="351" t="s">
        <v>4864</v>
      </c>
      <c r="D45" s="352" t="s">
        <v>282</v>
      </c>
      <c r="E45" s="352" t="s">
        <v>1995</v>
      </c>
      <c r="F45" s="353">
        <v>0.15</v>
      </c>
      <c r="G45" s="352" t="s">
        <v>2126</v>
      </c>
      <c r="H45" s="176" t="s">
        <v>100</v>
      </c>
      <c r="I45" s="176" t="s">
        <v>101</v>
      </c>
      <c r="J45" s="352" t="s">
        <v>3580</v>
      </c>
      <c r="K45" s="352">
        <v>0.5</v>
      </c>
      <c r="L45" s="352" t="s">
        <v>3581</v>
      </c>
      <c r="M45" s="351"/>
      <c r="N45" s="351"/>
      <c r="O45" s="351">
        <v>0.5</v>
      </c>
      <c r="P45" s="349" t="s">
        <v>1836</v>
      </c>
      <c r="R45" s="349">
        <f t="shared" si="0"/>
        <v>10</v>
      </c>
      <c r="S45" s="352"/>
      <c r="T45" s="352"/>
      <c r="U45" s="352"/>
      <c r="V45" s="353"/>
      <c r="W45" s="352"/>
      <c r="X45" s="176"/>
      <c r="Y45" s="176"/>
      <c r="Z45" s="352"/>
      <c r="AA45" s="352"/>
      <c r="AB45" s="352"/>
      <c r="AC45" s="351"/>
      <c r="AD45" s="351"/>
    </row>
    <row r="46" spans="1:30" ht="102.55" hidden="1" x14ac:dyDescent="0.35">
      <c r="A46" s="349">
        <v>45</v>
      </c>
      <c r="B46" s="352" t="s">
        <v>830</v>
      </c>
      <c r="C46" s="351" t="s">
        <v>4864</v>
      </c>
      <c r="D46" s="352" t="s">
        <v>282</v>
      </c>
      <c r="E46" s="352" t="s">
        <v>1995</v>
      </c>
      <c r="F46" s="353">
        <v>0.15429999999999999</v>
      </c>
      <c r="G46" s="352" t="s">
        <v>2126</v>
      </c>
      <c r="H46" s="176" t="s">
        <v>100</v>
      </c>
      <c r="I46" s="176" t="s">
        <v>101</v>
      </c>
      <c r="J46" s="352" t="s">
        <v>3580</v>
      </c>
      <c r="K46" s="352">
        <v>5</v>
      </c>
      <c r="L46" s="352" t="s">
        <v>3581</v>
      </c>
      <c r="M46" s="351"/>
      <c r="N46" s="351"/>
      <c r="O46" s="351">
        <v>5</v>
      </c>
      <c r="P46" s="349" t="s">
        <v>1836</v>
      </c>
      <c r="R46" s="349">
        <f t="shared" si="0"/>
        <v>10</v>
      </c>
      <c r="S46" s="352"/>
      <c r="T46" s="352"/>
      <c r="U46" s="352"/>
      <c r="V46" s="353"/>
      <c r="W46" s="352"/>
      <c r="X46" s="176"/>
      <c r="Y46" s="176"/>
      <c r="Z46" s="352"/>
      <c r="AA46" s="352"/>
      <c r="AB46" s="352"/>
      <c r="AC46" s="352"/>
      <c r="AD46" s="352"/>
    </row>
    <row r="47" spans="1:30" ht="89.75" hidden="1" x14ac:dyDescent="0.35">
      <c r="A47" s="349">
        <v>46</v>
      </c>
      <c r="B47" s="352" t="s">
        <v>831</v>
      </c>
      <c r="C47" s="351" t="s">
        <v>4865</v>
      </c>
      <c r="D47" s="352" t="s">
        <v>1738</v>
      </c>
      <c r="E47" s="352" t="s">
        <v>1998</v>
      </c>
      <c r="F47" s="353">
        <v>0.31</v>
      </c>
      <c r="G47" s="352" t="s">
        <v>2126</v>
      </c>
      <c r="H47" s="176" t="s">
        <v>2858</v>
      </c>
      <c r="I47" s="176" t="s">
        <v>4833</v>
      </c>
      <c r="J47" s="352" t="s">
        <v>22</v>
      </c>
      <c r="K47" s="352">
        <v>250</v>
      </c>
      <c r="L47" s="352" t="s">
        <v>23</v>
      </c>
      <c r="M47" s="352"/>
      <c r="N47" s="352"/>
      <c r="O47" s="351">
        <v>250</v>
      </c>
      <c r="P47" s="349" t="s">
        <v>1836</v>
      </c>
      <c r="R47" s="349">
        <f t="shared" si="0"/>
        <v>24</v>
      </c>
      <c r="S47" s="352"/>
      <c r="T47" s="352"/>
      <c r="U47" s="352"/>
      <c r="V47" s="353"/>
      <c r="W47" s="352"/>
      <c r="X47" s="176"/>
      <c r="Y47" s="176"/>
      <c r="Z47" s="352"/>
      <c r="AA47" s="352"/>
      <c r="AB47" s="352"/>
      <c r="AC47" s="352"/>
      <c r="AD47" s="352"/>
    </row>
    <row r="48" spans="1:30" ht="89.75" hidden="1" x14ac:dyDescent="0.35">
      <c r="A48" s="349">
        <v>47</v>
      </c>
      <c r="B48" s="352" t="s">
        <v>831</v>
      </c>
      <c r="C48" s="351" t="s">
        <v>4865</v>
      </c>
      <c r="D48" s="352" t="s">
        <v>1738</v>
      </c>
      <c r="E48" s="352" t="s">
        <v>2339</v>
      </c>
      <c r="F48" s="353">
        <v>10.58</v>
      </c>
      <c r="G48" s="352" t="s">
        <v>2126</v>
      </c>
      <c r="H48" s="176" t="s">
        <v>2858</v>
      </c>
      <c r="I48" s="176" t="s">
        <v>4833</v>
      </c>
      <c r="J48" s="352" t="s">
        <v>2340</v>
      </c>
      <c r="K48" s="352">
        <v>24</v>
      </c>
      <c r="L48" s="352" t="s">
        <v>1116</v>
      </c>
      <c r="M48" s="352">
        <v>150</v>
      </c>
      <c r="N48" s="352" t="s">
        <v>1109</v>
      </c>
      <c r="O48" s="351">
        <v>24</v>
      </c>
      <c r="P48" s="349" t="s">
        <v>1836</v>
      </c>
      <c r="R48" s="349">
        <f t="shared" si="0"/>
        <v>24</v>
      </c>
      <c r="S48" s="352"/>
      <c r="T48" s="352"/>
      <c r="U48" s="352"/>
      <c r="V48" s="353"/>
      <c r="W48" s="352"/>
      <c r="X48" s="176"/>
      <c r="Y48" s="176"/>
      <c r="Z48" s="352"/>
      <c r="AA48" s="351"/>
      <c r="AB48" s="351"/>
      <c r="AC48" s="352"/>
      <c r="AD48" s="352"/>
    </row>
    <row r="49" spans="1:30" ht="166.65" hidden="1" x14ac:dyDescent="0.35">
      <c r="A49" s="349">
        <v>48</v>
      </c>
      <c r="B49" s="352" t="s">
        <v>729</v>
      </c>
      <c r="C49" s="351" t="s">
        <v>4866</v>
      </c>
      <c r="D49" s="352" t="s">
        <v>1380</v>
      </c>
      <c r="E49" s="352" t="s">
        <v>730</v>
      </c>
      <c r="F49" s="353">
        <v>44.7</v>
      </c>
      <c r="G49" s="352" t="s">
        <v>731</v>
      </c>
      <c r="H49" s="176" t="s">
        <v>4271</v>
      </c>
      <c r="I49" s="176" t="s">
        <v>4468</v>
      </c>
      <c r="J49" s="352" t="s">
        <v>1115</v>
      </c>
      <c r="K49" s="352">
        <v>100</v>
      </c>
      <c r="L49" s="352" t="s">
        <v>732</v>
      </c>
      <c r="M49" s="352">
        <v>10</v>
      </c>
      <c r="N49" s="352" t="s">
        <v>1109</v>
      </c>
      <c r="O49" s="351">
        <v>100</v>
      </c>
      <c r="P49" s="349" t="s">
        <v>2030</v>
      </c>
      <c r="R49" s="349">
        <f t="shared" si="0"/>
        <v>20</v>
      </c>
      <c r="S49" s="352"/>
      <c r="T49" s="352"/>
      <c r="U49" s="352"/>
      <c r="V49" s="353"/>
      <c r="W49" s="352"/>
      <c r="X49" s="176"/>
      <c r="Y49" s="176"/>
      <c r="Z49" s="352"/>
      <c r="AA49" s="351"/>
      <c r="AB49" s="351"/>
      <c r="AC49" s="352"/>
      <c r="AD49" s="352"/>
    </row>
    <row r="50" spans="1:30" ht="166.65" hidden="1" x14ac:dyDescent="0.35">
      <c r="A50" s="349">
        <v>49</v>
      </c>
      <c r="B50" s="352" t="s">
        <v>729</v>
      </c>
      <c r="C50" s="351" t="s">
        <v>4866</v>
      </c>
      <c r="D50" s="352" t="s">
        <v>1380</v>
      </c>
      <c r="E50" s="352" t="s">
        <v>1649</v>
      </c>
      <c r="F50" s="353">
        <v>14.68</v>
      </c>
      <c r="G50" s="352" t="s">
        <v>731</v>
      </c>
      <c r="H50" s="176" t="s">
        <v>4271</v>
      </c>
      <c r="I50" s="176" t="s">
        <v>4468</v>
      </c>
      <c r="J50" s="352" t="s">
        <v>1650</v>
      </c>
      <c r="K50" s="352">
        <v>100</v>
      </c>
      <c r="L50" s="352" t="s">
        <v>732</v>
      </c>
      <c r="M50" s="352">
        <v>3</v>
      </c>
      <c r="N50" s="352" t="s">
        <v>1109</v>
      </c>
      <c r="O50" s="351">
        <v>100</v>
      </c>
      <c r="P50" s="349" t="s">
        <v>2030</v>
      </c>
      <c r="R50" s="349">
        <f t="shared" si="0"/>
        <v>20</v>
      </c>
      <c r="S50" s="352"/>
      <c r="T50" s="352"/>
      <c r="U50" s="352"/>
      <c r="V50" s="353"/>
      <c r="W50" s="352"/>
      <c r="X50" s="176"/>
      <c r="Y50" s="176"/>
      <c r="Z50" s="352"/>
      <c r="AA50" s="352"/>
      <c r="AB50" s="352"/>
      <c r="AC50" s="352"/>
      <c r="AD50" s="352"/>
    </row>
    <row r="51" spans="1:30" ht="89.75" hidden="1" x14ac:dyDescent="0.35">
      <c r="A51" s="349">
        <v>50</v>
      </c>
      <c r="B51" s="352" t="s">
        <v>2694</v>
      </c>
      <c r="C51" s="351" t="s">
        <v>4867</v>
      </c>
      <c r="D51" s="352" t="s">
        <v>4185</v>
      </c>
      <c r="E51" s="352" t="s">
        <v>2000</v>
      </c>
      <c r="F51" s="353">
        <v>0.1983</v>
      </c>
      <c r="G51" s="352" t="s">
        <v>2126</v>
      </c>
      <c r="H51" s="176" t="s">
        <v>2559</v>
      </c>
      <c r="I51" s="176" t="s">
        <v>684</v>
      </c>
      <c r="J51" s="352" t="s">
        <v>2695</v>
      </c>
      <c r="K51" s="352">
        <v>10</v>
      </c>
      <c r="L51" s="352" t="s">
        <v>3581</v>
      </c>
      <c r="M51" s="351"/>
      <c r="N51" s="351"/>
      <c r="O51" s="351">
        <v>10</v>
      </c>
      <c r="P51" s="349" t="s">
        <v>1836</v>
      </c>
      <c r="R51" s="349">
        <f t="shared" si="0"/>
        <v>10</v>
      </c>
      <c r="S51" s="352"/>
      <c r="T51" s="352"/>
      <c r="U51" s="352"/>
      <c r="V51" s="353"/>
      <c r="W51" s="352"/>
      <c r="X51" s="176"/>
      <c r="Y51" s="176"/>
      <c r="Z51" s="352"/>
      <c r="AA51" s="352"/>
      <c r="AB51" s="352"/>
      <c r="AC51" s="352"/>
      <c r="AD51" s="352"/>
    </row>
    <row r="52" spans="1:30" ht="89.75" hidden="1" x14ac:dyDescent="0.35">
      <c r="A52" s="349">
        <v>51</v>
      </c>
      <c r="B52" s="352" t="s">
        <v>2694</v>
      </c>
      <c r="C52" s="351" t="s">
        <v>4867</v>
      </c>
      <c r="D52" s="352" t="s">
        <v>4185</v>
      </c>
      <c r="E52" s="352" t="s">
        <v>2000</v>
      </c>
      <c r="F52" s="353">
        <v>0.81540000000000001</v>
      </c>
      <c r="G52" s="352" t="s">
        <v>2126</v>
      </c>
      <c r="H52" s="176" t="s">
        <v>2559</v>
      </c>
      <c r="I52" s="176" t="s">
        <v>684</v>
      </c>
      <c r="J52" s="352" t="s">
        <v>2695</v>
      </c>
      <c r="K52" s="352">
        <v>30</v>
      </c>
      <c r="L52" s="352" t="s">
        <v>3581</v>
      </c>
      <c r="M52" s="351"/>
      <c r="N52" s="351"/>
      <c r="O52" s="351">
        <v>30</v>
      </c>
      <c r="P52" s="349" t="s">
        <v>1836</v>
      </c>
      <c r="R52" s="349">
        <f t="shared" si="0"/>
        <v>10</v>
      </c>
      <c r="S52" s="352"/>
      <c r="T52" s="352"/>
      <c r="U52" s="352"/>
      <c r="V52" s="353"/>
      <c r="W52" s="352"/>
      <c r="X52" s="176"/>
      <c r="Y52" s="176"/>
      <c r="Z52" s="352"/>
      <c r="AA52" s="352"/>
      <c r="AB52" s="352"/>
      <c r="AC52" s="351"/>
      <c r="AD52" s="351"/>
    </row>
    <row r="53" spans="1:30" ht="192.25" hidden="1" x14ac:dyDescent="0.35">
      <c r="A53" s="349">
        <v>52</v>
      </c>
      <c r="B53" s="352" t="s">
        <v>761</v>
      </c>
      <c r="C53" s="351" t="s">
        <v>4868</v>
      </c>
      <c r="D53" s="352" t="s">
        <v>3585</v>
      </c>
      <c r="E53" s="352" t="s">
        <v>762</v>
      </c>
      <c r="F53" s="353">
        <v>18.422999999999998</v>
      </c>
      <c r="G53" s="352" t="s">
        <v>1107</v>
      </c>
      <c r="H53" s="176" t="s">
        <v>3322</v>
      </c>
      <c r="I53" s="176" t="s">
        <v>4758</v>
      </c>
      <c r="J53" s="352" t="s">
        <v>828</v>
      </c>
      <c r="K53" s="352">
        <v>3</v>
      </c>
      <c r="L53" s="352" t="s">
        <v>1116</v>
      </c>
      <c r="M53" s="352">
        <v>2</v>
      </c>
      <c r="N53" s="352" t="s">
        <v>1109</v>
      </c>
      <c r="O53" s="351">
        <v>3</v>
      </c>
      <c r="P53" s="349" t="s">
        <v>1836</v>
      </c>
      <c r="R53" s="349">
        <f t="shared" si="0"/>
        <v>9</v>
      </c>
      <c r="S53" s="352"/>
      <c r="T53" s="352"/>
      <c r="U53" s="352"/>
      <c r="V53" s="353"/>
      <c r="W53" s="352"/>
      <c r="X53" s="176"/>
      <c r="Y53" s="176"/>
      <c r="Z53" s="352"/>
      <c r="AA53" s="352"/>
      <c r="AB53" s="352"/>
      <c r="AC53" s="351"/>
      <c r="AD53" s="351"/>
    </row>
    <row r="54" spans="1:30" ht="192.25" hidden="1" x14ac:dyDescent="0.35">
      <c r="A54" s="349">
        <v>53</v>
      </c>
      <c r="B54" s="352" t="s">
        <v>761</v>
      </c>
      <c r="C54" s="351" t="s">
        <v>3585</v>
      </c>
      <c r="D54" s="352" t="s">
        <v>3585</v>
      </c>
      <c r="E54" s="352" t="s">
        <v>762</v>
      </c>
      <c r="F54" s="353">
        <v>18.422999999999998</v>
      </c>
      <c r="G54" s="352" t="s">
        <v>1107</v>
      </c>
      <c r="H54" s="176" t="s">
        <v>3322</v>
      </c>
      <c r="I54" s="176" t="s">
        <v>4758</v>
      </c>
      <c r="J54" s="352" t="s">
        <v>828</v>
      </c>
      <c r="K54" s="352">
        <v>3</v>
      </c>
      <c r="L54" s="352" t="s">
        <v>1116</v>
      </c>
      <c r="M54" s="352">
        <v>2</v>
      </c>
      <c r="N54" s="352" t="s">
        <v>1109</v>
      </c>
      <c r="O54" s="351">
        <v>3</v>
      </c>
      <c r="P54" s="349" t="s">
        <v>1836</v>
      </c>
      <c r="R54" s="349">
        <f t="shared" si="0"/>
        <v>9</v>
      </c>
      <c r="S54" s="352"/>
      <c r="T54" s="352"/>
      <c r="U54" s="352"/>
      <c r="V54" s="353"/>
      <c r="W54" s="352"/>
      <c r="X54" s="176"/>
      <c r="Y54" s="176"/>
      <c r="Z54" s="352"/>
      <c r="AA54" s="352"/>
      <c r="AB54" s="352"/>
      <c r="AC54" s="352"/>
      <c r="AD54" s="352"/>
    </row>
    <row r="55" spans="1:30" ht="307.60000000000002" hidden="1" x14ac:dyDescent="0.35">
      <c r="A55" s="349">
        <v>54</v>
      </c>
      <c r="B55" s="352" t="s">
        <v>2854</v>
      </c>
      <c r="C55" s="351" t="s">
        <v>4869</v>
      </c>
      <c r="D55" s="352" t="s">
        <v>3988</v>
      </c>
      <c r="E55" s="352" t="s">
        <v>2855</v>
      </c>
      <c r="F55" s="353">
        <v>0.35</v>
      </c>
      <c r="G55" s="352" t="s">
        <v>2856</v>
      </c>
      <c r="H55" s="176" t="s">
        <v>4612</v>
      </c>
      <c r="I55" s="176" t="s">
        <v>4751</v>
      </c>
      <c r="J55" s="352" t="s">
        <v>828</v>
      </c>
      <c r="K55" s="352">
        <v>1</v>
      </c>
      <c r="L55" s="352" t="s">
        <v>1116</v>
      </c>
      <c r="M55" s="352">
        <v>1</v>
      </c>
      <c r="N55" s="352" t="s">
        <v>1109</v>
      </c>
      <c r="O55" s="351">
        <v>1</v>
      </c>
      <c r="P55" s="349" t="s">
        <v>1836</v>
      </c>
      <c r="R55" s="349">
        <f t="shared" si="0"/>
        <v>10</v>
      </c>
      <c r="S55" s="352"/>
      <c r="T55" s="352"/>
      <c r="U55" s="352"/>
      <c r="V55" s="353"/>
      <c r="W55" s="352"/>
      <c r="X55" s="176"/>
      <c r="Y55" s="176"/>
      <c r="Z55" s="352"/>
      <c r="AA55" s="352"/>
      <c r="AB55" s="352"/>
      <c r="AC55" s="352"/>
      <c r="AD55" s="352"/>
    </row>
    <row r="56" spans="1:30" ht="307.60000000000002" hidden="1" x14ac:dyDescent="0.35">
      <c r="A56" s="349">
        <v>55</v>
      </c>
      <c r="B56" s="352" t="s">
        <v>2854</v>
      </c>
      <c r="C56" s="351" t="s">
        <v>4869</v>
      </c>
      <c r="D56" s="352" t="s">
        <v>3988</v>
      </c>
      <c r="E56" s="352" t="s">
        <v>2857</v>
      </c>
      <c r="F56" s="353">
        <v>0.65</v>
      </c>
      <c r="G56" s="352" t="s">
        <v>2856</v>
      </c>
      <c r="H56" s="176" t="s">
        <v>4612</v>
      </c>
      <c r="I56" s="176" t="s">
        <v>4751</v>
      </c>
      <c r="J56" s="352" t="s">
        <v>828</v>
      </c>
      <c r="K56" s="352">
        <v>0.1</v>
      </c>
      <c r="L56" s="352" t="s">
        <v>1116</v>
      </c>
      <c r="M56" s="352">
        <v>10</v>
      </c>
      <c r="N56" s="352" t="s">
        <v>1109</v>
      </c>
      <c r="O56" s="351">
        <v>0.1</v>
      </c>
      <c r="P56" s="349" t="s">
        <v>1836</v>
      </c>
      <c r="R56" s="349">
        <f t="shared" si="0"/>
        <v>10</v>
      </c>
      <c r="S56" s="352"/>
      <c r="T56" s="352"/>
      <c r="U56" s="352"/>
      <c r="V56" s="353"/>
      <c r="W56" s="352"/>
      <c r="X56" s="176"/>
      <c r="Y56" s="176"/>
      <c r="Z56" s="352"/>
      <c r="AA56" s="352"/>
      <c r="AB56" s="352"/>
      <c r="AC56" s="352"/>
      <c r="AD56" s="352"/>
    </row>
    <row r="57" spans="1:30" ht="64.099999999999994" hidden="1" x14ac:dyDescent="0.35">
      <c r="A57" s="349">
        <v>56</v>
      </c>
      <c r="B57" s="352" t="s">
        <v>1080</v>
      </c>
      <c r="C57" s="351" t="s">
        <v>4870</v>
      </c>
      <c r="D57" s="352" t="s">
        <v>3003</v>
      </c>
      <c r="E57" s="352" t="s">
        <v>1997</v>
      </c>
      <c r="F57" s="353">
        <v>8.0500000000000007</v>
      </c>
      <c r="G57" s="352" t="s">
        <v>1107</v>
      </c>
      <c r="H57" s="37"/>
      <c r="I57" s="176" t="s">
        <v>4097</v>
      </c>
      <c r="J57" s="352" t="s">
        <v>1115</v>
      </c>
      <c r="K57" s="352">
        <v>10</v>
      </c>
      <c r="L57" s="352" t="s">
        <v>1464</v>
      </c>
      <c r="M57" s="351"/>
      <c r="N57" s="351"/>
      <c r="O57" s="351">
        <v>10</v>
      </c>
      <c r="P57" s="349" t="s">
        <v>1836</v>
      </c>
      <c r="R57" s="349">
        <f t="shared" si="0"/>
        <v>12</v>
      </c>
      <c r="S57" s="352"/>
      <c r="T57" s="352"/>
      <c r="U57" s="352"/>
      <c r="V57" s="353"/>
      <c r="W57" s="352"/>
      <c r="X57" s="176"/>
      <c r="Y57" s="176"/>
      <c r="Z57" s="352"/>
      <c r="AA57" s="351"/>
      <c r="AB57" s="351"/>
      <c r="AC57" s="352"/>
      <c r="AD57" s="352"/>
    </row>
    <row r="58" spans="1:30" ht="64.099999999999994" hidden="1" x14ac:dyDescent="0.35">
      <c r="A58" s="349">
        <v>57</v>
      </c>
      <c r="B58" s="352" t="s">
        <v>1080</v>
      </c>
      <c r="C58" s="351" t="s">
        <v>4870</v>
      </c>
      <c r="D58" s="352" t="s">
        <v>3003</v>
      </c>
      <c r="E58" s="352" t="s">
        <v>1997</v>
      </c>
      <c r="F58" s="353">
        <v>40.702500000000001</v>
      </c>
      <c r="G58" s="352" t="s">
        <v>1107</v>
      </c>
      <c r="H58" s="37"/>
      <c r="I58" s="176" t="s">
        <v>4097</v>
      </c>
      <c r="J58" s="352" t="s">
        <v>1115</v>
      </c>
      <c r="K58" s="352">
        <v>50</v>
      </c>
      <c r="L58" s="352" t="s">
        <v>1464</v>
      </c>
      <c r="M58" s="351"/>
      <c r="N58" s="351"/>
      <c r="O58" s="351">
        <v>50</v>
      </c>
      <c r="P58" s="349" t="s">
        <v>1836</v>
      </c>
      <c r="R58" s="349">
        <f t="shared" si="0"/>
        <v>12</v>
      </c>
      <c r="S58" s="352"/>
      <c r="T58" s="352"/>
      <c r="U58" s="352"/>
      <c r="V58" s="353"/>
      <c r="W58" s="352"/>
      <c r="X58" s="176"/>
      <c r="Y58" s="176"/>
      <c r="Z58" s="352"/>
      <c r="AA58" s="351"/>
      <c r="AB58" s="351"/>
      <c r="AC58" s="352"/>
      <c r="AD58" s="352"/>
    </row>
    <row r="59" spans="1:30" ht="38.450000000000003" hidden="1" x14ac:dyDescent="0.35">
      <c r="A59" s="349">
        <v>58</v>
      </c>
      <c r="B59" s="352" t="s">
        <v>1113</v>
      </c>
      <c r="C59" s="351" t="s">
        <v>4871</v>
      </c>
      <c r="D59" s="352" t="s">
        <v>999</v>
      </c>
      <c r="E59" s="352" t="s">
        <v>2855</v>
      </c>
      <c r="F59" s="353">
        <v>0.85</v>
      </c>
      <c r="G59" s="352" t="s">
        <v>1107</v>
      </c>
      <c r="H59" s="176" t="s">
        <v>3744</v>
      </c>
      <c r="I59" s="176" t="s">
        <v>464</v>
      </c>
      <c r="J59" s="352" t="s">
        <v>828</v>
      </c>
      <c r="K59" s="352">
        <v>5</v>
      </c>
      <c r="L59" s="352" t="s">
        <v>1116</v>
      </c>
      <c r="M59" s="352">
        <v>1</v>
      </c>
      <c r="N59" s="352" t="s">
        <v>1109</v>
      </c>
      <c r="O59" s="351">
        <v>5</v>
      </c>
      <c r="P59" s="349" t="s">
        <v>1836</v>
      </c>
      <c r="R59" s="349">
        <f t="shared" si="0"/>
        <v>10</v>
      </c>
      <c r="S59" s="352"/>
      <c r="T59" s="352"/>
      <c r="U59" s="352"/>
      <c r="V59" s="353"/>
      <c r="W59" s="352"/>
      <c r="X59" s="176"/>
      <c r="Y59" s="176"/>
      <c r="Z59" s="352"/>
      <c r="AA59" s="352"/>
      <c r="AB59" s="352"/>
      <c r="AC59" s="352"/>
      <c r="AD59" s="352"/>
    </row>
    <row r="60" spans="1:30" ht="38.450000000000003" hidden="1" x14ac:dyDescent="0.35">
      <c r="A60" s="349">
        <v>59</v>
      </c>
      <c r="B60" s="352" t="s">
        <v>1585</v>
      </c>
      <c r="C60" s="351" t="s">
        <v>649</v>
      </c>
      <c r="D60" s="352" t="s">
        <v>649</v>
      </c>
      <c r="E60" s="352" t="s">
        <v>730</v>
      </c>
      <c r="F60" s="353">
        <v>23.359300000000001</v>
      </c>
      <c r="G60" s="352" t="s">
        <v>1107</v>
      </c>
      <c r="H60" s="176" t="s">
        <v>650</v>
      </c>
      <c r="I60" s="176" t="s">
        <v>3344</v>
      </c>
      <c r="J60" s="352" t="s">
        <v>1115</v>
      </c>
      <c r="K60" s="352">
        <v>20</v>
      </c>
      <c r="L60" s="352" t="s">
        <v>470</v>
      </c>
      <c r="M60" s="352">
        <v>10</v>
      </c>
      <c r="N60" s="352" t="s">
        <v>1109</v>
      </c>
      <c r="O60" s="351">
        <v>20</v>
      </c>
      <c r="P60" s="349" t="s">
        <v>1838</v>
      </c>
      <c r="R60" s="349">
        <f t="shared" si="0"/>
        <v>8</v>
      </c>
      <c r="S60" s="352"/>
      <c r="T60" s="352"/>
      <c r="U60" s="352"/>
      <c r="V60" s="353"/>
      <c r="W60" s="352"/>
      <c r="X60" s="176"/>
      <c r="Y60" s="176"/>
      <c r="Z60" s="352"/>
      <c r="AA60" s="352"/>
      <c r="AB60" s="352"/>
      <c r="AC60" s="352"/>
      <c r="AD60" s="352"/>
    </row>
    <row r="61" spans="1:30" ht="38.450000000000003" hidden="1" x14ac:dyDescent="0.35">
      <c r="A61" s="349">
        <v>60</v>
      </c>
      <c r="B61" s="352" t="s">
        <v>1585</v>
      </c>
      <c r="C61" s="351" t="s">
        <v>649</v>
      </c>
      <c r="D61" s="352" t="s">
        <v>649</v>
      </c>
      <c r="E61" s="352" t="s">
        <v>1586</v>
      </c>
      <c r="F61" s="353">
        <v>119.1326</v>
      </c>
      <c r="G61" s="352" t="s">
        <v>1107</v>
      </c>
      <c r="H61" s="176" t="s">
        <v>650</v>
      </c>
      <c r="I61" s="176" t="s">
        <v>3344</v>
      </c>
      <c r="J61" s="352" t="s">
        <v>1115</v>
      </c>
      <c r="K61" s="352">
        <v>20</v>
      </c>
      <c r="L61" s="352" t="s">
        <v>470</v>
      </c>
      <c r="M61" s="352">
        <v>100</v>
      </c>
      <c r="N61" s="352" t="s">
        <v>1109</v>
      </c>
      <c r="O61" s="351">
        <v>20</v>
      </c>
      <c r="P61" s="349" t="s">
        <v>1838</v>
      </c>
      <c r="R61" s="349">
        <f t="shared" si="0"/>
        <v>8</v>
      </c>
      <c r="S61" s="352"/>
      <c r="T61" s="352"/>
      <c r="U61" s="352"/>
      <c r="V61" s="353"/>
      <c r="W61" s="352"/>
      <c r="X61" s="176"/>
      <c r="Y61" s="176"/>
      <c r="Z61" s="352"/>
      <c r="AA61" s="352"/>
      <c r="AB61" s="352"/>
      <c r="AC61" s="352"/>
      <c r="AD61" s="352"/>
    </row>
    <row r="62" spans="1:30" ht="128.19999999999999" hidden="1" x14ac:dyDescent="0.35">
      <c r="A62" s="349">
        <v>61</v>
      </c>
      <c r="B62" s="352" t="s">
        <v>1113</v>
      </c>
      <c r="C62" s="351" t="s">
        <v>1000</v>
      </c>
      <c r="D62" s="352" t="s">
        <v>1000</v>
      </c>
      <c r="E62" s="352" t="s">
        <v>1587</v>
      </c>
      <c r="F62" s="353">
        <v>19.600000000000001</v>
      </c>
      <c r="G62" s="352" t="s">
        <v>1107</v>
      </c>
      <c r="H62" s="176" t="s">
        <v>2086</v>
      </c>
      <c r="I62" s="176" t="s">
        <v>4837</v>
      </c>
      <c r="J62" s="352" t="s">
        <v>1115</v>
      </c>
      <c r="K62" s="352">
        <v>80</v>
      </c>
      <c r="L62" s="352" t="s">
        <v>1588</v>
      </c>
      <c r="M62" s="352">
        <v>1000</v>
      </c>
      <c r="N62" s="352" t="s">
        <v>1109</v>
      </c>
      <c r="O62" s="351">
        <v>80</v>
      </c>
      <c r="P62" s="349" t="s">
        <v>1837</v>
      </c>
      <c r="R62" s="349">
        <f t="shared" si="0"/>
        <v>7</v>
      </c>
      <c r="S62" s="352"/>
      <c r="T62" s="352"/>
      <c r="U62" s="352"/>
      <c r="V62" s="353"/>
      <c r="W62" s="352"/>
      <c r="X62" s="176"/>
      <c r="Y62" s="176"/>
      <c r="Z62" s="352"/>
      <c r="AA62" s="352"/>
      <c r="AB62" s="352"/>
      <c r="AC62" s="351"/>
      <c r="AD62" s="351"/>
    </row>
    <row r="63" spans="1:30" ht="128.19999999999999" hidden="1" x14ac:dyDescent="0.35">
      <c r="A63" s="349">
        <v>62</v>
      </c>
      <c r="B63" s="352" t="s">
        <v>1113</v>
      </c>
      <c r="C63" s="351" t="s">
        <v>4872</v>
      </c>
      <c r="D63" s="352" t="s">
        <v>1000</v>
      </c>
      <c r="E63" s="352" t="s">
        <v>1587</v>
      </c>
      <c r="F63" s="353">
        <v>19.600000000000001</v>
      </c>
      <c r="G63" s="352" t="s">
        <v>1107</v>
      </c>
      <c r="H63" s="176" t="s">
        <v>2086</v>
      </c>
      <c r="I63" s="176" t="s">
        <v>4837</v>
      </c>
      <c r="J63" s="352" t="s">
        <v>1115</v>
      </c>
      <c r="K63" s="352">
        <v>80</v>
      </c>
      <c r="L63" s="352" t="s">
        <v>1588</v>
      </c>
      <c r="M63" s="352">
        <v>1000</v>
      </c>
      <c r="N63" s="352" t="s">
        <v>1109</v>
      </c>
      <c r="O63" s="351">
        <v>80</v>
      </c>
      <c r="P63" s="349" t="s">
        <v>1837</v>
      </c>
      <c r="R63" s="349">
        <f t="shared" si="0"/>
        <v>7</v>
      </c>
      <c r="S63" s="352"/>
      <c r="T63" s="352"/>
      <c r="U63" s="352"/>
      <c r="V63" s="353"/>
      <c r="W63" s="352"/>
      <c r="X63" s="176"/>
      <c r="Y63" s="176"/>
      <c r="Z63" s="352"/>
      <c r="AA63" s="352"/>
      <c r="AB63" s="352"/>
      <c r="AC63" s="351"/>
      <c r="AD63" s="351"/>
    </row>
    <row r="64" spans="1:30" ht="38.450000000000003" hidden="1" x14ac:dyDescent="0.35">
      <c r="A64" s="349">
        <v>63</v>
      </c>
      <c r="B64" s="352" t="s">
        <v>1322</v>
      </c>
      <c r="C64" s="351" t="s">
        <v>2863</v>
      </c>
      <c r="D64" s="352" t="s">
        <v>1381</v>
      </c>
      <c r="E64" s="352" t="s">
        <v>1323</v>
      </c>
      <c r="F64" s="353">
        <v>3.05</v>
      </c>
      <c r="G64" s="352" t="s">
        <v>34</v>
      </c>
      <c r="H64" s="37"/>
      <c r="I64" s="176" t="s">
        <v>1307</v>
      </c>
      <c r="J64" s="352" t="s">
        <v>469</v>
      </c>
      <c r="K64" s="352">
        <v>80</v>
      </c>
      <c r="L64" s="352" t="s">
        <v>1324</v>
      </c>
      <c r="M64" s="352">
        <v>100</v>
      </c>
      <c r="N64" s="352" t="s">
        <v>1109</v>
      </c>
      <c r="O64" s="351">
        <v>80</v>
      </c>
      <c r="P64" s="349" t="s">
        <v>1838</v>
      </c>
      <c r="R64" s="349">
        <f t="shared" si="0"/>
        <v>21</v>
      </c>
      <c r="S64" s="352"/>
      <c r="T64" s="352"/>
      <c r="U64" s="352"/>
      <c r="V64" s="353"/>
      <c r="W64" s="352"/>
      <c r="X64" s="176"/>
      <c r="Y64" s="176"/>
      <c r="Z64" s="352"/>
      <c r="AA64" s="352"/>
      <c r="AB64" s="352"/>
      <c r="AC64" s="351"/>
      <c r="AD64" s="351"/>
    </row>
    <row r="65" spans="1:30" ht="38.450000000000003" hidden="1" x14ac:dyDescent="0.35">
      <c r="A65" s="349">
        <v>64</v>
      </c>
      <c r="B65" s="352" t="s">
        <v>1322</v>
      </c>
      <c r="C65" s="351" t="s">
        <v>2863</v>
      </c>
      <c r="D65" s="352" t="s">
        <v>1381</v>
      </c>
      <c r="E65" s="352" t="s">
        <v>1323</v>
      </c>
      <c r="F65" s="353">
        <v>3.05</v>
      </c>
      <c r="G65" s="352" t="s">
        <v>34</v>
      </c>
      <c r="H65" s="37"/>
      <c r="I65" s="176" t="s">
        <v>1307</v>
      </c>
      <c r="J65" s="352" t="s">
        <v>469</v>
      </c>
      <c r="K65" s="352">
        <v>80</v>
      </c>
      <c r="L65" s="352" t="s">
        <v>1324</v>
      </c>
      <c r="M65" s="352">
        <v>100</v>
      </c>
      <c r="N65" s="352" t="s">
        <v>1109</v>
      </c>
      <c r="O65" s="351">
        <v>80</v>
      </c>
      <c r="P65" s="349" t="s">
        <v>1838</v>
      </c>
      <c r="R65" s="349">
        <f t="shared" si="0"/>
        <v>21</v>
      </c>
      <c r="S65" s="352"/>
      <c r="T65" s="352"/>
      <c r="U65" s="352"/>
      <c r="V65" s="353"/>
      <c r="W65" s="352"/>
      <c r="X65" s="176"/>
      <c r="Y65" s="176"/>
      <c r="Z65" s="352"/>
      <c r="AA65" s="352"/>
      <c r="AB65" s="352"/>
      <c r="AC65" s="351"/>
      <c r="AD65" s="351"/>
    </row>
    <row r="66" spans="1:30" ht="38.450000000000003" hidden="1" x14ac:dyDescent="0.35">
      <c r="A66" s="349">
        <v>65</v>
      </c>
      <c r="B66" s="352" t="s">
        <v>1322</v>
      </c>
      <c r="C66" s="351" t="s">
        <v>2863</v>
      </c>
      <c r="D66" s="352" t="s">
        <v>1381</v>
      </c>
      <c r="E66" s="352" t="s">
        <v>1325</v>
      </c>
      <c r="F66" s="353">
        <v>4.5999999999999996</v>
      </c>
      <c r="G66" s="352" t="s">
        <v>34</v>
      </c>
      <c r="H66" s="37"/>
      <c r="I66" s="176" t="s">
        <v>1307</v>
      </c>
      <c r="J66" s="352" t="s">
        <v>469</v>
      </c>
      <c r="K66" s="352">
        <v>80</v>
      </c>
      <c r="L66" s="352" t="s">
        <v>1324</v>
      </c>
      <c r="M66" s="352">
        <v>1000</v>
      </c>
      <c r="N66" s="352" t="s">
        <v>1109</v>
      </c>
      <c r="O66" s="351">
        <v>80</v>
      </c>
      <c r="P66" s="349" t="s">
        <v>1838</v>
      </c>
      <c r="R66" s="349">
        <f t="shared" si="0"/>
        <v>21</v>
      </c>
      <c r="S66" s="352"/>
      <c r="T66" s="352"/>
      <c r="U66" s="352"/>
      <c r="V66" s="353"/>
      <c r="W66" s="352"/>
      <c r="X66" s="176"/>
      <c r="Y66" s="176"/>
      <c r="Z66" s="352"/>
      <c r="AA66" s="352"/>
      <c r="AB66" s="352"/>
      <c r="AC66" s="352"/>
      <c r="AD66" s="352"/>
    </row>
    <row r="67" spans="1:30" ht="38.450000000000003" hidden="1" x14ac:dyDescent="0.35">
      <c r="A67" s="349">
        <v>66</v>
      </c>
      <c r="B67" s="352" t="s">
        <v>1322</v>
      </c>
      <c r="C67" s="351" t="s">
        <v>2863</v>
      </c>
      <c r="D67" s="352" t="s">
        <v>1381</v>
      </c>
      <c r="E67" s="352" t="s">
        <v>1325</v>
      </c>
      <c r="F67" s="353">
        <v>4.5999999999999996</v>
      </c>
      <c r="G67" s="352" t="s">
        <v>34</v>
      </c>
      <c r="H67" s="37"/>
      <c r="I67" s="176" t="s">
        <v>1307</v>
      </c>
      <c r="J67" s="352" t="s">
        <v>469</v>
      </c>
      <c r="K67" s="352">
        <v>80</v>
      </c>
      <c r="L67" s="352" t="s">
        <v>1324</v>
      </c>
      <c r="M67" s="352">
        <v>1000</v>
      </c>
      <c r="N67" s="352" t="s">
        <v>1109</v>
      </c>
      <c r="O67" s="351">
        <v>80</v>
      </c>
      <c r="P67" s="349" t="s">
        <v>1838</v>
      </c>
      <c r="R67" s="349">
        <f t="shared" ref="R67:R130" si="1">LEN(D67)</f>
        <v>21</v>
      </c>
      <c r="S67" s="352"/>
      <c r="T67" s="352"/>
      <c r="U67" s="352"/>
      <c r="V67" s="353"/>
      <c r="W67" s="352"/>
      <c r="X67" s="176"/>
      <c r="Y67" s="176"/>
      <c r="Z67" s="352"/>
      <c r="AA67" s="352"/>
      <c r="AB67" s="352"/>
      <c r="AC67" s="352"/>
      <c r="AD67" s="352"/>
    </row>
    <row r="68" spans="1:30" ht="64.099999999999994" hidden="1" x14ac:dyDescent="0.35">
      <c r="A68" s="349">
        <v>67</v>
      </c>
      <c r="B68" s="352" t="s">
        <v>1308</v>
      </c>
      <c r="C68" s="351" t="s">
        <v>1309</v>
      </c>
      <c r="D68" s="352" t="s">
        <v>1309</v>
      </c>
      <c r="E68" s="352" t="s">
        <v>1995</v>
      </c>
      <c r="F68" s="353">
        <v>2.65</v>
      </c>
      <c r="G68" s="352" t="s">
        <v>2126</v>
      </c>
      <c r="H68" s="176" t="s">
        <v>1798</v>
      </c>
      <c r="I68" s="176" t="s">
        <v>3788</v>
      </c>
      <c r="J68" s="352" t="s">
        <v>3580</v>
      </c>
      <c r="K68" s="352">
        <v>10</v>
      </c>
      <c r="L68" s="352" t="s">
        <v>3581</v>
      </c>
      <c r="M68" s="351"/>
      <c r="N68" s="351"/>
      <c r="O68" s="351">
        <v>10</v>
      </c>
      <c r="P68" s="349" t="s">
        <v>1836</v>
      </c>
      <c r="R68" s="349">
        <f t="shared" si="1"/>
        <v>15</v>
      </c>
      <c r="S68" s="352"/>
      <c r="T68" s="352"/>
      <c r="U68" s="352"/>
      <c r="V68" s="353"/>
      <c r="W68" s="352"/>
      <c r="X68" s="176"/>
      <c r="Y68" s="176"/>
      <c r="Z68" s="352"/>
      <c r="AA68" s="352"/>
      <c r="AB68" s="352"/>
      <c r="AC68" s="352"/>
      <c r="AD68" s="352"/>
    </row>
    <row r="69" spans="1:30" ht="76.900000000000006" hidden="1" x14ac:dyDescent="0.35">
      <c r="A69" s="349">
        <v>68</v>
      </c>
      <c r="B69" s="352" t="s">
        <v>2560</v>
      </c>
      <c r="C69" s="351" t="s">
        <v>2940</v>
      </c>
      <c r="D69" s="352" t="s">
        <v>2940</v>
      </c>
      <c r="E69" s="352" t="s">
        <v>2562</v>
      </c>
      <c r="F69" s="353">
        <v>11.08</v>
      </c>
      <c r="G69" s="352" t="s">
        <v>1107</v>
      </c>
      <c r="H69" s="176" t="s">
        <v>804</v>
      </c>
      <c r="I69" s="176" t="s">
        <v>805</v>
      </c>
      <c r="J69" s="352" t="s">
        <v>828</v>
      </c>
      <c r="K69" s="352">
        <v>2</v>
      </c>
      <c r="L69" s="352" t="s">
        <v>4022</v>
      </c>
      <c r="M69" s="352">
        <v>0.5</v>
      </c>
      <c r="N69" s="352" t="s">
        <v>1109</v>
      </c>
      <c r="O69" s="351">
        <v>2</v>
      </c>
      <c r="P69" s="349" t="s">
        <v>1850</v>
      </c>
      <c r="R69" s="349">
        <f t="shared" si="1"/>
        <v>12</v>
      </c>
      <c r="S69" s="352"/>
      <c r="T69" s="352"/>
      <c r="U69" s="352"/>
      <c r="V69" s="353"/>
      <c r="W69" s="352"/>
      <c r="X69" s="176"/>
      <c r="Y69" s="176"/>
      <c r="Z69" s="352"/>
      <c r="AA69" s="352"/>
      <c r="AB69" s="352"/>
      <c r="AC69" s="352"/>
      <c r="AD69" s="352"/>
    </row>
    <row r="70" spans="1:30" ht="76.900000000000006" hidden="1" x14ac:dyDescent="0.35">
      <c r="A70" s="349">
        <v>69</v>
      </c>
      <c r="B70" s="352" t="s">
        <v>2560</v>
      </c>
      <c r="C70" s="351" t="s">
        <v>2940</v>
      </c>
      <c r="D70" s="352" t="s">
        <v>2940</v>
      </c>
      <c r="E70" s="352" t="s">
        <v>1998</v>
      </c>
      <c r="F70" s="353">
        <v>0.41870000000000002</v>
      </c>
      <c r="G70" s="352" t="s">
        <v>2126</v>
      </c>
      <c r="H70" s="176" t="s">
        <v>1252</v>
      </c>
      <c r="I70" s="176" t="s">
        <v>805</v>
      </c>
      <c r="J70" s="352" t="s">
        <v>22</v>
      </c>
      <c r="K70" s="352">
        <v>0.25</v>
      </c>
      <c r="L70" s="352" t="s">
        <v>4023</v>
      </c>
      <c r="M70" s="352"/>
      <c r="N70" s="352"/>
      <c r="O70" s="351">
        <v>0.25</v>
      </c>
      <c r="P70" s="349" t="s">
        <v>1850</v>
      </c>
      <c r="R70" s="349">
        <f t="shared" si="1"/>
        <v>12</v>
      </c>
      <c r="S70" s="352"/>
      <c r="T70" s="352"/>
      <c r="U70" s="352"/>
      <c r="V70" s="353"/>
      <c r="W70" s="352"/>
      <c r="X70" s="176"/>
      <c r="Y70" s="176"/>
      <c r="Z70" s="352"/>
      <c r="AA70" s="352"/>
      <c r="AB70" s="352"/>
      <c r="AC70" s="351"/>
      <c r="AD70" s="351"/>
    </row>
    <row r="71" spans="1:30" ht="76.900000000000006" hidden="1" x14ac:dyDescent="0.35">
      <c r="A71" s="349">
        <v>70</v>
      </c>
      <c r="B71" s="352" t="s">
        <v>2560</v>
      </c>
      <c r="C71" s="351" t="s">
        <v>2940</v>
      </c>
      <c r="D71" s="352" t="s">
        <v>2940</v>
      </c>
      <c r="E71" s="352" t="s">
        <v>4024</v>
      </c>
      <c r="F71" s="353">
        <v>48.261200000000002</v>
      </c>
      <c r="G71" s="352" t="s">
        <v>2126</v>
      </c>
      <c r="H71" s="176" t="s">
        <v>1252</v>
      </c>
      <c r="I71" s="176" t="s">
        <v>805</v>
      </c>
      <c r="J71" s="352" t="s">
        <v>4025</v>
      </c>
      <c r="K71" s="352">
        <v>0.1</v>
      </c>
      <c r="L71" s="352" t="s">
        <v>4026</v>
      </c>
      <c r="M71" s="352">
        <v>20</v>
      </c>
      <c r="N71" s="352" t="s">
        <v>1109</v>
      </c>
      <c r="O71" s="351">
        <v>0.1</v>
      </c>
      <c r="P71" s="349" t="s">
        <v>1850</v>
      </c>
      <c r="R71" s="349">
        <f t="shared" si="1"/>
        <v>12</v>
      </c>
      <c r="S71" s="352"/>
      <c r="T71" s="352"/>
      <c r="U71" s="352"/>
      <c r="V71" s="353"/>
      <c r="W71" s="352"/>
      <c r="X71" s="176"/>
      <c r="Y71" s="176"/>
      <c r="Z71" s="352"/>
      <c r="AA71" s="352"/>
      <c r="AB71" s="352"/>
      <c r="AC71" s="351"/>
      <c r="AD71" s="351"/>
    </row>
    <row r="72" spans="1:30" ht="89.75" hidden="1" x14ac:dyDescent="0.35">
      <c r="A72" s="349">
        <v>71</v>
      </c>
      <c r="B72" s="352" t="s">
        <v>4027</v>
      </c>
      <c r="C72" s="351" t="s">
        <v>3369</v>
      </c>
      <c r="D72" s="352" t="s">
        <v>3369</v>
      </c>
      <c r="E72" s="352" t="s">
        <v>2857</v>
      </c>
      <c r="F72" s="353">
        <v>7.56</v>
      </c>
      <c r="G72" s="352" t="s">
        <v>1107</v>
      </c>
      <c r="H72" s="176" t="s">
        <v>3982</v>
      </c>
      <c r="I72" s="176" t="s">
        <v>4762</v>
      </c>
      <c r="J72" s="352" t="s">
        <v>828</v>
      </c>
      <c r="K72" s="352">
        <v>0.5</v>
      </c>
      <c r="L72" s="352" t="s">
        <v>1116</v>
      </c>
      <c r="M72" s="352">
        <v>10</v>
      </c>
      <c r="N72" s="352" t="s">
        <v>1109</v>
      </c>
      <c r="O72" s="351">
        <v>0.5</v>
      </c>
      <c r="P72" s="349" t="s">
        <v>1836</v>
      </c>
      <c r="R72" s="349">
        <f t="shared" si="1"/>
        <v>10</v>
      </c>
      <c r="S72" s="352"/>
      <c r="T72" s="352"/>
      <c r="U72" s="352"/>
      <c r="V72" s="353"/>
      <c r="W72" s="352"/>
      <c r="X72" s="176"/>
      <c r="Y72" s="176"/>
      <c r="Z72" s="352"/>
      <c r="AA72" s="352"/>
      <c r="AB72" s="352"/>
      <c r="AC72" s="351"/>
      <c r="AD72" s="351"/>
    </row>
    <row r="73" spans="1:30" ht="89.75" hidden="1" x14ac:dyDescent="0.35">
      <c r="A73" s="349">
        <v>72</v>
      </c>
      <c r="B73" s="352" t="s">
        <v>4027</v>
      </c>
      <c r="C73" s="351" t="s">
        <v>3369</v>
      </c>
      <c r="D73" s="352" t="s">
        <v>3369</v>
      </c>
      <c r="E73" s="352" t="s">
        <v>762</v>
      </c>
      <c r="F73" s="353">
        <v>1.7</v>
      </c>
      <c r="G73" s="352" t="s">
        <v>1107</v>
      </c>
      <c r="H73" s="176" t="s">
        <v>3982</v>
      </c>
      <c r="I73" s="176" t="s">
        <v>4762</v>
      </c>
      <c r="J73" s="352" t="s">
        <v>828</v>
      </c>
      <c r="K73" s="352">
        <v>0.5</v>
      </c>
      <c r="L73" s="352" t="s">
        <v>1116</v>
      </c>
      <c r="M73" s="352">
        <v>2</v>
      </c>
      <c r="N73" s="352" t="s">
        <v>1109</v>
      </c>
      <c r="O73" s="351">
        <v>0.5</v>
      </c>
      <c r="P73" s="349" t="s">
        <v>1836</v>
      </c>
      <c r="R73" s="349">
        <f t="shared" si="1"/>
        <v>10</v>
      </c>
      <c r="S73" s="352"/>
      <c r="T73" s="352"/>
      <c r="U73" s="352"/>
      <c r="V73" s="353"/>
      <c r="W73" s="352"/>
      <c r="X73" s="176"/>
      <c r="Y73" s="176"/>
      <c r="Z73" s="352"/>
      <c r="AA73" s="352"/>
      <c r="AB73" s="352"/>
      <c r="AC73" s="351"/>
      <c r="AD73" s="351"/>
    </row>
    <row r="74" spans="1:30" ht="51.3" hidden="1" x14ac:dyDescent="0.35">
      <c r="A74" s="349">
        <v>73</v>
      </c>
      <c r="B74" s="352" t="s">
        <v>2192</v>
      </c>
      <c r="C74" s="351" t="s">
        <v>1028</v>
      </c>
      <c r="D74" s="352" t="s">
        <v>1028</v>
      </c>
      <c r="E74" s="352" t="s">
        <v>2021</v>
      </c>
      <c r="F74" s="353">
        <v>0.15</v>
      </c>
      <c r="G74" s="352" t="s">
        <v>2126</v>
      </c>
      <c r="H74" s="176" t="s">
        <v>319</v>
      </c>
      <c r="I74" s="176" t="s">
        <v>320</v>
      </c>
      <c r="J74" s="352" t="s">
        <v>4028</v>
      </c>
      <c r="K74" s="352">
        <v>500</v>
      </c>
      <c r="L74" s="352" t="s">
        <v>3581</v>
      </c>
      <c r="M74" s="351"/>
      <c r="N74" s="351"/>
      <c r="O74" s="351">
        <v>500</v>
      </c>
      <c r="P74" s="349" t="s">
        <v>1836</v>
      </c>
      <c r="R74" s="349">
        <f t="shared" si="1"/>
        <v>10</v>
      </c>
      <c r="S74" s="352"/>
      <c r="T74" s="352"/>
      <c r="U74" s="352"/>
      <c r="V74" s="353"/>
      <c r="W74" s="352"/>
      <c r="X74" s="176"/>
      <c r="Y74" s="176"/>
      <c r="Z74" s="352"/>
      <c r="AA74" s="352"/>
      <c r="AB74" s="352"/>
      <c r="AC74" s="352"/>
      <c r="AD74" s="352"/>
    </row>
    <row r="75" spans="1:30" ht="51.3" hidden="1" x14ac:dyDescent="0.35">
      <c r="A75" s="349">
        <v>74</v>
      </c>
      <c r="B75" s="352" t="s">
        <v>2192</v>
      </c>
      <c r="C75" s="351" t="s">
        <v>4873</v>
      </c>
      <c r="D75" s="352" t="s">
        <v>1028</v>
      </c>
      <c r="E75" s="352" t="s">
        <v>2021</v>
      </c>
      <c r="F75" s="353">
        <v>0.15</v>
      </c>
      <c r="G75" s="352" t="s">
        <v>2126</v>
      </c>
      <c r="H75" s="176" t="s">
        <v>319</v>
      </c>
      <c r="I75" s="176" t="s">
        <v>320</v>
      </c>
      <c r="J75" s="352" t="s">
        <v>4028</v>
      </c>
      <c r="K75" s="352">
        <v>500</v>
      </c>
      <c r="L75" s="352" t="s">
        <v>3581</v>
      </c>
      <c r="M75" s="351"/>
      <c r="N75" s="351"/>
      <c r="O75" s="351">
        <v>500</v>
      </c>
      <c r="P75" s="349" t="s">
        <v>1836</v>
      </c>
      <c r="R75" s="349">
        <f t="shared" si="1"/>
        <v>10</v>
      </c>
      <c r="S75" s="352"/>
      <c r="T75" s="352"/>
      <c r="U75" s="352"/>
      <c r="V75" s="353"/>
      <c r="W75" s="352"/>
      <c r="X75" s="176"/>
      <c r="Y75" s="176"/>
      <c r="Z75" s="352"/>
      <c r="AA75" s="352"/>
      <c r="AB75" s="352"/>
      <c r="AC75" s="352"/>
      <c r="AD75" s="352"/>
    </row>
    <row r="76" spans="1:30" ht="102.55" hidden="1" x14ac:dyDescent="0.35">
      <c r="A76" s="349">
        <v>75</v>
      </c>
      <c r="B76" s="352" t="s">
        <v>4029</v>
      </c>
      <c r="C76" s="351" t="s">
        <v>1910</v>
      </c>
      <c r="D76" s="352" t="s">
        <v>1910</v>
      </c>
      <c r="E76" s="352" t="s">
        <v>4030</v>
      </c>
      <c r="F76" s="353">
        <v>8.5283999999999995</v>
      </c>
      <c r="G76" s="352" t="s">
        <v>2126</v>
      </c>
      <c r="H76" s="176" t="s">
        <v>1118</v>
      </c>
      <c r="I76" s="176" t="s">
        <v>5087</v>
      </c>
      <c r="J76" s="352" t="s">
        <v>4031</v>
      </c>
      <c r="K76" s="352">
        <v>1</v>
      </c>
      <c r="L76" s="352" t="s">
        <v>4032</v>
      </c>
      <c r="M76" s="352">
        <v>30</v>
      </c>
      <c r="N76" s="352" t="s">
        <v>1109</v>
      </c>
      <c r="O76" s="351">
        <v>1</v>
      </c>
      <c r="P76" s="349" t="s">
        <v>1836</v>
      </c>
      <c r="R76" s="349">
        <f t="shared" si="1"/>
        <v>11</v>
      </c>
      <c r="S76" s="352"/>
      <c r="T76" s="352"/>
      <c r="U76" s="352"/>
      <c r="V76" s="353"/>
      <c r="W76" s="352"/>
      <c r="X76" s="176"/>
      <c r="Y76" s="176"/>
      <c r="Z76" s="352"/>
      <c r="AA76" s="352"/>
      <c r="AB76" s="352"/>
      <c r="AC76" s="352"/>
      <c r="AD76" s="352"/>
    </row>
    <row r="77" spans="1:30" ht="64.099999999999994" hidden="1" x14ac:dyDescent="0.35">
      <c r="A77" s="349">
        <v>76</v>
      </c>
      <c r="B77" s="352" t="s">
        <v>3160</v>
      </c>
      <c r="C77" s="351" t="s">
        <v>1911</v>
      </c>
      <c r="D77" s="352" t="s">
        <v>1911</v>
      </c>
      <c r="E77" s="352" t="s">
        <v>762</v>
      </c>
      <c r="F77" s="353">
        <v>1.8</v>
      </c>
      <c r="G77" s="352" t="s">
        <v>1107</v>
      </c>
      <c r="H77" s="176" t="s">
        <v>2699</v>
      </c>
      <c r="I77" s="176" t="s">
        <v>2700</v>
      </c>
      <c r="J77" s="352" t="s">
        <v>828</v>
      </c>
      <c r="K77" s="352">
        <v>25</v>
      </c>
      <c r="L77" s="352" t="s">
        <v>1116</v>
      </c>
      <c r="M77" s="352">
        <v>2</v>
      </c>
      <c r="N77" s="352" t="s">
        <v>1109</v>
      </c>
      <c r="O77" s="351">
        <v>25</v>
      </c>
      <c r="P77" s="349" t="s">
        <v>1836</v>
      </c>
      <c r="R77" s="349">
        <f t="shared" si="1"/>
        <v>10</v>
      </c>
      <c r="S77" s="352"/>
      <c r="T77" s="352"/>
      <c r="U77" s="352"/>
      <c r="V77" s="353"/>
      <c r="W77" s="352"/>
      <c r="X77" s="176"/>
      <c r="Y77" s="37"/>
      <c r="Z77" s="352"/>
      <c r="AA77" s="351"/>
      <c r="AB77" s="351"/>
      <c r="AC77" s="351"/>
      <c r="AD77" s="351"/>
    </row>
    <row r="78" spans="1:30" hidden="1" x14ac:dyDescent="0.35">
      <c r="A78" s="349">
        <v>77</v>
      </c>
      <c r="B78" s="352" t="s">
        <v>2677</v>
      </c>
      <c r="C78" s="351" t="s">
        <v>2844</v>
      </c>
      <c r="D78" s="352" t="s">
        <v>2844</v>
      </c>
      <c r="E78" s="352" t="s">
        <v>1997</v>
      </c>
      <c r="F78" s="353">
        <v>99.012699999999995</v>
      </c>
      <c r="G78" s="352" t="s">
        <v>1107</v>
      </c>
      <c r="H78" s="176" t="s">
        <v>3904</v>
      </c>
      <c r="I78" s="176" t="s">
        <v>2313</v>
      </c>
      <c r="J78" s="352" t="s">
        <v>1115</v>
      </c>
      <c r="K78" s="352">
        <v>1000</v>
      </c>
      <c r="L78" s="352" t="s">
        <v>1464</v>
      </c>
      <c r="M78" s="351"/>
      <c r="N78" s="351"/>
      <c r="O78" s="351">
        <v>1000</v>
      </c>
      <c r="P78" s="349" t="s">
        <v>1836</v>
      </c>
      <c r="R78" s="349">
        <f t="shared" si="1"/>
        <v>11</v>
      </c>
      <c r="S78" s="352"/>
      <c r="T78" s="352"/>
      <c r="U78" s="352"/>
      <c r="V78" s="353"/>
      <c r="W78" s="352"/>
      <c r="X78" s="176"/>
      <c r="Y78" s="37"/>
      <c r="Z78" s="352"/>
      <c r="AA78" s="351"/>
      <c r="AB78" s="351"/>
      <c r="AC78" s="351"/>
      <c r="AD78" s="351"/>
    </row>
    <row r="79" spans="1:30" ht="64.099999999999994" hidden="1" x14ac:dyDescent="0.35">
      <c r="A79" s="349">
        <v>78</v>
      </c>
      <c r="B79" s="352" t="s">
        <v>2677</v>
      </c>
      <c r="C79" s="351" t="s">
        <v>2844</v>
      </c>
      <c r="D79" s="352" t="s">
        <v>2844</v>
      </c>
      <c r="E79" s="352" t="s">
        <v>1995</v>
      </c>
      <c r="F79" s="353">
        <v>0.15</v>
      </c>
      <c r="G79" s="352" t="s">
        <v>2126</v>
      </c>
      <c r="H79" s="176" t="s">
        <v>2327</v>
      </c>
      <c r="I79" s="176" t="s">
        <v>3903</v>
      </c>
      <c r="J79" s="352" t="s">
        <v>3580</v>
      </c>
      <c r="K79" s="352">
        <v>100</v>
      </c>
      <c r="L79" s="352" t="s">
        <v>3581</v>
      </c>
      <c r="M79" s="351"/>
      <c r="N79" s="351"/>
      <c r="O79" s="351">
        <v>100</v>
      </c>
      <c r="P79" s="349" t="s">
        <v>1836</v>
      </c>
      <c r="R79" s="349">
        <f t="shared" si="1"/>
        <v>11</v>
      </c>
      <c r="S79" s="352"/>
      <c r="T79" s="352"/>
      <c r="U79" s="352"/>
      <c r="V79" s="353"/>
      <c r="W79" s="352"/>
      <c r="X79" s="176"/>
      <c r="Y79" s="37"/>
      <c r="Z79" s="352"/>
      <c r="AA79" s="351"/>
      <c r="AB79" s="351"/>
      <c r="AC79" s="351"/>
      <c r="AD79" s="351"/>
    </row>
    <row r="80" spans="1:30" ht="64.099999999999994" hidden="1" x14ac:dyDescent="0.35">
      <c r="A80" s="349">
        <v>79</v>
      </c>
      <c r="B80" s="352" t="s">
        <v>2677</v>
      </c>
      <c r="C80" s="351" t="s">
        <v>2844</v>
      </c>
      <c r="D80" s="352" t="s">
        <v>2844</v>
      </c>
      <c r="E80" s="352" t="s">
        <v>1995</v>
      </c>
      <c r="F80" s="353">
        <v>0.35</v>
      </c>
      <c r="G80" s="352" t="s">
        <v>2126</v>
      </c>
      <c r="H80" s="176" t="s">
        <v>2327</v>
      </c>
      <c r="I80" s="176" t="s">
        <v>3903</v>
      </c>
      <c r="J80" s="352" t="s">
        <v>3580</v>
      </c>
      <c r="K80" s="352">
        <v>300</v>
      </c>
      <c r="L80" s="352" t="s">
        <v>3581</v>
      </c>
      <c r="M80" s="351"/>
      <c r="N80" s="351"/>
      <c r="O80" s="351">
        <v>300</v>
      </c>
      <c r="P80" s="349" t="s">
        <v>1836</v>
      </c>
      <c r="R80" s="349">
        <f t="shared" si="1"/>
        <v>11</v>
      </c>
      <c r="S80" s="352"/>
      <c r="T80" s="352"/>
      <c r="U80" s="352"/>
      <c r="V80" s="353"/>
      <c r="W80" s="352"/>
      <c r="X80" s="176"/>
      <c r="Y80" s="37"/>
      <c r="Z80" s="352"/>
      <c r="AA80" s="351"/>
      <c r="AB80" s="351"/>
      <c r="AC80" s="351"/>
      <c r="AD80" s="351"/>
    </row>
    <row r="81" spans="1:30" ht="141" hidden="1" x14ac:dyDescent="0.35">
      <c r="A81" s="349">
        <v>80</v>
      </c>
      <c r="B81" s="352" t="s">
        <v>891</v>
      </c>
      <c r="C81" s="351" t="s">
        <v>2844</v>
      </c>
      <c r="D81" s="352" t="s">
        <v>2844</v>
      </c>
      <c r="E81" s="352" t="s">
        <v>1995</v>
      </c>
      <c r="F81" s="353">
        <v>0.15429999999999999</v>
      </c>
      <c r="G81" s="352" t="s">
        <v>2126</v>
      </c>
      <c r="H81" s="176" t="s">
        <v>2094</v>
      </c>
      <c r="I81" s="176" t="s">
        <v>2313</v>
      </c>
      <c r="J81" s="352" t="s">
        <v>3580</v>
      </c>
      <c r="K81" s="352">
        <v>100</v>
      </c>
      <c r="L81" s="352" t="s">
        <v>3581</v>
      </c>
      <c r="M81" s="351"/>
      <c r="N81" s="351"/>
      <c r="O81" s="351">
        <v>100</v>
      </c>
      <c r="P81" s="349" t="s">
        <v>1836</v>
      </c>
      <c r="R81" s="349">
        <f t="shared" si="1"/>
        <v>11</v>
      </c>
      <c r="S81" s="352"/>
      <c r="T81" s="352"/>
      <c r="U81" s="352"/>
      <c r="V81" s="353"/>
      <c r="W81" s="352"/>
      <c r="X81" s="176"/>
      <c r="Y81" s="176"/>
      <c r="Z81" s="352"/>
      <c r="AA81" s="352"/>
      <c r="AB81" s="352"/>
      <c r="AC81" s="351"/>
      <c r="AD81" s="351"/>
    </row>
    <row r="82" spans="1:30" ht="141" hidden="1" x14ac:dyDescent="0.35">
      <c r="A82" s="349">
        <v>81</v>
      </c>
      <c r="B82" s="352" t="s">
        <v>891</v>
      </c>
      <c r="C82" s="351" t="s">
        <v>2844</v>
      </c>
      <c r="D82" s="352" t="s">
        <v>2844</v>
      </c>
      <c r="E82" s="352" t="s">
        <v>1995</v>
      </c>
      <c r="F82" s="353">
        <v>0.35260000000000002</v>
      </c>
      <c r="G82" s="352" t="s">
        <v>2126</v>
      </c>
      <c r="H82" s="176" t="s">
        <v>2094</v>
      </c>
      <c r="I82" s="37" t="s">
        <v>2313</v>
      </c>
      <c r="J82" s="352" t="s">
        <v>3580</v>
      </c>
      <c r="K82" s="352">
        <v>300</v>
      </c>
      <c r="L82" s="352" t="s">
        <v>3581</v>
      </c>
      <c r="M82" s="351"/>
      <c r="N82" s="351"/>
      <c r="O82" s="351">
        <v>300</v>
      </c>
      <c r="P82" s="349" t="s">
        <v>1836</v>
      </c>
      <c r="R82" s="349">
        <f t="shared" si="1"/>
        <v>11</v>
      </c>
      <c r="S82" s="352"/>
      <c r="T82" s="352"/>
      <c r="U82" s="352"/>
      <c r="V82" s="353"/>
      <c r="W82" s="352"/>
      <c r="X82" s="176"/>
      <c r="Y82" s="176"/>
      <c r="Z82" s="352"/>
      <c r="AA82" s="352"/>
      <c r="AB82" s="352"/>
      <c r="AC82" s="351"/>
      <c r="AD82" s="351"/>
    </row>
    <row r="83" spans="1:30" ht="64.099999999999994" hidden="1" x14ac:dyDescent="0.35">
      <c r="A83" s="349">
        <v>82</v>
      </c>
      <c r="B83" s="352" t="s">
        <v>2677</v>
      </c>
      <c r="C83" s="351" t="s">
        <v>2844</v>
      </c>
      <c r="D83" s="352" t="s">
        <v>2844</v>
      </c>
      <c r="E83" s="352" t="s">
        <v>1995</v>
      </c>
      <c r="F83" s="353">
        <v>0.15</v>
      </c>
      <c r="G83" s="352" t="s">
        <v>2126</v>
      </c>
      <c r="H83" s="176" t="s">
        <v>2327</v>
      </c>
      <c r="I83" s="37" t="s">
        <v>3903</v>
      </c>
      <c r="J83" s="352" t="s">
        <v>3580</v>
      </c>
      <c r="K83" s="352">
        <v>100</v>
      </c>
      <c r="L83" s="352" t="s">
        <v>3581</v>
      </c>
      <c r="M83" s="351"/>
      <c r="N83" s="351"/>
      <c r="O83" s="351">
        <v>100</v>
      </c>
      <c r="P83" s="349" t="s">
        <v>1836</v>
      </c>
      <c r="R83" s="349">
        <f t="shared" si="1"/>
        <v>11</v>
      </c>
      <c r="S83" s="352"/>
      <c r="T83" s="352"/>
      <c r="U83" s="352"/>
      <c r="V83" s="353"/>
      <c r="W83" s="352"/>
      <c r="X83" s="176"/>
      <c r="Y83" s="176"/>
      <c r="Z83" s="352"/>
      <c r="AA83" s="352"/>
      <c r="AB83" s="352"/>
      <c r="AC83" s="351"/>
      <c r="AD83" s="351"/>
    </row>
    <row r="84" spans="1:30" ht="64.099999999999994" hidden="1" x14ac:dyDescent="0.35">
      <c r="A84" s="349">
        <v>83</v>
      </c>
      <c r="B84" s="352" t="s">
        <v>2677</v>
      </c>
      <c r="C84" s="351" t="s">
        <v>2844</v>
      </c>
      <c r="D84" s="352" t="s">
        <v>2844</v>
      </c>
      <c r="E84" s="352" t="s">
        <v>1995</v>
      </c>
      <c r="F84" s="353">
        <v>0.35</v>
      </c>
      <c r="G84" s="352" t="s">
        <v>2126</v>
      </c>
      <c r="H84" s="176" t="s">
        <v>2327</v>
      </c>
      <c r="I84" s="37" t="s">
        <v>3903</v>
      </c>
      <c r="J84" s="352" t="s">
        <v>3580</v>
      </c>
      <c r="K84" s="352">
        <v>300</v>
      </c>
      <c r="L84" s="352" t="s">
        <v>3581</v>
      </c>
      <c r="M84" s="351"/>
      <c r="N84" s="351"/>
      <c r="O84" s="351">
        <v>300</v>
      </c>
      <c r="P84" s="349" t="s">
        <v>1836</v>
      </c>
      <c r="R84" s="349">
        <f t="shared" si="1"/>
        <v>11</v>
      </c>
      <c r="S84" s="352"/>
      <c r="T84" s="352"/>
      <c r="U84" s="352"/>
      <c r="V84" s="353"/>
      <c r="W84" s="352"/>
      <c r="X84" s="176"/>
      <c r="Y84" s="176"/>
      <c r="Z84" s="352"/>
      <c r="AA84" s="352"/>
      <c r="AB84" s="352"/>
      <c r="AC84" s="351"/>
      <c r="AD84" s="351"/>
    </row>
    <row r="85" spans="1:30" ht="141" hidden="1" x14ac:dyDescent="0.35">
      <c r="A85" s="349">
        <v>84</v>
      </c>
      <c r="B85" s="352" t="s">
        <v>891</v>
      </c>
      <c r="C85" s="351" t="s">
        <v>2844</v>
      </c>
      <c r="D85" s="352" t="s">
        <v>2844</v>
      </c>
      <c r="E85" s="352" t="s">
        <v>1995</v>
      </c>
      <c r="F85" s="353">
        <v>0.15429999999999999</v>
      </c>
      <c r="G85" s="352" t="s">
        <v>2126</v>
      </c>
      <c r="H85" s="176" t="s">
        <v>2094</v>
      </c>
      <c r="I85" s="37" t="s">
        <v>2313</v>
      </c>
      <c r="J85" s="352" t="s">
        <v>3580</v>
      </c>
      <c r="K85" s="352">
        <v>100</v>
      </c>
      <c r="L85" s="352" t="s">
        <v>3581</v>
      </c>
      <c r="M85" s="351"/>
      <c r="N85" s="351"/>
      <c r="O85" s="351">
        <v>100</v>
      </c>
      <c r="P85" s="349" t="s">
        <v>1836</v>
      </c>
      <c r="R85" s="349">
        <f t="shared" si="1"/>
        <v>11</v>
      </c>
      <c r="S85" s="352"/>
      <c r="T85" s="352"/>
      <c r="U85" s="352"/>
      <c r="V85" s="353"/>
      <c r="W85" s="352"/>
      <c r="X85" s="176"/>
      <c r="Y85" s="176"/>
      <c r="Z85" s="352"/>
      <c r="AA85" s="352"/>
      <c r="AB85" s="352"/>
      <c r="AC85" s="351"/>
      <c r="AD85" s="351"/>
    </row>
    <row r="86" spans="1:30" ht="141" hidden="1" x14ac:dyDescent="0.35">
      <c r="A86" s="349">
        <v>85</v>
      </c>
      <c r="B86" s="352" t="s">
        <v>891</v>
      </c>
      <c r="C86" s="351" t="s">
        <v>2844</v>
      </c>
      <c r="D86" s="352" t="s">
        <v>2844</v>
      </c>
      <c r="E86" s="352" t="s">
        <v>1995</v>
      </c>
      <c r="F86" s="353">
        <v>0.35260000000000002</v>
      </c>
      <c r="G86" s="352" t="s">
        <v>2126</v>
      </c>
      <c r="H86" s="176" t="s">
        <v>2094</v>
      </c>
      <c r="I86" s="37" t="s">
        <v>2313</v>
      </c>
      <c r="J86" s="352" t="s">
        <v>3580</v>
      </c>
      <c r="K86" s="352">
        <v>300</v>
      </c>
      <c r="L86" s="352" t="s">
        <v>3581</v>
      </c>
      <c r="M86" s="351"/>
      <c r="N86" s="351"/>
      <c r="O86" s="351">
        <v>300</v>
      </c>
      <c r="P86" s="349" t="s">
        <v>1836</v>
      </c>
      <c r="R86" s="349">
        <f t="shared" si="1"/>
        <v>11</v>
      </c>
      <c r="S86" s="352"/>
      <c r="T86" s="352"/>
      <c r="U86" s="352"/>
      <c r="V86" s="353"/>
      <c r="W86" s="352"/>
      <c r="X86" s="176"/>
      <c r="Y86" s="176"/>
      <c r="Z86" s="352"/>
      <c r="AA86" s="352"/>
      <c r="AB86" s="352"/>
      <c r="AC86" s="351"/>
      <c r="AD86" s="351"/>
    </row>
    <row r="87" spans="1:30" ht="166.65" hidden="1" x14ac:dyDescent="0.35">
      <c r="A87" s="349">
        <v>86</v>
      </c>
      <c r="B87" s="352" t="s">
        <v>2694</v>
      </c>
      <c r="C87" s="351" t="s">
        <v>1673</v>
      </c>
      <c r="D87" s="352" t="s">
        <v>1673</v>
      </c>
      <c r="E87" s="352" t="s">
        <v>2855</v>
      </c>
      <c r="F87" s="353">
        <v>233.1525</v>
      </c>
      <c r="G87" s="352" t="s">
        <v>1107</v>
      </c>
      <c r="H87" s="176" t="s">
        <v>4481</v>
      </c>
      <c r="I87" s="176" t="s">
        <v>4489</v>
      </c>
      <c r="J87" s="352" t="s">
        <v>828</v>
      </c>
      <c r="K87" s="352">
        <v>0.5</v>
      </c>
      <c r="L87" s="352" t="s">
        <v>1116</v>
      </c>
      <c r="M87" s="352">
        <v>1</v>
      </c>
      <c r="N87" s="352" t="s">
        <v>1109</v>
      </c>
      <c r="O87" s="351">
        <v>0.5</v>
      </c>
      <c r="P87" s="349" t="s">
        <v>1836</v>
      </c>
      <c r="R87" s="349">
        <f t="shared" si="1"/>
        <v>11</v>
      </c>
      <c r="S87" s="352"/>
      <c r="T87" s="352"/>
      <c r="U87" s="352"/>
      <c r="V87" s="353"/>
      <c r="W87" s="352"/>
      <c r="X87" s="176"/>
      <c r="Y87" s="176"/>
      <c r="Z87" s="352"/>
      <c r="AA87" s="352"/>
      <c r="AB87" s="352"/>
      <c r="AC87" s="351"/>
      <c r="AD87" s="351"/>
    </row>
    <row r="88" spans="1:30" ht="153.80000000000001" hidden="1" x14ac:dyDescent="0.35">
      <c r="A88" s="349">
        <v>87</v>
      </c>
      <c r="B88" s="352" t="s">
        <v>785</v>
      </c>
      <c r="C88" s="351" t="s">
        <v>4874</v>
      </c>
      <c r="D88" s="352" t="s">
        <v>786</v>
      </c>
      <c r="E88" s="352" t="s">
        <v>892</v>
      </c>
      <c r="F88" s="353">
        <v>478.62</v>
      </c>
      <c r="G88" s="352" t="s">
        <v>3002</v>
      </c>
      <c r="H88" s="176" t="s">
        <v>352</v>
      </c>
      <c r="I88" s="176" t="s">
        <v>5089</v>
      </c>
      <c r="J88" s="352" t="s">
        <v>1115</v>
      </c>
      <c r="K88" s="352">
        <v>50</v>
      </c>
      <c r="L88" s="352" t="s">
        <v>1464</v>
      </c>
      <c r="M88" s="352">
        <v>1.2</v>
      </c>
      <c r="N88" s="352" t="s">
        <v>1109</v>
      </c>
      <c r="O88" s="351">
        <v>50</v>
      </c>
      <c r="P88" s="349" t="s">
        <v>1836</v>
      </c>
      <c r="R88" s="349">
        <f t="shared" si="1"/>
        <v>11</v>
      </c>
      <c r="S88" s="352"/>
      <c r="T88" s="352"/>
      <c r="U88" s="352"/>
      <c r="V88" s="353"/>
      <c r="W88" s="352"/>
      <c r="X88" s="176"/>
      <c r="Y88" s="176"/>
      <c r="Z88" s="352"/>
      <c r="AA88" s="352"/>
      <c r="AB88" s="352"/>
      <c r="AC88" s="351"/>
      <c r="AD88" s="351"/>
    </row>
    <row r="89" spans="1:30" ht="25.65" hidden="1" x14ac:dyDescent="0.35">
      <c r="A89" s="349">
        <v>88</v>
      </c>
      <c r="B89" s="352" t="s">
        <v>3582</v>
      </c>
      <c r="C89" s="351" t="s">
        <v>1582</v>
      </c>
      <c r="D89" s="351" t="s">
        <v>1581</v>
      </c>
      <c r="E89" s="352" t="s">
        <v>1997</v>
      </c>
      <c r="F89" s="353">
        <v>476.99</v>
      </c>
      <c r="G89" s="352" t="s">
        <v>1107</v>
      </c>
      <c r="H89" s="176" t="s">
        <v>2137</v>
      </c>
      <c r="I89" s="176" t="s">
        <v>2138</v>
      </c>
      <c r="J89" s="352" t="s">
        <v>1115</v>
      </c>
      <c r="K89" s="352">
        <v>50</v>
      </c>
      <c r="L89" s="352" t="s">
        <v>1464</v>
      </c>
      <c r="M89" s="351"/>
      <c r="N89" s="351"/>
      <c r="O89" s="351">
        <v>50</v>
      </c>
      <c r="P89" s="349" t="s">
        <v>1836</v>
      </c>
      <c r="R89" s="349">
        <f t="shared" si="1"/>
        <v>25</v>
      </c>
      <c r="S89" s="352"/>
      <c r="T89" s="352"/>
      <c r="U89" s="352"/>
      <c r="V89" s="353"/>
      <c r="W89" s="352"/>
      <c r="X89" s="176"/>
      <c r="Y89" s="176"/>
      <c r="Z89" s="352"/>
      <c r="AA89" s="352"/>
      <c r="AB89" s="352"/>
      <c r="AC89" s="351"/>
      <c r="AD89" s="351"/>
    </row>
    <row r="90" spans="1:30" ht="230.7" hidden="1" x14ac:dyDescent="0.35">
      <c r="A90" s="349">
        <v>89</v>
      </c>
      <c r="B90" s="352" t="s">
        <v>3582</v>
      </c>
      <c r="C90" s="351" t="s">
        <v>794</v>
      </c>
      <c r="D90" s="351" t="s">
        <v>4999</v>
      </c>
      <c r="E90" s="352" t="s">
        <v>1997</v>
      </c>
      <c r="F90" s="353">
        <v>476.99</v>
      </c>
      <c r="G90" s="352" t="s">
        <v>1107</v>
      </c>
      <c r="H90" s="176" t="s">
        <v>149</v>
      </c>
      <c r="I90" s="176" t="s">
        <v>4471</v>
      </c>
      <c r="J90" s="352" t="s">
        <v>1115</v>
      </c>
      <c r="K90" s="352">
        <v>50</v>
      </c>
      <c r="L90" s="352" t="s">
        <v>1464</v>
      </c>
      <c r="M90" s="352"/>
      <c r="N90" s="352"/>
      <c r="O90" s="351">
        <v>50</v>
      </c>
      <c r="P90" s="349" t="s">
        <v>1836</v>
      </c>
      <c r="R90" s="349">
        <f t="shared" si="1"/>
        <v>14</v>
      </c>
      <c r="S90" s="352"/>
      <c r="T90" s="352"/>
      <c r="U90" s="352"/>
      <c r="V90" s="353"/>
      <c r="W90" s="352"/>
      <c r="X90" s="176"/>
      <c r="Y90" s="176"/>
      <c r="Z90" s="352"/>
      <c r="AA90" s="352"/>
      <c r="AB90" s="352"/>
      <c r="AC90" s="351"/>
      <c r="AD90" s="351"/>
    </row>
    <row r="91" spans="1:30" ht="230.7" hidden="1" x14ac:dyDescent="0.35">
      <c r="A91" s="349">
        <v>90</v>
      </c>
      <c r="B91" s="352" t="s">
        <v>3582</v>
      </c>
      <c r="C91" s="351" t="s">
        <v>794</v>
      </c>
      <c r="D91" s="351" t="s">
        <v>4999</v>
      </c>
      <c r="E91" s="352" t="s">
        <v>1997</v>
      </c>
      <c r="F91" s="353">
        <v>16.53</v>
      </c>
      <c r="G91" s="352" t="s">
        <v>1107</v>
      </c>
      <c r="H91" s="176" t="s">
        <v>149</v>
      </c>
      <c r="I91" s="176" t="s">
        <v>4471</v>
      </c>
      <c r="J91" s="352" t="s">
        <v>1115</v>
      </c>
      <c r="K91" s="352">
        <v>50</v>
      </c>
      <c r="L91" s="352" t="s">
        <v>1464</v>
      </c>
      <c r="M91" s="351"/>
      <c r="N91" s="351"/>
      <c r="O91" s="351">
        <v>50</v>
      </c>
      <c r="P91" s="349" t="s">
        <v>1836</v>
      </c>
      <c r="R91" s="349">
        <f t="shared" si="1"/>
        <v>14</v>
      </c>
      <c r="S91" s="352"/>
      <c r="T91" s="352"/>
      <c r="U91" s="352"/>
      <c r="V91" s="353"/>
      <c r="W91" s="352"/>
      <c r="X91" s="176"/>
      <c r="Y91" s="176"/>
      <c r="Z91" s="352"/>
      <c r="AA91" s="352"/>
      <c r="AB91" s="352"/>
      <c r="AC91" s="351"/>
      <c r="AD91" s="351"/>
    </row>
    <row r="92" spans="1:30" ht="230.7" hidden="1" x14ac:dyDescent="0.35">
      <c r="A92" s="349">
        <v>91</v>
      </c>
      <c r="B92" s="352" t="s">
        <v>3582</v>
      </c>
      <c r="C92" s="351" t="s">
        <v>794</v>
      </c>
      <c r="D92" s="351" t="s">
        <v>4999</v>
      </c>
      <c r="E92" s="352" t="s">
        <v>3583</v>
      </c>
      <c r="F92" s="353">
        <v>335.58</v>
      </c>
      <c r="G92" s="352" t="s">
        <v>1107</v>
      </c>
      <c r="H92" s="176" t="s">
        <v>149</v>
      </c>
      <c r="I92" s="176" t="s">
        <v>4471</v>
      </c>
      <c r="J92" s="352" t="s">
        <v>1115</v>
      </c>
      <c r="K92" s="352">
        <v>5</v>
      </c>
      <c r="L92" s="352" t="s">
        <v>1116</v>
      </c>
      <c r="M92" s="351">
        <v>20</v>
      </c>
      <c r="N92" s="351" t="s">
        <v>1109</v>
      </c>
      <c r="O92" s="351">
        <v>5</v>
      </c>
      <c r="P92" s="349" t="s">
        <v>1836</v>
      </c>
      <c r="R92" s="349">
        <f t="shared" si="1"/>
        <v>14</v>
      </c>
      <c r="S92" s="352"/>
      <c r="T92" s="352"/>
      <c r="U92" s="352"/>
      <c r="V92" s="353"/>
      <c r="W92" s="352"/>
      <c r="X92" s="176"/>
      <c r="Y92" s="176"/>
      <c r="Z92" s="352"/>
      <c r="AA92" s="352"/>
      <c r="AB92" s="352"/>
      <c r="AC92" s="351"/>
      <c r="AD92" s="351"/>
    </row>
    <row r="93" spans="1:30" ht="230.7" hidden="1" x14ac:dyDescent="0.35">
      <c r="A93" s="349">
        <v>92</v>
      </c>
      <c r="B93" s="352" t="s">
        <v>3582</v>
      </c>
      <c r="C93" s="351" t="s">
        <v>794</v>
      </c>
      <c r="D93" s="351" t="s">
        <v>4999</v>
      </c>
      <c r="E93" s="352" t="s">
        <v>2016</v>
      </c>
      <c r="F93" s="353">
        <v>0.3</v>
      </c>
      <c r="G93" s="352" t="s">
        <v>34</v>
      </c>
      <c r="H93" s="176" t="s">
        <v>58</v>
      </c>
      <c r="I93" s="176" t="s">
        <v>4471</v>
      </c>
      <c r="J93" s="352" t="s">
        <v>893</v>
      </c>
      <c r="K93" s="352">
        <v>10</v>
      </c>
      <c r="L93" s="352" t="s">
        <v>3581</v>
      </c>
      <c r="M93" s="352"/>
      <c r="N93" s="352"/>
      <c r="O93" s="351">
        <v>10</v>
      </c>
      <c r="P93" s="349" t="s">
        <v>1836</v>
      </c>
      <c r="R93" s="349">
        <f t="shared" si="1"/>
        <v>14</v>
      </c>
      <c r="S93" s="352"/>
      <c r="T93" s="352"/>
      <c r="U93" s="352"/>
      <c r="V93" s="353"/>
      <c r="W93" s="352"/>
      <c r="X93" s="176"/>
      <c r="Y93" s="176"/>
      <c r="Z93" s="352"/>
      <c r="AA93" s="352"/>
      <c r="AB93" s="352"/>
      <c r="AC93" s="351"/>
      <c r="AD93" s="351"/>
    </row>
    <row r="94" spans="1:30" ht="230.7" hidden="1" x14ac:dyDescent="0.35">
      <c r="A94" s="349">
        <v>93</v>
      </c>
      <c r="B94" s="352" t="s">
        <v>3582</v>
      </c>
      <c r="C94" s="351" t="s">
        <v>794</v>
      </c>
      <c r="D94" s="351" t="s">
        <v>4999</v>
      </c>
      <c r="E94" s="352" t="s">
        <v>894</v>
      </c>
      <c r="F94" s="353">
        <v>8.5500000000000007</v>
      </c>
      <c r="G94" s="352" t="s">
        <v>2126</v>
      </c>
      <c r="H94" s="176" t="s">
        <v>338</v>
      </c>
      <c r="I94" s="176" t="s">
        <v>4471</v>
      </c>
      <c r="J94" s="352" t="s">
        <v>3579</v>
      </c>
      <c r="K94" s="352">
        <v>100</v>
      </c>
      <c r="L94" s="352" t="s">
        <v>1116</v>
      </c>
      <c r="M94" s="351">
        <v>40</v>
      </c>
      <c r="N94" s="351" t="s">
        <v>1109</v>
      </c>
      <c r="O94" s="351">
        <v>100</v>
      </c>
      <c r="P94" s="349" t="s">
        <v>1836</v>
      </c>
      <c r="R94" s="349">
        <f t="shared" si="1"/>
        <v>14</v>
      </c>
      <c r="S94" s="352"/>
      <c r="T94" s="352"/>
      <c r="U94" s="352"/>
      <c r="V94" s="353"/>
      <c r="W94" s="352"/>
      <c r="X94" s="176"/>
      <c r="Y94" s="176"/>
      <c r="Z94" s="352"/>
      <c r="AA94" s="352"/>
      <c r="AB94" s="352"/>
      <c r="AC94" s="351"/>
      <c r="AD94" s="351"/>
    </row>
    <row r="95" spans="1:30" ht="230.7" hidden="1" x14ac:dyDescent="0.35">
      <c r="A95" s="349">
        <v>94</v>
      </c>
      <c r="B95" s="352" t="s">
        <v>3582</v>
      </c>
      <c r="C95" s="351" t="s">
        <v>794</v>
      </c>
      <c r="D95" s="351" t="s">
        <v>4999</v>
      </c>
      <c r="E95" s="352" t="s">
        <v>1995</v>
      </c>
      <c r="F95" s="353">
        <v>0.99</v>
      </c>
      <c r="G95" s="352" t="s">
        <v>2126</v>
      </c>
      <c r="H95" s="176" t="s">
        <v>338</v>
      </c>
      <c r="I95" s="176" t="s">
        <v>4471</v>
      </c>
      <c r="J95" s="352" t="s">
        <v>3580</v>
      </c>
      <c r="K95" s="352">
        <v>100</v>
      </c>
      <c r="L95" s="352" t="s">
        <v>3581</v>
      </c>
      <c r="M95" s="352"/>
      <c r="N95" s="352"/>
      <c r="O95" s="351">
        <v>100</v>
      </c>
      <c r="P95" s="349" t="s">
        <v>1836</v>
      </c>
      <c r="R95" s="349">
        <f t="shared" si="1"/>
        <v>14</v>
      </c>
      <c r="S95" s="352"/>
      <c r="T95" s="352"/>
      <c r="U95" s="352"/>
      <c r="V95" s="353"/>
      <c r="W95" s="352"/>
      <c r="X95" s="176"/>
      <c r="Y95" s="176"/>
      <c r="Z95" s="352"/>
      <c r="AA95" s="352"/>
      <c r="AB95" s="352"/>
      <c r="AC95" s="351"/>
      <c r="AD95" s="351"/>
    </row>
    <row r="96" spans="1:30" ht="25.65" hidden="1" x14ac:dyDescent="0.35">
      <c r="A96" s="349">
        <v>95</v>
      </c>
      <c r="B96" s="352" t="s">
        <v>746</v>
      </c>
      <c r="C96" s="351" t="s">
        <v>2924</v>
      </c>
      <c r="D96" s="352" t="s">
        <v>2924</v>
      </c>
      <c r="E96" s="352" t="s">
        <v>747</v>
      </c>
      <c r="F96" s="353">
        <v>30.543399999999998</v>
      </c>
      <c r="G96" s="352" t="s">
        <v>748</v>
      </c>
      <c r="H96" s="176" t="s">
        <v>3005</v>
      </c>
      <c r="I96" s="176" t="s">
        <v>1794</v>
      </c>
      <c r="J96" s="352" t="s">
        <v>1115</v>
      </c>
      <c r="K96" s="352">
        <v>30</v>
      </c>
      <c r="L96" s="352" t="s">
        <v>470</v>
      </c>
      <c r="M96" s="352">
        <v>250</v>
      </c>
      <c r="N96" s="352" t="s">
        <v>1109</v>
      </c>
      <c r="O96" s="351">
        <v>30</v>
      </c>
      <c r="P96" s="349" t="s">
        <v>1838</v>
      </c>
      <c r="R96" s="349">
        <f t="shared" si="1"/>
        <v>17</v>
      </c>
      <c r="S96" s="352"/>
      <c r="T96" s="352"/>
      <c r="U96" s="352"/>
      <c r="V96" s="353"/>
      <c r="W96" s="352"/>
      <c r="X96" s="176"/>
      <c r="Y96" s="176"/>
      <c r="Z96" s="352"/>
      <c r="AA96" s="352"/>
      <c r="AB96" s="352"/>
      <c r="AC96" s="351"/>
      <c r="AD96" s="351"/>
    </row>
    <row r="97" spans="1:30" ht="102.55" hidden="1" x14ac:dyDescent="0.35">
      <c r="A97" s="349">
        <v>96</v>
      </c>
      <c r="B97" s="352" t="s">
        <v>3248</v>
      </c>
      <c r="C97" s="351" t="s">
        <v>1001</v>
      </c>
      <c r="D97" s="352" t="s">
        <v>1001</v>
      </c>
      <c r="E97" s="352" t="s">
        <v>3249</v>
      </c>
      <c r="F97" s="353">
        <v>8.25</v>
      </c>
      <c r="G97" s="352" t="s">
        <v>1107</v>
      </c>
      <c r="H97" s="176" t="s">
        <v>3037</v>
      </c>
      <c r="I97" s="176" t="s">
        <v>1537</v>
      </c>
      <c r="J97" s="352" t="s">
        <v>1115</v>
      </c>
      <c r="K97" s="352">
        <v>50</v>
      </c>
      <c r="L97" s="352" t="s">
        <v>1116</v>
      </c>
      <c r="M97" s="351"/>
      <c r="N97" s="352" t="s">
        <v>1109</v>
      </c>
      <c r="O97" s="351">
        <v>50</v>
      </c>
      <c r="P97" s="349" t="s">
        <v>1836</v>
      </c>
      <c r="R97" s="349">
        <f t="shared" si="1"/>
        <v>9</v>
      </c>
      <c r="S97" s="352"/>
      <c r="T97" s="352"/>
      <c r="U97" s="352"/>
      <c r="V97" s="353"/>
      <c r="W97" s="352"/>
      <c r="X97" s="176"/>
      <c r="Y97" s="176"/>
      <c r="Z97" s="352"/>
      <c r="AA97" s="352"/>
      <c r="AB97" s="352"/>
      <c r="AC97" s="351"/>
      <c r="AD97" s="351"/>
    </row>
    <row r="98" spans="1:30" ht="102.55" hidden="1" x14ac:dyDescent="0.35">
      <c r="A98" s="349">
        <v>97</v>
      </c>
      <c r="B98" s="352" t="s">
        <v>3248</v>
      </c>
      <c r="C98" s="351" t="s">
        <v>1001</v>
      </c>
      <c r="D98" s="352" t="s">
        <v>1001</v>
      </c>
      <c r="E98" s="352" t="s">
        <v>3250</v>
      </c>
      <c r="F98" s="353">
        <v>21.6</v>
      </c>
      <c r="G98" s="352" t="s">
        <v>1107</v>
      </c>
      <c r="H98" s="176" t="s">
        <v>3037</v>
      </c>
      <c r="I98" s="176" t="s">
        <v>1537</v>
      </c>
      <c r="J98" s="352" t="s">
        <v>1115</v>
      </c>
      <c r="K98" s="352">
        <v>250</v>
      </c>
      <c r="L98" s="352" t="s">
        <v>1116</v>
      </c>
      <c r="M98" s="352">
        <v>2</v>
      </c>
      <c r="N98" s="352" t="s">
        <v>1109</v>
      </c>
      <c r="O98" s="351">
        <v>250</v>
      </c>
      <c r="P98" s="349" t="s">
        <v>1836</v>
      </c>
      <c r="R98" s="349">
        <f t="shared" si="1"/>
        <v>9</v>
      </c>
      <c r="S98" s="352"/>
      <c r="T98" s="352"/>
      <c r="U98" s="352"/>
      <c r="V98" s="353"/>
      <c r="W98" s="352"/>
      <c r="X98" s="176"/>
      <c r="Y98" s="176"/>
      <c r="Z98" s="352"/>
      <c r="AA98" s="352"/>
      <c r="AB98" s="352"/>
      <c r="AC98" s="351"/>
      <c r="AD98" s="351"/>
    </row>
    <row r="99" spans="1:30" ht="25.65" hidden="1" x14ac:dyDescent="0.35">
      <c r="A99" s="349">
        <v>98</v>
      </c>
      <c r="B99" s="352" t="s">
        <v>1512</v>
      </c>
      <c r="C99" s="351" t="s">
        <v>4875</v>
      </c>
      <c r="D99" s="352" t="s">
        <v>3087</v>
      </c>
      <c r="E99" s="352" t="s">
        <v>3251</v>
      </c>
      <c r="F99" s="353">
        <v>11.95</v>
      </c>
      <c r="G99" s="352" t="s">
        <v>1107</v>
      </c>
      <c r="H99" s="176" t="s">
        <v>3088</v>
      </c>
      <c r="I99" s="176" t="s">
        <v>2511</v>
      </c>
      <c r="J99" s="352" t="s">
        <v>1115</v>
      </c>
      <c r="K99" s="352">
        <v>3</v>
      </c>
      <c r="L99" s="352" t="s">
        <v>3252</v>
      </c>
      <c r="M99" s="352">
        <v>60</v>
      </c>
      <c r="N99" s="352" t="s">
        <v>1109</v>
      </c>
      <c r="O99" s="351">
        <v>3</v>
      </c>
      <c r="P99" s="349" t="s">
        <v>818</v>
      </c>
      <c r="R99" s="349">
        <f t="shared" si="1"/>
        <v>19</v>
      </c>
      <c r="S99" s="352"/>
      <c r="T99" s="352"/>
      <c r="U99" s="352"/>
      <c r="V99" s="353"/>
      <c r="W99" s="352"/>
      <c r="X99" s="176"/>
      <c r="Y99" s="176"/>
      <c r="Z99" s="352"/>
      <c r="AA99" s="352"/>
      <c r="AB99" s="352"/>
      <c r="AC99" s="351"/>
      <c r="AD99" s="351"/>
    </row>
    <row r="100" spans="1:30" ht="64.099999999999994" hidden="1" x14ac:dyDescent="0.35">
      <c r="A100" s="349">
        <v>99</v>
      </c>
      <c r="B100" s="352" t="s">
        <v>3253</v>
      </c>
      <c r="C100" s="351" t="s">
        <v>4876</v>
      </c>
      <c r="D100" s="352" t="s">
        <v>2213</v>
      </c>
      <c r="E100" s="352" t="s">
        <v>1110</v>
      </c>
      <c r="F100" s="353">
        <v>62.5413</v>
      </c>
      <c r="G100" s="352" t="s">
        <v>1107</v>
      </c>
      <c r="H100" s="176" t="s">
        <v>3571</v>
      </c>
      <c r="I100" s="176" t="s">
        <v>3572</v>
      </c>
      <c r="J100" s="352" t="s">
        <v>1108</v>
      </c>
      <c r="K100" s="352">
        <v>10</v>
      </c>
      <c r="L100" s="352" t="s">
        <v>470</v>
      </c>
      <c r="M100" s="352">
        <v>1000</v>
      </c>
      <c r="N100" s="352" t="s">
        <v>1109</v>
      </c>
      <c r="O100" s="351">
        <v>10</v>
      </c>
      <c r="P100" s="349" t="s">
        <v>1838</v>
      </c>
      <c r="R100" s="349">
        <f t="shared" si="1"/>
        <v>3</v>
      </c>
      <c r="S100" s="352"/>
      <c r="T100" s="352"/>
      <c r="U100" s="352"/>
      <c r="V100" s="353"/>
      <c r="W100" s="352"/>
      <c r="X100" s="176"/>
      <c r="Y100" s="176"/>
      <c r="Z100" s="352"/>
      <c r="AA100" s="352"/>
      <c r="AB100" s="352"/>
      <c r="AC100" s="351"/>
      <c r="AD100" s="351"/>
    </row>
    <row r="101" spans="1:30" ht="166.65" hidden="1" x14ac:dyDescent="0.35">
      <c r="A101" s="349">
        <v>100</v>
      </c>
      <c r="B101" s="352" t="s">
        <v>761</v>
      </c>
      <c r="C101" s="351" t="s">
        <v>3401</v>
      </c>
      <c r="D101" s="352" t="s">
        <v>3401</v>
      </c>
      <c r="E101" s="352" t="s">
        <v>1991</v>
      </c>
      <c r="F101" s="353">
        <v>3.3</v>
      </c>
      <c r="G101" s="352" t="s">
        <v>1107</v>
      </c>
      <c r="H101" s="176" t="s">
        <v>2297</v>
      </c>
      <c r="I101" s="176" t="s">
        <v>4482</v>
      </c>
      <c r="J101" s="352" t="s">
        <v>828</v>
      </c>
      <c r="K101" s="352">
        <v>50</v>
      </c>
      <c r="L101" s="352" t="s">
        <v>1116</v>
      </c>
      <c r="M101" s="351">
        <v>3</v>
      </c>
      <c r="N101" s="351" t="s">
        <v>1109</v>
      </c>
      <c r="O101" s="351">
        <v>50</v>
      </c>
      <c r="P101" s="349" t="s">
        <v>1836</v>
      </c>
      <c r="R101" s="349">
        <f t="shared" si="1"/>
        <v>9</v>
      </c>
      <c r="S101" s="352"/>
      <c r="T101" s="352"/>
      <c r="U101" s="352"/>
      <c r="V101" s="353"/>
      <c r="W101" s="352"/>
      <c r="X101" s="176"/>
      <c r="Y101" s="176"/>
      <c r="Z101" s="352"/>
      <c r="AA101" s="352"/>
      <c r="AB101" s="352"/>
      <c r="AC101" s="351"/>
      <c r="AD101" s="351"/>
    </row>
    <row r="102" spans="1:30" ht="166.65" hidden="1" x14ac:dyDescent="0.35">
      <c r="A102" s="349">
        <v>101</v>
      </c>
      <c r="B102" s="352" t="s">
        <v>761</v>
      </c>
      <c r="C102" s="351" t="s">
        <v>3401</v>
      </c>
      <c r="D102" s="352" t="s">
        <v>3401</v>
      </c>
      <c r="E102" s="352" t="s">
        <v>1995</v>
      </c>
      <c r="F102" s="353">
        <v>0.7</v>
      </c>
      <c r="G102" s="352" t="s">
        <v>2126</v>
      </c>
      <c r="H102" s="176" t="s">
        <v>1440</v>
      </c>
      <c r="I102" s="176" t="s">
        <v>4482</v>
      </c>
      <c r="J102" s="352" t="s">
        <v>3580</v>
      </c>
      <c r="K102" s="352">
        <v>200</v>
      </c>
      <c r="L102" s="352" t="s">
        <v>3581</v>
      </c>
      <c r="M102" s="352"/>
      <c r="N102" s="352"/>
      <c r="O102" s="351">
        <v>200</v>
      </c>
      <c r="P102" s="349" t="s">
        <v>1836</v>
      </c>
      <c r="R102" s="349">
        <f t="shared" si="1"/>
        <v>9</v>
      </c>
      <c r="S102" s="352"/>
      <c r="T102" s="352"/>
      <c r="U102" s="352"/>
      <c r="V102" s="353"/>
      <c r="W102" s="352"/>
      <c r="X102" s="176"/>
      <c r="Y102" s="176"/>
      <c r="Z102" s="352"/>
      <c r="AA102" s="352"/>
      <c r="AB102" s="352"/>
      <c r="AC102" s="351"/>
      <c r="AD102" s="351"/>
    </row>
    <row r="103" spans="1:30" ht="89.75" hidden="1" x14ac:dyDescent="0.35">
      <c r="A103" s="349">
        <v>102</v>
      </c>
      <c r="B103" s="352" t="s">
        <v>2694</v>
      </c>
      <c r="C103" s="351" t="s">
        <v>3694</v>
      </c>
      <c r="D103" s="352" t="s">
        <v>3694</v>
      </c>
      <c r="E103" s="352" t="s">
        <v>1995</v>
      </c>
      <c r="F103" s="353">
        <v>1.2561</v>
      </c>
      <c r="G103" s="352" t="s">
        <v>2126</v>
      </c>
      <c r="H103" s="176" t="s">
        <v>750</v>
      </c>
      <c r="I103" s="176" t="s">
        <v>751</v>
      </c>
      <c r="J103" s="352" t="s">
        <v>3580</v>
      </c>
      <c r="K103" s="352">
        <v>5</v>
      </c>
      <c r="L103" s="352" t="s">
        <v>3581</v>
      </c>
      <c r="M103" s="351"/>
      <c r="N103" s="351"/>
      <c r="O103" s="351">
        <v>5</v>
      </c>
      <c r="P103" s="349" t="s">
        <v>1836</v>
      </c>
      <c r="R103" s="349">
        <f t="shared" si="1"/>
        <v>10</v>
      </c>
      <c r="S103" s="352"/>
      <c r="T103" s="352"/>
      <c r="U103" s="352"/>
      <c r="V103" s="353"/>
      <c r="W103" s="352"/>
      <c r="X103" s="176"/>
      <c r="Y103" s="176"/>
      <c r="Z103" s="352"/>
      <c r="AA103" s="352"/>
      <c r="AB103" s="352"/>
      <c r="AC103" s="351"/>
      <c r="AD103" s="351"/>
    </row>
    <row r="104" spans="1:30" ht="89.75" hidden="1" x14ac:dyDescent="0.35">
      <c r="A104" s="349">
        <v>103</v>
      </c>
      <c r="B104" s="352" t="s">
        <v>2694</v>
      </c>
      <c r="C104" s="351" t="s">
        <v>3694</v>
      </c>
      <c r="D104" s="352" t="s">
        <v>3694</v>
      </c>
      <c r="E104" s="352" t="s">
        <v>1995</v>
      </c>
      <c r="F104" s="353">
        <v>1.8732</v>
      </c>
      <c r="G104" s="352" t="s">
        <v>2126</v>
      </c>
      <c r="H104" s="176" t="s">
        <v>750</v>
      </c>
      <c r="I104" s="176" t="s">
        <v>751</v>
      </c>
      <c r="J104" s="352" t="s">
        <v>3580</v>
      </c>
      <c r="K104" s="352">
        <v>10</v>
      </c>
      <c r="L104" s="352" t="s">
        <v>3581</v>
      </c>
      <c r="M104" s="351"/>
      <c r="N104" s="351"/>
      <c r="O104" s="351">
        <v>10</v>
      </c>
      <c r="P104" s="349" t="s">
        <v>1836</v>
      </c>
      <c r="R104" s="349">
        <f t="shared" si="1"/>
        <v>10</v>
      </c>
      <c r="S104" s="352"/>
      <c r="T104" s="352"/>
      <c r="U104" s="352"/>
      <c r="V104" s="353"/>
      <c r="W104" s="352"/>
      <c r="X104" s="176"/>
      <c r="Y104" s="176"/>
      <c r="Z104" s="352"/>
      <c r="AA104" s="352"/>
      <c r="AB104" s="352"/>
      <c r="AC104" s="351"/>
      <c r="AD104" s="351"/>
    </row>
    <row r="105" spans="1:30" hidden="1" x14ac:dyDescent="0.35">
      <c r="A105" s="349">
        <v>104</v>
      </c>
      <c r="B105" s="352" t="s">
        <v>3968</v>
      </c>
      <c r="C105" s="351" t="s">
        <v>4877</v>
      </c>
      <c r="D105" s="352" t="s">
        <v>1161</v>
      </c>
      <c r="E105" s="352" t="s">
        <v>1995</v>
      </c>
      <c r="F105" s="353">
        <v>6.6111000000000004</v>
      </c>
      <c r="G105" s="352" t="s">
        <v>2126</v>
      </c>
      <c r="H105" s="176" t="s">
        <v>455</v>
      </c>
      <c r="I105" s="176" t="s">
        <v>456</v>
      </c>
      <c r="J105" s="352" t="s">
        <v>3580</v>
      </c>
      <c r="K105" s="352">
        <v>500</v>
      </c>
      <c r="L105" s="352" t="s">
        <v>3581</v>
      </c>
      <c r="M105" s="351"/>
      <c r="N105" s="351"/>
      <c r="O105" s="351">
        <v>500</v>
      </c>
      <c r="P105" s="349" t="s">
        <v>1836</v>
      </c>
      <c r="R105" s="349">
        <f t="shared" si="1"/>
        <v>14</v>
      </c>
      <c r="S105" s="352"/>
      <c r="T105" s="352"/>
      <c r="U105" s="352"/>
      <c r="V105" s="353"/>
      <c r="W105" s="352"/>
      <c r="X105" s="176"/>
      <c r="Y105" s="176"/>
      <c r="Z105" s="352"/>
      <c r="AA105" s="352"/>
      <c r="AB105" s="352"/>
      <c r="AC105" s="351"/>
      <c r="AD105" s="351"/>
    </row>
    <row r="106" spans="1:30" ht="102.55" hidden="1" x14ac:dyDescent="0.35">
      <c r="A106" s="349">
        <v>105</v>
      </c>
      <c r="B106" s="352" t="s">
        <v>831</v>
      </c>
      <c r="C106" s="351" t="s">
        <v>546</v>
      </c>
      <c r="D106" s="352" t="s">
        <v>546</v>
      </c>
      <c r="E106" s="352" t="s">
        <v>1997</v>
      </c>
      <c r="F106" s="353">
        <v>2.4</v>
      </c>
      <c r="G106" s="352" t="s">
        <v>1107</v>
      </c>
      <c r="H106" s="176" t="s">
        <v>412</v>
      </c>
      <c r="I106" s="176" t="s">
        <v>4676</v>
      </c>
      <c r="J106" s="352" t="s">
        <v>1115</v>
      </c>
      <c r="K106" s="352">
        <v>1</v>
      </c>
      <c r="L106" s="352" t="s">
        <v>3252</v>
      </c>
      <c r="M106" s="351"/>
      <c r="N106" s="351"/>
      <c r="O106" s="351">
        <v>1000</v>
      </c>
      <c r="P106" s="349" t="s">
        <v>1836</v>
      </c>
      <c r="R106" s="349">
        <f t="shared" si="1"/>
        <v>12</v>
      </c>
      <c r="S106" s="352"/>
      <c r="T106" s="352"/>
      <c r="U106" s="352"/>
      <c r="V106" s="353"/>
      <c r="W106" s="352"/>
      <c r="X106" s="176"/>
      <c r="Y106" s="176"/>
      <c r="Z106" s="352"/>
      <c r="AA106" s="352"/>
      <c r="AB106" s="352"/>
      <c r="AC106" s="351"/>
      <c r="AD106" s="351"/>
    </row>
    <row r="107" spans="1:30" ht="51.3" hidden="1" x14ac:dyDescent="0.35">
      <c r="A107" s="349">
        <v>106</v>
      </c>
      <c r="B107" s="352" t="s">
        <v>831</v>
      </c>
      <c r="C107" s="351" t="s">
        <v>546</v>
      </c>
      <c r="D107" s="352" t="s">
        <v>546</v>
      </c>
      <c r="E107" s="352" t="s">
        <v>1997</v>
      </c>
      <c r="F107" s="353">
        <v>2.4</v>
      </c>
      <c r="G107" s="352" t="s">
        <v>1107</v>
      </c>
      <c r="H107" s="176" t="s">
        <v>2313</v>
      </c>
      <c r="I107" s="176" t="s">
        <v>4676</v>
      </c>
      <c r="J107" s="352" t="s">
        <v>1115</v>
      </c>
      <c r="K107" s="352">
        <v>1</v>
      </c>
      <c r="L107" s="352" t="s">
        <v>3252</v>
      </c>
      <c r="M107" s="351"/>
      <c r="N107" s="351"/>
      <c r="O107" s="351">
        <v>1000</v>
      </c>
      <c r="P107" s="349" t="s">
        <v>1836</v>
      </c>
      <c r="R107" s="349">
        <f t="shared" si="1"/>
        <v>12</v>
      </c>
      <c r="S107" s="352"/>
      <c r="T107" s="352"/>
      <c r="U107" s="352"/>
      <c r="V107" s="353"/>
      <c r="W107" s="352"/>
      <c r="X107" s="176"/>
      <c r="Y107" s="176"/>
      <c r="Z107" s="352"/>
      <c r="AA107" s="352"/>
      <c r="AB107" s="352"/>
      <c r="AC107" s="351"/>
      <c r="AD107" s="351"/>
    </row>
    <row r="108" spans="1:30" ht="102.55" hidden="1" x14ac:dyDescent="0.35">
      <c r="A108" s="349">
        <v>107</v>
      </c>
      <c r="B108" s="352" t="s">
        <v>831</v>
      </c>
      <c r="C108" s="351" t="s">
        <v>546</v>
      </c>
      <c r="D108" s="352" t="s">
        <v>546</v>
      </c>
      <c r="E108" s="352" t="s">
        <v>1997</v>
      </c>
      <c r="F108" s="353">
        <v>2.4</v>
      </c>
      <c r="G108" s="352" t="s">
        <v>1107</v>
      </c>
      <c r="H108" s="176" t="s">
        <v>412</v>
      </c>
      <c r="I108" s="176" t="s">
        <v>4676</v>
      </c>
      <c r="J108" s="352" t="s">
        <v>1115</v>
      </c>
      <c r="K108" s="352">
        <v>1</v>
      </c>
      <c r="L108" s="352" t="s">
        <v>3252</v>
      </c>
      <c r="M108" s="352"/>
      <c r="N108" s="352"/>
      <c r="O108" s="351">
        <v>1000</v>
      </c>
      <c r="P108" s="349" t="s">
        <v>1836</v>
      </c>
      <c r="R108" s="349">
        <f t="shared" si="1"/>
        <v>12</v>
      </c>
      <c r="S108" s="352"/>
      <c r="T108" s="352"/>
      <c r="U108" s="352"/>
      <c r="V108" s="353"/>
      <c r="W108" s="352"/>
      <c r="X108" s="176"/>
      <c r="Y108" s="176"/>
      <c r="Z108" s="352"/>
      <c r="AA108" s="352"/>
      <c r="AB108" s="352"/>
      <c r="AC108" s="351"/>
      <c r="AD108" s="351"/>
    </row>
    <row r="109" spans="1:30" ht="102.55" hidden="1" x14ac:dyDescent="0.35">
      <c r="A109" s="349">
        <v>108</v>
      </c>
      <c r="B109" s="352" t="s">
        <v>831</v>
      </c>
      <c r="C109" s="351" t="s">
        <v>546</v>
      </c>
      <c r="D109" s="352" t="s">
        <v>546</v>
      </c>
      <c r="E109" s="352" t="s">
        <v>1997</v>
      </c>
      <c r="F109" s="353">
        <v>1.5</v>
      </c>
      <c r="G109" s="352" t="s">
        <v>1107</v>
      </c>
      <c r="H109" s="176" t="s">
        <v>412</v>
      </c>
      <c r="I109" s="176" t="s">
        <v>4676</v>
      </c>
      <c r="J109" s="352" t="s">
        <v>1115</v>
      </c>
      <c r="K109" s="352">
        <v>500</v>
      </c>
      <c r="L109" s="352" t="s">
        <v>1464</v>
      </c>
      <c r="M109" s="351"/>
      <c r="N109" s="351"/>
      <c r="O109" s="351">
        <v>500</v>
      </c>
      <c r="P109" s="349" t="s">
        <v>1836</v>
      </c>
      <c r="R109" s="349">
        <f t="shared" si="1"/>
        <v>12</v>
      </c>
      <c r="S109" s="352"/>
      <c r="T109" s="352"/>
      <c r="U109" s="352"/>
      <c r="V109" s="353"/>
      <c r="W109" s="352"/>
      <c r="X109" s="176"/>
      <c r="Y109" s="176"/>
      <c r="Z109" s="352"/>
      <c r="AA109" s="352"/>
      <c r="AB109" s="352"/>
      <c r="AC109" s="351"/>
      <c r="AD109" s="351"/>
    </row>
    <row r="110" spans="1:30" ht="51.3" hidden="1" x14ac:dyDescent="0.35">
      <c r="A110" s="349">
        <v>109</v>
      </c>
      <c r="B110" s="352" t="s">
        <v>831</v>
      </c>
      <c r="C110" s="351" t="s">
        <v>546</v>
      </c>
      <c r="D110" s="352" t="s">
        <v>546</v>
      </c>
      <c r="E110" s="352" t="s">
        <v>1997</v>
      </c>
      <c r="F110" s="353">
        <v>1.5</v>
      </c>
      <c r="G110" s="352" t="s">
        <v>1107</v>
      </c>
      <c r="H110" s="176" t="s">
        <v>2313</v>
      </c>
      <c r="I110" s="176" t="s">
        <v>4676</v>
      </c>
      <c r="J110" s="352" t="s">
        <v>1115</v>
      </c>
      <c r="K110" s="352">
        <v>500</v>
      </c>
      <c r="L110" s="352" t="s">
        <v>1464</v>
      </c>
      <c r="M110" s="351"/>
      <c r="N110" s="351"/>
      <c r="O110" s="351">
        <v>500</v>
      </c>
      <c r="P110" s="349" t="s">
        <v>1836</v>
      </c>
      <c r="R110" s="349">
        <f t="shared" si="1"/>
        <v>12</v>
      </c>
      <c r="S110" s="352"/>
      <c r="T110" s="352"/>
      <c r="U110" s="352"/>
      <c r="V110" s="353"/>
      <c r="W110" s="352"/>
      <c r="X110" s="176"/>
      <c r="Y110" s="176"/>
      <c r="Z110" s="352"/>
      <c r="AA110" s="352"/>
      <c r="AB110" s="352"/>
      <c r="AC110" s="351"/>
      <c r="AD110" s="351"/>
    </row>
    <row r="111" spans="1:30" ht="102.55" hidden="1" x14ac:dyDescent="0.35">
      <c r="A111" s="349">
        <v>110</v>
      </c>
      <c r="B111" s="352" t="s">
        <v>831</v>
      </c>
      <c r="C111" s="351" t="s">
        <v>546</v>
      </c>
      <c r="D111" s="352" t="s">
        <v>546</v>
      </c>
      <c r="E111" s="352" t="s">
        <v>1997</v>
      </c>
      <c r="F111" s="353">
        <v>1.5</v>
      </c>
      <c r="G111" s="352" t="s">
        <v>1107</v>
      </c>
      <c r="H111" s="176" t="s">
        <v>412</v>
      </c>
      <c r="I111" s="176" t="s">
        <v>4676</v>
      </c>
      <c r="J111" s="352" t="s">
        <v>1115</v>
      </c>
      <c r="K111" s="352">
        <v>500</v>
      </c>
      <c r="L111" s="352" t="s">
        <v>1464</v>
      </c>
      <c r="M111" s="352"/>
      <c r="N111" s="352"/>
      <c r="O111" s="351">
        <v>500</v>
      </c>
      <c r="P111" s="349" t="s">
        <v>1836</v>
      </c>
      <c r="R111" s="349">
        <f t="shared" si="1"/>
        <v>12</v>
      </c>
      <c r="S111" s="352"/>
      <c r="T111" s="352"/>
      <c r="U111" s="352"/>
      <c r="V111" s="353"/>
      <c r="W111" s="352"/>
      <c r="X111" s="176"/>
      <c r="Y111" s="176"/>
      <c r="Z111" s="352"/>
      <c r="AA111" s="352"/>
      <c r="AB111" s="352"/>
      <c r="AC111" s="351"/>
      <c r="AD111" s="351"/>
    </row>
    <row r="112" spans="1:30" ht="51.3" hidden="1" x14ac:dyDescent="0.35">
      <c r="A112" s="349">
        <v>111</v>
      </c>
      <c r="B112" s="352" t="s">
        <v>831</v>
      </c>
      <c r="C112" s="351" t="s">
        <v>546</v>
      </c>
      <c r="D112" s="352" t="s">
        <v>546</v>
      </c>
      <c r="E112" s="352" t="s">
        <v>1998</v>
      </c>
      <c r="F112" s="353">
        <v>0.25</v>
      </c>
      <c r="G112" s="352" t="s">
        <v>2126</v>
      </c>
      <c r="H112" s="176" t="s">
        <v>413</v>
      </c>
      <c r="I112" s="176" t="s">
        <v>4676</v>
      </c>
      <c r="J112" s="352" t="s">
        <v>22</v>
      </c>
      <c r="K112" s="352">
        <v>375</v>
      </c>
      <c r="L112" s="352" t="s">
        <v>23</v>
      </c>
      <c r="M112" s="351"/>
      <c r="N112" s="351"/>
      <c r="O112" s="351">
        <v>375</v>
      </c>
      <c r="P112" s="349" t="s">
        <v>1836</v>
      </c>
      <c r="R112" s="349">
        <f t="shared" si="1"/>
        <v>12</v>
      </c>
      <c r="S112" s="352"/>
      <c r="T112" s="352"/>
      <c r="U112" s="352"/>
      <c r="V112" s="353"/>
      <c r="W112" s="352"/>
      <c r="X112" s="176"/>
      <c r="Y112" s="176"/>
      <c r="Z112" s="352"/>
      <c r="AA112" s="352"/>
      <c r="AB112" s="352"/>
      <c r="AC112" s="351"/>
      <c r="AD112" s="351"/>
    </row>
    <row r="113" spans="1:30" ht="51.3" hidden="1" x14ac:dyDescent="0.35">
      <c r="A113" s="349">
        <v>112</v>
      </c>
      <c r="B113" s="352" t="s">
        <v>831</v>
      </c>
      <c r="C113" s="351" t="s">
        <v>546</v>
      </c>
      <c r="D113" s="352" t="s">
        <v>546</v>
      </c>
      <c r="E113" s="352" t="s">
        <v>1998</v>
      </c>
      <c r="F113" s="353">
        <v>0.26</v>
      </c>
      <c r="G113" s="352" t="s">
        <v>2126</v>
      </c>
      <c r="H113" s="176" t="s">
        <v>413</v>
      </c>
      <c r="I113" s="176" t="s">
        <v>4676</v>
      </c>
      <c r="J113" s="352" t="s">
        <v>22</v>
      </c>
      <c r="K113" s="352">
        <v>500</v>
      </c>
      <c r="L113" s="352" t="s">
        <v>23</v>
      </c>
      <c r="M113" s="351"/>
      <c r="N113" s="351"/>
      <c r="O113" s="351">
        <v>500</v>
      </c>
      <c r="P113" s="349" t="s">
        <v>1836</v>
      </c>
      <c r="R113" s="349">
        <f t="shared" si="1"/>
        <v>12</v>
      </c>
      <c r="S113" s="352"/>
      <c r="T113" s="352"/>
      <c r="U113" s="352"/>
      <c r="V113" s="353"/>
      <c r="W113" s="352"/>
      <c r="X113" s="176"/>
      <c r="Y113" s="176"/>
      <c r="Z113" s="352"/>
      <c r="AA113" s="352"/>
      <c r="AB113" s="352"/>
      <c r="AC113" s="351"/>
      <c r="AD113" s="351"/>
    </row>
    <row r="114" spans="1:30" ht="51.3" hidden="1" x14ac:dyDescent="0.35">
      <c r="A114" s="349">
        <v>113</v>
      </c>
      <c r="B114" s="352" t="s">
        <v>831</v>
      </c>
      <c r="C114" s="351" t="s">
        <v>546</v>
      </c>
      <c r="D114" s="352" t="s">
        <v>546</v>
      </c>
      <c r="E114" s="352" t="s">
        <v>3969</v>
      </c>
      <c r="F114" s="353">
        <v>9.35</v>
      </c>
      <c r="G114" s="352" t="s">
        <v>2126</v>
      </c>
      <c r="H114" s="176" t="s">
        <v>413</v>
      </c>
      <c r="I114" s="176" t="s">
        <v>4676</v>
      </c>
      <c r="J114" s="352" t="s">
        <v>2340</v>
      </c>
      <c r="K114" s="352">
        <v>50</v>
      </c>
      <c r="L114" s="352" t="s">
        <v>1116</v>
      </c>
      <c r="M114" s="351">
        <v>100</v>
      </c>
      <c r="N114" s="351" t="s">
        <v>1109</v>
      </c>
      <c r="O114" s="351">
        <v>50</v>
      </c>
      <c r="P114" s="349" t="s">
        <v>1836</v>
      </c>
      <c r="R114" s="349">
        <f t="shared" si="1"/>
        <v>12</v>
      </c>
      <c r="S114" s="352"/>
      <c r="T114" s="352"/>
      <c r="U114" s="352"/>
      <c r="V114" s="353"/>
      <c r="W114" s="352"/>
      <c r="X114" s="176"/>
      <c r="Y114" s="176"/>
      <c r="Z114" s="352"/>
      <c r="AA114" s="352"/>
      <c r="AB114" s="352"/>
      <c r="AC114" s="351"/>
      <c r="AD114" s="351"/>
    </row>
    <row r="115" spans="1:30" ht="102.55" hidden="1" x14ac:dyDescent="0.35">
      <c r="A115" s="349">
        <v>114</v>
      </c>
      <c r="B115" s="352" t="s">
        <v>831</v>
      </c>
      <c r="C115" s="351" t="s">
        <v>3270</v>
      </c>
      <c r="D115" s="352" t="s">
        <v>4746</v>
      </c>
      <c r="E115" s="352" t="s">
        <v>1997</v>
      </c>
      <c r="F115" s="353">
        <v>3.2</v>
      </c>
      <c r="G115" s="352" t="s">
        <v>1107</v>
      </c>
      <c r="H115" s="176" t="s">
        <v>3313</v>
      </c>
      <c r="I115" s="176" t="s">
        <v>4834</v>
      </c>
      <c r="J115" s="352" t="s">
        <v>1115</v>
      </c>
      <c r="K115" s="351"/>
      <c r="L115" s="351"/>
      <c r="M115" s="352"/>
      <c r="N115" s="352"/>
      <c r="O115" s="351">
        <v>0</v>
      </c>
      <c r="P115" s="349" t="s">
        <v>2313</v>
      </c>
      <c r="R115" s="349">
        <f t="shared" si="1"/>
        <v>26</v>
      </c>
      <c r="S115" s="352"/>
      <c r="T115" s="352"/>
      <c r="U115" s="352"/>
      <c r="V115" s="353"/>
      <c r="W115" s="352"/>
      <c r="X115" s="176"/>
      <c r="Y115" s="176"/>
      <c r="Z115" s="352"/>
      <c r="AA115" s="352"/>
      <c r="AB115" s="352"/>
      <c r="AC115" s="351"/>
      <c r="AD115" s="351"/>
    </row>
    <row r="116" spans="1:30" ht="102.55" hidden="1" x14ac:dyDescent="0.35">
      <c r="A116" s="349">
        <v>115</v>
      </c>
      <c r="B116" s="352" t="s">
        <v>831</v>
      </c>
      <c r="C116" s="351" t="s">
        <v>3270</v>
      </c>
      <c r="D116" s="352" t="s">
        <v>4746</v>
      </c>
      <c r="E116" s="352" t="s">
        <v>1997</v>
      </c>
      <c r="F116" s="353">
        <v>5.75</v>
      </c>
      <c r="G116" s="352" t="s">
        <v>1107</v>
      </c>
      <c r="H116" s="176" t="s">
        <v>3313</v>
      </c>
      <c r="I116" s="176" t="s">
        <v>4834</v>
      </c>
      <c r="J116" s="352" t="s">
        <v>1115</v>
      </c>
      <c r="K116" s="351"/>
      <c r="L116" s="351"/>
      <c r="M116" s="351"/>
      <c r="N116" s="351"/>
      <c r="O116" s="351">
        <v>0</v>
      </c>
      <c r="P116" s="349" t="s">
        <v>2313</v>
      </c>
      <c r="R116" s="349">
        <f t="shared" si="1"/>
        <v>26</v>
      </c>
      <c r="S116" s="352"/>
      <c r="T116" s="352"/>
      <c r="U116" s="352"/>
      <c r="V116" s="353"/>
      <c r="W116" s="352"/>
      <c r="X116" s="176"/>
      <c r="Y116" s="176"/>
      <c r="Z116" s="352"/>
      <c r="AA116" s="352"/>
      <c r="AB116" s="352"/>
      <c r="AC116" s="351"/>
      <c r="AD116" s="351"/>
    </row>
    <row r="117" spans="1:30" ht="102.55" hidden="1" x14ac:dyDescent="0.35">
      <c r="A117" s="349">
        <v>116</v>
      </c>
      <c r="B117" s="352" t="s">
        <v>831</v>
      </c>
      <c r="C117" s="351" t="s">
        <v>3270</v>
      </c>
      <c r="D117" s="352" t="s">
        <v>4746</v>
      </c>
      <c r="E117" s="352" t="s">
        <v>3969</v>
      </c>
      <c r="F117" s="353">
        <v>19.170000000000002</v>
      </c>
      <c r="G117" s="352" t="s">
        <v>2126</v>
      </c>
      <c r="H117" s="176" t="s">
        <v>3314</v>
      </c>
      <c r="I117" s="176" t="s">
        <v>4834</v>
      </c>
      <c r="J117" s="352" t="s">
        <v>2340</v>
      </c>
      <c r="K117" s="351"/>
      <c r="L117" s="351"/>
      <c r="M117" s="352">
        <v>100</v>
      </c>
      <c r="N117" s="352" t="s">
        <v>1109</v>
      </c>
      <c r="O117" s="351">
        <v>0</v>
      </c>
      <c r="P117" s="349" t="s">
        <v>1837</v>
      </c>
      <c r="R117" s="349">
        <f t="shared" si="1"/>
        <v>26</v>
      </c>
      <c r="S117" s="352"/>
      <c r="T117" s="352"/>
      <c r="U117" s="352"/>
      <c r="V117" s="353"/>
      <c r="W117" s="352"/>
      <c r="X117" s="176"/>
      <c r="Y117" s="176"/>
      <c r="Z117" s="352"/>
      <c r="AA117" s="352"/>
      <c r="AB117" s="352"/>
      <c r="AC117" s="351"/>
      <c r="AD117" s="351"/>
    </row>
    <row r="118" spans="1:30" ht="102.55" hidden="1" x14ac:dyDescent="0.35">
      <c r="A118" s="349">
        <v>117</v>
      </c>
      <c r="B118" s="352" t="s">
        <v>831</v>
      </c>
      <c r="C118" s="351" t="s">
        <v>3270</v>
      </c>
      <c r="D118" s="352" t="s">
        <v>4746</v>
      </c>
      <c r="E118" s="352" t="s">
        <v>1995</v>
      </c>
      <c r="F118" s="353">
        <v>1.1200000000000001</v>
      </c>
      <c r="G118" s="352" t="s">
        <v>2126</v>
      </c>
      <c r="H118" s="176" t="s">
        <v>3314</v>
      </c>
      <c r="I118" s="176" t="s">
        <v>4834</v>
      </c>
      <c r="J118" s="352" t="s">
        <v>3580</v>
      </c>
      <c r="K118" s="351"/>
      <c r="L118" s="351"/>
      <c r="M118" s="351"/>
      <c r="N118" s="351"/>
      <c r="O118" s="351">
        <v>0</v>
      </c>
      <c r="P118" s="349" t="s">
        <v>2313</v>
      </c>
      <c r="R118" s="349">
        <f t="shared" si="1"/>
        <v>26</v>
      </c>
      <c r="S118" s="352"/>
      <c r="T118" s="352"/>
      <c r="U118" s="352"/>
      <c r="V118" s="353"/>
      <c r="W118" s="352"/>
      <c r="X118" s="176"/>
      <c r="Y118" s="176"/>
      <c r="Z118" s="352"/>
      <c r="AA118" s="352"/>
      <c r="AB118" s="352"/>
      <c r="AC118" s="351"/>
      <c r="AD118" s="351"/>
    </row>
    <row r="119" spans="1:30" ht="51.3" hidden="1" x14ac:dyDescent="0.35">
      <c r="A119" s="349">
        <v>118</v>
      </c>
      <c r="B119" s="352" t="s">
        <v>1080</v>
      </c>
      <c r="C119" s="351" t="s">
        <v>1964</v>
      </c>
      <c r="D119" s="352" t="s">
        <v>1964</v>
      </c>
      <c r="E119" s="352" t="s">
        <v>1997</v>
      </c>
      <c r="F119" s="353">
        <v>162.9864</v>
      </c>
      <c r="G119" s="352" t="s">
        <v>1107</v>
      </c>
      <c r="H119" s="37"/>
      <c r="I119" s="176" t="s">
        <v>1511</v>
      </c>
      <c r="J119" s="352" t="s">
        <v>1115</v>
      </c>
      <c r="K119" s="352">
        <v>50</v>
      </c>
      <c r="L119" s="352" t="s">
        <v>1464</v>
      </c>
      <c r="M119" s="351"/>
      <c r="N119" s="351"/>
      <c r="O119" s="351">
        <v>50</v>
      </c>
      <c r="P119" s="349" t="s">
        <v>1836</v>
      </c>
      <c r="R119" s="349">
        <f t="shared" si="1"/>
        <v>9</v>
      </c>
      <c r="S119" s="352"/>
      <c r="T119" s="352"/>
      <c r="U119" s="352"/>
      <c r="V119" s="353"/>
      <c r="W119" s="352"/>
      <c r="X119" s="176"/>
      <c r="Y119" s="176"/>
      <c r="Z119" s="352"/>
      <c r="AA119" s="352"/>
      <c r="AB119" s="352"/>
      <c r="AC119" s="351"/>
      <c r="AD119" s="351"/>
    </row>
    <row r="120" spans="1:30" ht="51.3" hidden="1" x14ac:dyDescent="0.35">
      <c r="A120" s="349">
        <v>119</v>
      </c>
      <c r="B120" s="352" t="s">
        <v>1080</v>
      </c>
      <c r="C120" s="351" t="s">
        <v>4878</v>
      </c>
      <c r="D120" s="352" t="s">
        <v>1964</v>
      </c>
      <c r="E120" s="352" t="s">
        <v>1997</v>
      </c>
      <c r="F120" s="353">
        <v>162.9864</v>
      </c>
      <c r="G120" s="352" t="s">
        <v>1107</v>
      </c>
      <c r="H120" s="37"/>
      <c r="I120" s="176" t="s">
        <v>1511</v>
      </c>
      <c r="J120" s="352" t="s">
        <v>1115</v>
      </c>
      <c r="K120" s="352">
        <v>50</v>
      </c>
      <c r="L120" s="352" t="s">
        <v>1464</v>
      </c>
      <c r="M120" s="351"/>
      <c r="N120" s="351"/>
      <c r="O120" s="351">
        <v>50</v>
      </c>
      <c r="P120" s="349" t="s">
        <v>1836</v>
      </c>
      <c r="R120" s="349">
        <f t="shared" si="1"/>
        <v>9</v>
      </c>
      <c r="S120" s="352"/>
      <c r="T120" s="352"/>
      <c r="U120" s="352"/>
      <c r="V120" s="353"/>
      <c r="W120" s="352"/>
      <c r="X120" s="176"/>
      <c r="Y120" s="176"/>
      <c r="Z120" s="352"/>
      <c r="AA120" s="352"/>
      <c r="AB120" s="352"/>
      <c r="AC120" s="351"/>
      <c r="AD120" s="351"/>
    </row>
    <row r="121" spans="1:30" ht="102.55" hidden="1" x14ac:dyDescent="0.35">
      <c r="A121" s="349">
        <v>120</v>
      </c>
      <c r="B121" s="352" t="s">
        <v>3248</v>
      </c>
      <c r="C121" s="351" t="s">
        <v>4879</v>
      </c>
      <c r="D121" s="352" t="s">
        <v>1001</v>
      </c>
      <c r="E121" s="352" t="s">
        <v>3249</v>
      </c>
      <c r="F121" s="353">
        <v>8.25</v>
      </c>
      <c r="G121" s="352" t="s">
        <v>1107</v>
      </c>
      <c r="H121" s="176" t="s">
        <v>3037</v>
      </c>
      <c r="I121" s="176" t="s">
        <v>1537</v>
      </c>
      <c r="J121" s="352" t="s">
        <v>1115</v>
      </c>
      <c r="K121" s="352">
        <v>50</v>
      </c>
      <c r="L121" s="352" t="s">
        <v>1116</v>
      </c>
      <c r="M121" s="351"/>
      <c r="N121" s="352" t="s">
        <v>1109</v>
      </c>
      <c r="O121" s="351">
        <v>50</v>
      </c>
      <c r="P121" s="349" t="s">
        <v>1836</v>
      </c>
      <c r="R121" s="349">
        <f t="shared" si="1"/>
        <v>9</v>
      </c>
      <c r="S121" s="352"/>
      <c r="T121" s="352"/>
      <c r="U121" s="352"/>
      <c r="V121" s="353"/>
      <c r="W121" s="352"/>
      <c r="X121" s="176"/>
      <c r="Y121" s="176"/>
      <c r="Z121" s="352"/>
      <c r="AA121" s="352"/>
      <c r="AB121" s="352"/>
      <c r="AC121" s="351"/>
      <c r="AD121" s="351"/>
    </row>
    <row r="122" spans="1:30" ht="102.55" hidden="1" x14ac:dyDescent="0.35">
      <c r="A122" s="349">
        <v>121</v>
      </c>
      <c r="B122" s="352" t="s">
        <v>3248</v>
      </c>
      <c r="C122" s="351" t="s">
        <v>4879</v>
      </c>
      <c r="D122" s="352" t="s">
        <v>1001</v>
      </c>
      <c r="E122" s="352" t="s">
        <v>3250</v>
      </c>
      <c r="F122" s="353">
        <v>21.6</v>
      </c>
      <c r="G122" s="352" t="s">
        <v>1107</v>
      </c>
      <c r="H122" s="176" t="s">
        <v>3037</v>
      </c>
      <c r="I122" s="176" t="s">
        <v>1537</v>
      </c>
      <c r="J122" s="352" t="s">
        <v>1115</v>
      </c>
      <c r="K122" s="352">
        <v>250</v>
      </c>
      <c r="L122" s="352" t="s">
        <v>1116</v>
      </c>
      <c r="M122" s="352">
        <v>2</v>
      </c>
      <c r="N122" s="352" t="s">
        <v>1109</v>
      </c>
      <c r="O122" s="351">
        <v>250</v>
      </c>
      <c r="P122" s="349" t="s">
        <v>1836</v>
      </c>
      <c r="R122" s="349">
        <f t="shared" si="1"/>
        <v>9</v>
      </c>
      <c r="S122" s="352"/>
      <c r="T122" s="352"/>
      <c r="U122" s="352"/>
      <c r="V122" s="353"/>
      <c r="W122" s="352"/>
      <c r="X122" s="176"/>
      <c r="Y122" s="176"/>
      <c r="Z122" s="352"/>
      <c r="AA122" s="352"/>
      <c r="AB122" s="352"/>
      <c r="AC122" s="351"/>
      <c r="AD122" s="351"/>
    </row>
    <row r="123" spans="1:30" ht="51.3" hidden="1" x14ac:dyDescent="0.35">
      <c r="A123" s="349">
        <v>122</v>
      </c>
      <c r="B123" s="352" t="s">
        <v>3582</v>
      </c>
      <c r="C123" s="351" t="s">
        <v>4880</v>
      </c>
      <c r="D123" s="352" t="s">
        <v>596</v>
      </c>
      <c r="E123" s="352" t="s">
        <v>747</v>
      </c>
      <c r="F123" s="353">
        <v>114.31</v>
      </c>
      <c r="G123" s="352" t="s">
        <v>1107</v>
      </c>
      <c r="H123" s="176" t="s">
        <v>597</v>
      </c>
      <c r="I123" s="176" t="s">
        <v>3813</v>
      </c>
      <c r="J123" s="352" t="s">
        <v>1115</v>
      </c>
      <c r="K123" s="352">
        <v>10</v>
      </c>
      <c r="L123" s="352" t="s">
        <v>1116</v>
      </c>
      <c r="M123" s="352">
        <v>250</v>
      </c>
      <c r="N123" s="352" t="s">
        <v>1109</v>
      </c>
      <c r="O123" s="351">
        <v>10</v>
      </c>
      <c r="P123" s="349" t="s">
        <v>1836</v>
      </c>
      <c r="R123" s="349">
        <f t="shared" si="1"/>
        <v>11</v>
      </c>
      <c r="S123" s="352"/>
      <c r="T123" s="352"/>
      <c r="U123" s="352"/>
      <c r="V123" s="353"/>
      <c r="W123" s="352"/>
      <c r="X123" s="176"/>
      <c r="Y123" s="176"/>
      <c r="Z123" s="352"/>
      <c r="AA123" s="352"/>
      <c r="AB123" s="352"/>
      <c r="AC123" s="351"/>
      <c r="AD123" s="351"/>
    </row>
    <row r="124" spans="1:30" ht="38.450000000000003" hidden="1" x14ac:dyDescent="0.35">
      <c r="A124" s="349">
        <v>123</v>
      </c>
      <c r="B124" s="352" t="s">
        <v>1567</v>
      </c>
      <c r="C124" s="351" t="s">
        <v>4881</v>
      </c>
      <c r="D124" s="352" t="s">
        <v>3271</v>
      </c>
      <c r="E124" s="352" t="s">
        <v>1998</v>
      </c>
      <c r="F124" s="353">
        <v>0.83740000000000003</v>
      </c>
      <c r="G124" s="352" t="s">
        <v>2126</v>
      </c>
      <c r="H124" s="176" t="s">
        <v>3596</v>
      </c>
      <c r="I124" s="176" t="s">
        <v>1026</v>
      </c>
      <c r="J124" s="352" t="s">
        <v>22</v>
      </c>
      <c r="K124" s="352">
        <v>40</v>
      </c>
      <c r="L124" s="352" t="s">
        <v>23</v>
      </c>
      <c r="M124" s="351"/>
      <c r="N124" s="351"/>
      <c r="O124" s="351">
        <v>40</v>
      </c>
      <c r="P124" s="349" t="s">
        <v>1836</v>
      </c>
      <c r="R124" s="349">
        <f t="shared" si="1"/>
        <v>11</v>
      </c>
      <c r="S124" s="352"/>
      <c r="T124" s="352"/>
      <c r="U124" s="352"/>
      <c r="V124" s="353"/>
      <c r="W124" s="352"/>
      <c r="X124" s="176"/>
      <c r="Y124" s="176"/>
      <c r="Z124" s="352"/>
      <c r="AA124" s="352"/>
      <c r="AB124" s="352"/>
      <c r="AC124" s="351"/>
      <c r="AD124" s="351"/>
    </row>
    <row r="125" spans="1:30" ht="25.65" hidden="1" x14ac:dyDescent="0.35">
      <c r="A125" s="349">
        <v>124</v>
      </c>
      <c r="B125" s="352" t="s">
        <v>1113</v>
      </c>
      <c r="C125" s="351" t="s">
        <v>4882</v>
      </c>
      <c r="D125" s="352" t="s">
        <v>1002</v>
      </c>
      <c r="E125" s="352" t="s">
        <v>827</v>
      </c>
      <c r="F125" s="353">
        <v>38.75</v>
      </c>
      <c r="G125" s="352" t="s">
        <v>1107</v>
      </c>
      <c r="H125" s="176" t="s">
        <v>2873</v>
      </c>
      <c r="I125" s="176" t="s">
        <v>4843</v>
      </c>
      <c r="J125" s="352" t="s">
        <v>828</v>
      </c>
      <c r="K125" s="352">
        <v>0.1</v>
      </c>
      <c r="L125" s="352" t="s">
        <v>1116</v>
      </c>
      <c r="M125" s="352">
        <v>5</v>
      </c>
      <c r="N125" s="352" t="s">
        <v>1109</v>
      </c>
      <c r="O125" s="351">
        <v>0.1</v>
      </c>
      <c r="P125" s="349" t="s">
        <v>1836</v>
      </c>
      <c r="R125" s="349">
        <f t="shared" si="1"/>
        <v>10</v>
      </c>
      <c r="S125" s="352"/>
      <c r="T125" s="352"/>
      <c r="U125" s="352"/>
      <c r="V125" s="353"/>
      <c r="W125" s="352"/>
      <c r="X125" s="176"/>
      <c r="Y125" s="176"/>
      <c r="Z125" s="352"/>
      <c r="AA125" s="352"/>
      <c r="AB125" s="352"/>
      <c r="AC125" s="351"/>
      <c r="AD125" s="351"/>
    </row>
    <row r="126" spans="1:30" ht="25.65" hidden="1" x14ac:dyDescent="0.35">
      <c r="A126" s="349">
        <v>125</v>
      </c>
      <c r="B126" s="352" t="s">
        <v>1308</v>
      </c>
      <c r="C126" s="351" t="s">
        <v>3789</v>
      </c>
      <c r="D126" s="352" t="s">
        <v>3789</v>
      </c>
      <c r="E126" s="352" t="s">
        <v>2857</v>
      </c>
      <c r="F126" s="353">
        <v>0.99170000000000003</v>
      </c>
      <c r="G126" s="352" t="s">
        <v>1107</v>
      </c>
      <c r="H126" s="176" t="s">
        <v>3790</v>
      </c>
      <c r="I126" s="37" t="s">
        <v>2313</v>
      </c>
      <c r="J126" s="352" t="s">
        <v>828</v>
      </c>
      <c r="K126" s="352">
        <v>1.5</v>
      </c>
      <c r="L126" s="352" t="s">
        <v>1116</v>
      </c>
      <c r="M126" s="352">
        <v>10</v>
      </c>
      <c r="N126" s="352" t="s">
        <v>1109</v>
      </c>
      <c r="O126" s="351">
        <v>1.5</v>
      </c>
      <c r="P126" s="349" t="s">
        <v>1836</v>
      </c>
      <c r="R126" s="349">
        <f t="shared" si="1"/>
        <v>3</v>
      </c>
      <c r="S126" s="352"/>
      <c r="T126" s="352"/>
      <c r="U126" s="352"/>
      <c r="V126" s="353"/>
      <c r="W126" s="352"/>
      <c r="X126" s="176"/>
      <c r="Y126" s="176"/>
      <c r="Z126" s="352"/>
      <c r="AA126" s="352"/>
      <c r="AB126" s="352"/>
      <c r="AC126" s="351"/>
      <c r="AD126" s="351"/>
    </row>
    <row r="127" spans="1:30" hidden="1" x14ac:dyDescent="0.35">
      <c r="A127" s="349">
        <v>126</v>
      </c>
      <c r="B127" s="352" t="s">
        <v>2677</v>
      </c>
      <c r="C127" s="351" t="s">
        <v>4883</v>
      </c>
      <c r="D127" s="352" t="s">
        <v>2844</v>
      </c>
      <c r="E127" s="352" t="s">
        <v>1997</v>
      </c>
      <c r="F127" s="353">
        <v>99.012699999999995</v>
      </c>
      <c r="G127" s="352" t="s">
        <v>1107</v>
      </c>
      <c r="H127" s="176" t="s">
        <v>3904</v>
      </c>
      <c r="I127" s="37" t="s">
        <v>2313</v>
      </c>
      <c r="J127" s="352" t="s">
        <v>1115</v>
      </c>
      <c r="K127" s="352">
        <v>1000</v>
      </c>
      <c r="L127" s="352" t="s">
        <v>1464</v>
      </c>
      <c r="M127" s="351"/>
      <c r="N127" s="351"/>
      <c r="O127" s="351">
        <v>1000</v>
      </c>
      <c r="P127" s="349" t="s">
        <v>1836</v>
      </c>
      <c r="R127" s="349">
        <f t="shared" si="1"/>
        <v>11</v>
      </c>
      <c r="S127" s="352"/>
      <c r="T127" s="352"/>
      <c r="U127" s="352"/>
      <c r="V127" s="353"/>
      <c r="W127" s="352"/>
      <c r="X127" s="176"/>
      <c r="Y127" s="176"/>
      <c r="Z127" s="352"/>
      <c r="AA127" s="352"/>
      <c r="AB127" s="352"/>
      <c r="AC127" s="351"/>
      <c r="AD127" s="351"/>
    </row>
    <row r="128" spans="1:30" ht="25.65" hidden="1" x14ac:dyDescent="0.35">
      <c r="A128" s="349">
        <v>127</v>
      </c>
      <c r="B128" s="352" t="s">
        <v>959</v>
      </c>
      <c r="C128" s="351" t="s">
        <v>4884</v>
      </c>
      <c r="D128" s="352" t="s">
        <v>1377</v>
      </c>
      <c r="E128" s="352" t="s">
        <v>960</v>
      </c>
      <c r="F128" s="353">
        <v>4.0769000000000002</v>
      </c>
      <c r="G128" s="352" t="s">
        <v>34</v>
      </c>
      <c r="H128" s="37"/>
      <c r="I128" s="176" t="s">
        <v>1796</v>
      </c>
      <c r="J128" s="352" t="s">
        <v>961</v>
      </c>
      <c r="K128" s="351"/>
      <c r="L128" s="351"/>
      <c r="M128" s="352">
        <v>50</v>
      </c>
      <c r="N128" s="352" t="s">
        <v>1109</v>
      </c>
      <c r="O128" s="351">
        <v>0</v>
      </c>
      <c r="P128" s="349" t="s">
        <v>1837</v>
      </c>
      <c r="R128" s="349">
        <f t="shared" si="1"/>
        <v>13</v>
      </c>
      <c r="S128" s="352"/>
      <c r="T128" s="352"/>
      <c r="U128" s="352"/>
      <c r="V128" s="353"/>
      <c r="W128" s="352"/>
      <c r="X128" s="176"/>
      <c r="Y128" s="176"/>
      <c r="Z128" s="352"/>
      <c r="AA128" s="352"/>
      <c r="AB128" s="352"/>
      <c r="AC128" s="351"/>
      <c r="AD128" s="351"/>
    </row>
    <row r="129" spans="1:30" ht="243.55" hidden="1" x14ac:dyDescent="0.35">
      <c r="A129" s="349">
        <v>128</v>
      </c>
      <c r="B129" s="352" t="s">
        <v>962</v>
      </c>
      <c r="C129" s="351" t="s">
        <v>4885</v>
      </c>
      <c r="D129" s="352" t="s">
        <v>3855</v>
      </c>
      <c r="E129" s="352" t="s">
        <v>963</v>
      </c>
      <c r="F129" s="353">
        <v>78.650000000000006</v>
      </c>
      <c r="G129" s="352" t="s">
        <v>731</v>
      </c>
      <c r="H129" s="176" t="s">
        <v>3023</v>
      </c>
      <c r="I129" s="176" t="s">
        <v>4598</v>
      </c>
      <c r="J129" s="352" t="s">
        <v>964</v>
      </c>
      <c r="K129" s="352">
        <v>15</v>
      </c>
      <c r="L129" s="352" t="s">
        <v>2448</v>
      </c>
      <c r="M129" s="352">
        <v>0.375</v>
      </c>
      <c r="N129" s="352" t="s">
        <v>1109</v>
      </c>
      <c r="O129" s="351">
        <v>15</v>
      </c>
      <c r="P129" s="349" t="s">
        <v>1850</v>
      </c>
      <c r="R129" s="349">
        <f t="shared" si="1"/>
        <v>12</v>
      </c>
      <c r="S129" s="352"/>
      <c r="T129" s="352"/>
      <c r="U129" s="352"/>
      <c r="V129" s="353"/>
      <c r="W129" s="352"/>
      <c r="X129" s="176"/>
      <c r="Y129" s="176"/>
      <c r="Z129" s="352"/>
      <c r="AA129" s="352"/>
      <c r="AB129" s="352"/>
      <c r="AC129" s="351"/>
      <c r="AD129" s="351"/>
    </row>
    <row r="130" spans="1:30" ht="243.55" hidden="1" x14ac:dyDescent="0.35">
      <c r="A130" s="349">
        <v>129</v>
      </c>
      <c r="B130" s="352" t="s">
        <v>962</v>
      </c>
      <c r="C130" s="351" t="s">
        <v>4885</v>
      </c>
      <c r="D130" s="352" t="s">
        <v>3855</v>
      </c>
      <c r="E130" s="352" t="s">
        <v>1572</v>
      </c>
      <c r="F130" s="353">
        <v>52.426299999999998</v>
      </c>
      <c r="G130" s="352" t="s">
        <v>731</v>
      </c>
      <c r="H130" s="176" t="s">
        <v>3023</v>
      </c>
      <c r="I130" s="176" t="s">
        <v>4598</v>
      </c>
      <c r="J130" s="352" t="s">
        <v>964</v>
      </c>
      <c r="K130" s="352">
        <v>10</v>
      </c>
      <c r="L130" s="352" t="s">
        <v>1573</v>
      </c>
      <c r="M130" s="352">
        <v>0.4</v>
      </c>
      <c r="N130" s="352" t="s">
        <v>1109</v>
      </c>
      <c r="O130" s="351">
        <v>10</v>
      </c>
      <c r="P130" s="349" t="s">
        <v>1850</v>
      </c>
      <c r="R130" s="349">
        <f t="shared" si="1"/>
        <v>12</v>
      </c>
      <c r="S130" s="352"/>
      <c r="T130" s="352"/>
      <c r="U130" s="352"/>
      <c r="V130" s="353"/>
      <c r="W130" s="352"/>
      <c r="X130" s="176"/>
      <c r="Y130" s="176"/>
      <c r="Z130" s="352"/>
      <c r="AA130" s="352"/>
      <c r="AB130" s="352"/>
      <c r="AC130" s="351"/>
      <c r="AD130" s="351"/>
    </row>
    <row r="131" spans="1:30" ht="243.55" hidden="1" x14ac:dyDescent="0.35">
      <c r="A131" s="349">
        <v>130</v>
      </c>
      <c r="B131" s="352" t="s">
        <v>962</v>
      </c>
      <c r="C131" s="351" t="s">
        <v>4885</v>
      </c>
      <c r="D131" s="352" t="s">
        <v>3855</v>
      </c>
      <c r="E131" s="352" t="s">
        <v>1574</v>
      </c>
      <c r="F131" s="353">
        <v>104.85</v>
      </c>
      <c r="G131" s="352" t="s">
        <v>731</v>
      </c>
      <c r="H131" s="176" t="s">
        <v>3023</v>
      </c>
      <c r="I131" s="176" t="s">
        <v>4598</v>
      </c>
      <c r="J131" s="352" t="s">
        <v>964</v>
      </c>
      <c r="K131" s="352">
        <v>20</v>
      </c>
      <c r="L131" s="352" t="s">
        <v>1575</v>
      </c>
      <c r="M131" s="352">
        <v>0.5</v>
      </c>
      <c r="N131" s="352" t="s">
        <v>1109</v>
      </c>
      <c r="O131" s="351">
        <v>20</v>
      </c>
      <c r="P131" s="349" t="s">
        <v>1850</v>
      </c>
      <c r="R131" s="349">
        <f t="shared" ref="R131:R194" si="2">LEN(D131)</f>
        <v>12</v>
      </c>
      <c r="S131" s="352"/>
      <c r="T131" s="352"/>
      <c r="U131" s="352"/>
      <c r="V131" s="353"/>
      <c r="W131" s="352"/>
      <c r="X131" s="176"/>
      <c r="Y131" s="176"/>
      <c r="Z131" s="352"/>
      <c r="AA131" s="352"/>
      <c r="AB131" s="352"/>
      <c r="AC131" s="351"/>
      <c r="AD131" s="351"/>
    </row>
    <row r="132" spans="1:30" ht="25.65" hidden="1" x14ac:dyDescent="0.35">
      <c r="A132" s="349">
        <v>131</v>
      </c>
      <c r="B132" s="352" t="s">
        <v>1512</v>
      </c>
      <c r="C132" s="351" t="s">
        <v>2726</v>
      </c>
      <c r="D132" s="352" t="s">
        <v>2726</v>
      </c>
      <c r="E132" s="352" t="s">
        <v>1586</v>
      </c>
      <c r="F132" s="351">
        <v>13.200200000000001</v>
      </c>
      <c r="G132" s="352" t="s">
        <v>1107</v>
      </c>
      <c r="H132" s="176" t="s">
        <v>1516</v>
      </c>
      <c r="I132" s="176" t="s">
        <v>1125</v>
      </c>
      <c r="J132" s="352" t="s">
        <v>1115</v>
      </c>
      <c r="K132" s="351">
        <v>10</v>
      </c>
      <c r="L132" s="351" t="s">
        <v>470</v>
      </c>
      <c r="M132" s="351">
        <v>100</v>
      </c>
      <c r="N132" s="351" t="s">
        <v>1109</v>
      </c>
      <c r="O132" s="351">
        <v>10</v>
      </c>
      <c r="P132" s="349" t="s">
        <v>1838</v>
      </c>
      <c r="R132" s="349">
        <f t="shared" si="2"/>
        <v>8</v>
      </c>
      <c r="S132" s="352"/>
      <c r="T132" s="352"/>
      <c r="U132" s="352"/>
      <c r="V132" s="353"/>
      <c r="W132" s="352"/>
      <c r="X132" s="176"/>
      <c r="Y132" s="176"/>
      <c r="Z132" s="352"/>
      <c r="AA132" s="352"/>
      <c r="AB132" s="352"/>
      <c r="AC132" s="351"/>
      <c r="AD132" s="351"/>
    </row>
    <row r="133" spans="1:30" ht="153.80000000000001" hidden="1" x14ac:dyDescent="0.35">
      <c r="A133" s="349">
        <v>132</v>
      </c>
      <c r="B133" s="352" t="s">
        <v>3968</v>
      </c>
      <c r="C133" s="351" t="s">
        <v>2726</v>
      </c>
      <c r="D133" s="352" t="s">
        <v>2726</v>
      </c>
      <c r="E133" s="352" t="s">
        <v>1586</v>
      </c>
      <c r="F133" s="353">
        <v>11.15</v>
      </c>
      <c r="G133" s="352" t="s">
        <v>1107</v>
      </c>
      <c r="H133" s="176" t="s">
        <v>4647</v>
      </c>
      <c r="I133" s="176" t="s">
        <v>2095</v>
      </c>
      <c r="J133" s="352" t="s">
        <v>1115</v>
      </c>
      <c r="K133" s="352">
        <v>100</v>
      </c>
      <c r="L133" s="352" t="s">
        <v>1116</v>
      </c>
      <c r="M133" s="352">
        <v>100</v>
      </c>
      <c r="N133" s="352" t="s">
        <v>1109</v>
      </c>
      <c r="O133" s="351">
        <v>100</v>
      </c>
      <c r="P133" s="349" t="s">
        <v>1836</v>
      </c>
      <c r="R133" s="349">
        <f t="shared" si="2"/>
        <v>8</v>
      </c>
      <c r="S133" s="352"/>
      <c r="T133" s="352"/>
      <c r="U133" s="352"/>
      <c r="V133" s="353"/>
      <c r="W133" s="352"/>
      <c r="X133" s="176"/>
      <c r="Y133" s="176"/>
      <c r="Z133" s="352"/>
      <c r="AA133" s="352"/>
      <c r="AB133" s="352"/>
      <c r="AC133" s="351"/>
      <c r="AD133" s="351"/>
    </row>
    <row r="134" spans="1:30" ht="64.099999999999994" hidden="1" x14ac:dyDescent="0.35">
      <c r="A134" s="349">
        <v>133</v>
      </c>
      <c r="B134" s="352" t="s">
        <v>3968</v>
      </c>
      <c r="C134" s="351" t="s">
        <v>2726</v>
      </c>
      <c r="D134" s="352" t="s">
        <v>2726</v>
      </c>
      <c r="E134" s="352" t="s">
        <v>2004</v>
      </c>
      <c r="F134" s="353"/>
      <c r="G134" s="352" t="s">
        <v>2126</v>
      </c>
      <c r="H134" s="176" t="s">
        <v>2250</v>
      </c>
      <c r="I134" s="176" t="s">
        <v>2251</v>
      </c>
      <c r="J134" s="352" t="s">
        <v>3577</v>
      </c>
      <c r="K134" s="352"/>
      <c r="L134" s="352"/>
      <c r="M134" s="352"/>
      <c r="N134" s="352"/>
      <c r="O134" s="351">
        <v>0</v>
      </c>
      <c r="P134" s="349" t="s">
        <v>2313</v>
      </c>
      <c r="R134" s="349">
        <f t="shared" si="2"/>
        <v>8</v>
      </c>
      <c r="S134" s="352"/>
      <c r="T134" s="352"/>
      <c r="U134" s="352"/>
      <c r="V134" s="353"/>
      <c r="W134" s="352"/>
      <c r="X134" s="176"/>
      <c r="Y134" s="176"/>
      <c r="Z134" s="352"/>
      <c r="AA134" s="352"/>
      <c r="AB134" s="352"/>
      <c r="AC134" s="351"/>
      <c r="AD134" s="351"/>
    </row>
    <row r="135" spans="1:30" ht="25.65" hidden="1" x14ac:dyDescent="0.35">
      <c r="A135" s="349">
        <v>134</v>
      </c>
      <c r="B135" s="352" t="s">
        <v>1512</v>
      </c>
      <c r="C135" s="351" t="s">
        <v>4886</v>
      </c>
      <c r="D135" s="352" t="s">
        <v>2726</v>
      </c>
      <c r="E135" s="352" t="s">
        <v>1586</v>
      </c>
      <c r="F135" s="353">
        <v>13.200200000000001</v>
      </c>
      <c r="G135" s="352" t="s">
        <v>1107</v>
      </c>
      <c r="H135" s="176" t="s">
        <v>1516</v>
      </c>
      <c r="I135" s="176" t="s">
        <v>1125</v>
      </c>
      <c r="J135" s="352" t="s">
        <v>1115</v>
      </c>
      <c r="K135" s="352">
        <v>10</v>
      </c>
      <c r="L135" s="352" t="s">
        <v>470</v>
      </c>
      <c r="M135" s="352">
        <v>100</v>
      </c>
      <c r="N135" s="352" t="s">
        <v>1109</v>
      </c>
      <c r="O135" s="351">
        <v>10</v>
      </c>
      <c r="P135" s="349" t="s">
        <v>1838</v>
      </c>
      <c r="R135" s="349">
        <f t="shared" si="2"/>
        <v>8</v>
      </c>
      <c r="S135" s="352"/>
      <c r="T135" s="352"/>
      <c r="U135" s="352"/>
      <c r="V135" s="353"/>
      <c r="W135" s="352"/>
      <c r="X135" s="176"/>
      <c r="Y135" s="176"/>
      <c r="Z135" s="352"/>
      <c r="AA135" s="352"/>
      <c r="AB135" s="352"/>
      <c r="AC135" s="351"/>
      <c r="AD135" s="351"/>
    </row>
    <row r="136" spans="1:30" ht="153.80000000000001" hidden="1" x14ac:dyDescent="0.35">
      <c r="A136" s="349">
        <v>135</v>
      </c>
      <c r="B136" s="352" t="s">
        <v>3968</v>
      </c>
      <c r="C136" s="351" t="s">
        <v>4887</v>
      </c>
      <c r="D136" s="352" t="s">
        <v>2726</v>
      </c>
      <c r="E136" s="352" t="s">
        <v>1586</v>
      </c>
      <c r="F136" s="353">
        <v>11.15</v>
      </c>
      <c r="G136" s="352" t="s">
        <v>1107</v>
      </c>
      <c r="H136" s="176" t="s">
        <v>4647</v>
      </c>
      <c r="I136" s="176" t="s">
        <v>2095</v>
      </c>
      <c r="J136" s="352" t="s">
        <v>1115</v>
      </c>
      <c r="K136" s="352">
        <v>100</v>
      </c>
      <c r="L136" s="352" t="s">
        <v>1116</v>
      </c>
      <c r="M136" s="352">
        <v>100</v>
      </c>
      <c r="N136" s="352" t="s">
        <v>1109</v>
      </c>
      <c r="O136" s="351">
        <v>100</v>
      </c>
      <c r="P136" s="349" t="s">
        <v>1836</v>
      </c>
      <c r="R136" s="349">
        <f t="shared" si="2"/>
        <v>8</v>
      </c>
      <c r="S136" s="352"/>
      <c r="T136" s="352"/>
      <c r="U136" s="352"/>
      <c r="V136" s="353"/>
      <c r="W136" s="352"/>
      <c r="X136" s="176"/>
      <c r="Y136" s="176"/>
      <c r="Z136" s="352"/>
      <c r="AA136" s="352"/>
      <c r="AB136" s="352"/>
      <c r="AC136" s="351"/>
      <c r="AD136" s="351"/>
    </row>
    <row r="137" spans="1:30" ht="153.80000000000001" hidden="1" x14ac:dyDescent="0.35">
      <c r="A137" s="349">
        <v>136</v>
      </c>
      <c r="B137" s="352" t="s">
        <v>2067</v>
      </c>
      <c r="C137" s="351" t="s">
        <v>4888</v>
      </c>
      <c r="D137" s="352" t="s">
        <v>1382</v>
      </c>
      <c r="E137" s="352" t="s">
        <v>2004</v>
      </c>
      <c r="F137" s="353">
        <v>0.15</v>
      </c>
      <c r="G137" s="352" t="s">
        <v>2126</v>
      </c>
      <c r="H137" s="176" t="s">
        <v>2046</v>
      </c>
      <c r="I137" s="176" t="s">
        <v>4333</v>
      </c>
      <c r="J137" s="352" t="s">
        <v>3577</v>
      </c>
      <c r="K137" s="352">
        <v>100</v>
      </c>
      <c r="L137" s="352" t="s">
        <v>2068</v>
      </c>
      <c r="M137" s="351"/>
      <c r="N137" s="351"/>
      <c r="O137" s="351">
        <v>100</v>
      </c>
      <c r="P137" s="349" t="s">
        <v>1836</v>
      </c>
      <c r="R137" s="349">
        <f t="shared" si="2"/>
        <v>19</v>
      </c>
      <c r="S137" s="352"/>
      <c r="T137" s="352"/>
      <c r="U137" s="352"/>
      <c r="V137" s="353"/>
      <c r="W137" s="352"/>
      <c r="X137" s="176"/>
      <c r="Y137" s="176"/>
      <c r="Z137" s="352"/>
      <c r="AA137" s="352"/>
      <c r="AB137" s="352"/>
      <c r="AC137" s="351"/>
      <c r="AD137" s="351"/>
    </row>
    <row r="138" spans="1:30" ht="153.80000000000001" hidden="1" x14ac:dyDescent="0.35">
      <c r="A138" s="349">
        <v>137</v>
      </c>
      <c r="B138" s="352" t="s">
        <v>2067</v>
      </c>
      <c r="C138" s="351" t="s">
        <v>4888</v>
      </c>
      <c r="D138" s="352" t="s">
        <v>1382</v>
      </c>
      <c r="E138" s="352" t="s">
        <v>2004</v>
      </c>
      <c r="F138" s="353">
        <v>0.11</v>
      </c>
      <c r="G138" s="352" t="s">
        <v>2126</v>
      </c>
      <c r="H138" s="176" t="s">
        <v>2046</v>
      </c>
      <c r="I138" s="176" t="s">
        <v>4333</v>
      </c>
      <c r="J138" s="352" t="s">
        <v>3577</v>
      </c>
      <c r="K138" s="352">
        <v>300</v>
      </c>
      <c r="L138" s="352" t="s">
        <v>2068</v>
      </c>
      <c r="M138" s="351"/>
      <c r="N138" s="351"/>
      <c r="O138" s="351">
        <v>300</v>
      </c>
      <c r="P138" s="349" t="s">
        <v>1836</v>
      </c>
      <c r="R138" s="349">
        <f t="shared" si="2"/>
        <v>19</v>
      </c>
      <c r="S138" s="352"/>
      <c r="T138" s="352"/>
      <c r="U138" s="352"/>
      <c r="V138" s="353"/>
      <c r="W138" s="352"/>
      <c r="X138" s="176"/>
      <c r="Y138" s="176"/>
      <c r="Z138" s="352"/>
      <c r="AA138" s="352"/>
      <c r="AB138" s="352"/>
      <c r="AC138" s="351"/>
      <c r="AD138" s="351"/>
    </row>
    <row r="139" spans="1:30" ht="153.80000000000001" hidden="1" x14ac:dyDescent="0.35">
      <c r="A139" s="349">
        <v>138</v>
      </c>
      <c r="B139" s="352" t="s">
        <v>2067</v>
      </c>
      <c r="C139" s="351" t="s">
        <v>4888</v>
      </c>
      <c r="D139" s="352" t="s">
        <v>1382</v>
      </c>
      <c r="E139" s="352" t="s">
        <v>2004</v>
      </c>
      <c r="F139" s="353">
        <v>0.18</v>
      </c>
      <c r="G139" s="352" t="s">
        <v>2126</v>
      </c>
      <c r="H139" s="176" t="s">
        <v>2046</v>
      </c>
      <c r="I139" s="176" t="s">
        <v>4333</v>
      </c>
      <c r="J139" s="352" t="s">
        <v>3577</v>
      </c>
      <c r="K139" s="352">
        <v>600</v>
      </c>
      <c r="L139" s="352" t="s">
        <v>2068</v>
      </c>
      <c r="M139" s="351"/>
      <c r="N139" s="351"/>
      <c r="O139" s="351">
        <v>600</v>
      </c>
      <c r="P139" s="349" t="s">
        <v>1836</v>
      </c>
      <c r="R139" s="349">
        <f t="shared" si="2"/>
        <v>19</v>
      </c>
      <c r="S139" s="352"/>
      <c r="T139" s="352"/>
      <c r="U139" s="352"/>
      <c r="V139" s="353"/>
      <c r="W139" s="352"/>
      <c r="X139" s="176"/>
      <c r="Y139" s="176"/>
      <c r="Z139" s="352"/>
      <c r="AA139" s="352"/>
      <c r="AB139" s="352"/>
      <c r="AC139" s="351"/>
      <c r="AD139" s="351"/>
    </row>
    <row r="140" spans="1:30" ht="115.35" hidden="1" x14ac:dyDescent="0.35">
      <c r="A140" s="349">
        <v>139</v>
      </c>
      <c r="B140" s="352" t="s">
        <v>26</v>
      </c>
      <c r="C140" s="351" t="s">
        <v>4888</v>
      </c>
      <c r="D140" s="352" t="s">
        <v>1382</v>
      </c>
      <c r="E140" s="352" t="s">
        <v>2004</v>
      </c>
      <c r="F140" s="353">
        <v>0.2</v>
      </c>
      <c r="G140" s="352" t="s">
        <v>2126</v>
      </c>
      <c r="H140" s="176" t="s">
        <v>3919</v>
      </c>
      <c r="I140" s="176" t="s">
        <v>3920</v>
      </c>
      <c r="J140" s="352" t="s">
        <v>3577</v>
      </c>
      <c r="K140" s="352">
        <v>20</v>
      </c>
      <c r="L140" s="352" t="s">
        <v>2068</v>
      </c>
      <c r="M140" s="351"/>
      <c r="N140" s="351"/>
      <c r="O140" s="351">
        <v>20</v>
      </c>
      <c r="P140" s="349" t="s">
        <v>1836</v>
      </c>
      <c r="R140" s="349">
        <f t="shared" si="2"/>
        <v>19</v>
      </c>
      <c r="S140" s="352"/>
      <c r="T140" s="352"/>
      <c r="U140" s="352"/>
      <c r="V140" s="353"/>
      <c r="W140" s="352"/>
      <c r="X140" s="176"/>
      <c r="Y140" s="176"/>
      <c r="Z140" s="352"/>
      <c r="AA140" s="352"/>
      <c r="AB140" s="352"/>
      <c r="AC140" s="351"/>
      <c r="AD140" s="351"/>
    </row>
    <row r="141" spans="1:30" ht="115.35" hidden="1" x14ac:dyDescent="0.35">
      <c r="A141" s="349">
        <v>140</v>
      </c>
      <c r="B141" s="352" t="s">
        <v>26</v>
      </c>
      <c r="C141" s="351" t="s">
        <v>4888</v>
      </c>
      <c r="D141" s="352" t="s">
        <v>1382</v>
      </c>
      <c r="E141" s="352" t="s">
        <v>2004</v>
      </c>
      <c r="F141" s="353">
        <v>0.15</v>
      </c>
      <c r="G141" s="352" t="s">
        <v>2126</v>
      </c>
      <c r="H141" s="176" t="s">
        <v>3919</v>
      </c>
      <c r="I141" s="176" t="s">
        <v>3920</v>
      </c>
      <c r="J141" s="352" t="s">
        <v>3577</v>
      </c>
      <c r="K141" s="352">
        <v>38</v>
      </c>
      <c r="L141" s="352" t="s">
        <v>2068</v>
      </c>
      <c r="M141" s="351"/>
      <c r="N141" s="351"/>
      <c r="O141" s="351">
        <v>38</v>
      </c>
      <c r="P141" s="349" t="s">
        <v>1836</v>
      </c>
      <c r="R141" s="349">
        <f t="shared" si="2"/>
        <v>19</v>
      </c>
      <c r="S141" s="352"/>
      <c r="T141" s="352"/>
      <c r="U141" s="352"/>
      <c r="V141" s="353"/>
      <c r="W141" s="352"/>
      <c r="X141" s="176"/>
      <c r="Y141" s="176"/>
      <c r="Z141" s="352"/>
      <c r="AA141" s="352"/>
      <c r="AB141" s="352"/>
      <c r="AC141" s="351"/>
      <c r="AD141" s="351"/>
    </row>
    <row r="142" spans="1:30" ht="115.35" hidden="1" x14ac:dyDescent="0.35">
      <c r="A142" s="349">
        <v>141</v>
      </c>
      <c r="B142" s="352" t="s">
        <v>26</v>
      </c>
      <c r="C142" s="351" t="s">
        <v>4888</v>
      </c>
      <c r="D142" s="352" t="s">
        <v>1382</v>
      </c>
      <c r="E142" s="352" t="s">
        <v>2004</v>
      </c>
      <c r="F142" s="353">
        <v>0.15</v>
      </c>
      <c r="G142" s="352" t="s">
        <v>2126</v>
      </c>
      <c r="H142" s="176" t="s">
        <v>3919</v>
      </c>
      <c r="I142" s="176" t="s">
        <v>3920</v>
      </c>
      <c r="J142" s="352" t="s">
        <v>3577</v>
      </c>
      <c r="K142" s="352">
        <v>100</v>
      </c>
      <c r="L142" s="352" t="s">
        <v>2068</v>
      </c>
      <c r="M142" s="351"/>
      <c r="N142" s="351"/>
      <c r="O142" s="351">
        <v>100</v>
      </c>
      <c r="P142" s="349" t="s">
        <v>1836</v>
      </c>
      <c r="R142" s="349">
        <f t="shared" si="2"/>
        <v>19</v>
      </c>
      <c r="S142" s="352"/>
      <c r="T142" s="352"/>
      <c r="U142" s="352"/>
      <c r="V142" s="353"/>
      <c r="W142" s="352"/>
      <c r="X142" s="176"/>
      <c r="Y142" s="176"/>
      <c r="Z142" s="352"/>
      <c r="AA142" s="352"/>
      <c r="AB142" s="352"/>
      <c r="AC142" s="351"/>
      <c r="AD142" s="351"/>
    </row>
    <row r="143" spans="1:30" ht="115.35" hidden="1" x14ac:dyDescent="0.35">
      <c r="A143" s="349">
        <v>142</v>
      </c>
      <c r="B143" s="352" t="s">
        <v>26</v>
      </c>
      <c r="C143" s="351" t="s">
        <v>4888</v>
      </c>
      <c r="D143" s="352" t="s">
        <v>1382</v>
      </c>
      <c r="E143" s="352" t="s">
        <v>2004</v>
      </c>
      <c r="F143" s="353">
        <v>0.1</v>
      </c>
      <c r="G143" s="352" t="s">
        <v>2126</v>
      </c>
      <c r="H143" s="176" t="s">
        <v>3919</v>
      </c>
      <c r="I143" s="176" t="s">
        <v>3920</v>
      </c>
      <c r="J143" s="352" t="s">
        <v>3577</v>
      </c>
      <c r="K143" s="352">
        <v>300</v>
      </c>
      <c r="L143" s="352" t="s">
        <v>2068</v>
      </c>
      <c r="M143" s="351"/>
      <c r="N143" s="351"/>
      <c r="O143" s="351">
        <v>300</v>
      </c>
      <c r="P143" s="349" t="s">
        <v>1836</v>
      </c>
      <c r="R143" s="349">
        <f t="shared" si="2"/>
        <v>19</v>
      </c>
      <c r="S143" s="352"/>
      <c r="T143" s="352"/>
      <c r="U143" s="352"/>
      <c r="V143" s="353"/>
      <c r="W143" s="352"/>
      <c r="X143" s="176"/>
      <c r="Y143" s="176"/>
      <c r="Z143" s="352"/>
      <c r="AA143" s="352"/>
      <c r="AB143" s="352"/>
      <c r="AC143" s="351"/>
      <c r="AD143" s="351"/>
    </row>
    <row r="144" spans="1:30" ht="115.35" hidden="1" x14ac:dyDescent="0.35">
      <c r="A144" s="349">
        <v>143</v>
      </c>
      <c r="B144" s="352" t="s">
        <v>26</v>
      </c>
      <c r="C144" s="351" t="s">
        <v>4888</v>
      </c>
      <c r="D144" s="352" t="s">
        <v>1382</v>
      </c>
      <c r="E144" s="352" t="s">
        <v>2004</v>
      </c>
      <c r="F144" s="353">
        <v>0.17630000000000001</v>
      </c>
      <c r="G144" s="352" t="s">
        <v>2126</v>
      </c>
      <c r="H144" s="176" t="s">
        <v>3919</v>
      </c>
      <c r="I144" s="176" t="s">
        <v>3920</v>
      </c>
      <c r="J144" s="352" t="s">
        <v>3577</v>
      </c>
      <c r="K144" s="352">
        <v>600</v>
      </c>
      <c r="L144" s="352" t="s">
        <v>2068</v>
      </c>
      <c r="M144" s="351"/>
      <c r="N144" s="351"/>
      <c r="O144" s="351">
        <v>600</v>
      </c>
      <c r="P144" s="349" t="s">
        <v>1836</v>
      </c>
      <c r="R144" s="349">
        <f t="shared" si="2"/>
        <v>19</v>
      </c>
      <c r="S144" s="352"/>
      <c r="T144" s="352"/>
      <c r="U144" s="352"/>
      <c r="V144" s="353"/>
      <c r="W144" s="352"/>
      <c r="X144" s="176"/>
      <c r="Y144" s="176"/>
      <c r="Z144" s="352"/>
      <c r="AA144" s="352"/>
      <c r="AB144" s="352"/>
      <c r="AC144" s="351"/>
      <c r="AD144" s="351"/>
    </row>
    <row r="145" spans="1:30" ht="25.65" hidden="1" x14ac:dyDescent="0.35">
      <c r="A145" s="349">
        <v>144</v>
      </c>
      <c r="B145" s="352" t="s">
        <v>826</v>
      </c>
      <c r="C145" s="351" t="s">
        <v>3072</v>
      </c>
      <c r="D145" s="352" t="s">
        <v>3072</v>
      </c>
      <c r="E145" s="352" t="s">
        <v>827</v>
      </c>
      <c r="F145" s="353">
        <v>0.99170000000000003</v>
      </c>
      <c r="G145" s="352" t="s">
        <v>1107</v>
      </c>
      <c r="H145" s="176" t="s">
        <v>2781</v>
      </c>
      <c r="I145" s="37"/>
      <c r="J145" s="352" t="s">
        <v>828</v>
      </c>
      <c r="K145" s="352">
        <v>100</v>
      </c>
      <c r="L145" s="352" t="s">
        <v>1116</v>
      </c>
      <c r="M145" s="351">
        <v>5</v>
      </c>
      <c r="N145" s="351" t="s">
        <v>1109</v>
      </c>
      <c r="O145" s="351">
        <v>100</v>
      </c>
      <c r="P145" s="349" t="s">
        <v>1836</v>
      </c>
      <c r="R145" s="349">
        <f t="shared" si="2"/>
        <v>13</v>
      </c>
      <c r="S145" s="352"/>
      <c r="T145" s="352"/>
      <c r="U145" s="352"/>
      <c r="V145" s="353"/>
      <c r="W145" s="352"/>
      <c r="X145" s="176"/>
      <c r="Y145" s="176"/>
      <c r="Z145" s="352"/>
      <c r="AA145" s="352"/>
      <c r="AB145" s="352"/>
      <c r="AC145" s="351"/>
      <c r="AD145" s="351"/>
    </row>
    <row r="146" spans="1:30" ht="38.450000000000003" hidden="1" x14ac:dyDescent="0.35">
      <c r="A146" s="349">
        <v>145</v>
      </c>
      <c r="B146" s="352" t="s">
        <v>826</v>
      </c>
      <c r="C146" s="351" t="s">
        <v>3072</v>
      </c>
      <c r="D146" s="352" t="s">
        <v>3072</v>
      </c>
      <c r="E146" s="352" t="s">
        <v>1995</v>
      </c>
      <c r="F146" s="353">
        <v>0.1</v>
      </c>
      <c r="G146" s="352" t="s">
        <v>2126</v>
      </c>
      <c r="H146" s="176" t="s">
        <v>733</v>
      </c>
      <c r="I146" s="37"/>
      <c r="J146" s="352" t="s">
        <v>3580</v>
      </c>
      <c r="K146" s="352">
        <v>50</v>
      </c>
      <c r="L146" s="352" t="s">
        <v>3581</v>
      </c>
      <c r="M146" s="351"/>
      <c r="N146" s="351"/>
      <c r="O146" s="351">
        <v>50</v>
      </c>
      <c r="P146" s="349" t="s">
        <v>1836</v>
      </c>
      <c r="R146" s="349">
        <f t="shared" si="2"/>
        <v>13</v>
      </c>
      <c r="S146" s="352"/>
      <c r="T146" s="352"/>
      <c r="U146" s="352"/>
      <c r="V146" s="353"/>
      <c r="W146" s="352"/>
      <c r="X146" s="176"/>
      <c r="Y146" s="176"/>
      <c r="Z146" s="352"/>
      <c r="AA146" s="352"/>
      <c r="AB146" s="352"/>
      <c r="AC146" s="351"/>
      <c r="AD146" s="351"/>
    </row>
    <row r="147" spans="1:30" ht="38.450000000000003" hidden="1" x14ac:dyDescent="0.35">
      <c r="A147" s="349">
        <v>146</v>
      </c>
      <c r="B147" s="352" t="s">
        <v>826</v>
      </c>
      <c r="C147" s="351" t="s">
        <v>3072</v>
      </c>
      <c r="D147" s="352" t="s">
        <v>3072</v>
      </c>
      <c r="E147" s="352" t="s">
        <v>1995</v>
      </c>
      <c r="F147" s="353">
        <v>0.1</v>
      </c>
      <c r="G147" s="352" t="s">
        <v>2126</v>
      </c>
      <c r="H147" s="176" t="s">
        <v>733</v>
      </c>
      <c r="I147" s="37"/>
      <c r="J147" s="352" t="s">
        <v>3580</v>
      </c>
      <c r="K147" s="352">
        <v>500</v>
      </c>
      <c r="L147" s="352" t="s">
        <v>3581</v>
      </c>
      <c r="M147" s="352"/>
      <c r="N147" s="352"/>
      <c r="O147" s="351">
        <v>500</v>
      </c>
      <c r="P147" s="349" t="s">
        <v>1836</v>
      </c>
      <c r="R147" s="349">
        <f t="shared" si="2"/>
        <v>13</v>
      </c>
      <c r="S147" s="352"/>
      <c r="T147" s="352"/>
      <c r="U147" s="352"/>
      <c r="V147" s="353"/>
      <c r="W147" s="352"/>
      <c r="X147" s="176"/>
      <c r="Y147" s="176"/>
      <c r="Z147" s="352"/>
      <c r="AA147" s="352"/>
      <c r="AB147" s="352"/>
      <c r="AC147" s="352"/>
      <c r="AD147" s="352"/>
    </row>
    <row r="148" spans="1:30" ht="25.65" hidden="1" x14ac:dyDescent="0.35">
      <c r="A148" s="349">
        <v>147</v>
      </c>
      <c r="B148" s="352" t="s">
        <v>1080</v>
      </c>
      <c r="C148" s="351" t="s">
        <v>2782</v>
      </c>
      <c r="D148" s="352" t="s">
        <v>2782</v>
      </c>
      <c r="E148" s="352" t="s">
        <v>1997</v>
      </c>
      <c r="F148" s="353">
        <v>171.3</v>
      </c>
      <c r="G148" s="352" t="s">
        <v>1107</v>
      </c>
      <c r="H148" s="37"/>
      <c r="I148" s="176" t="s">
        <v>3272</v>
      </c>
      <c r="J148" s="352" t="s">
        <v>1115</v>
      </c>
      <c r="K148" s="352">
        <v>10000</v>
      </c>
      <c r="L148" s="352" t="s">
        <v>2069</v>
      </c>
      <c r="M148" s="351"/>
      <c r="N148" s="351"/>
      <c r="O148" s="351">
        <v>10000</v>
      </c>
      <c r="P148" s="349" t="s">
        <v>2030</v>
      </c>
      <c r="R148" s="349">
        <f t="shared" si="2"/>
        <v>12</v>
      </c>
      <c r="S148" s="352"/>
      <c r="T148" s="352"/>
      <c r="U148" s="352"/>
      <c r="V148" s="353"/>
      <c r="W148" s="352"/>
      <c r="X148" s="176"/>
      <c r="Y148" s="176"/>
      <c r="Z148" s="352"/>
      <c r="AA148" s="352"/>
      <c r="AB148" s="352"/>
      <c r="AC148" s="351"/>
      <c r="AD148" s="351"/>
    </row>
    <row r="149" spans="1:30" ht="64.099999999999994" hidden="1" x14ac:dyDescent="0.35">
      <c r="A149" s="349">
        <v>148</v>
      </c>
      <c r="B149" s="352" t="s">
        <v>1080</v>
      </c>
      <c r="C149" s="351" t="s">
        <v>2782</v>
      </c>
      <c r="D149" s="352" t="s">
        <v>2782</v>
      </c>
      <c r="E149" s="352" t="s">
        <v>1997</v>
      </c>
      <c r="F149" s="353">
        <v>115.34</v>
      </c>
      <c r="G149" s="352" t="s">
        <v>1107</v>
      </c>
      <c r="H149" s="37"/>
      <c r="I149" s="176" t="s">
        <v>18</v>
      </c>
      <c r="J149" s="352" t="s">
        <v>1115</v>
      </c>
      <c r="K149" s="352">
        <v>10000</v>
      </c>
      <c r="L149" s="352" t="s">
        <v>2069</v>
      </c>
      <c r="M149" s="351"/>
      <c r="N149" s="351"/>
      <c r="O149" s="351">
        <v>10000</v>
      </c>
      <c r="P149" s="349" t="s">
        <v>2030</v>
      </c>
      <c r="R149" s="349">
        <f t="shared" si="2"/>
        <v>12</v>
      </c>
      <c r="S149" s="352"/>
      <c r="T149" s="352"/>
      <c r="U149" s="352"/>
      <c r="V149" s="353"/>
      <c r="W149" s="352"/>
      <c r="X149" s="176"/>
      <c r="Y149" s="176"/>
      <c r="Z149" s="352"/>
      <c r="AA149" s="352"/>
      <c r="AB149" s="352"/>
      <c r="AC149" s="352"/>
      <c r="AD149" s="352"/>
    </row>
    <row r="150" spans="1:30" ht="89.75" hidden="1" x14ac:dyDescent="0.35">
      <c r="A150" s="349">
        <v>149</v>
      </c>
      <c r="B150" s="352" t="s">
        <v>26</v>
      </c>
      <c r="C150" s="351" t="s">
        <v>4889</v>
      </c>
      <c r="D150" s="352" t="s">
        <v>3174</v>
      </c>
      <c r="E150" s="352" t="s">
        <v>1997</v>
      </c>
      <c r="F150" s="353">
        <v>2</v>
      </c>
      <c r="G150" s="352" t="s">
        <v>1107</v>
      </c>
      <c r="H150" s="176" t="s">
        <v>3921</v>
      </c>
      <c r="I150" s="176" t="s">
        <v>3854</v>
      </c>
      <c r="J150" s="352" t="s">
        <v>1115</v>
      </c>
      <c r="K150" s="352">
        <v>500</v>
      </c>
      <c r="L150" s="352" t="s">
        <v>1464</v>
      </c>
      <c r="M150" s="351"/>
      <c r="N150" s="351"/>
      <c r="O150" s="351">
        <v>500</v>
      </c>
      <c r="P150" s="349" t="s">
        <v>1836</v>
      </c>
      <c r="R150" s="349">
        <f t="shared" si="2"/>
        <v>17</v>
      </c>
      <c r="S150" s="352"/>
      <c r="T150" s="352"/>
      <c r="U150" s="352"/>
      <c r="V150" s="353"/>
      <c r="W150" s="352"/>
      <c r="X150" s="176"/>
      <c r="Y150" s="176"/>
      <c r="Z150" s="352"/>
      <c r="AA150" s="352"/>
      <c r="AB150" s="352"/>
      <c r="AC150" s="352"/>
      <c r="AD150" s="352"/>
    </row>
    <row r="151" spans="1:30" ht="38.450000000000003" hidden="1" x14ac:dyDescent="0.35">
      <c r="A151" s="349">
        <v>150</v>
      </c>
      <c r="B151" s="352" t="s">
        <v>2070</v>
      </c>
      <c r="C151" s="351" t="s">
        <v>953</v>
      </c>
      <c r="D151" s="352" t="s">
        <v>953</v>
      </c>
      <c r="E151" s="352" t="s">
        <v>1995</v>
      </c>
      <c r="F151" s="353">
        <v>0.35260000000000002</v>
      </c>
      <c r="G151" s="352" t="s">
        <v>2126</v>
      </c>
      <c r="H151" s="176" t="s">
        <v>3112</v>
      </c>
      <c r="I151" s="176" t="s">
        <v>3113</v>
      </c>
      <c r="J151" s="352" t="s">
        <v>3580</v>
      </c>
      <c r="K151" s="352">
        <v>50</v>
      </c>
      <c r="L151" s="352" t="s">
        <v>3581</v>
      </c>
      <c r="M151" s="351"/>
      <c r="N151" s="351"/>
      <c r="O151" s="351">
        <v>50</v>
      </c>
      <c r="P151" s="349" t="s">
        <v>1836</v>
      </c>
      <c r="R151" s="349">
        <f t="shared" si="2"/>
        <v>8</v>
      </c>
      <c r="S151" s="352"/>
      <c r="T151" s="352"/>
      <c r="U151" s="352"/>
      <c r="V151" s="353"/>
      <c r="W151" s="352"/>
      <c r="X151" s="176"/>
      <c r="Y151" s="176"/>
      <c r="Z151" s="352"/>
      <c r="AA151" s="352"/>
      <c r="AB151" s="352"/>
      <c r="AC151" s="351"/>
      <c r="AD151" s="351"/>
    </row>
    <row r="152" spans="1:30" ht="38.450000000000003" hidden="1" x14ac:dyDescent="0.35">
      <c r="A152" s="349">
        <v>151</v>
      </c>
      <c r="B152" s="352" t="s">
        <v>3204</v>
      </c>
      <c r="C152" s="351" t="s">
        <v>4890</v>
      </c>
      <c r="D152" s="352" t="s">
        <v>5039</v>
      </c>
      <c r="E152" s="352" t="s">
        <v>1114</v>
      </c>
      <c r="F152" s="353">
        <v>556.50289999999995</v>
      </c>
      <c r="G152" s="352" t="s">
        <v>1107</v>
      </c>
      <c r="H152" s="176" t="s">
        <v>1569</v>
      </c>
      <c r="I152" s="176" t="s">
        <v>1570</v>
      </c>
      <c r="J152" s="352" t="s">
        <v>1115</v>
      </c>
      <c r="K152" s="352">
        <v>20</v>
      </c>
      <c r="L152" s="352" t="s">
        <v>1116</v>
      </c>
      <c r="M152" s="352">
        <v>5</v>
      </c>
      <c r="N152" s="352" t="s">
        <v>1109</v>
      </c>
      <c r="O152" s="351">
        <v>20</v>
      </c>
      <c r="P152" s="349" t="s">
        <v>1836</v>
      </c>
      <c r="R152" s="349">
        <f t="shared" si="2"/>
        <v>27</v>
      </c>
      <c r="S152" s="352"/>
      <c r="T152" s="352"/>
      <c r="U152" s="352"/>
      <c r="V152" s="353"/>
      <c r="W152" s="352"/>
      <c r="X152" s="176"/>
      <c r="Y152" s="176"/>
      <c r="Z152" s="352"/>
      <c r="AA152" s="352"/>
      <c r="AB152" s="352"/>
      <c r="AC152" s="352"/>
      <c r="AD152" s="352"/>
    </row>
    <row r="153" spans="1:30" ht="76.900000000000006" hidden="1" x14ac:dyDescent="0.35">
      <c r="A153" s="349">
        <v>152</v>
      </c>
      <c r="B153" s="352" t="s">
        <v>3205</v>
      </c>
      <c r="C153" s="351" t="s">
        <v>3936</v>
      </c>
      <c r="D153" s="352" t="s">
        <v>3936</v>
      </c>
      <c r="E153" s="352" t="s">
        <v>3206</v>
      </c>
      <c r="F153" s="353">
        <v>1082.0216</v>
      </c>
      <c r="G153" s="352" t="s">
        <v>2126</v>
      </c>
      <c r="H153" s="176" t="s">
        <v>3297</v>
      </c>
      <c r="I153" s="176" t="s">
        <v>4165</v>
      </c>
      <c r="J153" s="352" t="s">
        <v>3579</v>
      </c>
      <c r="K153" s="352">
        <v>150</v>
      </c>
      <c r="L153" s="352" t="s">
        <v>1116</v>
      </c>
      <c r="M153" s="352">
        <v>225</v>
      </c>
      <c r="N153" s="352" t="s">
        <v>1109</v>
      </c>
      <c r="O153" s="351">
        <v>150</v>
      </c>
      <c r="P153" s="349" t="s">
        <v>1836</v>
      </c>
      <c r="R153" s="349">
        <f t="shared" si="2"/>
        <v>9</v>
      </c>
      <c r="S153" s="352"/>
      <c r="T153" s="352"/>
      <c r="U153" s="352"/>
      <c r="V153" s="353"/>
      <c r="W153" s="352"/>
      <c r="X153" s="176"/>
      <c r="Y153" s="176"/>
      <c r="Z153" s="352"/>
      <c r="AA153" s="352"/>
      <c r="AB153" s="352"/>
      <c r="AC153" s="352"/>
      <c r="AD153" s="352"/>
    </row>
    <row r="154" spans="1:30" ht="128.19999999999999" hidden="1" x14ac:dyDescent="0.35">
      <c r="A154" s="349">
        <v>153</v>
      </c>
      <c r="B154" s="352" t="s">
        <v>3205</v>
      </c>
      <c r="C154" s="351" t="s">
        <v>2143</v>
      </c>
      <c r="D154" s="352" t="s">
        <v>4747</v>
      </c>
      <c r="E154" s="352" t="s">
        <v>1995</v>
      </c>
      <c r="F154" s="353">
        <v>5.84</v>
      </c>
      <c r="G154" s="352" t="s">
        <v>2126</v>
      </c>
      <c r="H154" s="176" t="s">
        <v>2144</v>
      </c>
      <c r="I154" s="176" t="s">
        <v>2979</v>
      </c>
      <c r="J154" s="352" t="s">
        <v>3580</v>
      </c>
      <c r="K154" s="351"/>
      <c r="L154" s="351"/>
      <c r="M154" s="351"/>
      <c r="N154" s="351"/>
      <c r="O154" s="351">
        <v>0</v>
      </c>
      <c r="P154" s="349" t="s">
        <v>2313</v>
      </c>
      <c r="R154" s="349">
        <f t="shared" si="2"/>
        <v>19</v>
      </c>
      <c r="S154" s="352"/>
      <c r="T154" s="352"/>
      <c r="U154" s="352"/>
      <c r="V154" s="353"/>
      <c r="W154" s="352"/>
      <c r="X154" s="176"/>
      <c r="Y154" s="176"/>
      <c r="Z154" s="352"/>
      <c r="AA154" s="352"/>
      <c r="AB154" s="352"/>
      <c r="AC154" s="351"/>
      <c r="AD154" s="351"/>
    </row>
    <row r="155" spans="1:30" ht="76.900000000000006" hidden="1" x14ac:dyDescent="0.35">
      <c r="A155" s="349">
        <v>154</v>
      </c>
      <c r="B155" s="352" t="s">
        <v>3587</v>
      </c>
      <c r="C155" s="351" t="s">
        <v>3588</v>
      </c>
      <c r="D155" s="352" t="s">
        <v>3588</v>
      </c>
      <c r="E155" s="352" t="s">
        <v>3207</v>
      </c>
      <c r="F155" s="353">
        <v>4.9583000000000004</v>
      </c>
      <c r="G155" s="352" t="s">
        <v>1107</v>
      </c>
      <c r="H155" s="176" t="s">
        <v>364</v>
      </c>
      <c r="I155" s="176" t="s">
        <v>3842</v>
      </c>
      <c r="J155" s="352" t="s">
        <v>828</v>
      </c>
      <c r="K155" s="352">
        <v>10</v>
      </c>
      <c r="L155" s="352" t="s">
        <v>1116</v>
      </c>
      <c r="M155" s="352">
        <v>2.5</v>
      </c>
      <c r="N155" s="352" t="s">
        <v>1109</v>
      </c>
      <c r="O155" s="351">
        <v>10</v>
      </c>
      <c r="P155" s="349" t="s">
        <v>1836</v>
      </c>
      <c r="R155" s="349">
        <f t="shared" si="2"/>
        <v>10</v>
      </c>
      <c r="S155" s="352"/>
      <c r="T155" s="352"/>
      <c r="U155" s="352"/>
      <c r="V155" s="353"/>
      <c r="W155" s="352"/>
      <c r="X155" s="176"/>
      <c r="Y155" s="176"/>
      <c r="Z155" s="352"/>
      <c r="AA155" s="352"/>
      <c r="AB155" s="352"/>
      <c r="AC155" s="351"/>
      <c r="AD155" s="351"/>
    </row>
    <row r="156" spans="1:30" ht="76.900000000000006" hidden="1" x14ac:dyDescent="0.35">
      <c r="A156" s="349">
        <v>155</v>
      </c>
      <c r="B156" s="352" t="s">
        <v>3587</v>
      </c>
      <c r="C156" s="351" t="s">
        <v>3588</v>
      </c>
      <c r="D156" s="352" t="s">
        <v>3588</v>
      </c>
      <c r="E156" s="352" t="s">
        <v>827</v>
      </c>
      <c r="F156" s="353">
        <v>7.15</v>
      </c>
      <c r="G156" s="352" t="s">
        <v>1107</v>
      </c>
      <c r="H156" s="176" t="s">
        <v>364</v>
      </c>
      <c r="I156" s="176" t="s">
        <v>3842</v>
      </c>
      <c r="J156" s="352" t="s">
        <v>828</v>
      </c>
      <c r="K156" s="352">
        <v>10</v>
      </c>
      <c r="L156" s="352" t="s">
        <v>1116</v>
      </c>
      <c r="M156" s="352">
        <v>5</v>
      </c>
      <c r="N156" s="352" t="s">
        <v>1109</v>
      </c>
      <c r="O156" s="351">
        <v>10</v>
      </c>
      <c r="P156" s="349" t="s">
        <v>1836</v>
      </c>
      <c r="R156" s="349">
        <f t="shared" si="2"/>
        <v>10</v>
      </c>
      <c r="S156" s="352"/>
      <c r="T156" s="352"/>
      <c r="U156" s="352"/>
      <c r="V156" s="353"/>
      <c r="W156" s="352"/>
      <c r="X156" s="176"/>
      <c r="Y156" s="176"/>
      <c r="Z156" s="352"/>
      <c r="AA156" s="352"/>
      <c r="AB156" s="352"/>
      <c r="AC156" s="351"/>
      <c r="AD156" s="351"/>
    </row>
    <row r="157" spans="1:30" ht="25.65" hidden="1" x14ac:dyDescent="0.35">
      <c r="A157" s="349">
        <v>156</v>
      </c>
      <c r="B157" s="352" t="s">
        <v>3208</v>
      </c>
      <c r="C157" s="351" t="s">
        <v>3169</v>
      </c>
      <c r="D157" s="352" t="s">
        <v>3169</v>
      </c>
      <c r="E157" s="352" t="s">
        <v>3209</v>
      </c>
      <c r="F157" s="353">
        <v>4.05</v>
      </c>
      <c r="G157" s="352" t="s">
        <v>34</v>
      </c>
      <c r="H157" s="176" t="s">
        <v>2915</v>
      </c>
      <c r="I157" s="176" t="s">
        <v>1024</v>
      </c>
      <c r="J157" s="352" t="s">
        <v>4025</v>
      </c>
      <c r="K157" s="352">
        <v>2.5</v>
      </c>
      <c r="L157" s="352" t="s">
        <v>1116</v>
      </c>
      <c r="M157" s="352">
        <v>5</v>
      </c>
      <c r="N157" s="352" t="s">
        <v>1109</v>
      </c>
      <c r="O157" s="351">
        <v>2.5</v>
      </c>
      <c r="P157" s="349" t="s">
        <v>1836</v>
      </c>
      <c r="R157" s="349">
        <f t="shared" si="2"/>
        <v>8</v>
      </c>
      <c r="S157" s="352"/>
      <c r="T157" s="352"/>
      <c r="U157" s="352"/>
      <c r="V157" s="353"/>
      <c r="W157" s="352"/>
      <c r="X157" s="176"/>
      <c r="Y157" s="176"/>
      <c r="Z157" s="352"/>
      <c r="AA157" s="352"/>
      <c r="AB157" s="352"/>
      <c r="AC157" s="351"/>
      <c r="AD157" s="351"/>
    </row>
    <row r="158" spans="1:30" ht="25.65" hidden="1" x14ac:dyDescent="0.35">
      <c r="A158" s="349">
        <v>157</v>
      </c>
      <c r="B158" s="352" t="s">
        <v>3208</v>
      </c>
      <c r="C158" s="351" t="s">
        <v>3169</v>
      </c>
      <c r="D158" s="352" t="s">
        <v>3169</v>
      </c>
      <c r="E158" s="352" t="s">
        <v>3209</v>
      </c>
      <c r="F158" s="353">
        <v>4.05</v>
      </c>
      <c r="G158" s="352" t="s">
        <v>34</v>
      </c>
      <c r="H158" s="176" t="s">
        <v>2916</v>
      </c>
      <c r="I158" s="176" t="s">
        <v>1024</v>
      </c>
      <c r="J158" s="352" t="s">
        <v>4025</v>
      </c>
      <c r="K158" s="352">
        <v>5</v>
      </c>
      <c r="L158" s="352" t="s">
        <v>1116</v>
      </c>
      <c r="M158" s="352">
        <v>5</v>
      </c>
      <c r="N158" s="352" t="s">
        <v>1109</v>
      </c>
      <c r="O158" s="351">
        <v>5</v>
      </c>
      <c r="P158" s="349" t="s">
        <v>1836</v>
      </c>
      <c r="R158" s="349">
        <f t="shared" si="2"/>
        <v>8</v>
      </c>
      <c r="S158" s="352"/>
      <c r="T158" s="352"/>
      <c r="U158" s="352"/>
      <c r="V158" s="353"/>
      <c r="W158" s="352"/>
      <c r="X158" s="176"/>
      <c r="Y158" s="176"/>
      <c r="Z158" s="352"/>
      <c r="AA158" s="352"/>
      <c r="AB158" s="352"/>
      <c r="AC158" s="351"/>
      <c r="AD158" s="351"/>
    </row>
    <row r="159" spans="1:30" ht="115.35" hidden="1" x14ac:dyDescent="0.35">
      <c r="A159" s="349">
        <v>158</v>
      </c>
      <c r="B159" s="352" t="s">
        <v>3210</v>
      </c>
      <c r="C159" s="351" t="s">
        <v>3169</v>
      </c>
      <c r="D159" s="352" t="s">
        <v>3169</v>
      </c>
      <c r="E159" s="352" t="s">
        <v>3211</v>
      </c>
      <c r="F159" s="353">
        <v>1.35</v>
      </c>
      <c r="G159" s="352" t="s">
        <v>2126</v>
      </c>
      <c r="H159" s="176" t="s">
        <v>20</v>
      </c>
      <c r="I159" s="176" t="s">
        <v>2254</v>
      </c>
      <c r="J159" s="352" t="s">
        <v>3579</v>
      </c>
      <c r="K159" s="352">
        <v>25</v>
      </c>
      <c r="L159" s="352" t="s">
        <v>4022</v>
      </c>
      <c r="M159" s="352">
        <v>60</v>
      </c>
      <c r="N159" s="352" t="s">
        <v>1109</v>
      </c>
      <c r="O159" s="351">
        <v>25</v>
      </c>
      <c r="P159" s="349" t="s">
        <v>1850</v>
      </c>
      <c r="R159" s="349">
        <f t="shared" si="2"/>
        <v>8</v>
      </c>
      <c r="S159" s="352"/>
      <c r="T159" s="352"/>
      <c r="U159" s="352"/>
      <c r="V159" s="353"/>
      <c r="W159" s="352"/>
      <c r="X159" s="176"/>
      <c r="Y159" s="176"/>
      <c r="Z159" s="352"/>
      <c r="AA159" s="352"/>
      <c r="AB159" s="352"/>
      <c r="AC159" s="351"/>
      <c r="AD159" s="351"/>
    </row>
    <row r="160" spans="1:30" ht="346.05" hidden="1" x14ac:dyDescent="0.35">
      <c r="A160" s="349">
        <v>159</v>
      </c>
      <c r="B160" s="352" t="s">
        <v>3210</v>
      </c>
      <c r="C160" s="351" t="s">
        <v>3169</v>
      </c>
      <c r="D160" s="352" t="s">
        <v>3169</v>
      </c>
      <c r="E160" s="352" t="s">
        <v>2855</v>
      </c>
      <c r="F160" s="353">
        <v>1.4</v>
      </c>
      <c r="G160" s="352" t="s">
        <v>3212</v>
      </c>
      <c r="H160" s="176" t="s">
        <v>4863</v>
      </c>
      <c r="I160" s="176" t="s">
        <v>4835</v>
      </c>
      <c r="J160" s="352" t="s">
        <v>828</v>
      </c>
      <c r="K160" s="352">
        <v>0.5</v>
      </c>
      <c r="L160" s="352" t="s">
        <v>1116</v>
      </c>
      <c r="M160" s="352">
        <v>1</v>
      </c>
      <c r="N160" s="352" t="s">
        <v>1109</v>
      </c>
      <c r="O160" s="351">
        <v>0.5</v>
      </c>
      <c r="P160" s="349" t="s">
        <v>1836</v>
      </c>
      <c r="R160" s="349">
        <f t="shared" si="2"/>
        <v>8</v>
      </c>
      <c r="S160" s="352"/>
      <c r="T160" s="352"/>
      <c r="U160" s="352"/>
      <c r="V160" s="353"/>
      <c r="W160" s="352"/>
      <c r="X160" s="176"/>
      <c r="Y160" s="176"/>
      <c r="Z160" s="352"/>
      <c r="AA160" s="352"/>
      <c r="AB160" s="352"/>
      <c r="AC160" s="351"/>
      <c r="AD160" s="351"/>
    </row>
    <row r="161" spans="1:30" ht="25.65" hidden="1" x14ac:dyDescent="0.35">
      <c r="A161" s="349">
        <v>160</v>
      </c>
      <c r="B161" s="352" t="s">
        <v>3208</v>
      </c>
      <c r="C161" s="351" t="s">
        <v>4891</v>
      </c>
      <c r="D161" s="352" t="s">
        <v>3169</v>
      </c>
      <c r="E161" s="352" t="s">
        <v>3209</v>
      </c>
      <c r="F161" s="353">
        <v>4.05</v>
      </c>
      <c r="G161" s="352" t="s">
        <v>34</v>
      </c>
      <c r="H161" s="176" t="s">
        <v>2915</v>
      </c>
      <c r="I161" s="176" t="s">
        <v>1024</v>
      </c>
      <c r="J161" s="352" t="s">
        <v>4025</v>
      </c>
      <c r="K161" s="352">
        <v>2.5</v>
      </c>
      <c r="L161" s="352" t="s">
        <v>1116</v>
      </c>
      <c r="M161" s="352">
        <v>5</v>
      </c>
      <c r="N161" s="352" t="s">
        <v>1109</v>
      </c>
      <c r="O161" s="351">
        <v>2.5</v>
      </c>
      <c r="P161" s="349" t="s">
        <v>1836</v>
      </c>
      <c r="R161" s="349">
        <f t="shared" si="2"/>
        <v>8</v>
      </c>
      <c r="S161" s="352"/>
      <c r="T161" s="352"/>
      <c r="U161" s="352"/>
      <c r="V161" s="353"/>
      <c r="W161" s="352"/>
      <c r="X161" s="176"/>
      <c r="Y161" s="176"/>
      <c r="Z161" s="352"/>
      <c r="AA161" s="352"/>
      <c r="AB161" s="352"/>
      <c r="AC161" s="351"/>
      <c r="AD161" s="351"/>
    </row>
    <row r="162" spans="1:30" ht="25.65" hidden="1" x14ac:dyDescent="0.35">
      <c r="A162" s="349">
        <v>161</v>
      </c>
      <c r="B162" s="352" t="s">
        <v>3208</v>
      </c>
      <c r="C162" s="351" t="s">
        <v>4892</v>
      </c>
      <c r="D162" s="352" t="s">
        <v>3169</v>
      </c>
      <c r="E162" s="352" t="s">
        <v>3209</v>
      </c>
      <c r="F162" s="353">
        <v>4.05</v>
      </c>
      <c r="G162" s="352" t="s">
        <v>34</v>
      </c>
      <c r="H162" s="176" t="s">
        <v>2916</v>
      </c>
      <c r="I162" s="176" t="s">
        <v>1024</v>
      </c>
      <c r="J162" s="352" t="s">
        <v>4025</v>
      </c>
      <c r="K162" s="352">
        <v>5</v>
      </c>
      <c r="L162" s="352" t="s">
        <v>1116</v>
      </c>
      <c r="M162" s="352">
        <v>5</v>
      </c>
      <c r="N162" s="352" t="s">
        <v>1109</v>
      </c>
      <c r="O162" s="351">
        <v>5</v>
      </c>
      <c r="P162" s="349" t="s">
        <v>1836</v>
      </c>
      <c r="R162" s="349">
        <f t="shared" si="2"/>
        <v>8</v>
      </c>
      <c r="S162" s="352"/>
      <c r="T162" s="352"/>
      <c r="U162" s="352"/>
      <c r="V162" s="353"/>
      <c r="W162" s="352"/>
      <c r="X162" s="176"/>
      <c r="Y162" s="176"/>
      <c r="Z162" s="352"/>
      <c r="AA162" s="352"/>
      <c r="AB162" s="352"/>
      <c r="AC162" s="351"/>
      <c r="AD162" s="351"/>
    </row>
    <row r="163" spans="1:30" ht="115.35" hidden="1" x14ac:dyDescent="0.35">
      <c r="A163" s="349">
        <v>162</v>
      </c>
      <c r="B163" s="352" t="s">
        <v>3210</v>
      </c>
      <c r="C163" s="351" t="s">
        <v>4893</v>
      </c>
      <c r="D163" s="352" t="s">
        <v>3169</v>
      </c>
      <c r="E163" s="352" t="s">
        <v>3211</v>
      </c>
      <c r="F163" s="353">
        <v>1.35</v>
      </c>
      <c r="G163" s="352" t="s">
        <v>2126</v>
      </c>
      <c r="H163" s="176" t="s">
        <v>20</v>
      </c>
      <c r="I163" s="176" t="s">
        <v>2254</v>
      </c>
      <c r="J163" s="352" t="s">
        <v>3579</v>
      </c>
      <c r="K163" s="352">
        <v>25</v>
      </c>
      <c r="L163" s="352" t="s">
        <v>4022</v>
      </c>
      <c r="M163" s="352">
        <v>60</v>
      </c>
      <c r="N163" s="352" t="s">
        <v>1109</v>
      </c>
      <c r="O163" s="351">
        <v>25</v>
      </c>
      <c r="P163" s="349" t="s">
        <v>1850</v>
      </c>
      <c r="R163" s="349">
        <f t="shared" si="2"/>
        <v>8</v>
      </c>
      <c r="S163" s="352"/>
      <c r="T163" s="352"/>
      <c r="U163" s="352"/>
      <c r="V163" s="353"/>
      <c r="W163" s="352"/>
      <c r="X163" s="176"/>
      <c r="Y163" s="176"/>
      <c r="Z163" s="352"/>
      <c r="AA163" s="352"/>
      <c r="AB163" s="352"/>
      <c r="AC163" s="351"/>
      <c r="AD163" s="351"/>
    </row>
    <row r="164" spans="1:30" ht="346.05" hidden="1" x14ac:dyDescent="0.35">
      <c r="A164" s="349">
        <v>163</v>
      </c>
      <c r="B164" s="352" t="s">
        <v>3210</v>
      </c>
      <c r="C164" s="351" t="s">
        <v>4894</v>
      </c>
      <c r="D164" s="352" t="s">
        <v>3169</v>
      </c>
      <c r="E164" s="352" t="s">
        <v>2855</v>
      </c>
      <c r="F164" s="353">
        <v>1.4</v>
      </c>
      <c r="G164" s="352" t="s">
        <v>3212</v>
      </c>
      <c r="H164" s="176" t="s">
        <v>4863</v>
      </c>
      <c r="I164" s="176" t="s">
        <v>4835</v>
      </c>
      <c r="J164" s="352" t="s">
        <v>828</v>
      </c>
      <c r="K164" s="352">
        <v>0.5</v>
      </c>
      <c r="L164" s="352" t="s">
        <v>1116</v>
      </c>
      <c r="M164" s="352">
        <v>1</v>
      </c>
      <c r="N164" s="352" t="s">
        <v>1109</v>
      </c>
      <c r="O164" s="351">
        <v>0.5</v>
      </c>
      <c r="P164" s="349" t="s">
        <v>1836</v>
      </c>
      <c r="R164" s="349">
        <f t="shared" si="2"/>
        <v>8</v>
      </c>
      <c r="S164" s="352"/>
      <c r="T164" s="352"/>
      <c r="U164" s="352"/>
      <c r="V164" s="353"/>
      <c r="W164" s="352"/>
      <c r="X164" s="176"/>
      <c r="Y164" s="176"/>
      <c r="Z164" s="352"/>
      <c r="AA164" s="352"/>
      <c r="AB164" s="352"/>
      <c r="AC164" s="351"/>
      <c r="AD164" s="351"/>
    </row>
    <row r="165" spans="1:30" ht="51.3" hidden="1" x14ac:dyDescent="0.35">
      <c r="A165" s="349">
        <v>164</v>
      </c>
      <c r="B165" s="352" t="s">
        <v>3213</v>
      </c>
      <c r="C165" s="351" t="s">
        <v>4895</v>
      </c>
      <c r="D165" s="352" t="s">
        <v>989</v>
      </c>
      <c r="E165" s="352" t="s">
        <v>3214</v>
      </c>
      <c r="F165" s="353">
        <v>14.522399999999999</v>
      </c>
      <c r="G165" s="352" t="s">
        <v>3034</v>
      </c>
      <c r="H165" s="176" t="s">
        <v>3285</v>
      </c>
      <c r="I165" s="176" t="s">
        <v>2878</v>
      </c>
      <c r="J165" s="352" t="s">
        <v>3215</v>
      </c>
      <c r="K165" s="352">
        <v>20</v>
      </c>
      <c r="L165" s="352" t="s">
        <v>3216</v>
      </c>
      <c r="M165" s="352">
        <v>300</v>
      </c>
      <c r="N165" s="352" t="s">
        <v>1656</v>
      </c>
      <c r="O165" s="351">
        <v>20</v>
      </c>
      <c r="P165" s="349" t="s">
        <v>1850</v>
      </c>
      <c r="R165" s="349">
        <f t="shared" si="2"/>
        <v>11</v>
      </c>
      <c r="S165" s="352"/>
      <c r="T165" s="352"/>
      <c r="U165" s="352"/>
      <c r="V165" s="353"/>
      <c r="W165" s="352"/>
      <c r="X165" s="176"/>
      <c r="Y165" s="176"/>
      <c r="Z165" s="352"/>
      <c r="AA165" s="352"/>
      <c r="AB165" s="352"/>
      <c r="AC165" s="351"/>
      <c r="AD165" s="351"/>
    </row>
    <row r="166" spans="1:30" ht="51.3" hidden="1" x14ac:dyDescent="0.35">
      <c r="A166" s="349">
        <v>165</v>
      </c>
      <c r="B166" s="352" t="s">
        <v>3213</v>
      </c>
      <c r="C166" s="351" t="s">
        <v>4895</v>
      </c>
      <c r="D166" s="352" t="s">
        <v>989</v>
      </c>
      <c r="E166" s="352" t="s">
        <v>3214</v>
      </c>
      <c r="F166" s="353">
        <v>14.522399999999999</v>
      </c>
      <c r="G166" s="352" t="s">
        <v>3034</v>
      </c>
      <c r="H166" s="176"/>
      <c r="I166" s="176" t="s">
        <v>2878</v>
      </c>
      <c r="J166" s="352" t="s">
        <v>3215</v>
      </c>
      <c r="K166" s="352">
        <v>20</v>
      </c>
      <c r="L166" s="352" t="s">
        <v>3216</v>
      </c>
      <c r="M166" s="352">
        <v>300</v>
      </c>
      <c r="N166" s="352" t="s">
        <v>1656</v>
      </c>
      <c r="O166" s="351">
        <v>20</v>
      </c>
      <c r="P166" s="349" t="s">
        <v>1850</v>
      </c>
      <c r="R166" s="349">
        <f t="shared" si="2"/>
        <v>11</v>
      </c>
      <c r="S166" s="352"/>
      <c r="T166" s="352"/>
      <c r="U166" s="352"/>
      <c r="V166" s="353"/>
      <c r="W166" s="352"/>
      <c r="X166" s="176"/>
      <c r="Y166" s="176"/>
      <c r="Z166" s="352"/>
      <c r="AA166" s="352"/>
      <c r="AB166" s="352"/>
      <c r="AC166" s="351"/>
      <c r="AD166" s="351"/>
    </row>
    <row r="167" spans="1:30" ht="141" hidden="1" x14ac:dyDescent="0.35">
      <c r="A167" s="349">
        <v>166</v>
      </c>
      <c r="B167" s="352" t="s">
        <v>3213</v>
      </c>
      <c r="C167" s="351" t="s">
        <v>4896</v>
      </c>
      <c r="D167" s="352" t="s">
        <v>989</v>
      </c>
      <c r="E167" s="352" t="s">
        <v>1657</v>
      </c>
      <c r="F167" s="353">
        <v>0.83740000000000003</v>
      </c>
      <c r="G167" s="352" t="s">
        <v>3034</v>
      </c>
      <c r="H167" s="176" t="s">
        <v>1621</v>
      </c>
      <c r="I167" s="176" t="s">
        <v>4132</v>
      </c>
      <c r="J167" s="352" t="s">
        <v>692</v>
      </c>
      <c r="K167" s="352">
        <v>125</v>
      </c>
      <c r="L167" s="352" t="s">
        <v>4022</v>
      </c>
      <c r="M167" s="352">
        <v>2</v>
      </c>
      <c r="N167" s="352" t="s">
        <v>1109</v>
      </c>
      <c r="O167" s="351">
        <v>125</v>
      </c>
      <c r="P167" s="349" t="s">
        <v>1850</v>
      </c>
      <c r="R167" s="349">
        <f t="shared" si="2"/>
        <v>11</v>
      </c>
      <c r="S167" s="352"/>
      <c r="T167" s="352"/>
      <c r="U167" s="352"/>
      <c r="V167" s="353"/>
      <c r="W167" s="352"/>
      <c r="X167" s="176"/>
      <c r="Y167" s="176"/>
      <c r="Z167" s="352"/>
      <c r="AA167" s="352"/>
      <c r="AB167" s="352"/>
      <c r="AC167" s="351"/>
      <c r="AD167" s="351"/>
    </row>
    <row r="168" spans="1:30" ht="141" hidden="1" x14ac:dyDescent="0.35">
      <c r="A168" s="349">
        <v>167</v>
      </c>
      <c r="B168" s="352" t="s">
        <v>3213</v>
      </c>
      <c r="C168" s="351" t="s">
        <v>4896</v>
      </c>
      <c r="D168" s="352" t="s">
        <v>989</v>
      </c>
      <c r="E168" s="352" t="s">
        <v>1657</v>
      </c>
      <c r="F168" s="353">
        <v>1.5426</v>
      </c>
      <c r="G168" s="352" t="s">
        <v>3034</v>
      </c>
      <c r="H168" s="176" t="s">
        <v>1621</v>
      </c>
      <c r="I168" s="176" t="s">
        <v>4132</v>
      </c>
      <c r="J168" s="352" t="s">
        <v>692</v>
      </c>
      <c r="K168" s="352">
        <v>250</v>
      </c>
      <c r="L168" s="352" t="s">
        <v>4022</v>
      </c>
      <c r="M168" s="352">
        <v>2</v>
      </c>
      <c r="N168" s="352" t="s">
        <v>1109</v>
      </c>
      <c r="O168" s="351">
        <v>250</v>
      </c>
      <c r="P168" s="349" t="s">
        <v>1850</v>
      </c>
      <c r="R168" s="349">
        <f t="shared" si="2"/>
        <v>11</v>
      </c>
      <c r="S168" s="352"/>
      <c r="T168" s="352"/>
      <c r="U168" s="352"/>
      <c r="V168" s="353"/>
      <c r="W168" s="352"/>
      <c r="X168" s="176"/>
      <c r="Y168" s="176"/>
      <c r="Z168" s="352"/>
      <c r="AA168" s="352"/>
      <c r="AB168" s="352"/>
      <c r="AC168" s="351"/>
      <c r="AD168" s="351"/>
    </row>
    <row r="169" spans="1:30" ht="25.65" hidden="1" x14ac:dyDescent="0.35">
      <c r="A169" s="349">
        <v>168</v>
      </c>
      <c r="B169" s="352" t="s">
        <v>3213</v>
      </c>
      <c r="C169" s="351" t="s">
        <v>4897</v>
      </c>
      <c r="D169" s="352" t="s">
        <v>989</v>
      </c>
      <c r="E169" s="352" t="s">
        <v>2028</v>
      </c>
      <c r="F169" s="353">
        <v>0.55089999999999995</v>
      </c>
      <c r="G169" s="352" t="s">
        <v>3034</v>
      </c>
      <c r="H169" s="176" t="s">
        <v>4133</v>
      </c>
      <c r="I169" s="37" t="s">
        <v>2313</v>
      </c>
      <c r="J169" s="352" t="s">
        <v>693</v>
      </c>
      <c r="K169" s="352">
        <v>40</v>
      </c>
      <c r="L169" s="352" t="s">
        <v>4023</v>
      </c>
      <c r="M169" s="351"/>
      <c r="N169" s="351"/>
      <c r="O169" s="351">
        <v>40</v>
      </c>
      <c r="P169" s="349" t="s">
        <v>1850</v>
      </c>
      <c r="R169" s="349">
        <f t="shared" si="2"/>
        <v>11</v>
      </c>
      <c r="S169" s="352"/>
      <c r="T169" s="352"/>
      <c r="U169" s="352"/>
      <c r="V169" s="353"/>
      <c r="W169" s="352"/>
      <c r="X169" s="176"/>
      <c r="Y169" s="176"/>
      <c r="Z169" s="352"/>
      <c r="AA169" s="352"/>
      <c r="AB169" s="352"/>
      <c r="AC169" s="351"/>
      <c r="AD169" s="351"/>
    </row>
    <row r="170" spans="1:30" ht="102.55" hidden="1" x14ac:dyDescent="0.35">
      <c r="A170" s="349">
        <v>169</v>
      </c>
      <c r="B170" s="352" t="s">
        <v>831</v>
      </c>
      <c r="C170" s="351" t="s">
        <v>4898</v>
      </c>
      <c r="D170" s="352" t="s">
        <v>4746</v>
      </c>
      <c r="E170" s="352" t="s">
        <v>1997</v>
      </c>
      <c r="F170" s="353">
        <v>3.2</v>
      </c>
      <c r="G170" s="352" t="s">
        <v>1107</v>
      </c>
      <c r="H170" s="176" t="s">
        <v>3313</v>
      </c>
      <c r="I170" s="176" t="s">
        <v>4834</v>
      </c>
      <c r="J170" s="352" t="s">
        <v>1115</v>
      </c>
      <c r="K170" s="351"/>
      <c r="L170" s="351"/>
      <c r="M170" s="352"/>
      <c r="N170" s="352"/>
      <c r="O170" s="351">
        <v>100</v>
      </c>
      <c r="P170" s="349" t="s">
        <v>1836</v>
      </c>
      <c r="R170" s="349">
        <f t="shared" si="2"/>
        <v>26</v>
      </c>
      <c r="S170" s="352"/>
      <c r="T170" s="352"/>
      <c r="U170" s="352"/>
      <c r="V170" s="353"/>
      <c r="W170" s="352"/>
      <c r="X170" s="176"/>
      <c r="Y170" s="176"/>
      <c r="Z170" s="352"/>
      <c r="AA170" s="352"/>
      <c r="AB170" s="352"/>
      <c r="AC170" s="352"/>
      <c r="AD170" s="352"/>
    </row>
    <row r="171" spans="1:30" ht="102.55" hidden="1" x14ac:dyDescent="0.35">
      <c r="A171" s="349">
        <v>170</v>
      </c>
      <c r="B171" s="352" t="s">
        <v>831</v>
      </c>
      <c r="C171" s="351" t="s">
        <v>4898</v>
      </c>
      <c r="D171" s="352" t="s">
        <v>4746</v>
      </c>
      <c r="E171" s="352" t="s">
        <v>1997</v>
      </c>
      <c r="F171" s="353">
        <v>5.75</v>
      </c>
      <c r="G171" s="352" t="s">
        <v>1107</v>
      </c>
      <c r="H171" s="176" t="s">
        <v>3313</v>
      </c>
      <c r="I171" s="176" t="s">
        <v>4834</v>
      </c>
      <c r="J171" s="352" t="s">
        <v>1115</v>
      </c>
      <c r="K171" s="351"/>
      <c r="L171" s="351"/>
      <c r="M171" s="351"/>
      <c r="N171" s="351"/>
      <c r="O171" s="351">
        <v>100</v>
      </c>
      <c r="P171" s="349" t="s">
        <v>1836</v>
      </c>
      <c r="R171" s="349">
        <f t="shared" si="2"/>
        <v>26</v>
      </c>
      <c r="S171" s="352"/>
      <c r="T171" s="352"/>
      <c r="U171" s="352"/>
      <c r="V171" s="353"/>
      <c r="W171" s="352"/>
      <c r="X171" s="37"/>
      <c r="Y171" s="176"/>
      <c r="Z171" s="352"/>
      <c r="AA171" s="352"/>
      <c r="AB171" s="352"/>
      <c r="AC171" s="352"/>
      <c r="AD171" s="352"/>
    </row>
    <row r="172" spans="1:30" ht="102.55" hidden="1" x14ac:dyDescent="0.35">
      <c r="A172" s="349">
        <v>171</v>
      </c>
      <c r="B172" s="352" t="s">
        <v>831</v>
      </c>
      <c r="C172" s="351" t="s">
        <v>4898</v>
      </c>
      <c r="D172" s="352" t="s">
        <v>4746</v>
      </c>
      <c r="E172" s="352" t="s">
        <v>3969</v>
      </c>
      <c r="F172" s="353">
        <v>19.170000000000002</v>
      </c>
      <c r="G172" s="352" t="s">
        <v>2126</v>
      </c>
      <c r="H172" s="176" t="s">
        <v>3314</v>
      </c>
      <c r="I172" s="176" t="s">
        <v>4834</v>
      </c>
      <c r="J172" s="352" t="s">
        <v>2340</v>
      </c>
      <c r="K172" s="351"/>
      <c r="L172" s="351"/>
      <c r="M172" s="352">
        <v>100</v>
      </c>
      <c r="N172" s="352" t="s">
        <v>1109</v>
      </c>
      <c r="O172" s="351">
        <v>100</v>
      </c>
      <c r="P172" s="349" t="s">
        <v>1836</v>
      </c>
      <c r="R172" s="349">
        <f t="shared" si="2"/>
        <v>26</v>
      </c>
      <c r="S172" s="352"/>
      <c r="T172" s="352"/>
      <c r="U172" s="352"/>
      <c r="V172" s="353"/>
      <c r="W172" s="352"/>
      <c r="X172" s="176"/>
      <c r="Y172" s="176"/>
      <c r="Z172" s="352"/>
      <c r="AA172" s="352"/>
      <c r="AB172" s="352"/>
      <c r="AC172" s="352"/>
      <c r="AD172" s="352"/>
    </row>
    <row r="173" spans="1:30" ht="102.55" hidden="1" x14ac:dyDescent="0.35">
      <c r="A173" s="349">
        <v>172</v>
      </c>
      <c r="B173" s="352" t="s">
        <v>831</v>
      </c>
      <c r="C173" s="351" t="s">
        <v>4898</v>
      </c>
      <c r="D173" s="352" t="s">
        <v>4746</v>
      </c>
      <c r="E173" s="352" t="s">
        <v>1995</v>
      </c>
      <c r="F173" s="353">
        <v>1.1200000000000001</v>
      </c>
      <c r="G173" s="352" t="s">
        <v>2126</v>
      </c>
      <c r="H173" s="176" t="s">
        <v>3314</v>
      </c>
      <c r="I173" s="176" t="s">
        <v>4834</v>
      </c>
      <c r="J173" s="352" t="s">
        <v>3580</v>
      </c>
      <c r="K173" s="351"/>
      <c r="L173" s="351"/>
      <c r="M173" s="351"/>
      <c r="N173" s="351"/>
      <c r="O173" s="351">
        <v>100</v>
      </c>
      <c r="P173" s="349" t="s">
        <v>1836</v>
      </c>
      <c r="R173" s="349">
        <f t="shared" si="2"/>
        <v>26</v>
      </c>
      <c r="S173" s="352"/>
      <c r="T173" s="352"/>
      <c r="U173" s="352"/>
      <c r="V173" s="353"/>
      <c r="W173" s="352"/>
      <c r="X173" s="176"/>
      <c r="Y173" s="176"/>
      <c r="Z173" s="352"/>
      <c r="AA173" s="352"/>
      <c r="AB173" s="352"/>
      <c r="AC173" s="352"/>
      <c r="AD173" s="352"/>
    </row>
    <row r="174" spans="1:30" ht="51.3" hidden="1" x14ac:dyDescent="0.35">
      <c r="A174" s="349">
        <v>173</v>
      </c>
      <c r="B174" s="352" t="s">
        <v>1080</v>
      </c>
      <c r="C174" s="351" t="s">
        <v>675</v>
      </c>
      <c r="D174" s="352" t="s">
        <v>675</v>
      </c>
      <c r="E174" s="352" t="s">
        <v>1997</v>
      </c>
      <c r="F174" s="353">
        <v>19.767299999999999</v>
      </c>
      <c r="G174" s="352" t="s">
        <v>1107</v>
      </c>
      <c r="H174" s="37"/>
      <c r="I174" s="176" t="s">
        <v>931</v>
      </c>
      <c r="J174" s="352" t="s">
        <v>1115</v>
      </c>
      <c r="K174" s="352">
        <v>50</v>
      </c>
      <c r="L174" s="352" t="s">
        <v>1464</v>
      </c>
      <c r="M174" s="351"/>
      <c r="N174" s="351"/>
      <c r="O174" s="351">
        <v>50</v>
      </c>
      <c r="P174" s="349" t="s">
        <v>1836</v>
      </c>
      <c r="R174" s="349">
        <f t="shared" si="2"/>
        <v>12</v>
      </c>
      <c r="S174" s="352"/>
      <c r="T174" s="352"/>
      <c r="U174" s="352"/>
      <c r="V174" s="353"/>
      <c r="W174" s="352"/>
      <c r="X174" s="176"/>
      <c r="Y174" s="176"/>
      <c r="Z174" s="352"/>
      <c r="AA174" s="352"/>
      <c r="AB174" s="352"/>
      <c r="AC174" s="352"/>
      <c r="AD174" s="352"/>
    </row>
    <row r="175" spans="1:30" ht="51.3" hidden="1" x14ac:dyDescent="0.35">
      <c r="A175" s="349">
        <v>174</v>
      </c>
      <c r="B175" s="352" t="s">
        <v>1080</v>
      </c>
      <c r="C175" s="351" t="s">
        <v>675</v>
      </c>
      <c r="D175" s="352" t="s">
        <v>675</v>
      </c>
      <c r="E175" s="352" t="s">
        <v>1995</v>
      </c>
      <c r="F175" s="353">
        <v>0.7</v>
      </c>
      <c r="G175" s="352" t="s">
        <v>2126</v>
      </c>
      <c r="H175" s="37"/>
      <c r="I175" s="176" t="s">
        <v>931</v>
      </c>
      <c r="J175" s="352" t="s">
        <v>3580</v>
      </c>
      <c r="K175" s="352">
        <v>50</v>
      </c>
      <c r="L175" s="352" t="s">
        <v>3581</v>
      </c>
      <c r="M175" s="351"/>
      <c r="N175" s="351"/>
      <c r="O175" s="351">
        <v>50</v>
      </c>
      <c r="P175" s="349" t="s">
        <v>1836</v>
      </c>
      <c r="R175" s="349">
        <f t="shared" si="2"/>
        <v>12</v>
      </c>
      <c r="S175" s="352"/>
      <c r="T175" s="352"/>
      <c r="U175" s="352"/>
      <c r="V175" s="353"/>
      <c r="W175" s="352"/>
      <c r="X175" s="176"/>
      <c r="Y175" s="176"/>
      <c r="Z175" s="352"/>
      <c r="AA175" s="352"/>
      <c r="AB175" s="352"/>
      <c r="AC175" s="352"/>
      <c r="AD175" s="352"/>
    </row>
    <row r="176" spans="1:30" ht="51.3" hidden="1" x14ac:dyDescent="0.35">
      <c r="A176" s="349">
        <v>175</v>
      </c>
      <c r="B176" s="352" t="s">
        <v>1080</v>
      </c>
      <c r="C176" s="351" t="s">
        <v>675</v>
      </c>
      <c r="D176" s="352" t="s">
        <v>675</v>
      </c>
      <c r="E176" s="352" t="s">
        <v>2020</v>
      </c>
      <c r="F176" s="353">
        <v>0.4</v>
      </c>
      <c r="G176" s="352" t="s">
        <v>2126</v>
      </c>
      <c r="H176" s="37"/>
      <c r="I176" s="176" t="s">
        <v>931</v>
      </c>
      <c r="J176" s="352" t="s">
        <v>348</v>
      </c>
      <c r="K176" s="352">
        <v>25</v>
      </c>
      <c r="L176" s="352" t="s">
        <v>3581</v>
      </c>
      <c r="M176" s="351"/>
      <c r="N176" s="351"/>
      <c r="O176" s="351">
        <v>25</v>
      </c>
      <c r="P176" s="349" t="s">
        <v>1836</v>
      </c>
      <c r="R176" s="349">
        <f t="shared" si="2"/>
        <v>12</v>
      </c>
      <c r="S176" s="352"/>
      <c r="T176" s="352"/>
      <c r="U176" s="352"/>
      <c r="V176" s="353"/>
      <c r="W176" s="352"/>
      <c r="X176" s="176"/>
      <c r="Y176" s="176"/>
      <c r="Z176" s="352"/>
      <c r="AA176" s="352"/>
      <c r="AB176" s="352"/>
      <c r="AC176" s="352"/>
      <c r="AD176" s="352"/>
    </row>
    <row r="177" spans="1:30" ht="76.900000000000006" hidden="1" x14ac:dyDescent="0.35">
      <c r="A177" s="349">
        <v>176</v>
      </c>
      <c r="B177" s="352" t="s">
        <v>694</v>
      </c>
      <c r="C177" s="351" t="s">
        <v>3532</v>
      </c>
      <c r="D177" s="352" t="s">
        <v>3532</v>
      </c>
      <c r="E177" s="352" t="s">
        <v>695</v>
      </c>
      <c r="F177" s="353">
        <v>1.5</v>
      </c>
      <c r="G177" s="352" t="s">
        <v>34</v>
      </c>
      <c r="H177" s="176" t="s">
        <v>3336</v>
      </c>
      <c r="I177" s="176" t="s">
        <v>2686</v>
      </c>
      <c r="J177" s="352" t="s">
        <v>4031</v>
      </c>
      <c r="K177" s="352">
        <v>7</v>
      </c>
      <c r="L177" s="352" t="s">
        <v>30</v>
      </c>
      <c r="M177" s="352">
        <v>10</v>
      </c>
      <c r="N177" s="352" t="s">
        <v>1109</v>
      </c>
      <c r="O177" s="351">
        <v>7</v>
      </c>
      <c r="P177" s="349" t="s">
        <v>1836</v>
      </c>
      <c r="R177" s="349">
        <f t="shared" si="2"/>
        <v>9</v>
      </c>
      <c r="S177" s="352"/>
      <c r="T177" s="352"/>
      <c r="U177" s="352"/>
      <c r="V177" s="353"/>
      <c r="W177" s="352"/>
      <c r="X177" s="176"/>
      <c r="Y177" s="176"/>
      <c r="Z177" s="352"/>
      <c r="AA177" s="352"/>
      <c r="AB177" s="352"/>
      <c r="AC177" s="352"/>
      <c r="AD177" s="352"/>
    </row>
    <row r="178" spans="1:30" ht="38.450000000000003" hidden="1" x14ac:dyDescent="0.35">
      <c r="A178" s="349">
        <v>177</v>
      </c>
      <c r="B178" s="352" t="s">
        <v>696</v>
      </c>
      <c r="C178" s="351" t="s">
        <v>3688</v>
      </c>
      <c r="D178" s="352" t="s">
        <v>3688</v>
      </c>
      <c r="E178" s="352" t="s">
        <v>697</v>
      </c>
      <c r="F178" s="353">
        <v>28.78</v>
      </c>
      <c r="G178" s="352" t="s">
        <v>2126</v>
      </c>
      <c r="H178" s="176" t="s">
        <v>3689</v>
      </c>
      <c r="I178" s="176" t="s">
        <v>4268</v>
      </c>
      <c r="J178" s="352" t="s">
        <v>3579</v>
      </c>
      <c r="K178" s="352">
        <v>40</v>
      </c>
      <c r="L178" s="352" t="s">
        <v>1116</v>
      </c>
      <c r="M178" s="352">
        <v>15</v>
      </c>
      <c r="N178" s="352" t="s">
        <v>1109</v>
      </c>
      <c r="O178" s="351">
        <v>40</v>
      </c>
      <c r="P178" s="349" t="s">
        <v>1836</v>
      </c>
      <c r="R178" s="349">
        <f t="shared" si="2"/>
        <v>12</v>
      </c>
      <c r="S178" s="352"/>
      <c r="T178" s="352"/>
      <c r="U178" s="352"/>
      <c r="V178" s="353"/>
      <c r="W178" s="352"/>
      <c r="X178" s="176"/>
      <c r="Y178" s="176"/>
      <c r="Z178" s="352"/>
      <c r="AA178" s="352"/>
      <c r="AB178" s="352"/>
      <c r="AC178" s="352"/>
      <c r="AD178" s="352"/>
    </row>
    <row r="179" spans="1:30" ht="38.450000000000003" hidden="1" x14ac:dyDescent="0.35">
      <c r="A179" s="349">
        <v>178</v>
      </c>
      <c r="B179" s="352" t="s">
        <v>696</v>
      </c>
      <c r="C179" s="351" t="s">
        <v>3688</v>
      </c>
      <c r="D179" s="352" t="s">
        <v>3688</v>
      </c>
      <c r="E179" s="352" t="s">
        <v>1995</v>
      </c>
      <c r="F179" s="353">
        <v>6.17</v>
      </c>
      <c r="G179" s="352" t="s">
        <v>2126</v>
      </c>
      <c r="H179" s="176" t="s">
        <v>3689</v>
      </c>
      <c r="I179" s="176" t="s">
        <v>4268</v>
      </c>
      <c r="J179" s="352" t="s">
        <v>3580</v>
      </c>
      <c r="K179" s="352">
        <v>250</v>
      </c>
      <c r="L179" s="352" t="s">
        <v>3581</v>
      </c>
      <c r="M179" s="351"/>
      <c r="N179" s="351"/>
      <c r="O179" s="351">
        <v>250</v>
      </c>
      <c r="P179" s="349" t="s">
        <v>1836</v>
      </c>
      <c r="R179" s="349">
        <f t="shared" si="2"/>
        <v>12</v>
      </c>
      <c r="S179" s="352"/>
      <c r="T179" s="352"/>
      <c r="U179" s="352"/>
      <c r="V179" s="353"/>
      <c r="W179" s="352"/>
      <c r="X179" s="176"/>
      <c r="Y179" s="176"/>
      <c r="Z179" s="352"/>
      <c r="AA179" s="352"/>
      <c r="AB179" s="352"/>
      <c r="AC179" s="352"/>
      <c r="AD179" s="352"/>
    </row>
    <row r="180" spans="1:30" ht="38.450000000000003" hidden="1" x14ac:dyDescent="0.35">
      <c r="A180" s="349">
        <v>179</v>
      </c>
      <c r="B180" s="352" t="s">
        <v>696</v>
      </c>
      <c r="C180" s="351" t="s">
        <v>3688</v>
      </c>
      <c r="D180" s="352" t="s">
        <v>3688</v>
      </c>
      <c r="E180" s="352" t="s">
        <v>1995</v>
      </c>
      <c r="F180" s="353">
        <v>8.84</v>
      </c>
      <c r="G180" s="352" t="s">
        <v>2126</v>
      </c>
      <c r="H180" s="176" t="s">
        <v>3689</v>
      </c>
      <c r="I180" s="176" t="s">
        <v>4268</v>
      </c>
      <c r="J180" s="352" t="s">
        <v>3580</v>
      </c>
      <c r="K180" s="352">
        <v>500</v>
      </c>
      <c r="L180" s="352" t="s">
        <v>3581</v>
      </c>
      <c r="M180" s="351"/>
      <c r="N180" s="351"/>
      <c r="O180" s="351">
        <v>500</v>
      </c>
      <c r="P180" s="349" t="s">
        <v>1836</v>
      </c>
      <c r="R180" s="349">
        <f t="shared" si="2"/>
        <v>12</v>
      </c>
      <c r="S180" s="352"/>
      <c r="T180" s="352"/>
      <c r="U180" s="352"/>
      <c r="V180" s="353"/>
      <c r="W180" s="352"/>
      <c r="X180" s="176"/>
      <c r="Y180" s="176"/>
      <c r="Z180" s="352"/>
      <c r="AA180" s="352"/>
      <c r="AB180" s="352"/>
      <c r="AC180" s="352"/>
      <c r="AD180" s="352"/>
    </row>
    <row r="181" spans="1:30" ht="89.75" hidden="1" x14ac:dyDescent="0.35">
      <c r="A181" s="349">
        <v>180</v>
      </c>
      <c r="B181" s="352" t="s">
        <v>694</v>
      </c>
      <c r="C181" s="351" t="s">
        <v>4899</v>
      </c>
      <c r="D181" s="352" t="s">
        <v>5037</v>
      </c>
      <c r="E181" s="352" t="s">
        <v>3209</v>
      </c>
      <c r="F181" s="353">
        <v>8.7486999999999995</v>
      </c>
      <c r="G181" s="352" t="s">
        <v>34</v>
      </c>
      <c r="H181" s="176" t="s">
        <v>248</v>
      </c>
      <c r="I181" s="176" t="s">
        <v>4470</v>
      </c>
      <c r="J181" s="352" t="s">
        <v>4025</v>
      </c>
      <c r="K181" s="351"/>
      <c r="L181" s="351"/>
      <c r="M181" s="352">
        <v>5</v>
      </c>
      <c r="N181" s="352" t="s">
        <v>1109</v>
      </c>
      <c r="O181" s="351">
        <v>0</v>
      </c>
      <c r="P181" s="349" t="s">
        <v>1837</v>
      </c>
      <c r="R181" s="349">
        <f t="shared" si="2"/>
        <v>31</v>
      </c>
      <c r="S181" s="352"/>
      <c r="T181" s="352"/>
      <c r="U181" s="352"/>
      <c r="V181" s="353"/>
      <c r="W181" s="352"/>
      <c r="X181" s="176"/>
      <c r="Y181" s="176"/>
      <c r="Z181" s="352"/>
      <c r="AA181" s="352"/>
      <c r="AB181" s="352"/>
      <c r="AC181" s="352"/>
      <c r="AD181" s="352"/>
    </row>
    <row r="182" spans="1:30" ht="89.75" hidden="1" x14ac:dyDescent="0.35">
      <c r="A182" s="349">
        <v>181</v>
      </c>
      <c r="B182" s="352" t="s">
        <v>694</v>
      </c>
      <c r="C182" s="351" t="s">
        <v>247</v>
      </c>
      <c r="D182" s="352" t="s">
        <v>5037</v>
      </c>
      <c r="E182" s="352" t="s">
        <v>3209</v>
      </c>
      <c r="F182" s="353">
        <v>8.7486999999999995</v>
      </c>
      <c r="G182" s="352" t="s">
        <v>34</v>
      </c>
      <c r="H182" s="176" t="s">
        <v>248</v>
      </c>
      <c r="I182" s="176" t="s">
        <v>4470</v>
      </c>
      <c r="J182" s="352" t="s">
        <v>4025</v>
      </c>
      <c r="K182" s="351"/>
      <c r="L182" s="351"/>
      <c r="M182" s="352">
        <v>5</v>
      </c>
      <c r="N182" s="352" t="s">
        <v>1109</v>
      </c>
      <c r="O182" s="351">
        <v>0</v>
      </c>
      <c r="P182" s="349" t="s">
        <v>1837</v>
      </c>
      <c r="R182" s="349">
        <f t="shared" si="2"/>
        <v>31</v>
      </c>
      <c r="S182" s="352"/>
      <c r="T182" s="352"/>
      <c r="U182" s="352"/>
      <c r="V182" s="353"/>
      <c r="W182" s="352"/>
      <c r="X182" s="176"/>
      <c r="Y182" s="176"/>
      <c r="Z182" s="352"/>
      <c r="AA182" s="352"/>
      <c r="AB182" s="352"/>
      <c r="AC182" s="352"/>
      <c r="AD182" s="352"/>
    </row>
    <row r="183" spans="1:30" ht="76.900000000000006" hidden="1" x14ac:dyDescent="0.35">
      <c r="A183" s="349">
        <v>182</v>
      </c>
      <c r="B183" s="352" t="s">
        <v>2047</v>
      </c>
      <c r="C183" s="351" t="s">
        <v>3901</v>
      </c>
      <c r="D183" s="352" t="s">
        <v>3901</v>
      </c>
      <c r="E183" s="352" t="s">
        <v>1995</v>
      </c>
      <c r="F183" s="353">
        <v>0.35260000000000002</v>
      </c>
      <c r="G183" s="352" t="s">
        <v>2126</v>
      </c>
      <c r="H183" s="176" t="s">
        <v>1866</v>
      </c>
      <c r="I183" s="176" t="s">
        <v>777</v>
      </c>
      <c r="J183" s="352" t="s">
        <v>3580</v>
      </c>
      <c r="K183" s="352">
        <v>5</v>
      </c>
      <c r="L183" s="352" t="s">
        <v>3581</v>
      </c>
      <c r="M183" s="351"/>
      <c r="N183" s="351"/>
      <c r="O183" s="351">
        <v>5</v>
      </c>
      <c r="P183" s="349" t="s">
        <v>1836</v>
      </c>
      <c r="R183" s="349">
        <f t="shared" si="2"/>
        <v>8</v>
      </c>
      <c r="S183" s="352"/>
      <c r="T183" s="352"/>
      <c r="U183" s="352"/>
      <c r="V183" s="353"/>
      <c r="W183" s="352"/>
      <c r="X183" s="176"/>
      <c r="Y183" s="176"/>
      <c r="Z183" s="352"/>
      <c r="AA183" s="352"/>
      <c r="AB183" s="352"/>
      <c r="AC183" s="352"/>
      <c r="AD183" s="352"/>
    </row>
    <row r="184" spans="1:30" ht="76.900000000000006" hidden="1" x14ac:dyDescent="0.35">
      <c r="A184" s="349">
        <v>183</v>
      </c>
      <c r="B184" s="352" t="s">
        <v>2047</v>
      </c>
      <c r="C184" s="351" t="s">
        <v>3901</v>
      </c>
      <c r="D184" s="352" t="s">
        <v>3901</v>
      </c>
      <c r="E184" s="352" t="s">
        <v>1995</v>
      </c>
      <c r="F184" s="353">
        <v>0.28999999999999998</v>
      </c>
      <c r="G184" s="352" t="s">
        <v>2126</v>
      </c>
      <c r="H184" s="176" t="s">
        <v>1866</v>
      </c>
      <c r="I184" s="176" t="s">
        <v>777</v>
      </c>
      <c r="J184" s="352" t="s">
        <v>3580</v>
      </c>
      <c r="K184" s="352">
        <v>10</v>
      </c>
      <c r="L184" s="352" t="s">
        <v>3581</v>
      </c>
      <c r="M184" s="351"/>
      <c r="N184" s="351"/>
      <c r="O184" s="351">
        <v>10</v>
      </c>
      <c r="P184" s="349" t="s">
        <v>1836</v>
      </c>
      <c r="R184" s="349">
        <f t="shared" si="2"/>
        <v>8</v>
      </c>
      <c r="S184" s="352"/>
      <c r="T184" s="352"/>
      <c r="U184" s="352"/>
      <c r="V184" s="353"/>
      <c r="W184" s="352"/>
      <c r="X184" s="176"/>
      <c r="Y184" s="176"/>
      <c r="Z184" s="352"/>
      <c r="AA184" s="352"/>
      <c r="AB184" s="352"/>
      <c r="AC184" s="352"/>
      <c r="AD184" s="352"/>
    </row>
    <row r="185" spans="1:30" ht="76.900000000000006" hidden="1" x14ac:dyDescent="0.35">
      <c r="A185" s="349">
        <v>184</v>
      </c>
      <c r="B185" s="352" t="s">
        <v>2047</v>
      </c>
      <c r="C185" s="351" t="s">
        <v>3901</v>
      </c>
      <c r="D185" s="352" t="s">
        <v>3901</v>
      </c>
      <c r="E185" s="352" t="s">
        <v>1995</v>
      </c>
      <c r="F185" s="353">
        <v>0.66110000000000002</v>
      </c>
      <c r="G185" s="352" t="s">
        <v>2126</v>
      </c>
      <c r="H185" s="176" t="s">
        <v>1866</v>
      </c>
      <c r="I185" s="176" t="s">
        <v>777</v>
      </c>
      <c r="J185" s="352" t="s">
        <v>3580</v>
      </c>
      <c r="K185" s="352">
        <v>25</v>
      </c>
      <c r="L185" s="352" t="s">
        <v>3581</v>
      </c>
      <c r="M185" s="351"/>
      <c r="N185" s="351"/>
      <c r="O185" s="351">
        <v>25</v>
      </c>
      <c r="P185" s="349" t="s">
        <v>1836</v>
      </c>
      <c r="R185" s="349">
        <f t="shared" si="2"/>
        <v>8</v>
      </c>
      <c r="S185" s="352"/>
      <c r="T185" s="352"/>
      <c r="U185" s="352"/>
      <c r="V185" s="353"/>
      <c r="W185" s="352"/>
      <c r="X185" s="176"/>
      <c r="Y185" s="176"/>
      <c r="Z185" s="352"/>
      <c r="AA185" s="352"/>
      <c r="AB185" s="352"/>
      <c r="AC185" s="352"/>
      <c r="AD185" s="352"/>
    </row>
    <row r="186" spans="1:30" ht="205.1" hidden="1" x14ac:dyDescent="0.35">
      <c r="A186" s="349">
        <v>185</v>
      </c>
      <c r="B186" s="352" t="s">
        <v>2128</v>
      </c>
      <c r="C186" s="351" t="s">
        <v>4900</v>
      </c>
      <c r="D186" s="352" t="s">
        <v>3441</v>
      </c>
      <c r="E186" s="352" t="s">
        <v>1114</v>
      </c>
      <c r="F186" s="353">
        <v>3.5259</v>
      </c>
      <c r="G186" s="352" t="s">
        <v>1107</v>
      </c>
      <c r="H186" s="176" t="s">
        <v>3575</v>
      </c>
      <c r="I186" s="176" t="s">
        <v>4923</v>
      </c>
      <c r="J186" s="352" t="s">
        <v>1115</v>
      </c>
      <c r="K186" s="351"/>
      <c r="L186" s="351"/>
      <c r="M186" s="352">
        <v>5</v>
      </c>
      <c r="N186" s="352" t="s">
        <v>1109</v>
      </c>
      <c r="O186" s="351">
        <v>0</v>
      </c>
      <c r="P186" s="349" t="s">
        <v>1837</v>
      </c>
      <c r="R186" s="349">
        <f t="shared" si="2"/>
        <v>13</v>
      </c>
      <c r="S186" s="352"/>
      <c r="T186" s="352"/>
      <c r="U186" s="352"/>
      <c r="V186" s="353"/>
      <c r="W186" s="352"/>
      <c r="X186" s="37"/>
      <c r="Y186" s="176"/>
      <c r="Z186" s="352"/>
      <c r="AA186" s="352"/>
      <c r="AB186" s="352"/>
      <c r="AC186" s="352"/>
      <c r="AD186" s="352"/>
    </row>
    <row r="187" spans="1:30" ht="205.1" hidden="1" x14ac:dyDescent="0.35">
      <c r="A187" s="349">
        <v>186</v>
      </c>
      <c r="B187" s="352" t="s">
        <v>2128</v>
      </c>
      <c r="C187" s="351" t="s">
        <v>4900</v>
      </c>
      <c r="D187" s="352" t="s">
        <v>3441</v>
      </c>
      <c r="E187" s="352" t="s">
        <v>2129</v>
      </c>
      <c r="F187" s="353">
        <v>4.8701999999999996</v>
      </c>
      <c r="G187" s="352" t="s">
        <v>2126</v>
      </c>
      <c r="H187" s="176" t="s">
        <v>3222</v>
      </c>
      <c r="I187" s="176" t="s">
        <v>4923</v>
      </c>
      <c r="J187" s="352" t="s">
        <v>3579</v>
      </c>
      <c r="K187" s="351"/>
      <c r="L187" s="351"/>
      <c r="M187" s="352">
        <v>100</v>
      </c>
      <c r="N187" s="352" t="s">
        <v>1109</v>
      </c>
      <c r="O187" s="351">
        <v>0</v>
      </c>
      <c r="P187" s="349" t="s">
        <v>1837</v>
      </c>
      <c r="R187" s="349">
        <f t="shared" si="2"/>
        <v>13</v>
      </c>
      <c r="S187" s="352"/>
      <c r="T187" s="352"/>
      <c r="U187" s="352"/>
      <c r="V187" s="353"/>
      <c r="W187" s="352"/>
      <c r="X187" s="176"/>
      <c r="Y187" s="176"/>
      <c r="Z187" s="352"/>
      <c r="AA187" s="352"/>
      <c r="AB187" s="352"/>
      <c r="AC187" s="352"/>
      <c r="AD187" s="352"/>
    </row>
    <row r="188" spans="1:30" ht="205.1" hidden="1" x14ac:dyDescent="0.35">
      <c r="A188" s="349">
        <v>187</v>
      </c>
      <c r="B188" s="352" t="s">
        <v>2128</v>
      </c>
      <c r="C188" s="351" t="s">
        <v>4900</v>
      </c>
      <c r="D188" s="352" t="s">
        <v>3441</v>
      </c>
      <c r="E188" s="352" t="s">
        <v>1995</v>
      </c>
      <c r="F188" s="353">
        <v>0.1</v>
      </c>
      <c r="G188" s="352" t="s">
        <v>2126</v>
      </c>
      <c r="H188" s="176" t="s">
        <v>3222</v>
      </c>
      <c r="I188" s="176" t="s">
        <v>4923</v>
      </c>
      <c r="J188" s="352" t="s">
        <v>3580</v>
      </c>
      <c r="K188" s="351"/>
      <c r="L188" s="351"/>
      <c r="M188" s="351"/>
      <c r="N188" s="351"/>
      <c r="O188" s="351">
        <v>0</v>
      </c>
      <c r="P188" s="349" t="s">
        <v>2313</v>
      </c>
      <c r="R188" s="349">
        <f t="shared" si="2"/>
        <v>13</v>
      </c>
      <c r="S188" s="352"/>
      <c r="T188" s="352"/>
      <c r="U188" s="352"/>
      <c r="V188" s="353"/>
      <c r="W188" s="352"/>
      <c r="X188" s="176"/>
      <c r="Y188" s="176"/>
      <c r="Z188" s="352"/>
      <c r="AA188" s="352"/>
      <c r="AB188" s="352"/>
      <c r="AC188" s="351"/>
      <c r="AD188" s="351"/>
    </row>
    <row r="189" spans="1:30" ht="205.1" hidden="1" x14ac:dyDescent="0.35">
      <c r="A189" s="349">
        <v>188</v>
      </c>
      <c r="B189" s="352" t="s">
        <v>2128</v>
      </c>
      <c r="C189" s="351" t="s">
        <v>4900</v>
      </c>
      <c r="D189" s="352" t="s">
        <v>3441</v>
      </c>
      <c r="E189" s="352" t="s">
        <v>1995</v>
      </c>
      <c r="F189" s="353">
        <v>0.25</v>
      </c>
      <c r="G189" s="352" t="s">
        <v>2126</v>
      </c>
      <c r="H189" s="176" t="s">
        <v>3222</v>
      </c>
      <c r="I189" s="176" t="s">
        <v>4923</v>
      </c>
      <c r="J189" s="352" t="s">
        <v>3580</v>
      </c>
      <c r="K189" s="351"/>
      <c r="L189" s="351"/>
      <c r="M189" s="352"/>
      <c r="N189" s="352"/>
      <c r="O189" s="351">
        <v>0</v>
      </c>
      <c r="P189" s="349" t="s">
        <v>2313</v>
      </c>
      <c r="R189" s="349">
        <f t="shared" si="2"/>
        <v>13</v>
      </c>
      <c r="S189" s="352"/>
      <c r="T189" s="352"/>
      <c r="U189" s="352"/>
      <c r="V189" s="353"/>
      <c r="W189" s="352"/>
      <c r="X189" s="176"/>
      <c r="Y189" s="176"/>
      <c r="Z189" s="352"/>
      <c r="AA189" s="352"/>
      <c r="AB189" s="352"/>
      <c r="AC189" s="352"/>
      <c r="AD189" s="352"/>
    </row>
    <row r="190" spans="1:30" ht="38.450000000000003" hidden="1" x14ac:dyDescent="0.35">
      <c r="A190" s="349">
        <v>189</v>
      </c>
      <c r="B190" s="352" t="s">
        <v>3090</v>
      </c>
      <c r="C190" s="351" t="s">
        <v>4901</v>
      </c>
      <c r="D190" s="352" t="s">
        <v>537</v>
      </c>
      <c r="E190" s="352" t="s">
        <v>2130</v>
      </c>
      <c r="F190" s="353">
        <v>12.34</v>
      </c>
      <c r="G190" s="352" t="s">
        <v>28</v>
      </c>
      <c r="H190" s="176" t="s">
        <v>3941</v>
      </c>
      <c r="I190" s="176" t="s">
        <v>210</v>
      </c>
      <c r="J190" s="352" t="s">
        <v>2131</v>
      </c>
      <c r="K190" s="352">
        <v>2</v>
      </c>
      <c r="L190" s="352" t="s">
        <v>470</v>
      </c>
      <c r="M190" s="352">
        <v>15</v>
      </c>
      <c r="N190" s="352" t="s">
        <v>31</v>
      </c>
      <c r="O190" s="351">
        <v>2</v>
      </c>
      <c r="P190" s="349" t="s">
        <v>1838</v>
      </c>
      <c r="R190" s="349">
        <f t="shared" si="2"/>
        <v>9</v>
      </c>
      <c r="S190" s="352"/>
      <c r="T190" s="352"/>
      <c r="U190" s="352"/>
      <c r="V190" s="353"/>
      <c r="W190" s="352"/>
      <c r="X190" s="176"/>
      <c r="Y190" s="176"/>
      <c r="Z190" s="352"/>
      <c r="AA190" s="352"/>
      <c r="AB190" s="352"/>
      <c r="AC190" s="352"/>
      <c r="AD190" s="352"/>
    </row>
    <row r="191" spans="1:30" ht="38.450000000000003" hidden="1" x14ac:dyDescent="0.35">
      <c r="A191" s="349">
        <v>190</v>
      </c>
      <c r="B191" s="352" t="s">
        <v>2132</v>
      </c>
      <c r="C191" s="351" t="s">
        <v>4901</v>
      </c>
      <c r="D191" s="352" t="s">
        <v>537</v>
      </c>
      <c r="E191" s="352" t="s">
        <v>2133</v>
      </c>
      <c r="F191" s="353">
        <v>16.4176</v>
      </c>
      <c r="G191" s="352" t="s">
        <v>34</v>
      </c>
      <c r="H191" s="176" t="s">
        <v>3508</v>
      </c>
      <c r="I191" s="176" t="s">
        <v>4363</v>
      </c>
      <c r="J191" s="352" t="s">
        <v>2134</v>
      </c>
      <c r="K191" s="352">
        <v>2</v>
      </c>
      <c r="L191" s="352" t="s">
        <v>470</v>
      </c>
      <c r="M191" s="352">
        <v>3</v>
      </c>
      <c r="N191" s="352" t="s">
        <v>31</v>
      </c>
      <c r="O191" s="351">
        <v>2</v>
      </c>
      <c r="P191" s="349" t="s">
        <v>1838</v>
      </c>
      <c r="R191" s="349">
        <f t="shared" si="2"/>
        <v>9</v>
      </c>
      <c r="S191" s="352"/>
      <c r="T191" s="352"/>
      <c r="U191" s="352"/>
      <c r="V191" s="353"/>
      <c r="W191" s="352"/>
      <c r="X191" s="176"/>
      <c r="Y191" s="176"/>
      <c r="Z191" s="352"/>
      <c r="AA191" s="352"/>
      <c r="AB191" s="352"/>
      <c r="AC191" s="352"/>
      <c r="AD191" s="352"/>
    </row>
    <row r="192" spans="1:30" ht="76.900000000000006" hidden="1" x14ac:dyDescent="0.35">
      <c r="A192" s="349">
        <v>191</v>
      </c>
      <c r="B192" s="352" t="s">
        <v>1310</v>
      </c>
      <c r="C192" s="351" t="s">
        <v>4901</v>
      </c>
      <c r="D192" s="352" t="s">
        <v>537</v>
      </c>
      <c r="E192" s="352" t="s">
        <v>2133</v>
      </c>
      <c r="F192" s="353">
        <v>16.4176</v>
      </c>
      <c r="G192" s="352" t="s">
        <v>34</v>
      </c>
      <c r="H192" s="176" t="s">
        <v>934</v>
      </c>
      <c r="I192" s="176" t="s">
        <v>3984</v>
      </c>
      <c r="J192" s="352" t="s">
        <v>2134</v>
      </c>
      <c r="K192" s="352">
        <v>20</v>
      </c>
      <c r="L192" s="352" t="s">
        <v>1311</v>
      </c>
      <c r="M192" s="352">
        <v>3</v>
      </c>
      <c r="N192" s="352" t="s">
        <v>31</v>
      </c>
      <c r="O192" s="351">
        <v>20</v>
      </c>
      <c r="P192" s="349" t="s">
        <v>1836</v>
      </c>
      <c r="R192" s="349">
        <f t="shared" si="2"/>
        <v>9</v>
      </c>
      <c r="S192" s="352"/>
      <c r="T192" s="352"/>
      <c r="U192" s="352"/>
      <c r="V192" s="353"/>
      <c r="W192" s="352"/>
      <c r="X192" s="176"/>
      <c r="Y192" s="176"/>
      <c r="Z192" s="352"/>
      <c r="AA192" s="352"/>
      <c r="AB192" s="352"/>
      <c r="AC192" s="352"/>
      <c r="AD192" s="352"/>
    </row>
    <row r="193" spans="1:30" ht="38.450000000000003" hidden="1" x14ac:dyDescent="0.35">
      <c r="A193" s="349">
        <v>192</v>
      </c>
      <c r="B193" s="352" t="s">
        <v>2132</v>
      </c>
      <c r="C193" s="351" t="s">
        <v>4901</v>
      </c>
      <c r="D193" s="352" t="s">
        <v>537</v>
      </c>
      <c r="E193" s="352" t="s">
        <v>2130</v>
      </c>
      <c r="F193" s="353">
        <v>12.34</v>
      </c>
      <c r="G193" s="352" t="s">
        <v>34</v>
      </c>
      <c r="H193" s="176" t="s">
        <v>3508</v>
      </c>
      <c r="I193" s="176" t="s">
        <v>4363</v>
      </c>
      <c r="J193" s="352" t="s">
        <v>2131</v>
      </c>
      <c r="K193" s="352">
        <v>2</v>
      </c>
      <c r="L193" s="352" t="s">
        <v>470</v>
      </c>
      <c r="M193" s="352">
        <v>15</v>
      </c>
      <c r="N193" s="352" t="s">
        <v>31</v>
      </c>
      <c r="O193" s="351">
        <v>2</v>
      </c>
      <c r="P193" s="349" t="s">
        <v>1838</v>
      </c>
      <c r="R193" s="349">
        <f t="shared" si="2"/>
        <v>9</v>
      </c>
      <c r="S193" s="352"/>
      <c r="T193" s="352"/>
      <c r="U193" s="352"/>
      <c r="V193" s="353"/>
      <c r="W193" s="352"/>
      <c r="X193" s="176"/>
      <c r="Y193" s="176"/>
      <c r="Z193" s="352"/>
      <c r="AA193" s="352"/>
      <c r="AB193" s="352"/>
      <c r="AC193" s="352"/>
      <c r="AD193" s="352"/>
    </row>
    <row r="194" spans="1:30" ht="25.65" hidden="1" x14ac:dyDescent="0.35">
      <c r="A194" s="349">
        <v>193</v>
      </c>
      <c r="B194" s="352" t="s">
        <v>3090</v>
      </c>
      <c r="C194" s="351" t="s">
        <v>4902</v>
      </c>
      <c r="D194" s="352" t="s">
        <v>537</v>
      </c>
      <c r="E194" s="352" t="s">
        <v>2133</v>
      </c>
      <c r="F194" s="353">
        <v>16.420000000000002</v>
      </c>
      <c r="G194" s="352" t="s">
        <v>1312</v>
      </c>
      <c r="H194" s="176" t="s">
        <v>237</v>
      </c>
      <c r="I194" s="176" t="s">
        <v>238</v>
      </c>
      <c r="J194" s="352" t="s">
        <v>2134</v>
      </c>
      <c r="K194" s="352">
        <v>2</v>
      </c>
      <c r="L194" s="352" t="s">
        <v>470</v>
      </c>
      <c r="M194" s="352">
        <v>3</v>
      </c>
      <c r="N194" s="352" t="s">
        <v>31</v>
      </c>
      <c r="O194" s="351">
        <v>2</v>
      </c>
      <c r="P194" s="349" t="s">
        <v>1838</v>
      </c>
      <c r="R194" s="349">
        <f t="shared" si="2"/>
        <v>9</v>
      </c>
      <c r="S194" s="352"/>
      <c r="T194" s="352"/>
      <c r="U194" s="352"/>
      <c r="V194" s="353"/>
      <c r="W194" s="352"/>
      <c r="X194" s="176"/>
      <c r="Y194" s="176"/>
      <c r="Z194" s="352"/>
      <c r="AA194" s="352"/>
      <c r="AB194" s="352"/>
      <c r="AC194" s="352"/>
      <c r="AD194" s="352"/>
    </row>
    <row r="195" spans="1:30" ht="64.099999999999994" hidden="1" x14ac:dyDescent="0.35">
      <c r="A195" s="349">
        <v>194</v>
      </c>
      <c r="B195" s="352" t="s">
        <v>746</v>
      </c>
      <c r="C195" s="351" t="s">
        <v>2758</v>
      </c>
      <c r="D195" s="352" t="s">
        <v>2758</v>
      </c>
      <c r="E195" s="352" t="s">
        <v>3328</v>
      </c>
      <c r="F195" s="353">
        <v>45.352400000000003</v>
      </c>
      <c r="G195" s="352" t="s">
        <v>2126</v>
      </c>
      <c r="H195" s="176" t="s">
        <v>193</v>
      </c>
      <c r="I195" s="176" t="s">
        <v>194</v>
      </c>
      <c r="J195" s="352" t="s">
        <v>3329</v>
      </c>
      <c r="K195" s="351"/>
      <c r="L195" s="351"/>
      <c r="M195" s="352">
        <v>2</v>
      </c>
      <c r="N195" s="352" t="s">
        <v>3330</v>
      </c>
      <c r="O195" s="351">
        <v>0</v>
      </c>
      <c r="P195" s="349" t="s">
        <v>2313</v>
      </c>
      <c r="R195" s="349">
        <f t="shared" ref="R195:R258" si="3">LEN(D195)</f>
        <v>13</v>
      </c>
      <c r="S195" s="352"/>
      <c r="T195" s="352"/>
      <c r="U195" s="352"/>
      <c r="V195" s="353"/>
      <c r="W195" s="352"/>
      <c r="X195" s="176"/>
      <c r="Y195" s="176"/>
      <c r="Z195" s="352"/>
      <c r="AA195" s="352"/>
      <c r="AB195" s="352"/>
      <c r="AC195" s="352"/>
      <c r="AD195" s="352"/>
    </row>
    <row r="196" spans="1:30" ht="115.35" hidden="1" x14ac:dyDescent="0.35">
      <c r="A196" s="349">
        <v>195</v>
      </c>
      <c r="B196" s="352" t="s">
        <v>3204</v>
      </c>
      <c r="C196" s="351" t="s">
        <v>688</v>
      </c>
      <c r="D196" s="352" t="s">
        <v>688</v>
      </c>
      <c r="E196" s="352" t="s">
        <v>1997</v>
      </c>
      <c r="F196" s="353">
        <v>2915.0014999999999</v>
      </c>
      <c r="G196" s="352" t="s">
        <v>1107</v>
      </c>
      <c r="H196" s="176" t="s">
        <v>689</v>
      </c>
      <c r="I196" s="176" t="s">
        <v>690</v>
      </c>
      <c r="J196" s="352" t="s">
        <v>1115</v>
      </c>
      <c r="K196" s="352">
        <v>20</v>
      </c>
      <c r="L196" s="352" t="s">
        <v>1464</v>
      </c>
      <c r="M196" s="351"/>
      <c r="N196" s="351"/>
      <c r="O196" s="351">
        <v>20</v>
      </c>
      <c r="P196" s="349" t="s">
        <v>1836</v>
      </c>
      <c r="R196" s="349">
        <f t="shared" si="3"/>
        <v>11</v>
      </c>
      <c r="S196" s="352"/>
      <c r="T196" s="352"/>
      <c r="U196" s="352"/>
      <c r="V196" s="353"/>
      <c r="W196" s="352"/>
      <c r="X196" s="176"/>
      <c r="Y196" s="176"/>
      <c r="Z196" s="352"/>
      <c r="AA196" s="352"/>
      <c r="AB196" s="352"/>
      <c r="AC196" s="352"/>
      <c r="AD196" s="352"/>
    </row>
    <row r="197" spans="1:30" ht="51.3" hidden="1" x14ac:dyDescent="0.35">
      <c r="A197" s="349">
        <v>196</v>
      </c>
      <c r="B197" s="352" t="s">
        <v>2373</v>
      </c>
      <c r="C197" s="351" t="s">
        <v>2986</v>
      </c>
      <c r="D197" s="352" t="s">
        <v>2986</v>
      </c>
      <c r="E197" s="352" t="s">
        <v>2374</v>
      </c>
      <c r="F197" s="353">
        <v>1.5646</v>
      </c>
      <c r="G197" s="352" t="s">
        <v>3034</v>
      </c>
      <c r="H197" s="176" t="s">
        <v>1122</v>
      </c>
      <c r="I197" s="176" t="s">
        <v>1123</v>
      </c>
      <c r="J197" s="352" t="s">
        <v>2375</v>
      </c>
      <c r="K197" s="352">
        <v>100</v>
      </c>
      <c r="L197" s="352" t="s">
        <v>2376</v>
      </c>
      <c r="M197" s="352">
        <v>8</v>
      </c>
      <c r="N197" s="352" t="s">
        <v>2377</v>
      </c>
      <c r="O197" s="351">
        <v>100</v>
      </c>
      <c r="P197" s="349" t="s">
        <v>1850</v>
      </c>
      <c r="R197" s="349">
        <f t="shared" si="3"/>
        <v>12</v>
      </c>
      <c r="S197" s="352"/>
      <c r="T197" s="352"/>
      <c r="U197" s="352"/>
      <c r="V197" s="353"/>
      <c r="W197" s="352"/>
      <c r="X197" s="37"/>
      <c r="Y197" s="176"/>
      <c r="Z197" s="352"/>
      <c r="AA197" s="351"/>
      <c r="AB197" s="351"/>
      <c r="AC197" s="352"/>
      <c r="AD197" s="352"/>
    </row>
    <row r="198" spans="1:30" ht="51.3" hidden="1" x14ac:dyDescent="0.35">
      <c r="A198" s="349">
        <v>197</v>
      </c>
      <c r="B198" s="352" t="s">
        <v>2373</v>
      </c>
      <c r="C198" s="351" t="s">
        <v>2986</v>
      </c>
      <c r="D198" s="352" t="s">
        <v>2986</v>
      </c>
      <c r="E198" s="352" t="s">
        <v>2374</v>
      </c>
      <c r="F198" s="353">
        <v>3.3275999999999999</v>
      </c>
      <c r="G198" s="352" t="s">
        <v>3034</v>
      </c>
      <c r="H198" s="176" t="s">
        <v>1122</v>
      </c>
      <c r="I198" s="176" t="s">
        <v>1123</v>
      </c>
      <c r="J198" s="352" t="s">
        <v>2375</v>
      </c>
      <c r="K198" s="352">
        <v>200</v>
      </c>
      <c r="L198" s="352" t="s">
        <v>2376</v>
      </c>
      <c r="M198" s="352">
        <v>8</v>
      </c>
      <c r="N198" s="352" t="s">
        <v>2377</v>
      </c>
      <c r="O198" s="351">
        <v>200</v>
      </c>
      <c r="P198" s="349" t="s">
        <v>1850</v>
      </c>
      <c r="R198" s="349">
        <f t="shared" si="3"/>
        <v>12</v>
      </c>
      <c r="S198" s="352"/>
      <c r="T198" s="352"/>
      <c r="U198" s="352"/>
      <c r="V198" s="353"/>
      <c r="W198" s="352"/>
      <c r="X198" s="176"/>
      <c r="Y198" s="176"/>
      <c r="Z198" s="352"/>
      <c r="AA198" s="352"/>
      <c r="AB198" s="352"/>
      <c r="AC198" s="352"/>
      <c r="AD198" s="352"/>
    </row>
    <row r="199" spans="1:30" ht="51.3" hidden="1" x14ac:dyDescent="0.35">
      <c r="A199" s="349">
        <v>198</v>
      </c>
      <c r="B199" s="352" t="s">
        <v>2373</v>
      </c>
      <c r="C199" s="351" t="s">
        <v>2986</v>
      </c>
      <c r="D199" s="352" t="s">
        <v>2986</v>
      </c>
      <c r="E199" s="352" t="s">
        <v>2374</v>
      </c>
      <c r="F199" s="353">
        <v>6.6551999999999998</v>
      </c>
      <c r="G199" s="352" t="s">
        <v>3034</v>
      </c>
      <c r="H199" s="176" t="s">
        <v>1122</v>
      </c>
      <c r="I199" s="176" t="s">
        <v>1123</v>
      </c>
      <c r="J199" s="352" t="s">
        <v>2375</v>
      </c>
      <c r="K199" s="352">
        <v>400</v>
      </c>
      <c r="L199" s="352" t="s">
        <v>2376</v>
      </c>
      <c r="M199" s="352">
        <v>8</v>
      </c>
      <c r="N199" s="352" t="s">
        <v>2377</v>
      </c>
      <c r="O199" s="351">
        <v>400</v>
      </c>
      <c r="P199" s="349" t="s">
        <v>1850</v>
      </c>
      <c r="R199" s="349">
        <f t="shared" si="3"/>
        <v>12</v>
      </c>
      <c r="S199" s="352"/>
      <c r="T199" s="352"/>
      <c r="U199" s="352"/>
      <c r="V199" s="353"/>
      <c r="W199" s="352"/>
      <c r="X199" s="176"/>
      <c r="Y199" s="176"/>
      <c r="Z199" s="352"/>
      <c r="AA199" s="352"/>
      <c r="AB199" s="352"/>
      <c r="AC199" s="351"/>
      <c r="AD199" s="351"/>
    </row>
    <row r="200" spans="1:30" ht="64.099999999999994" hidden="1" x14ac:dyDescent="0.35">
      <c r="A200" s="349">
        <v>199</v>
      </c>
      <c r="B200" s="352" t="s">
        <v>2373</v>
      </c>
      <c r="C200" s="351" t="s">
        <v>2986</v>
      </c>
      <c r="D200" s="352" t="s">
        <v>2986</v>
      </c>
      <c r="E200" s="352" t="s">
        <v>2378</v>
      </c>
      <c r="F200" s="353">
        <v>20.4725</v>
      </c>
      <c r="G200" s="352" t="s">
        <v>3034</v>
      </c>
      <c r="H200" s="176" t="s">
        <v>1120</v>
      </c>
      <c r="I200" s="176" t="s">
        <v>1121</v>
      </c>
      <c r="J200" s="352" t="s">
        <v>3215</v>
      </c>
      <c r="K200" s="352">
        <v>100</v>
      </c>
      <c r="L200" s="352" t="s">
        <v>3216</v>
      </c>
      <c r="M200" s="352">
        <v>100</v>
      </c>
      <c r="N200" s="352" t="s">
        <v>1656</v>
      </c>
      <c r="O200" s="351">
        <v>100</v>
      </c>
      <c r="P200" s="349" t="s">
        <v>1850</v>
      </c>
      <c r="R200" s="349">
        <f t="shared" si="3"/>
        <v>12</v>
      </c>
      <c r="S200" s="352"/>
      <c r="T200" s="352"/>
      <c r="U200" s="352"/>
      <c r="V200" s="353"/>
      <c r="W200" s="352"/>
      <c r="X200" s="37"/>
      <c r="Y200" s="176"/>
      <c r="Z200" s="352"/>
      <c r="AA200" s="351"/>
      <c r="AB200" s="351"/>
      <c r="AC200" s="352"/>
      <c r="AD200" s="352"/>
    </row>
    <row r="201" spans="1:30" ht="64.099999999999994" hidden="1" x14ac:dyDescent="0.35">
      <c r="A201" s="349">
        <v>200</v>
      </c>
      <c r="B201" s="352" t="s">
        <v>2373</v>
      </c>
      <c r="C201" s="351" t="s">
        <v>2986</v>
      </c>
      <c r="D201" s="352" t="s">
        <v>2986</v>
      </c>
      <c r="E201" s="352" t="s">
        <v>2379</v>
      </c>
      <c r="F201" s="353">
        <v>19.591000000000001</v>
      </c>
      <c r="G201" s="352" t="s">
        <v>3034</v>
      </c>
      <c r="H201" s="176" t="s">
        <v>1120</v>
      </c>
      <c r="I201" s="176" t="s">
        <v>1121</v>
      </c>
      <c r="J201" s="352" t="s">
        <v>3215</v>
      </c>
      <c r="K201" s="352">
        <v>50</v>
      </c>
      <c r="L201" s="352" t="s">
        <v>3216</v>
      </c>
      <c r="M201" s="352">
        <v>200</v>
      </c>
      <c r="N201" s="352" t="s">
        <v>1656</v>
      </c>
      <c r="O201" s="351">
        <v>50</v>
      </c>
      <c r="P201" s="349" t="s">
        <v>1850</v>
      </c>
      <c r="R201" s="349">
        <f t="shared" si="3"/>
        <v>12</v>
      </c>
      <c r="S201" s="352"/>
      <c r="T201" s="352"/>
      <c r="U201" s="352"/>
      <c r="V201" s="353"/>
      <c r="W201" s="352"/>
      <c r="X201" s="176"/>
      <c r="Y201" s="176"/>
      <c r="Z201" s="352"/>
      <c r="AA201" s="352"/>
      <c r="AB201" s="352"/>
      <c r="AC201" s="352"/>
      <c r="AD201" s="352"/>
    </row>
    <row r="202" spans="1:30" ht="64.099999999999994" hidden="1" x14ac:dyDescent="0.35">
      <c r="A202" s="349">
        <v>201</v>
      </c>
      <c r="B202" s="352" t="s">
        <v>2373</v>
      </c>
      <c r="C202" s="351" t="s">
        <v>2986</v>
      </c>
      <c r="D202" s="352" t="s">
        <v>2986</v>
      </c>
      <c r="E202" s="352" t="s">
        <v>2380</v>
      </c>
      <c r="F202" s="353">
        <v>73.075000000000003</v>
      </c>
      <c r="G202" s="352" t="s">
        <v>3034</v>
      </c>
      <c r="H202" s="176" t="s">
        <v>1120</v>
      </c>
      <c r="I202" s="176" t="s">
        <v>1121</v>
      </c>
      <c r="J202" s="352" t="s">
        <v>2381</v>
      </c>
      <c r="K202" s="352">
        <v>250</v>
      </c>
      <c r="L202" s="352" t="s">
        <v>3216</v>
      </c>
      <c r="M202" s="352">
        <v>200</v>
      </c>
      <c r="N202" s="352" t="s">
        <v>1656</v>
      </c>
      <c r="O202" s="351">
        <v>250</v>
      </c>
      <c r="P202" s="349" t="s">
        <v>1850</v>
      </c>
      <c r="R202" s="349">
        <f t="shared" si="3"/>
        <v>12</v>
      </c>
      <c r="S202" s="352"/>
      <c r="T202" s="352"/>
      <c r="U202" s="352"/>
      <c r="V202" s="353"/>
      <c r="W202" s="352"/>
      <c r="X202" s="176"/>
      <c r="Y202" s="176"/>
      <c r="Z202" s="352"/>
      <c r="AA202" s="352"/>
      <c r="AB202" s="352"/>
      <c r="AC202" s="352"/>
      <c r="AD202" s="352"/>
    </row>
    <row r="203" spans="1:30" ht="64.099999999999994" hidden="1" x14ac:dyDescent="0.35">
      <c r="A203" s="349">
        <v>202</v>
      </c>
      <c r="B203" s="352" t="s">
        <v>2373</v>
      </c>
      <c r="C203" s="351" t="s">
        <v>4903</v>
      </c>
      <c r="D203" s="352" t="s">
        <v>2986</v>
      </c>
      <c r="E203" s="352" t="s">
        <v>2378</v>
      </c>
      <c r="F203" s="353">
        <v>20.4725</v>
      </c>
      <c r="G203" s="352" t="s">
        <v>3034</v>
      </c>
      <c r="H203" s="176" t="s">
        <v>1120</v>
      </c>
      <c r="I203" s="176" t="s">
        <v>1121</v>
      </c>
      <c r="J203" s="352" t="s">
        <v>3215</v>
      </c>
      <c r="K203" s="352">
        <v>100</v>
      </c>
      <c r="L203" s="352" t="s">
        <v>3216</v>
      </c>
      <c r="M203" s="352">
        <v>100</v>
      </c>
      <c r="N203" s="352" t="s">
        <v>1656</v>
      </c>
      <c r="O203" s="351">
        <v>100</v>
      </c>
      <c r="P203" s="349" t="s">
        <v>1850</v>
      </c>
      <c r="R203" s="349">
        <f t="shared" si="3"/>
        <v>12</v>
      </c>
      <c r="S203" s="352"/>
      <c r="T203" s="352"/>
      <c r="U203" s="352"/>
      <c r="V203" s="353"/>
      <c r="W203" s="352"/>
      <c r="X203" s="176"/>
      <c r="Y203" s="176"/>
      <c r="Z203" s="352"/>
      <c r="AA203" s="352"/>
      <c r="AB203" s="352"/>
      <c r="AC203" s="352"/>
      <c r="AD203" s="352"/>
    </row>
    <row r="204" spans="1:30" ht="64.099999999999994" hidden="1" x14ac:dyDescent="0.35">
      <c r="A204" s="349">
        <v>203</v>
      </c>
      <c r="B204" s="352" t="s">
        <v>2373</v>
      </c>
      <c r="C204" s="351" t="s">
        <v>4903</v>
      </c>
      <c r="D204" s="352" t="s">
        <v>2986</v>
      </c>
      <c r="E204" s="352" t="s">
        <v>2379</v>
      </c>
      <c r="F204" s="353">
        <v>19.591000000000001</v>
      </c>
      <c r="G204" s="352" t="s">
        <v>3034</v>
      </c>
      <c r="H204" s="176" t="s">
        <v>1120</v>
      </c>
      <c r="I204" s="176" t="s">
        <v>1121</v>
      </c>
      <c r="J204" s="352" t="s">
        <v>3215</v>
      </c>
      <c r="K204" s="352">
        <v>50</v>
      </c>
      <c r="L204" s="352" t="s">
        <v>3216</v>
      </c>
      <c r="M204" s="352">
        <v>200</v>
      </c>
      <c r="N204" s="352" t="s">
        <v>1656</v>
      </c>
      <c r="O204" s="351">
        <v>50</v>
      </c>
      <c r="P204" s="349" t="s">
        <v>1850</v>
      </c>
      <c r="R204" s="349">
        <f t="shared" si="3"/>
        <v>12</v>
      </c>
      <c r="S204" s="352"/>
      <c r="T204" s="352"/>
      <c r="U204" s="352"/>
      <c r="V204" s="353"/>
      <c r="W204" s="352"/>
      <c r="X204" s="176"/>
      <c r="Y204" s="176"/>
      <c r="Z204" s="352"/>
      <c r="AA204" s="352"/>
      <c r="AB204" s="352"/>
      <c r="AC204" s="351"/>
      <c r="AD204" s="351"/>
    </row>
    <row r="205" spans="1:30" ht="64.099999999999994" hidden="1" x14ac:dyDescent="0.35">
      <c r="A205" s="349">
        <v>204</v>
      </c>
      <c r="B205" s="352" t="s">
        <v>2373</v>
      </c>
      <c r="C205" s="351" t="s">
        <v>4903</v>
      </c>
      <c r="D205" s="352" t="s">
        <v>2986</v>
      </c>
      <c r="E205" s="352" t="s">
        <v>2380</v>
      </c>
      <c r="F205" s="353">
        <v>73.075000000000003</v>
      </c>
      <c r="G205" s="352" t="s">
        <v>3034</v>
      </c>
      <c r="H205" s="176" t="s">
        <v>1120</v>
      </c>
      <c r="I205" s="176" t="s">
        <v>1121</v>
      </c>
      <c r="J205" s="352" t="s">
        <v>2381</v>
      </c>
      <c r="K205" s="352">
        <v>250</v>
      </c>
      <c r="L205" s="352" t="s">
        <v>3216</v>
      </c>
      <c r="M205" s="352">
        <v>200</v>
      </c>
      <c r="N205" s="352" t="s">
        <v>1656</v>
      </c>
      <c r="O205" s="351">
        <v>250</v>
      </c>
      <c r="P205" s="349" t="s">
        <v>1850</v>
      </c>
      <c r="R205" s="349">
        <f t="shared" si="3"/>
        <v>12</v>
      </c>
      <c r="S205" s="352"/>
      <c r="T205" s="352"/>
      <c r="U205" s="352"/>
      <c r="V205" s="353"/>
      <c r="W205" s="352"/>
      <c r="X205" s="176"/>
      <c r="Y205" s="176"/>
      <c r="Z205" s="352"/>
      <c r="AA205" s="352"/>
      <c r="AB205" s="352"/>
      <c r="AC205" s="352"/>
      <c r="AD205" s="352"/>
    </row>
    <row r="206" spans="1:30" ht="51.3" hidden="1" x14ac:dyDescent="0.35">
      <c r="A206" s="349">
        <v>205</v>
      </c>
      <c r="B206" s="352" t="s">
        <v>2373</v>
      </c>
      <c r="C206" s="351" t="s">
        <v>4904</v>
      </c>
      <c r="D206" s="352" t="s">
        <v>2986</v>
      </c>
      <c r="E206" s="352" t="s">
        <v>2374</v>
      </c>
      <c r="F206" s="353">
        <v>1.5646</v>
      </c>
      <c r="G206" s="352" t="s">
        <v>3034</v>
      </c>
      <c r="H206" s="176" t="s">
        <v>1122</v>
      </c>
      <c r="I206" s="176" t="s">
        <v>1123</v>
      </c>
      <c r="J206" s="352" t="s">
        <v>2375</v>
      </c>
      <c r="K206" s="352">
        <v>100</v>
      </c>
      <c r="L206" s="352" t="s">
        <v>2376</v>
      </c>
      <c r="M206" s="352">
        <v>8</v>
      </c>
      <c r="N206" s="352" t="s">
        <v>2377</v>
      </c>
      <c r="O206" s="351">
        <v>100</v>
      </c>
      <c r="P206" s="349" t="s">
        <v>1850</v>
      </c>
      <c r="R206" s="349">
        <f t="shared" si="3"/>
        <v>12</v>
      </c>
      <c r="S206" s="352"/>
      <c r="T206" s="352"/>
      <c r="U206" s="352"/>
      <c r="V206" s="353"/>
      <c r="W206" s="352"/>
      <c r="X206" s="176"/>
      <c r="Y206" s="176"/>
      <c r="Z206" s="352"/>
      <c r="AA206" s="352"/>
      <c r="AB206" s="352"/>
      <c r="AC206" s="352"/>
      <c r="AD206" s="352"/>
    </row>
    <row r="207" spans="1:30" ht="51.3" hidden="1" x14ac:dyDescent="0.35">
      <c r="A207" s="349">
        <v>206</v>
      </c>
      <c r="B207" s="352" t="s">
        <v>2373</v>
      </c>
      <c r="C207" s="351" t="s">
        <v>4904</v>
      </c>
      <c r="D207" s="352" t="s">
        <v>2986</v>
      </c>
      <c r="E207" s="352" t="s">
        <v>2374</v>
      </c>
      <c r="F207" s="353">
        <v>3.3275999999999999</v>
      </c>
      <c r="G207" s="352" t="s">
        <v>3034</v>
      </c>
      <c r="H207" s="176" t="s">
        <v>1122</v>
      </c>
      <c r="I207" s="176" t="s">
        <v>1123</v>
      </c>
      <c r="J207" s="352" t="s">
        <v>2375</v>
      </c>
      <c r="K207" s="352">
        <v>200</v>
      </c>
      <c r="L207" s="352" t="s">
        <v>2376</v>
      </c>
      <c r="M207" s="352">
        <v>8</v>
      </c>
      <c r="N207" s="352" t="s">
        <v>2377</v>
      </c>
      <c r="O207" s="351">
        <v>200</v>
      </c>
      <c r="P207" s="349" t="s">
        <v>1850</v>
      </c>
      <c r="R207" s="349">
        <f t="shared" si="3"/>
        <v>12</v>
      </c>
      <c r="S207" s="352"/>
      <c r="T207" s="352"/>
      <c r="U207" s="352"/>
      <c r="V207" s="353"/>
      <c r="W207" s="352"/>
      <c r="X207" s="176"/>
      <c r="Y207" s="176"/>
      <c r="Z207" s="352"/>
      <c r="AA207" s="352"/>
      <c r="AB207" s="352"/>
      <c r="AC207" s="351"/>
      <c r="AD207" s="351"/>
    </row>
    <row r="208" spans="1:30" ht="51.3" hidden="1" x14ac:dyDescent="0.35">
      <c r="A208" s="349">
        <v>207</v>
      </c>
      <c r="B208" s="352" t="s">
        <v>2373</v>
      </c>
      <c r="C208" s="351" t="s">
        <v>4904</v>
      </c>
      <c r="D208" s="352" t="s">
        <v>2986</v>
      </c>
      <c r="E208" s="352" t="s">
        <v>2374</v>
      </c>
      <c r="F208" s="353">
        <v>6.6551999999999998</v>
      </c>
      <c r="G208" s="352" t="s">
        <v>3034</v>
      </c>
      <c r="H208" s="176" t="s">
        <v>1122</v>
      </c>
      <c r="I208" s="176" t="s">
        <v>1123</v>
      </c>
      <c r="J208" s="352" t="s">
        <v>2375</v>
      </c>
      <c r="K208" s="352">
        <v>400</v>
      </c>
      <c r="L208" s="352" t="s">
        <v>2376</v>
      </c>
      <c r="M208" s="352">
        <v>8</v>
      </c>
      <c r="N208" s="352" t="s">
        <v>2377</v>
      </c>
      <c r="O208" s="351">
        <v>400</v>
      </c>
      <c r="P208" s="349" t="s">
        <v>1850</v>
      </c>
      <c r="R208" s="349">
        <f t="shared" si="3"/>
        <v>12</v>
      </c>
      <c r="S208" s="352"/>
      <c r="T208" s="352"/>
      <c r="U208" s="352"/>
      <c r="V208" s="353"/>
      <c r="W208" s="352"/>
      <c r="X208" s="176"/>
      <c r="Y208" s="176"/>
      <c r="Z208" s="352"/>
      <c r="AA208" s="352"/>
      <c r="AB208" s="352"/>
      <c r="AC208" s="352"/>
      <c r="AD208" s="352"/>
    </row>
    <row r="209" spans="1:30" ht="64.099999999999994" hidden="1" x14ac:dyDescent="0.35">
      <c r="A209" s="349">
        <v>208</v>
      </c>
      <c r="B209" s="352" t="s">
        <v>159</v>
      </c>
      <c r="C209" s="351" t="s">
        <v>4905</v>
      </c>
      <c r="D209" s="352" t="s">
        <v>2367</v>
      </c>
      <c r="E209" s="352" t="s">
        <v>2382</v>
      </c>
      <c r="F209" s="353">
        <v>8.81</v>
      </c>
      <c r="G209" s="352" t="s">
        <v>34</v>
      </c>
      <c r="H209" s="176" t="s">
        <v>2368</v>
      </c>
      <c r="I209" s="176" t="s">
        <v>2369</v>
      </c>
      <c r="J209" s="352" t="s">
        <v>2383</v>
      </c>
      <c r="K209" s="352">
        <v>50</v>
      </c>
      <c r="L209" s="352" t="s">
        <v>1311</v>
      </c>
      <c r="M209" s="352">
        <v>40</v>
      </c>
      <c r="N209" s="352" t="s">
        <v>1109</v>
      </c>
      <c r="O209" s="351">
        <v>50</v>
      </c>
      <c r="P209" s="349" t="s">
        <v>1836</v>
      </c>
      <c r="R209" s="349">
        <f t="shared" si="3"/>
        <v>15</v>
      </c>
      <c r="S209" s="352"/>
      <c r="T209" s="352"/>
      <c r="U209" s="352"/>
      <c r="V209" s="353"/>
      <c r="W209" s="352"/>
      <c r="X209" s="176"/>
      <c r="Y209" s="176"/>
      <c r="Z209" s="352"/>
      <c r="AA209" s="352"/>
      <c r="AB209" s="352"/>
      <c r="AC209" s="352"/>
      <c r="AD209" s="352"/>
    </row>
    <row r="210" spans="1:30" ht="89.75" hidden="1" x14ac:dyDescent="0.35">
      <c r="A210" s="349">
        <v>209</v>
      </c>
      <c r="B210" s="352" t="s">
        <v>831</v>
      </c>
      <c r="C210" s="351" t="s">
        <v>3609</v>
      </c>
      <c r="D210" s="352" t="s">
        <v>3609</v>
      </c>
      <c r="E210" s="352" t="s">
        <v>1997</v>
      </c>
      <c r="F210" s="353">
        <v>22.94</v>
      </c>
      <c r="G210" s="352" t="s">
        <v>2384</v>
      </c>
      <c r="H210" s="176" t="s">
        <v>2287</v>
      </c>
      <c r="I210" s="176" t="s">
        <v>4519</v>
      </c>
      <c r="J210" s="352" t="s">
        <v>1115</v>
      </c>
      <c r="K210" s="352">
        <v>1200000</v>
      </c>
      <c r="L210" s="352" t="s">
        <v>2069</v>
      </c>
      <c r="M210" s="351"/>
      <c r="N210" s="351"/>
      <c r="O210" s="351">
        <v>1200000</v>
      </c>
      <c r="P210" s="349" t="s">
        <v>2030</v>
      </c>
      <c r="R210" s="349">
        <f t="shared" si="3"/>
        <v>28</v>
      </c>
      <c r="S210" s="352"/>
      <c r="T210" s="352"/>
      <c r="U210" s="352"/>
      <c r="V210" s="353"/>
      <c r="W210" s="352"/>
      <c r="X210" s="176"/>
      <c r="Y210" s="176"/>
      <c r="Z210" s="352"/>
      <c r="AA210" s="352"/>
      <c r="AB210" s="352"/>
      <c r="AC210" s="351"/>
      <c r="AD210" s="351"/>
    </row>
    <row r="211" spans="1:30" ht="64.099999999999994" hidden="1" x14ac:dyDescent="0.35">
      <c r="A211" s="349">
        <v>210</v>
      </c>
      <c r="B211" s="352" t="s">
        <v>159</v>
      </c>
      <c r="C211" s="351" t="s">
        <v>2367</v>
      </c>
      <c r="D211" s="352" t="s">
        <v>2367</v>
      </c>
      <c r="E211" s="352" t="s">
        <v>2382</v>
      </c>
      <c r="F211" s="353">
        <v>8.81</v>
      </c>
      <c r="G211" s="352" t="s">
        <v>34</v>
      </c>
      <c r="H211" s="176" t="s">
        <v>2368</v>
      </c>
      <c r="I211" s="176" t="s">
        <v>2369</v>
      </c>
      <c r="J211" s="352" t="s">
        <v>2383</v>
      </c>
      <c r="K211" s="352">
        <v>50</v>
      </c>
      <c r="L211" s="352" t="s">
        <v>1311</v>
      </c>
      <c r="M211" s="352">
        <v>40</v>
      </c>
      <c r="N211" s="352" t="s">
        <v>1109</v>
      </c>
      <c r="O211" s="351">
        <v>50</v>
      </c>
      <c r="P211" s="349" t="s">
        <v>1836</v>
      </c>
      <c r="R211" s="349">
        <f t="shared" si="3"/>
        <v>15</v>
      </c>
      <c r="S211" s="352"/>
      <c r="T211" s="352"/>
      <c r="U211" s="352"/>
      <c r="V211" s="353"/>
      <c r="W211" s="352"/>
      <c r="X211" s="176"/>
      <c r="Y211" s="176"/>
      <c r="Z211" s="352"/>
      <c r="AA211" s="352"/>
      <c r="AB211" s="352"/>
      <c r="AC211" s="352"/>
      <c r="AD211" s="352"/>
    </row>
    <row r="212" spans="1:30" ht="179.45" hidden="1" x14ac:dyDescent="0.35">
      <c r="A212" s="349">
        <v>211</v>
      </c>
      <c r="B212" s="352" t="s">
        <v>831</v>
      </c>
      <c r="C212" s="351" t="s">
        <v>3827</v>
      </c>
      <c r="D212" s="352" t="s">
        <v>3827</v>
      </c>
      <c r="E212" s="352" t="s">
        <v>1997</v>
      </c>
      <c r="F212" s="353">
        <v>1.54</v>
      </c>
      <c r="G212" s="352" t="s">
        <v>1107</v>
      </c>
      <c r="H212" s="176" t="s">
        <v>2085</v>
      </c>
      <c r="I212" s="176" t="s">
        <v>4775</v>
      </c>
      <c r="J212" s="352" t="s">
        <v>1115</v>
      </c>
      <c r="K212" s="352">
        <v>1000000</v>
      </c>
      <c r="L212" s="352" t="s">
        <v>2069</v>
      </c>
      <c r="M212" s="351"/>
      <c r="N212" s="351"/>
      <c r="O212" s="351">
        <v>1000000</v>
      </c>
      <c r="P212" s="349" t="s">
        <v>2030</v>
      </c>
      <c r="R212" s="349">
        <f t="shared" si="3"/>
        <v>17</v>
      </c>
      <c r="S212" s="352"/>
      <c r="T212" s="352"/>
      <c r="U212" s="352"/>
      <c r="V212" s="353"/>
      <c r="W212" s="352"/>
      <c r="X212" s="176"/>
      <c r="Y212" s="176"/>
      <c r="Z212" s="352"/>
      <c r="AA212" s="352"/>
      <c r="AB212" s="352"/>
      <c r="AC212" s="352"/>
      <c r="AD212" s="352"/>
    </row>
    <row r="213" spans="1:30" ht="179.45" hidden="1" x14ac:dyDescent="0.35">
      <c r="A213" s="349">
        <v>212</v>
      </c>
      <c r="B213" s="352" t="s">
        <v>831</v>
      </c>
      <c r="C213" s="351" t="s">
        <v>3827</v>
      </c>
      <c r="D213" s="352" t="s">
        <v>3827</v>
      </c>
      <c r="E213" s="352" t="s">
        <v>1997</v>
      </c>
      <c r="F213" s="353">
        <v>15.21</v>
      </c>
      <c r="G213" s="352" t="s">
        <v>1107</v>
      </c>
      <c r="H213" s="176" t="s">
        <v>2085</v>
      </c>
      <c r="I213" s="176" t="s">
        <v>4775</v>
      </c>
      <c r="J213" s="352" t="s">
        <v>1115</v>
      </c>
      <c r="K213" s="352">
        <v>10000000</v>
      </c>
      <c r="L213" s="352" t="s">
        <v>2069</v>
      </c>
      <c r="M213" s="351"/>
      <c r="N213" s="351"/>
      <c r="O213" s="351">
        <v>10000000</v>
      </c>
      <c r="P213" s="349" t="s">
        <v>2030</v>
      </c>
      <c r="R213" s="349">
        <f t="shared" si="3"/>
        <v>17</v>
      </c>
      <c r="S213" s="352"/>
      <c r="T213" s="352"/>
      <c r="U213" s="352"/>
      <c r="V213" s="353"/>
      <c r="W213" s="352"/>
      <c r="X213" s="176"/>
      <c r="Y213" s="176"/>
      <c r="Z213" s="352"/>
      <c r="AA213" s="352"/>
      <c r="AB213" s="352"/>
      <c r="AC213" s="351"/>
      <c r="AD213" s="351"/>
    </row>
    <row r="214" spans="1:30" ht="38.450000000000003" hidden="1" x14ac:dyDescent="0.35">
      <c r="A214" s="349">
        <v>213</v>
      </c>
      <c r="B214" s="352" t="s">
        <v>1322</v>
      </c>
      <c r="C214" s="351" t="s">
        <v>4906</v>
      </c>
      <c r="D214" s="352" t="s">
        <v>1712</v>
      </c>
      <c r="E214" s="352" t="s">
        <v>2385</v>
      </c>
      <c r="F214" s="353">
        <v>2.86</v>
      </c>
      <c r="G214" s="352" t="s">
        <v>34</v>
      </c>
      <c r="H214" s="37" t="s">
        <v>1092</v>
      </c>
      <c r="I214" s="176" t="s">
        <v>3255</v>
      </c>
      <c r="J214" s="352" t="s">
        <v>469</v>
      </c>
      <c r="K214" s="352">
        <v>100</v>
      </c>
      <c r="L214" s="352" t="s">
        <v>1116</v>
      </c>
      <c r="M214" s="352">
        <v>30</v>
      </c>
      <c r="N214" s="352" t="s">
        <v>1109</v>
      </c>
      <c r="O214" s="351">
        <v>100</v>
      </c>
      <c r="P214" s="349" t="s">
        <v>1836</v>
      </c>
      <c r="R214" s="349">
        <f t="shared" si="3"/>
        <v>12</v>
      </c>
      <c r="S214" s="352"/>
      <c r="T214" s="352"/>
      <c r="U214" s="352"/>
      <c r="V214" s="353"/>
      <c r="W214" s="352"/>
      <c r="X214" s="176"/>
      <c r="Y214" s="176"/>
      <c r="Z214" s="352"/>
      <c r="AA214" s="352"/>
      <c r="AB214" s="352"/>
      <c r="AC214" s="351"/>
      <c r="AD214" s="351"/>
    </row>
    <row r="215" spans="1:30" ht="38.450000000000003" hidden="1" x14ac:dyDescent="0.35">
      <c r="A215" s="349">
        <v>214</v>
      </c>
      <c r="B215" s="352" t="s">
        <v>1322</v>
      </c>
      <c r="C215" s="351" t="s">
        <v>4906</v>
      </c>
      <c r="D215" s="352" t="s">
        <v>1712</v>
      </c>
      <c r="E215" s="352" t="s">
        <v>2385</v>
      </c>
      <c r="F215" s="353">
        <v>2.86</v>
      </c>
      <c r="G215" s="352" t="s">
        <v>34</v>
      </c>
      <c r="H215" s="176"/>
      <c r="I215" s="176" t="s">
        <v>3255</v>
      </c>
      <c r="J215" s="352" t="s">
        <v>469</v>
      </c>
      <c r="K215" s="352">
        <v>100</v>
      </c>
      <c r="L215" s="352" t="s">
        <v>1116</v>
      </c>
      <c r="M215" s="352">
        <v>30</v>
      </c>
      <c r="N215" s="352" t="s">
        <v>1109</v>
      </c>
      <c r="O215" s="351">
        <v>100</v>
      </c>
      <c r="P215" s="349" t="s">
        <v>1836</v>
      </c>
      <c r="R215" s="349">
        <f t="shared" si="3"/>
        <v>12</v>
      </c>
      <c r="S215" s="352"/>
      <c r="T215" s="352"/>
      <c r="U215" s="352"/>
      <c r="V215" s="353"/>
      <c r="W215" s="352"/>
      <c r="X215" s="176"/>
      <c r="Y215" s="176"/>
      <c r="Z215" s="352"/>
      <c r="AA215" s="352"/>
      <c r="AB215" s="352"/>
      <c r="AC215" s="352"/>
      <c r="AD215" s="352"/>
    </row>
    <row r="216" spans="1:30" ht="38.450000000000003" hidden="1" x14ac:dyDescent="0.35">
      <c r="A216" s="349">
        <v>215</v>
      </c>
      <c r="B216" s="352" t="s">
        <v>1322</v>
      </c>
      <c r="C216" s="351" t="s">
        <v>4906</v>
      </c>
      <c r="D216" s="352" t="s">
        <v>1712</v>
      </c>
      <c r="E216" s="352" t="s">
        <v>2386</v>
      </c>
      <c r="F216" s="353">
        <v>9.0399999999999991</v>
      </c>
      <c r="G216" s="352" t="s">
        <v>34</v>
      </c>
      <c r="H216" s="176" t="s">
        <v>1092</v>
      </c>
      <c r="I216" s="176" t="s">
        <v>3255</v>
      </c>
      <c r="J216" s="352" t="s">
        <v>469</v>
      </c>
      <c r="K216" s="352">
        <v>100</v>
      </c>
      <c r="L216" s="352" t="s">
        <v>1116</v>
      </c>
      <c r="M216" s="352">
        <v>500</v>
      </c>
      <c r="N216" s="352" t="s">
        <v>1109</v>
      </c>
      <c r="O216" s="351">
        <v>100</v>
      </c>
      <c r="P216" s="349" t="s">
        <v>1836</v>
      </c>
      <c r="R216" s="349">
        <f t="shared" si="3"/>
        <v>12</v>
      </c>
      <c r="S216" s="352"/>
      <c r="T216" s="352"/>
      <c r="U216" s="352"/>
      <c r="V216" s="353"/>
      <c r="W216" s="352"/>
      <c r="X216" s="176"/>
      <c r="Y216" s="176"/>
      <c r="Z216" s="352"/>
      <c r="AA216" s="352"/>
      <c r="AB216" s="352"/>
      <c r="AC216" s="352"/>
      <c r="AD216" s="352"/>
    </row>
    <row r="217" spans="1:30" ht="38.450000000000003" hidden="1" x14ac:dyDescent="0.35">
      <c r="A217" s="349">
        <v>216</v>
      </c>
      <c r="B217" s="352" t="s">
        <v>1322</v>
      </c>
      <c r="C217" s="351" t="s">
        <v>4906</v>
      </c>
      <c r="D217" s="352" t="s">
        <v>1712</v>
      </c>
      <c r="E217" s="352" t="s">
        <v>2386</v>
      </c>
      <c r="F217" s="353">
        <v>9.0399999999999991</v>
      </c>
      <c r="G217" s="352" t="s">
        <v>34</v>
      </c>
      <c r="H217" s="176"/>
      <c r="I217" s="176" t="s">
        <v>3255</v>
      </c>
      <c r="J217" s="352" t="s">
        <v>469</v>
      </c>
      <c r="K217" s="352">
        <v>100</v>
      </c>
      <c r="L217" s="352" t="s">
        <v>1116</v>
      </c>
      <c r="M217" s="352">
        <v>500</v>
      </c>
      <c r="N217" s="352" t="s">
        <v>1109</v>
      </c>
      <c r="O217" s="351">
        <v>100</v>
      </c>
      <c r="P217" s="349" t="s">
        <v>1836</v>
      </c>
      <c r="R217" s="349">
        <f t="shared" si="3"/>
        <v>12</v>
      </c>
      <c r="S217" s="352"/>
      <c r="T217" s="352"/>
      <c r="U217" s="352"/>
      <c r="V217" s="353"/>
      <c r="W217" s="352"/>
      <c r="X217" s="176"/>
      <c r="Y217" s="176"/>
      <c r="Z217" s="352"/>
      <c r="AA217" s="352"/>
      <c r="AB217" s="352"/>
      <c r="AC217" s="352"/>
      <c r="AD217" s="352"/>
    </row>
    <row r="218" spans="1:30" hidden="1" x14ac:dyDescent="0.35">
      <c r="A218" s="349">
        <v>217</v>
      </c>
      <c r="B218" s="352" t="s">
        <v>1322</v>
      </c>
      <c r="C218" s="351" t="s">
        <v>4907</v>
      </c>
      <c r="D218" s="352" t="s">
        <v>1712</v>
      </c>
      <c r="E218" s="352" t="s">
        <v>2386</v>
      </c>
      <c r="F218" s="353">
        <v>9.8506</v>
      </c>
      <c r="G218" s="352" t="s">
        <v>34</v>
      </c>
      <c r="H218" s="37"/>
      <c r="I218" s="37" t="s">
        <v>2313</v>
      </c>
      <c r="J218" s="352" t="s">
        <v>469</v>
      </c>
      <c r="K218" s="352">
        <v>75</v>
      </c>
      <c r="L218" s="352" t="s">
        <v>1116</v>
      </c>
      <c r="M218" s="352">
        <v>500</v>
      </c>
      <c r="N218" s="352" t="s">
        <v>1109</v>
      </c>
      <c r="O218" s="351">
        <v>75</v>
      </c>
      <c r="P218" s="349" t="s">
        <v>1836</v>
      </c>
      <c r="R218" s="349">
        <f t="shared" si="3"/>
        <v>12</v>
      </c>
      <c r="S218" s="352"/>
      <c r="T218" s="352"/>
      <c r="U218" s="352"/>
      <c r="V218" s="353"/>
      <c r="W218" s="352"/>
      <c r="X218" s="176"/>
      <c r="Y218" s="176"/>
      <c r="Z218" s="352"/>
      <c r="AA218" s="352"/>
      <c r="AB218" s="352"/>
      <c r="AC218" s="352"/>
      <c r="AD218" s="352"/>
    </row>
    <row r="219" spans="1:30" hidden="1" x14ac:dyDescent="0.35">
      <c r="A219" s="349">
        <v>218</v>
      </c>
      <c r="B219" s="352" t="s">
        <v>1322</v>
      </c>
      <c r="C219" s="351" t="s">
        <v>4908</v>
      </c>
      <c r="D219" s="352" t="s">
        <v>1712</v>
      </c>
      <c r="E219" s="352" t="s">
        <v>2387</v>
      </c>
      <c r="F219" s="353">
        <v>4.0769000000000002</v>
      </c>
      <c r="G219" s="352" t="s">
        <v>34</v>
      </c>
      <c r="H219" s="37"/>
      <c r="I219" s="37"/>
      <c r="J219" s="352" t="s">
        <v>2388</v>
      </c>
      <c r="K219" s="352">
        <v>75</v>
      </c>
      <c r="L219" s="352" t="s">
        <v>1116</v>
      </c>
      <c r="M219" s="352">
        <v>120</v>
      </c>
      <c r="N219" s="352" t="s">
        <v>1109</v>
      </c>
      <c r="O219" s="351">
        <v>75</v>
      </c>
      <c r="P219" s="349" t="s">
        <v>1836</v>
      </c>
      <c r="R219" s="349">
        <f t="shared" si="3"/>
        <v>12</v>
      </c>
      <c r="S219" s="352"/>
      <c r="T219" s="352"/>
      <c r="U219" s="352"/>
      <c r="V219" s="353"/>
      <c r="W219" s="352"/>
      <c r="X219" s="176"/>
      <c r="Y219" s="176"/>
      <c r="Z219" s="352"/>
      <c r="AA219" s="352"/>
      <c r="AB219" s="352"/>
      <c r="AC219" s="352"/>
      <c r="AD219" s="352"/>
    </row>
    <row r="220" spans="1:30" hidden="1" x14ac:dyDescent="0.35">
      <c r="A220" s="349">
        <v>219</v>
      </c>
      <c r="B220" s="352" t="s">
        <v>1322</v>
      </c>
      <c r="C220" s="351" t="s">
        <v>4909</v>
      </c>
      <c r="D220" s="352" t="s">
        <v>1712</v>
      </c>
      <c r="E220" s="352" t="s">
        <v>2389</v>
      </c>
      <c r="F220" s="353">
        <v>3.26</v>
      </c>
      <c r="G220" s="352" t="s">
        <v>34</v>
      </c>
      <c r="H220" s="37"/>
      <c r="I220" s="37"/>
      <c r="J220" s="352" t="s">
        <v>2131</v>
      </c>
      <c r="K220" s="352">
        <v>10</v>
      </c>
      <c r="L220" s="352" t="s">
        <v>470</v>
      </c>
      <c r="M220" s="352">
        <v>30</v>
      </c>
      <c r="N220" s="352" t="s">
        <v>31</v>
      </c>
      <c r="O220" s="351">
        <v>10</v>
      </c>
      <c r="P220" s="349" t="s">
        <v>1838</v>
      </c>
      <c r="R220" s="349">
        <f t="shared" si="3"/>
        <v>12</v>
      </c>
      <c r="S220" s="352"/>
      <c r="T220" s="352"/>
      <c r="U220" s="352"/>
      <c r="V220" s="353"/>
      <c r="W220" s="352"/>
      <c r="X220" s="176"/>
      <c r="Y220" s="176"/>
      <c r="Z220" s="352"/>
      <c r="AA220" s="352"/>
      <c r="AB220" s="352"/>
      <c r="AC220" s="352"/>
      <c r="AD220" s="352"/>
    </row>
    <row r="221" spans="1:30" hidden="1" x14ac:dyDescent="0.35">
      <c r="A221" s="349">
        <v>220</v>
      </c>
      <c r="B221" s="352" t="s">
        <v>1322</v>
      </c>
      <c r="C221" s="351" t="s">
        <v>4910</v>
      </c>
      <c r="D221" s="352" t="s">
        <v>1712</v>
      </c>
      <c r="E221" s="352" t="s">
        <v>2017</v>
      </c>
      <c r="F221" s="353">
        <v>1.32</v>
      </c>
      <c r="G221" s="352" t="s">
        <v>34</v>
      </c>
      <c r="H221" s="37"/>
      <c r="I221" s="37"/>
      <c r="J221" s="352" t="s">
        <v>2390</v>
      </c>
      <c r="K221" s="351"/>
      <c r="L221" s="351"/>
      <c r="M221" s="351"/>
      <c r="N221" s="351"/>
      <c r="O221" s="351">
        <v>0</v>
      </c>
      <c r="P221" s="349" t="s">
        <v>2313</v>
      </c>
      <c r="R221" s="349">
        <f t="shared" si="3"/>
        <v>12</v>
      </c>
      <c r="S221" s="352"/>
      <c r="T221" s="352"/>
      <c r="U221" s="352"/>
      <c r="V221" s="353"/>
      <c r="W221" s="352"/>
      <c r="X221" s="176"/>
      <c r="Y221" s="176"/>
      <c r="Z221" s="352"/>
      <c r="AA221" s="352"/>
      <c r="AB221" s="352"/>
      <c r="AC221" s="352"/>
      <c r="AD221" s="352"/>
    </row>
    <row r="222" spans="1:30" ht="51.3" hidden="1" x14ac:dyDescent="0.35">
      <c r="A222" s="349">
        <v>221</v>
      </c>
      <c r="B222" s="352" t="s">
        <v>829</v>
      </c>
      <c r="C222" s="351" t="s">
        <v>816</v>
      </c>
      <c r="D222" s="352" t="s">
        <v>816</v>
      </c>
      <c r="E222" s="352" t="s">
        <v>2004</v>
      </c>
      <c r="F222" s="353">
        <v>0.3306</v>
      </c>
      <c r="G222" s="352" t="s">
        <v>2126</v>
      </c>
      <c r="H222" s="176" t="s">
        <v>896</v>
      </c>
      <c r="I222" s="176" t="s">
        <v>3829</v>
      </c>
      <c r="J222" s="352" t="s">
        <v>3577</v>
      </c>
      <c r="K222" s="351"/>
      <c r="L222" s="351"/>
      <c r="M222" s="351"/>
      <c r="N222" s="351"/>
      <c r="O222" s="351">
        <v>0</v>
      </c>
      <c r="P222" s="349" t="s">
        <v>2313</v>
      </c>
      <c r="R222" s="349">
        <f t="shared" si="3"/>
        <v>7</v>
      </c>
      <c r="S222" s="352"/>
      <c r="T222" s="352"/>
      <c r="U222" s="352"/>
      <c r="V222" s="353"/>
      <c r="W222" s="352"/>
      <c r="X222" s="176"/>
      <c r="Y222" s="176"/>
      <c r="Z222" s="352"/>
      <c r="AA222" s="352"/>
      <c r="AB222" s="352"/>
      <c r="AC222" s="352"/>
      <c r="AD222" s="352"/>
    </row>
    <row r="223" spans="1:30" ht="51.3" hidden="1" x14ac:dyDescent="0.35">
      <c r="A223" s="349">
        <v>222</v>
      </c>
      <c r="B223" s="352" t="s">
        <v>829</v>
      </c>
      <c r="C223" s="351" t="s">
        <v>4911</v>
      </c>
      <c r="D223" s="352" t="s">
        <v>816</v>
      </c>
      <c r="E223" s="352" t="s">
        <v>2004</v>
      </c>
      <c r="F223" s="353">
        <v>0.3306</v>
      </c>
      <c r="G223" s="352" t="s">
        <v>2126</v>
      </c>
      <c r="H223" s="176" t="s">
        <v>896</v>
      </c>
      <c r="I223" s="176" t="s">
        <v>3829</v>
      </c>
      <c r="J223" s="352" t="s">
        <v>3577</v>
      </c>
      <c r="K223" s="351"/>
      <c r="L223" s="351"/>
      <c r="M223" s="351"/>
      <c r="N223" s="351"/>
      <c r="O223" s="351">
        <v>0</v>
      </c>
      <c r="P223" s="349" t="s">
        <v>2313</v>
      </c>
      <c r="R223" s="349">
        <f t="shared" si="3"/>
        <v>7</v>
      </c>
      <c r="S223" s="352"/>
      <c r="T223" s="352"/>
      <c r="U223" s="352"/>
      <c r="V223" s="353"/>
      <c r="W223" s="352"/>
      <c r="X223" s="176"/>
      <c r="Y223" s="176"/>
      <c r="Z223" s="352"/>
      <c r="AA223" s="352"/>
      <c r="AB223" s="352"/>
      <c r="AC223" s="351"/>
      <c r="AD223" s="351"/>
    </row>
    <row r="224" spans="1:30" ht="38.450000000000003" hidden="1" x14ac:dyDescent="0.35">
      <c r="A224" s="349">
        <v>223</v>
      </c>
      <c r="B224" s="352" t="s">
        <v>1792</v>
      </c>
      <c r="C224" s="351" t="s">
        <v>736</v>
      </c>
      <c r="D224" s="352" t="s">
        <v>736</v>
      </c>
      <c r="E224" s="352" t="s">
        <v>1793</v>
      </c>
      <c r="F224" s="353">
        <v>6.1703999999999999</v>
      </c>
      <c r="G224" s="352" t="s">
        <v>34</v>
      </c>
      <c r="H224" s="176" t="s">
        <v>737</v>
      </c>
      <c r="I224" s="176" t="s">
        <v>4728</v>
      </c>
      <c r="J224" s="352" t="s">
        <v>29</v>
      </c>
      <c r="K224" s="352">
        <v>0.1</v>
      </c>
      <c r="L224" s="352" t="s">
        <v>470</v>
      </c>
      <c r="M224" s="352">
        <v>30</v>
      </c>
      <c r="N224" s="352" t="s">
        <v>31</v>
      </c>
      <c r="O224" s="351">
        <v>0.1</v>
      </c>
      <c r="P224" s="349" t="s">
        <v>1838</v>
      </c>
      <c r="R224" s="349">
        <f t="shared" si="3"/>
        <v>24</v>
      </c>
      <c r="S224" s="352"/>
      <c r="T224" s="352"/>
      <c r="U224" s="352"/>
      <c r="V224" s="353"/>
      <c r="W224" s="352"/>
      <c r="X224" s="176"/>
      <c r="Y224" s="176"/>
      <c r="Z224" s="352"/>
      <c r="AA224" s="352"/>
      <c r="AB224" s="352"/>
      <c r="AC224" s="352"/>
      <c r="AD224" s="352"/>
    </row>
    <row r="225" spans="1:30" ht="38.450000000000003" hidden="1" x14ac:dyDescent="0.35">
      <c r="A225" s="349">
        <v>224</v>
      </c>
      <c r="B225" s="352" t="s">
        <v>1792</v>
      </c>
      <c r="C225" s="351" t="s">
        <v>736</v>
      </c>
      <c r="D225" s="352" t="s">
        <v>736</v>
      </c>
      <c r="E225" s="352" t="s">
        <v>2389</v>
      </c>
      <c r="F225" s="353">
        <v>6.1703999999999999</v>
      </c>
      <c r="G225" s="352" t="s">
        <v>34</v>
      </c>
      <c r="H225" s="176" t="s">
        <v>737</v>
      </c>
      <c r="I225" s="176" t="s">
        <v>4728</v>
      </c>
      <c r="J225" s="352" t="s">
        <v>2131</v>
      </c>
      <c r="K225" s="352">
        <v>0.1</v>
      </c>
      <c r="L225" s="352" t="s">
        <v>470</v>
      </c>
      <c r="M225" s="352">
        <v>30</v>
      </c>
      <c r="N225" s="352" t="s">
        <v>31</v>
      </c>
      <c r="O225" s="351">
        <v>0.1</v>
      </c>
      <c r="P225" s="349" t="s">
        <v>1838</v>
      </c>
      <c r="R225" s="349">
        <f t="shared" si="3"/>
        <v>24</v>
      </c>
      <c r="S225" s="352"/>
      <c r="T225" s="352"/>
      <c r="U225" s="352"/>
      <c r="V225" s="353"/>
      <c r="W225" s="352"/>
      <c r="X225" s="176"/>
      <c r="Y225" s="176"/>
      <c r="Z225" s="352"/>
      <c r="AA225" s="352"/>
      <c r="AB225" s="352"/>
      <c r="AC225" s="352"/>
      <c r="AD225" s="352"/>
    </row>
    <row r="226" spans="1:30" ht="38.450000000000003" hidden="1" x14ac:dyDescent="0.35">
      <c r="A226" s="349">
        <v>225</v>
      </c>
      <c r="B226" s="352" t="s">
        <v>1792</v>
      </c>
      <c r="C226" s="351" t="s">
        <v>4912</v>
      </c>
      <c r="D226" s="352" t="s">
        <v>736</v>
      </c>
      <c r="E226" s="352" t="s">
        <v>1793</v>
      </c>
      <c r="F226" s="353">
        <v>6.1703999999999999</v>
      </c>
      <c r="G226" s="352" t="s">
        <v>34</v>
      </c>
      <c r="H226" s="176" t="s">
        <v>737</v>
      </c>
      <c r="I226" s="176" t="s">
        <v>4728</v>
      </c>
      <c r="J226" s="352" t="s">
        <v>29</v>
      </c>
      <c r="K226" s="352">
        <v>0.1</v>
      </c>
      <c r="L226" s="352" t="s">
        <v>470</v>
      </c>
      <c r="M226" s="352">
        <v>30</v>
      </c>
      <c r="N226" s="352" t="s">
        <v>31</v>
      </c>
      <c r="O226" s="351">
        <v>0.1</v>
      </c>
      <c r="P226" s="349" t="s">
        <v>1838</v>
      </c>
      <c r="R226" s="349">
        <f t="shared" si="3"/>
        <v>24</v>
      </c>
      <c r="S226" s="352"/>
      <c r="T226" s="352"/>
      <c r="U226" s="352"/>
      <c r="V226" s="353"/>
      <c r="W226" s="352"/>
      <c r="X226" s="176"/>
      <c r="Y226" s="176"/>
      <c r="Z226" s="352"/>
      <c r="AA226" s="352"/>
      <c r="AB226" s="352"/>
      <c r="AC226" s="352"/>
      <c r="AD226" s="352"/>
    </row>
    <row r="227" spans="1:30" ht="38.450000000000003" hidden="1" x14ac:dyDescent="0.35">
      <c r="A227" s="349">
        <v>226</v>
      </c>
      <c r="B227" s="352" t="s">
        <v>1792</v>
      </c>
      <c r="C227" s="351" t="s">
        <v>4912</v>
      </c>
      <c r="D227" s="352" t="s">
        <v>736</v>
      </c>
      <c r="E227" s="352" t="s">
        <v>2389</v>
      </c>
      <c r="F227" s="353">
        <v>6.1703999999999999</v>
      </c>
      <c r="G227" s="352" t="s">
        <v>34</v>
      </c>
      <c r="H227" s="176" t="s">
        <v>737</v>
      </c>
      <c r="I227" s="176" t="s">
        <v>4728</v>
      </c>
      <c r="J227" s="352" t="s">
        <v>2131</v>
      </c>
      <c r="K227" s="352">
        <v>0.1</v>
      </c>
      <c r="L227" s="352" t="s">
        <v>470</v>
      </c>
      <c r="M227" s="352">
        <v>30</v>
      </c>
      <c r="N227" s="352" t="s">
        <v>31</v>
      </c>
      <c r="O227" s="351">
        <v>0.1</v>
      </c>
      <c r="P227" s="349" t="s">
        <v>1838</v>
      </c>
      <c r="R227" s="349">
        <f t="shared" si="3"/>
        <v>24</v>
      </c>
      <c r="S227" s="352"/>
      <c r="T227" s="352"/>
      <c r="U227" s="352"/>
      <c r="V227" s="353"/>
      <c r="W227" s="352"/>
      <c r="X227" s="176"/>
      <c r="Y227" s="176"/>
      <c r="Z227" s="352"/>
      <c r="AA227" s="352"/>
      <c r="AB227" s="352"/>
      <c r="AC227" s="352"/>
      <c r="AD227" s="352"/>
    </row>
    <row r="228" spans="1:30" ht="25.65" hidden="1" x14ac:dyDescent="0.35">
      <c r="A228" s="349">
        <v>227</v>
      </c>
      <c r="B228" s="352" t="s">
        <v>1512</v>
      </c>
      <c r="C228" s="351" t="s">
        <v>3437</v>
      </c>
      <c r="D228" s="352" t="s">
        <v>3437</v>
      </c>
      <c r="E228" s="352" t="s">
        <v>1995</v>
      </c>
      <c r="F228" s="353">
        <v>4.165</v>
      </c>
      <c r="G228" s="352" t="s">
        <v>2126</v>
      </c>
      <c r="H228" s="176" t="s">
        <v>3438</v>
      </c>
      <c r="I228" s="176" t="s">
        <v>2552</v>
      </c>
      <c r="J228" s="352" t="s">
        <v>3580</v>
      </c>
      <c r="K228" s="352">
        <v>10</v>
      </c>
      <c r="L228" s="352" t="s">
        <v>3581</v>
      </c>
      <c r="M228" s="351"/>
      <c r="N228" s="351"/>
      <c r="O228" s="351">
        <v>10</v>
      </c>
      <c r="P228" s="349" t="s">
        <v>1836</v>
      </c>
      <c r="R228" s="349">
        <f t="shared" si="3"/>
        <v>3</v>
      </c>
      <c r="S228" s="352"/>
      <c r="T228" s="352"/>
      <c r="U228" s="352"/>
      <c r="V228" s="353"/>
      <c r="W228" s="352"/>
      <c r="X228" s="176"/>
      <c r="Y228" s="176"/>
      <c r="Z228" s="352"/>
      <c r="AA228" s="352"/>
      <c r="AB228" s="352"/>
      <c r="AC228" s="351"/>
      <c r="AD228" s="351"/>
    </row>
    <row r="229" spans="1:30" ht="25.65" hidden="1" x14ac:dyDescent="0.35">
      <c r="A229" s="349">
        <v>228</v>
      </c>
      <c r="B229" s="352" t="s">
        <v>1512</v>
      </c>
      <c r="C229" s="351" t="s">
        <v>3437</v>
      </c>
      <c r="D229" s="352" t="s">
        <v>3437</v>
      </c>
      <c r="E229" s="352" t="s">
        <v>1995</v>
      </c>
      <c r="F229" s="353">
        <v>18.092500000000001</v>
      </c>
      <c r="G229" s="352" t="s">
        <v>2126</v>
      </c>
      <c r="H229" s="176" t="s">
        <v>3438</v>
      </c>
      <c r="I229" s="176" t="s">
        <v>2552</v>
      </c>
      <c r="J229" s="352" t="s">
        <v>3580</v>
      </c>
      <c r="K229" s="352">
        <v>50</v>
      </c>
      <c r="L229" s="352" t="s">
        <v>3581</v>
      </c>
      <c r="M229" s="351"/>
      <c r="N229" s="351"/>
      <c r="O229" s="351">
        <v>50</v>
      </c>
      <c r="P229" s="349" t="s">
        <v>1836</v>
      </c>
      <c r="R229" s="349">
        <f t="shared" si="3"/>
        <v>3</v>
      </c>
      <c r="S229" s="352"/>
      <c r="T229" s="352"/>
      <c r="U229" s="352"/>
      <c r="V229" s="353"/>
      <c r="W229" s="352"/>
      <c r="X229" s="176"/>
      <c r="Y229" s="176"/>
      <c r="Z229" s="352"/>
      <c r="AA229" s="352"/>
      <c r="AB229" s="352"/>
      <c r="AC229" s="351"/>
      <c r="AD229" s="351"/>
    </row>
    <row r="230" spans="1:30" ht="76.900000000000006" hidden="1" x14ac:dyDescent="0.35">
      <c r="A230" s="349">
        <v>229</v>
      </c>
      <c r="B230" s="352" t="s">
        <v>1018</v>
      </c>
      <c r="C230" s="351" t="s">
        <v>3436</v>
      </c>
      <c r="D230" s="352" t="s">
        <v>3436</v>
      </c>
      <c r="E230" s="352" t="s">
        <v>2004</v>
      </c>
      <c r="F230" s="353">
        <v>0.75</v>
      </c>
      <c r="G230" s="352" t="s">
        <v>2126</v>
      </c>
      <c r="H230" s="176" t="s">
        <v>2913</v>
      </c>
      <c r="I230" s="176" t="s">
        <v>2914</v>
      </c>
      <c r="J230" s="352" t="s">
        <v>3577</v>
      </c>
      <c r="K230" s="351"/>
      <c r="L230" s="351"/>
      <c r="M230" s="351"/>
      <c r="N230" s="351"/>
      <c r="O230" s="351">
        <v>0</v>
      </c>
      <c r="P230" s="349" t="s">
        <v>2313</v>
      </c>
      <c r="R230" s="349">
        <f t="shared" si="3"/>
        <v>7</v>
      </c>
      <c r="S230" s="352"/>
      <c r="T230" s="352"/>
      <c r="U230" s="352"/>
      <c r="V230" s="353"/>
      <c r="W230" s="352"/>
      <c r="X230" s="176"/>
      <c r="Y230" s="176"/>
      <c r="Z230" s="352"/>
      <c r="AA230" s="352"/>
      <c r="AB230" s="352"/>
      <c r="AC230" s="351"/>
      <c r="AD230" s="351"/>
    </row>
    <row r="231" spans="1:30" ht="76.900000000000006" hidden="1" x14ac:dyDescent="0.35">
      <c r="A231" s="349">
        <v>230</v>
      </c>
      <c r="B231" s="352" t="s">
        <v>1018</v>
      </c>
      <c r="C231" s="351" t="s">
        <v>3436</v>
      </c>
      <c r="D231" s="352" t="s">
        <v>3436</v>
      </c>
      <c r="E231" s="352" t="s">
        <v>2004</v>
      </c>
      <c r="F231" s="353">
        <v>0.75</v>
      </c>
      <c r="G231" s="352" t="s">
        <v>2126</v>
      </c>
      <c r="H231" s="176" t="s">
        <v>2913</v>
      </c>
      <c r="I231" s="176" t="s">
        <v>2914</v>
      </c>
      <c r="J231" s="352" t="s">
        <v>3577</v>
      </c>
      <c r="K231" s="351"/>
      <c r="L231" s="351"/>
      <c r="M231" s="351"/>
      <c r="N231" s="351"/>
      <c r="O231" s="351">
        <v>0</v>
      </c>
      <c r="P231" s="349" t="s">
        <v>2313</v>
      </c>
      <c r="R231" s="349">
        <f t="shared" si="3"/>
        <v>7</v>
      </c>
      <c r="S231" s="352"/>
      <c r="T231" s="352"/>
      <c r="U231" s="352"/>
      <c r="V231" s="353"/>
      <c r="W231" s="352"/>
      <c r="X231" s="176"/>
      <c r="Y231" s="176"/>
      <c r="Z231" s="352"/>
      <c r="AA231" s="352"/>
      <c r="AB231" s="352"/>
      <c r="AC231" s="351"/>
      <c r="AD231" s="351"/>
    </row>
    <row r="232" spans="1:30" ht="38.450000000000003" hidden="1" x14ac:dyDescent="0.35">
      <c r="A232" s="349">
        <v>231</v>
      </c>
      <c r="B232" s="352" t="s">
        <v>1113</v>
      </c>
      <c r="C232" s="351" t="s">
        <v>999</v>
      </c>
      <c r="D232" s="352" t="s">
        <v>999</v>
      </c>
      <c r="E232" s="352" t="s">
        <v>2855</v>
      </c>
      <c r="F232" s="353">
        <v>0.85</v>
      </c>
      <c r="G232" s="352" t="s">
        <v>1107</v>
      </c>
      <c r="H232" s="176" t="s">
        <v>3744</v>
      </c>
      <c r="I232" s="176" t="s">
        <v>464</v>
      </c>
      <c r="J232" s="352" t="s">
        <v>828</v>
      </c>
      <c r="K232" s="352">
        <v>5</v>
      </c>
      <c r="L232" s="352" t="s">
        <v>1116</v>
      </c>
      <c r="M232" s="352">
        <v>1</v>
      </c>
      <c r="N232" s="352" t="s">
        <v>1109</v>
      </c>
      <c r="O232" s="351">
        <v>5</v>
      </c>
      <c r="P232" s="349" t="s">
        <v>1836</v>
      </c>
      <c r="R232" s="349">
        <f t="shared" si="3"/>
        <v>10</v>
      </c>
      <c r="S232" s="352"/>
      <c r="T232" s="352"/>
      <c r="U232" s="352"/>
      <c r="V232" s="353"/>
      <c r="W232" s="352"/>
      <c r="X232" s="176"/>
      <c r="Y232" s="176"/>
      <c r="Z232" s="352"/>
      <c r="AA232" s="352"/>
      <c r="AB232" s="352"/>
      <c r="AC232" s="352"/>
      <c r="AD232" s="352"/>
    </row>
    <row r="233" spans="1:30" ht="64.099999999999994" hidden="1" x14ac:dyDescent="0.35">
      <c r="A233" s="349">
        <v>232</v>
      </c>
      <c r="B233" s="352" t="s">
        <v>965</v>
      </c>
      <c r="C233" s="351" t="s">
        <v>465</v>
      </c>
      <c r="D233" s="352" t="s">
        <v>465</v>
      </c>
      <c r="E233" s="352" t="s">
        <v>2003</v>
      </c>
      <c r="F233" s="353">
        <v>0.05</v>
      </c>
      <c r="G233" s="352" t="s">
        <v>2126</v>
      </c>
      <c r="H233" s="176" t="s">
        <v>203</v>
      </c>
      <c r="I233" s="176" t="s">
        <v>4948</v>
      </c>
      <c r="J233" s="352" t="s">
        <v>966</v>
      </c>
      <c r="K233" s="352">
        <v>5</v>
      </c>
      <c r="L233" s="352" t="s">
        <v>3581</v>
      </c>
      <c r="M233" s="351"/>
      <c r="N233" s="351"/>
      <c r="O233" s="351">
        <v>5</v>
      </c>
      <c r="P233" s="349" t="s">
        <v>1836</v>
      </c>
      <c r="R233" s="349">
        <f t="shared" si="3"/>
        <v>9</v>
      </c>
      <c r="S233" s="352"/>
      <c r="T233" s="352"/>
      <c r="U233" s="352"/>
      <c r="V233" s="353"/>
      <c r="W233" s="352"/>
      <c r="X233" s="176"/>
      <c r="Y233" s="176"/>
      <c r="Z233" s="352"/>
      <c r="AA233" s="352"/>
      <c r="AB233" s="352"/>
      <c r="AC233" s="352"/>
      <c r="AD233" s="352"/>
    </row>
    <row r="234" spans="1:30" ht="64.099999999999994" hidden="1" x14ac:dyDescent="0.35">
      <c r="A234" s="349">
        <v>233</v>
      </c>
      <c r="B234" s="352" t="s">
        <v>965</v>
      </c>
      <c r="C234" s="351" t="s">
        <v>465</v>
      </c>
      <c r="D234" s="352" t="s">
        <v>465</v>
      </c>
      <c r="E234" s="352" t="s">
        <v>1999</v>
      </c>
      <c r="F234" s="353">
        <v>0.15</v>
      </c>
      <c r="G234" s="352" t="s">
        <v>967</v>
      </c>
      <c r="H234" s="176" t="s">
        <v>1624</v>
      </c>
      <c r="I234" s="176" t="s">
        <v>4948</v>
      </c>
      <c r="J234" s="352" t="s">
        <v>968</v>
      </c>
      <c r="K234" s="352">
        <v>5</v>
      </c>
      <c r="L234" s="352" t="s">
        <v>969</v>
      </c>
      <c r="M234" s="351"/>
      <c r="N234" s="351"/>
      <c r="O234" s="351">
        <v>5</v>
      </c>
      <c r="P234" s="349" t="s">
        <v>1836</v>
      </c>
      <c r="R234" s="349">
        <f t="shared" si="3"/>
        <v>9</v>
      </c>
      <c r="S234" s="352"/>
      <c r="T234" s="352"/>
      <c r="U234" s="352"/>
      <c r="V234" s="353"/>
      <c r="W234" s="352"/>
      <c r="X234" s="176"/>
      <c r="Y234" s="176"/>
      <c r="Z234" s="352"/>
      <c r="AA234" s="352"/>
      <c r="AB234" s="352"/>
      <c r="AC234" s="352"/>
      <c r="AD234" s="352"/>
    </row>
    <row r="235" spans="1:30" ht="51.3" hidden="1" x14ac:dyDescent="0.35">
      <c r="A235" s="349">
        <v>234</v>
      </c>
      <c r="B235" s="352" t="s">
        <v>3032</v>
      </c>
      <c r="C235" s="351" t="s">
        <v>4913</v>
      </c>
      <c r="D235" s="352" t="s">
        <v>2489</v>
      </c>
      <c r="E235" s="352" t="s">
        <v>36</v>
      </c>
      <c r="F235" s="353">
        <v>5.8398000000000003</v>
      </c>
      <c r="G235" s="352" t="s">
        <v>2126</v>
      </c>
      <c r="H235" s="176" t="s">
        <v>1217</v>
      </c>
      <c r="I235" s="176" t="s">
        <v>2804</v>
      </c>
      <c r="J235" s="352" t="s">
        <v>3579</v>
      </c>
      <c r="K235" s="352">
        <v>800</v>
      </c>
      <c r="L235" s="352" t="s">
        <v>4022</v>
      </c>
      <c r="M235" s="352">
        <v>125</v>
      </c>
      <c r="N235" s="352" t="s">
        <v>1109</v>
      </c>
      <c r="O235" s="351">
        <v>800</v>
      </c>
      <c r="P235" s="349" t="s">
        <v>1850</v>
      </c>
      <c r="R235" s="349">
        <f t="shared" si="3"/>
        <v>11</v>
      </c>
      <c r="S235" s="352"/>
      <c r="T235" s="352"/>
      <c r="U235" s="352"/>
      <c r="V235" s="353"/>
      <c r="W235" s="352"/>
      <c r="X235" s="176"/>
      <c r="Y235" s="176"/>
      <c r="Z235" s="352"/>
      <c r="AA235" s="352"/>
      <c r="AB235" s="352"/>
      <c r="AC235" s="352"/>
      <c r="AD235" s="352"/>
    </row>
    <row r="236" spans="1:30" ht="51.3" hidden="1" x14ac:dyDescent="0.35">
      <c r="A236" s="349">
        <v>235</v>
      </c>
      <c r="B236" s="352" t="s">
        <v>3032</v>
      </c>
      <c r="C236" s="351" t="s">
        <v>4913</v>
      </c>
      <c r="D236" s="352" t="s">
        <v>2489</v>
      </c>
      <c r="E236" s="352" t="s">
        <v>1995</v>
      </c>
      <c r="F236" s="353">
        <v>0.15</v>
      </c>
      <c r="G236" s="352" t="s">
        <v>2126</v>
      </c>
      <c r="H236" s="176" t="s">
        <v>1217</v>
      </c>
      <c r="I236" s="176" t="s">
        <v>2804</v>
      </c>
      <c r="J236" s="352" t="s">
        <v>3580</v>
      </c>
      <c r="K236" s="352">
        <v>8</v>
      </c>
      <c r="L236" s="352" t="s">
        <v>3581</v>
      </c>
      <c r="M236" s="352"/>
      <c r="N236" s="352"/>
      <c r="O236" s="351">
        <v>8</v>
      </c>
      <c r="P236" s="349" t="s">
        <v>1836</v>
      </c>
      <c r="R236" s="349">
        <f t="shared" si="3"/>
        <v>11</v>
      </c>
      <c r="S236" s="352"/>
      <c r="T236" s="352"/>
      <c r="U236" s="352"/>
      <c r="V236" s="353"/>
      <c r="W236" s="352"/>
      <c r="X236" s="176"/>
      <c r="Y236" s="176"/>
      <c r="Z236" s="352"/>
      <c r="AA236" s="351"/>
      <c r="AB236" s="351"/>
      <c r="AC236" s="352"/>
      <c r="AD236" s="352"/>
    </row>
    <row r="237" spans="1:30" ht="51.3" hidden="1" x14ac:dyDescent="0.35">
      <c r="A237" s="349">
        <v>236</v>
      </c>
      <c r="B237" s="352" t="s">
        <v>3032</v>
      </c>
      <c r="C237" s="351" t="s">
        <v>4913</v>
      </c>
      <c r="D237" s="352" t="s">
        <v>2489</v>
      </c>
      <c r="E237" s="352" t="s">
        <v>970</v>
      </c>
      <c r="F237" s="353">
        <v>4.95</v>
      </c>
      <c r="G237" s="352" t="s">
        <v>971</v>
      </c>
      <c r="H237" s="176"/>
      <c r="I237" s="176" t="s">
        <v>2804</v>
      </c>
      <c r="J237" s="352" t="s">
        <v>469</v>
      </c>
      <c r="K237" s="352">
        <v>2</v>
      </c>
      <c r="L237" s="352" t="s">
        <v>1116</v>
      </c>
      <c r="M237" s="352">
        <v>40</v>
      </c>
      <c r="N237" s="352" t="s">
        <v>1109</v>
      </c>
      <c r="O237" s="351">
        <v>2</v>
      </c>
      <c r="P237" s="349" t="s">
        <v>1836</v>
      </c>
      <c r="R237" s="349">
        <f t="shared" si="3"/>
        <v>11</v>
      </c>
      <c r="S237" s="352"/>
      <c r="T237" s="352"/>
      <c r="U237" s="352"/>
      <c r="V237" s="353"/>
      <c r="W237" s="352"/>
      <c r="X237" s="176"/>
      <c r="Y237" s="176"/>
      <c r="Z237" s="352"/>
      <c r="AA237" s="351"/>
      <c r="AB237" s="351"/>
      <c r="AC237" s="352"/>
      <c r="AD237" s="352"/>
    </row>
    <row r="238" spans="1:30" ht="25.65" hidden="1" x14ac:dyDescent="0.35">
      <c r="A238" s="349">
        <v>237</v>
      </c>
      <c r="B238" s="352" t="s">
        <v>1080</v>
      </c>
      <c r="C238" s="351" t="s">
        <v>3089</v>
      </c>
      <c r="D238" s="352" t="s">
        <v>3089</v>
      </c>
      <c r="E238" s="352" t="s">
        <v>1997</v>
      </c>
      <c r="F238" s="353">
        <v>58.949199999999998</v>
      </c>
      <c r="G238" s="352" t="s">
        <v>1107</v>
      </c>
      <c r="H238" s="176" t="s">
        <v>2218</v>
      </c>
      <c r="I238" s="176" t="s">
        <v>2969</v>
      </c>
      <c r="J238" s="352" t="s">
        <v>1115</v>
      </c>
      <c r="K238" s="352">
        <v>15</v>
      </c>
      <c r="L238" s="352" t="s">
        <v>972</v>
      </c>
      <c r="M238" s="351"/>
      <c r="N238" s="351"/>
      <c r="O238" s="351">
        <v>15</v>
      </c>
      <c r="P238" s="349" t="s">
        <v>2313</v>
      </c>
      <c r="R238" s="349">
        <f t="shared" si="3"/>
        <v>10</v>
      </c>
      <c r="S238" s="352"/>
      <c r="T238" s="352"/>
      <c r="U238" s="352"/>
      <c r="V238" s="353"/>
      <c r="W238" s="352"/>
      <c r="X238" s="176"/>
      <c r="Y238" s="176"/>
      <c r="Z238" s="352"/>
      <c r="AA238" s="351"/>
      <c r="AB238" s="351"/>
      <c r="AC238" s="352"/>
      <c r="AD238" s="352"/>
    </row>
    <row r="239" spans="1:30" ht="25.65" hidden="1" x14ac:dyDescent="0.35">
      <c r="A239" s="349">
        <v>238</v>
      </c>
      <c r="B239" s="352" t="s">
        <v>1080</v>
      </c>
      <c r="C239" s="351" t="s">
        <v>3089</v>
      </c>
      <c r="D239" s="352" t="s">
        <v>3089</v>
      </c>
      <c r="E239" s="352" t="s">
        <v>1997</v>
      </c>
      <c r="F239" s="353">
        <v>58.949199999999998</v>
      </c>
      <c r="G239" s="352" t="s">
        <v>1107</v>
      </c>
      <c r="H239" s="176" t="s">
        <v>2218</v>
      </c>
      <c r="I239" s="176" t="s">
        <v>2969</v>
      </c>
      <c r="J239" s="352" t="s">
        <v>1115</v>
      </c>
      <c r="K239" s="352">
        <v>15</v>
      </c>
      <c r="L239" s="352" t="s">
        <v>972</v>
      </c>
      <c r="M239" s="351"/>
      <c r="N239" s="351"/>
      <c r="O239" s="351">
        <v>15</v>
      </c>
      <c r="P239" s="349" t="s">
        <v>2313</v>
      </c>
      <c r="R239" s="349">
        <f t="shared" si="3"/>
        <v>10</v>
      </c>
      <c r="S239" s="352"/>
      <c r="T239" s="352"/>
      <c r="U239" s="352"/>
      <c r="V239" s="353"/>
      <c r="W239" s="352"/>
      <c r="X239" s="176"/>
      <c r="Y239" s="176"/>
      <c r="Z239" s="352"/>
      <c r="AA239" s="351"/>
      <c r="AB239" s="351"/>
      <c r="AC239" s="352"/>
      <c r="AD239" s="352"/>
    </row>
    <row r="240" spans="1:30" ht="25.65" hidden="1" x14ac:dyDescent="0.35">
      <c r="A240" s="349">
        <v>239</v>
      </c>
      <c r="B240" s="352" t="s">
        <v>314</v>
      </c>
      <c r="C240" s="351" t="s">
        <v>2997</v>
      </c>
      <c r="D240" s="352" t="s">
        <v>2997</v>
      </c>
      <c r="E240" s="352" t="s">
        <v>2562</v>
      </c>
      <c r="F240" s="351"/>
      <c r="G240" s="352" t="s">
        <v>315</v>
      </c>
      <c r="H240" s="176" t="s">
        <v>2487</v>
      </c>
      <c r="I240" s="176" t="s">
        <v>2488</v>
      </c>
      <c r="J240" s="352" t="s">
        <v>828</v>
      </c>
      <c r="K240" s="351"/>
      <c r="L240" s="351"/>
      <c r="M240" s="352">
        <v>0.5</v>
      </c>
      <c r="N240" s="352" t="s">
        <v>1109</v>
      </c>
      <c r="O240" s="351">
        <v>0</v>
      </c>
      <c r="P240" s="349" t="s">
        <v>1837</v>
      </c>
      <c r="R240" s="349">
        <f t="shared" si="3"/>
        <v>10</v>
      </c>
      <c r="S240" s="352"/>
      <c r="T240" s="352"/>
      <c r="U240" s="352"/>
      <c r="V240" s="353"/>
      <c r="W240" s="352"/>
      <c r="X240" s="176"/>
      <c r="Y240" s="176"/>
      <c r="Z240" s="352"/>
      <c r="AA240" s="352"/>
      <c r="AB240" s="352"/>
      <c r="AC240" s="352"/>
      <c r="AD240" s="352"/>
    </row>
    <row r="241" spans="1:30" ht="25.65" hidden="1" x14ac:dyDescent="0.35">
      <c r="A241" s="349">
        <v>240</v>
      </c>
      <c r="B241" s="352" t="s">
        <v>314</v>
      </c>
      <c r="C241" s="351" t="s">
        <v>4914</v>
      </c>
      <c r="D241" s="352" t="s">
        <v>2997</v>
      </c>
      <c r="E241" s="352" t="s">
        <v>2562</v>
      </c>
      <c r="F241" s="351"/>
      <c r="G241" s="352" t="s">
        <v>315</v>
      </c>
      <c r="H241" s="176" t="s">
        <v>2487</v>
      </c>
      <c r="I241" s="176" t="s">
        <v>2488</v>
      </c>
      <c r="J241" s="352" t="s">
        <v>828</v>
      </c>
      <c r="K241" s="351"/>
      <c r="L241" s="351"/>
      <c r="M241" s="352">
        <v>0.5</v>
      </c>
      <c r="N241" s="352" t="s">
        <v>1109</v>
      </c>
      <c r="O241" s="351">
        <v>0</v>
      </c>
      <c r="P241" s="349" t="s">
        <v>1837</v>
      </c>
      <c r="R241" s="349">
        <f t="shared" si="3"/>
        <v>10</v>
      </c>
      <c r="S241" s="352"/>
      <c r="T241" s="352"/>
      <c r="U241" s="352"/>
      <c r="V241" s="353"/>
      <c r="W241" s="352"/>
      <c r="X241" s="176"/>
      <c r="Y241" s="176"/>
      <c r="Z241" s="352"/>
      <c r="AA241" s="352"/>
      <c r="AB241" s="352"/>
      <c r="AC241" s="352"/>
      <c r="AD241" s="352"/>
    </row>
    <row r="242" spans="1:30" ht="51.3" hidden="1" x14ac:dyDescent="0.35">
      <c r="A242" s="349">
        <v>241</v>
      </c>
      <c r="B242" s="352" t="s">
        <v>2070</v>
      </c>
      <c r="C242" s="351" t="s">
        <v>4915</v>
      </c>
      <c r="D242" s="352" t="s">
        <v>819</v>
      </c>
      <c r="E242" s="352" t="s">
        <v>730</v>
      </c>
      <c r="F242" s="353">
        <v>19.282499999999999</v>
      </c>
      <c r="G242" s="352" t="s">
        <v>1107</v>
      </c>
      <c r="H242" s="176" t="s">
        <v>833</v>
      </c>
      <c r="I242" s="176" t="s">
        <v>565</v>
      </c>
      <c r="J242" s="352" t="s">
        <v>1115</v>
      </c>
      <c r="K242" s="352">
        <v>10</v>
      </c>
      <c r="L242" s="352" t="s">
        <v>1116</v>
      </c>
      <c r="M242" s="352">
        <v>10</v>
      </c>
      <c r="N242" s="352" t="s">
        <v>1109</v>
      </c>
      <c r="O242" s="351">
        <v>10</v>
      </c>
      <c r="P242" s="349" t="s">
        <v>1836</v>
      </c>
      <c r="R242" s="349">
        <f t="shared" si="3"/>
        <v>7</v>
      </c>
      <c r="S242" s="352"/>
      <c r="T242" s="352"/>
      <c r="U242" s="352"/>
      <c r="V242" s="353"/>
      <c r="W242" s="352"/>
      <c r="X242" s="176"/>
      <c r="Y242" s="176"/>
      <c r="Z242" s="352"/>
      <c r="AA242" s="352"/>
      <c r="AB242" s="352"/>
      <c r="AC242" s="351"/>
      <c r="AD242" s="351"/>
    </row>
    <row r="243" spans="1:30" ht="25.65" hidden="1" x14ac:dyDescent="0.35">
      <c r="A243" s="349">
        <v>242</v>
      </c>
      <c r="B243" s="352" t="s">
        <v>316</v>
      </c>
      <c r="C243" s="351" t="s">
        <v>4916</v>
      </c>
      <c r="D243" s="352" t="s">
        <v>540</v>
      </c>
      <c r="E243" s="352" t="s">
        <v>824</v>
      </c>
      <c r="F243" s="353">
        <v>5.5974000000000004</v>
      </c>
      <c r="G243" s="352" t="s">
        <v>3034</v>
      </c>
      <c r="H243" s="176" t="s">
        <v>436</v>
      </c>
      <c r="I243" s="176" t="s">
        <v>437</v>
      </c>
      <c r="J243" s="352" t="s">
        <v>825</v>
      </c>
      <c r="K243" s="352">
        <v>250</v>
      </c>
      <c r="L243" s="352" t="s">
        <v>2376</v>
      </c>
      <c r="M243" s="352">
        <v>200</v>
      </c>
      <c r="N243" s="352" t="s">
        <v>1656</v>
      </c>
      <c r="O243" s="351">
        <v>250</v>
      </c>
      <c r="P243" s="349" t="s">
        <v>1850</v>
      </c>
      <c r="R243" s="349">
        <f t="shared" si="3"/>
        <v>11</v>
      </c>
      <c r="S243" s="352"/>
      <c r="T243" s="352"/>
      <c r="U243" s="352"/>
      <c r="V243" s="353"/>
      <c r="W243" s="352"/>
      <c r="X243" s="176"/>
      <c r="Y243" s="176"/>
      <c r="Z243" s="352"/>
      <c r="AA243" s="352"/>
      <c r="AB243" s="352"/>
      <c r="AC243" s="351"/>
      <c r="AD243" s="351"/>
    </row>
    <row r="244" spans="1:30" ht="51.3" hidden="1" x14ac:dyDescent="0.35">
      <c r="A244" s="349">
        <v>243</v>
      </c>
      <c r="B244" s="352" t="s">
        <v>316</v>
      </c>
      <c r="C244" s="351" t="s">
        <v>4917</v>
      </c>
      <c r="D244" s="352" t="s">
        <v>540</v>
      </c>
      <c r="E244" s="352" t="s">
        <v>2455</v>
      </c>
      <c r="F244" s="353">
        <v>10.029999999999999</v>
      </c>
      <c r="G244" s="352" t="s">
        <v>3034</v>
      </c>
      <c r="H244" s="176"/>
      <c r="I244" s="176" t="s">
        <v>438</v>
      </c>
      <c r="J244" s="352" t="s">
        <v>3215</v>
      </c>
      <c r="K244" s="352">
        <v>250</v>
      </c>
      <c r="L244" s="352" t="s">
        <v>3216</v>
      </c>
      <c r="M244" s="352">
        <v>400</v>
      </c>
      <c r="N244" s="352" t="s">
        <v>1656</v>
      </c>
      <c r="O244" s="351">
        <v>250</v>
      </c>
      <c r="P244" s="349" t="s">
        <v>1850</v>
      </c>
      <c r="R244" s="349">
        <f t="shared" si="3"/>
        <v>11</v>
      </c>
      <c r="S244" s="352"/>
      <c r="T244" s="352"/>
      <c r="U244" s="352"/>
      <c r="V244" s="353"/>
      <c r="W244" s="352"/>
      <c r="X244" s="176"/>
      <c r="Y244" s="176"/>
      <c r="Z244" s="352"/>
      <c r="AA244" s="352"/>
      <c r="AB244" s="352"/>
      <c r="AC244" s="351"/>
      <c r="AD244" s="351"/>
    </row>
    <row r="245" spans="1:30" ht="51.3" hidden="1" x14ac:dyDescent="0.35">
      <c r="A245" s="349">
        <v>244</v>
      </c>
      <c r="B245" s="352" t="s">
        <v>316</v>
      </c>
      <c r="C245" s="351" t="s">
        <v>4917</v>
      </c>
      <c r="D245" s="352" t="s">
        <v>540</v>
      </c>
      <c r="E245" s="352" t="s">
        <v>2455</v>
      </c>
      <c r="F245" s="353">
        <v>10.029999999999999</v>
      </c>
      <c r="G245" s="352" t="s">
        <v>3034</v>
      </c>
      <c r="H245" s="37" t="s">
        <v>3655</v>
      </c>
      <c r="I245" s="176" t="s">
        <v>438</v>
      </c>
      <c r="J245" s="352" t="s">
        <v>3215</v>
      </c>
      <c r="K245" s="352">
        <v>250</v>
      </c>
      <c r="L245" s="352" t="s">
        <v>3216</v>
      </c>
      <c r="M245" s="352">
        <v>400</v>
      </c>
      <c r="N245" s="352" t="s">
        <v>1656</v>
      </c>
      <c r="O245" s="351">
        <v>250</v>
      </c>
      <c r="P245" s="349" t="s">
        <v>1850</v>
      </c>
      <c r="R245" s="349">
        <f t="shared" si="3"/>
        <v>11</v>
      </c>
      <c r="S245" s="352"/>
      <c r="T245" s="352"/>
      <c r="U245" s="352"/>
      <c r="V245" s="353"/>
      <c r="W245" s="352"/>
      <c r="X245" s="176"/>
      <c r="Y245" s="176"/>
      <c r="Z245" s="352"/>
      <c r="AA245" s="352"/>
      <c r="AB245" s="352"/>
      <c r="AC245" s="351"/>
      <c r="AD245" s="351"/>
    </row>
    <row r="246" spans="1:30" ht="51.3" hidden="1" x14ac:dyDescent="0.35">
      <c r="A246" s="349">
        <v>245</v>
      </c>
      <c r="B246" s="352" t="s">
        <v>316</v>
      </c>
      <c r="C246" s="351" t="s">
        <v>4917</v>
      </c>
      <c r="D246" s="352" t="s">
        <v>540</v>
      </c>
      <c r="E246" s="352" t="s">
        <v>2456</v>
      </c>
      <c r="F246" s="353">
        <v>1.76</v>
      </c>
      <c r="G246" s="352" t="s">
        <v>3034</v>
      </c>
      <c r="H246" s="37"/>
      <c r="I246" s="176" t="s">
        <v>438</v>
      </c>
      <c r="J246" s="352" t="s">
        <v>3215</v>
      </c>
      <c r="K246" s="352">
        <v>500</v>
      </c>
      <c r="L246" s="352" t="s">
        <v>3216</v>
      </c>
      <c r="M246" s="352">
        <v>50</v>
      </c>
      <c r="N246" s="352" t="s">
        <v>1656</v>
      </c>
      <c r="O246" s="351">
        <v>500</v>
      </c>
      <c r="P246" s="349" t="s">
        <v>1850</v>
      </c>
      <c r="R246" s="349">
        <f t="shared" si="3"/>
        <v>11</v>
      </c>
      <c r="S246" s="352"/>
      <c r="T246" s="352"/>
      <c r="U246" s="352"/>
      <c r="V246" s="353"/>
      <c r="W246" s="352"/>
      <c r="X246" s="176"/>
      <c r="Y246" s="176"/>
      <c r="Z246" s="352"/>
      <c r="AA246" s="352"/>
      <c r="AB246" s="352"/>
      <c r="AC246" s="352"/>
      <c r="AD246" s="352"/>
    </row>
    <row r="247" spans="1:30" ht="51.3" hidden="1" x14ac:dyDescent="0.35">
      <c r="A247" s="349">
        <v>246</v>
      </c>
      <c r="B247" s="352" t="s">
        <v>316</v>
      </c>
      <c r="C247" s="351" t="s">
        <v>4917</v>
      </c>
      <c r="D247" s="352" t="s">
        <v>540</v>
      </c>
      <c r="E247" s="352" t="s">
        <v>2456</v>
      </c>
      <c r="F247" s="353">
        <v>1.76</v>
      </c>
      <c r="G247" s="352" t="s">
        <v>3034</v>
      </c>
      <c r="H247" s="176" t="s">
        <v>3655</v>
      </c>
      <c r="I247" s="176" t="s">
        <v>438</v>
      </c>
      <c r="J247" s="352" t="s">
        <v>3215</v>
      </c>
      <c r="K247" s="352">
        <v>500</v>
      </c>
      <c r="L247" s="352" t="s">
        <v>3216</v>
      </c>
      <c r="M247" s="352">
        <v>50</v>
      </c>
      <c r="N247" s="352" t="s">
        <v>1656</v>
      </c>
      <c r="O247" s="351">
        <v>500</v>
      </c>
      <c r="P247" s="349" t="s">
        <v>1850</v>
      </c>
      <c r="R247" s="349">
        <f t="shared" si="3"/>
        <v>11</v>
      </c>
      <c r="S247" s="352"/>
      <c r="T247" s="352"/>
      <c r="U247" s="352"/>
      <c r="V247" s="353"/>
      <c r="W247" s="352"/>
      <c r="X247" s="176"/>
      <c r="Y247" s="176"/>
      <c r="Z247" s="352"/>
      <c r="AA247" s="352"/>
      <c r="AB247" s="352"/>
      <c r="AC247" s="352"/>
      <c r="AD247" s="352"/>
    </row>
    <row r="248" spans="1:30" ht="51.3" hidden="1" x14ac:dyDescent="0.35">
      <c r="A248" s="349">
        <v>247</v>
      </c>
      <c r="B248" s="352" t="s">
        <v>3032</v>
      </c>
      <c r="C248" s="351" t="s">
        <v>2489</v>
      </c>
      <c r="D248" s="352" t="s">
        <v>2489</v>
      </c>
      <c r="E248" s="352" t="s">
        <v>36</v>
      </c>
      <c r="F248" s="353">
        <v>5.8398000000000003</v>
      </c>
      <c r="G248" s="352" t="s">
        <v>2126</v>
      </c>
      <c r="H248" s="176" t="s">
        <v>1217</v>
      </c>
      <c r="I248" s="176" t="s">
        <v>2804</v>
      </c>
      <c r="J248" s="352" t="s">
        <v>3579</v>
      </c>
      <c r="K248" s="352">
        <v>800</v>
      </c>
      <c r="L248" s="352" t="s">
        <v>4022</v>
      </c>
      <c r="M248" s="352">
        <v>125</v>
      </c>
      <c r="N248" s="352" t="s">
        <v>1109</v>
      </c>
      <c r="O248" s="351">
        <v>800</v>
      </c>
      <c r="P248" s="349" t="s">
        <v>1850</v>
      </c>
      <c r="R248" s="349">
        <f t="shared" si="3"/>
        <v>11</v>
      </c>
      <c r="S248" s="352"/>
      <c r="T248" s="352"/>
      <c r="U248" s="352"/>
      <c r="V248" s="353"/>
      <c r="W248" s="352"/>
      <c r="X248" s="176"/>
      <c r="Y248" s="176"/>
      <c r="Z248" s="352"/>
      <c r="AA248" s="352"/>
      <c r="AB248" s="352"/>
      <c r="AC248" s="352"/>
      <c r="AD248" s="352"/>
    </row>
    <row r="249" spans="1:30" ht="51.3" hidden="1" x14ac:dyDescent="0.35">
      <c r="A249" s="349">
        <v>248</v>
      </c>
      <c r="B249" s="352" t="s">
        <v>3032</v>
      </c>
      <c r="C249" s="351" t="s">
        <v>2489</v>
      </c>
      <c r="D249" s="352" t="s">
        <v>2489</v>
      </c>
      <c r="E249" s="352" t="s">
        <v>1995</v>
      </c>
      <c r="F249" s="353">
        <v>0.15</v>
      </c>
      <c r="G249" s="352" t="s">
        <v>2126</v>
      </c>
      <c r="H249" s="176" t="s">
        <v>1217</v>
      </c>
      <c r="I249" s="176" t="s">
        <v>2804</v>
      </c>
      <c r="J249" s="352" t="s">
        <v>3580</v>
      </c>
      <c r="K249" s="352">
        <v>8</v>
      </c>
      <c r="L249" s="352" t="s">
        <v>3581</v>
      </c>
      <c r="M249" s="352"/>
      <c r="N249" s="352"/>
      <c r="O249" s="351">
        <v>8</v>
      </c>
      <c r="P249" s="349" t="s">
        <v>1836</v>
      </c>
      <c r="R249" s="349">
        <f t="shared" si="3"/>
        <v>11</v>
      </c>
      <c r="S249" s="352"/>
      <c r="T249" s="352"/>
      <c r="U249" s="352"/>
      <c r="V249" s="353"/>
      <c r="W249" s="352"/>
      <c r="X249" s="176"/>
      <c r="Y249" s="176"/>
      <c r="Z249" s="352"/>
      <c r="AA249" s="352"/>
      <c r="AB249" s="352"/>
      <c r="AC249" s="352"/>
      <c r="AD249" s="352"/>
    </row>
    <row r="250" spans="1:30" ht="51.3" hidden="1" x14ac:dyDescent="0.35">
      <c r="A250" s="349">
        <v>249</v>
      </c>
      <c r="B250" s="352" t="s">
        <v>3032</v>
      </c>
      <c r="C250" s="351" t="s">
        <v>2489</v>
      </c>
      <c r="D250" s="352" t="s">
        <v>2489</v>
      </c>
      <c r="E250" s="352" t="s">
        <v>970</v>
      </c>
      <c r="F250" s="353">
        <v>4.95</v>
      </c>
      <c r="G250" s="352" t="s">
        <v>971</v>
      </c>
      <c r="H250" s="176"/>
      <c r="I250" s="176" t="s">
        <v>2804</v>
      </c>
      <c r="J250" s="352" t="s">
        <v>469</v>
      </c>
      <c r="K250" s="352">
        <v>2</v>
      </c>
      <c r="L250" s="352" t="s">
        <v>1116</v>
      </c>
      <c r="M250" s="352">
        <v>40</v>
      </c>
      <c r="N250" s="352" t="s">
        <v>1109</v>
      </c>
      <c r="O250" s="351">
        <v>2</v>
      </c>
      <c r="P250" s="349" t="s">
        <v>1836</v>
      </c>
      <c r="R250" s="349">
        <f t="shared" si="3"/>
        <v>11</v>
      </c>
      <c r="S250" s="352"/>
      <c r="T250" s="352"/>
      <c r="U250" s="352"/>
      <c r="V250" s="353"/>
      <c r="W250" s="352"/>
      <c r="X250" s="176"/>
      <c r="Y250" s="176"/>
      <c r="Z250" s="352"/>
      <c r="AA250" s="352"/>
      <c r="AB250" s="352"/>
      <c r="AC250" s="352"/>
      <c r="AD250" s="352"/>
    </row>
    <row r="251" spans="1:30" ht="51.3" hidden="1" x14ac:dyDescent="0.35">
      <c r="A251" s="349">
        <v>250</v>
      </c>
      <c r="B251" s="352" t="s">
        <v>2373</v>
      </c>
      <c r="C251" s="351" t="s">
        <v>2805</v>
      </c>
      <c r="D251" s="352" t="s">
        <v>2805</v>
      </c>
      <c r="E251" s="352" t="s">
        <v>2457</v>
      </c>
      <c r="F251" s="353">
        <v>1.5206</v>
      </c>
      <c r="G251" s="352" t="s">
        <v>3034</v>
      </c>
      <c r="H251" s="176" t="s">
        <v>432</v>
      </c>
      <c r="I251" s="176" t="s">
        <v>433</v>
      </c>
      <c r="J251" s="352" t="s">
        <v>3035</v>
      </c>
      <c r="K251" s="352">
        <v>125</v>
      </c>
      <c r="L251" s="352" t="s">
        <v>4022</v>
      </c>
      <c r="M251" s="351">
        <v>1</v>
      </c>
      <c r="N251" s="351" t="s">
        <v>1109</v>
      </c>
      <c r="O251" s="351">
        <v>125</v>
      </c>
      <c r="P251" s="349" t="s">
        <v>1850</v>
      </c>
      <c r="R251" s="349">
        <f t="shared" si="3"/>
        <v>10</v>
      </c>
      <c r="S251" s="352"/>
      <c r="T251" s="352"/>
      <c r="U251" s="352"/>
      <c r="V251" s="353"/>
      <c r="W251" s="352"/>
      <c r="X251" s="176"/>
      <c r="Y251" s="176"/>
      <c r="Z251" s="352"/>
      <c r="AA251" s="352"/>
      <c r="AB251" s="352"/>
      <c r="AC251" s="352"/>
      <c r="AD251" s="352"/>
    </row>
    <row r="252" spans="1:30" ht="51.3" hidden="1" x14ac:dyDescent="0.35">
      <c r="A252" s="349">
        <v>251</v>
      </c>
      <c r="B252" s="352" t="s">
        <v>2373</v>
      </c>
      <c r="C252" s="351" t="s">
        <v>2805</v>
      </c>
      <c r="D252" s="352" t="s">
        <v>2805</v>
      </c>
      <c r="E252" s="352" t="s">
        <v>2458</v>
      </c>
      <c r="F252" s="353">
        <v>1.1200000000000001</v>
      </c>
      <c r="G252" s="352" t="s">
        <v>3034</v>
      </c>
      <c r="H252" s="176" t="s">
        <v>432</v>
      </c>
      <c r="I252" s="176" t="s">
        <v>433</v>
      </c>
      <c r="J252" s="352" t="s">
        <v>3035</v>
      </c>
      <c r="K252" s="352">
        <v>125</v>
      </c>
      <c r="L252" s="352" t="s">
        <v>4022</v>
      </c>
      <c r="M252" s="352">
        <v>2</v>
      </c>
      <c r="N252" s="352" t="s">
        <v>1109</v>
      </c>
      <c r="O252" s="351">
        <v>125</v>
      </c>
      <c r="P252" s="349" t="s">
        <v>1850</v>
      </c>
      <c r="R252" s="349">
        <f t="shared" si="3"/>
        <v>10</v>
      </c>
      <c r="S252" s="352"/>
      <c r="T252" s="352"/>
      <c r="U252" s="352"/>
      <c r="V252" s="353"/>
      <c r="W252" s="352"/>
      <c r="X252" s="176"/>
      <c r="Y252" s="176"/>
      <c r="Z252" s="352"/>
      <c r="AA252" s="352"/>
      <c r="AB252" s="352"/>
      <c r="AC252" s="352"/>
      <c r="AD252" s="352"/>
    </row>
    <row r="253" spans="1:30" ht="51.3" hidden="1" x14ac:dyDescent="0.35">
      <c r="A253" s="349">
        <v>252</v>
      </c>
      <c r="B253" s="352" t="s">
        <v>2373</v>
      </c>
      <c r="C253" s="351" t="s">
        <v>2805</v>
      </c>
      <c r="D253" s="352" t="s">
        <v>2805</v>
      </c>
      <c r="E253" s="352" t="s">
        <v>2458</v>
      </c>
      <c r="F253" s="353">
        <v>1.8511</v>
      </c>
      <c r="G253" s="352" t="s">
        <v>3034</v>
      </c>
      <c r="H253" s="176" t="s">
        <v>432</v>
      </c>
      <c r="I253" s="176" t="s">
        <v>433</v>
      </c>
      <c r="J253" s="352" t="s">
        <v>3035</v>
      </c>
      <c r="K253" s="352">
        <v>250</v>
      </c>
      <c r="L253" s="352" t="s">
        <v>4022</v>
      </c>
      <c r="M253" s="352">
        <v>2</v>
      </c>
      <c r="N253" s="352" t="s">
        <v>1109</v>
      </c>
      <c r="O253" s="351">
        <v>250</v>
      </c>
      <c r="P253" s="349" t="s">
        <v>1850</v>
      </c>
      <c r="R253" s="349">
        <f t="shared" si="3"/>
        <v>10</v>
      </c>
      <c r="S253" s="352"/>
      <c r="T253" s="352"/>
      <c r="U253" s="352"/>
      <c r="V253" s="353"/>
      <c r="W253" s="352"/>
      <c r="X253" s="176"/>
      <c r="Y253" s="176"/>
      <c r="Z253" s="352"/>
      <c r="AA253" s="351"/>
      <c r="AB253" s="351"/>
      <c r="AC253" s="352"/>
      <c r="AD253" s="352"/>
    </row>
    <row r="254" spans="1:30" ht="51.3" hidden="1" x14ac:dyDescent="0.35">
      <c r="A254" s="349">
        <v>253</v>
      </c>
      <c r="B254" s="352" t="s">
        <v>2373</v>
      </c>
      <c r="C254" s="351" t="s">
        <v>2805</v>
      </c>
      <c r="D254" s="352" t="s">
        <v>2805</v>
      </c>
      <c r="E254" s="352" t="s">
        <v>2458</v>
      </c>
      <c r="F254" s="353">
        <v>2.6884999999999999</v>
      </c>
      <c r="G254" s="352" t="s">
        <v>3034</v>
      </c>
      <c r="H254" s="176" t="s">
        <v>432</v>
      </c>
      <c r="I254" s="176" t="s">
        <v>433</v>
      </c>
      <c r="J254" s="352" t="s">
        <v>3035</v>
      </c>
      <c r="K254" s="352">
        <v>500</v>
      </c>
      <c r="L254" s="352" t="s">
        <v>4022</v>
      </c>
      <c r="M254" s="352">
        <v>2</v>
      </c>
      <c r="N254" s="352" t="s">
        <v>1109</v>
      </c>
      <c r="O254" s="351">
        <v>500</v>
      </c>
      <c r="P254" s="349" t="s">
        <v>1850</v>
      </c>
      <c r="R254" s="349">
        <f t="shared" si="3"/>
        <v>10</v>
      </c>
      <c r="S254" s="352"/>
      <c r="T254" s="352"/>
      <c r="U254" s="352"/>
      <c r="V254" s="353"/>
      <c r="W254" s="352"/>
      <c r="X254" s="176"/>
      <c r="Y254" s="176"/>
      <c r="Z254" s="352"/>
      <c r="AA254" s="351"/>
      <c r="AB254" s="351"/>
      <c r="AC254" s="352"/>
      <c r="AD254" s="352"/>
    </row>
    <row r="255" spans="1:30" ht="51.3" hidden="1" x14ac:dyDescent="0.35">
      <c r="A255" s="349">
        <v>254</v>
      </c>
      <c r="B255" s="352" t="s">
        <v>2373</v>
      </c>
      <c r="C255" s="351" t="s">
        <v>2805</v>
      </c>
      <c r="D255" s="352" t="s">
        <v>2805</v>
      </c>
      <c r="E255" s="352" t="s">
        <v>824</v>
      </c>
      <c r="F255" s="353">
        <v>31.0943</v>
      </c>
      <c r="G255" s="352" t="s">
        <v>3034</v>
      </c>
      <c r="H255" s="176" t="s">
        <v>1122</v>
      </c>
      <c r="I255" s="176" t="s">
        <v>1123</v>
      </c>
      <c r="J255" s="352" t="s">
        <v>825</v>
      </c>
      <c r="K255" s="352">
        <v>100</v>
      </c>
      <c r="L255" s="352" t="s">
        <v>2902</v>
      </c>
      <c r="M255" s="352">
        <v>200</v>
      </c>
      <c r="N255" s="352" t="s">
        <v>1656</v>
      </c>
      <c r="O255" s="351">
        <v>100</v>
      </c>
      <c r="P255" s="349" t="s">
        <v>1850</v>
      </c>
      <c r="R255" s="349">
        <f t="shared" si="3"/>
        <v>10</v>
      </c>
      <c r="S255" s="352"/>
      <c r="T255" s="352"/>
      <c r="U255" s="352"/>
      <c r="V255" s="353"/>
      <c r="W255" s="352"/>
      <c r="X255" s="176"/>
      <c r="Y255" s="176"/>
      <c r="Z255" s="352"/>
      <c r="AA255" s="352"/>
      <c r="AB255" s="352"/>
      <c r="AC255" s="352"/>
      <c r="AD255" s="352"/>
    </row>
    <row r="256" spans="1:30" ht="38.450000000000003" hidden="1" x14ac:dyDescent="0.35">
      <c r="A256" s="349">
        <v>255</v>
      </c>
      <c r="B256" s="352" t="s">
        <v>2373</v>
      </c>
      <c r="C256" s="351" t="s">
        <v>2805</v>
      </c>
      <c r="D256" s="352" t="s">
        <v>2805</v>
      </c>
      <c r="E256" s="352" t="s">
        <v>824</v>
      </c>
      <c r="F256" s="353">
        <v>31.0943</v>
      </c>
      <c r="G256" s="352" t="s">
        <v>3034</v>
      </c>
      <c r="H256" s="37"/>
      <c r="I256" s="176" t="s">
        <v>1123</v>
      </c>
      <c r="J256" s="352" t="s">
        <v>825</v>
      </c>
      <c r="K256" s="352">
        <v>100</v>
      </c>
      <c r="L256" s="352" t="s">
        <v>2902</v>
      </c>
      <c r="M256" s="352">
        <v>200</v>
      </c>
      <c r="N256" s="352" t="s">
        <v>1656</v>
      </c>
      <c r="O256" s="351">
        <v>100</v>
      </c>
      <c r="P256" s="349" t="s">
        <v>1850</v>
      </c>
      <c r="R256" s="349">
        <f t="shared" si="3"/>
        <v>10</v>
      </c>
      <c r="S256" s="352"/>
      <c r="T256" s="352"/>
      <c r="U256" s="352"/>
      <c r="V256" s="353"/>
      <c r="W256" s="352"/>
      <c r="X256" s="176"/>
      <c r="Y256" s="176"/>
      <c r="Z256" s="352"/>
      <c r="AA256" s="352"/>
      <c r="AB256" s="352"/>
      <c r="AC256" s="352"/>
      <c r="AD256" s="352"/>
    </row>
    <row r="257" spans="1:30" ht="51.3" hidden="1" x14ac:dyDescent="0.35">
      <c r="A257" s="349">
        <v>256</v>
      </c>
      <c r="B257" s="352" t="s">
        <v>2373</v>
      </c>
      <c r="C257" s="351" t="s">
        <v>2805</v>
      </c>
      <c r="D257" s="352" t="s">
        <v>2805</v>
      </c>
      <c r="E257" s="352" t="s">
        <v>824</v>
      </c>
      <c r="F257" s="353">
        <v>17.277100000000001</v>
      </c>
      <c r="G257" s="352" t="s">
        <v>3034</v>
      </c>
      <c r="H257" s="176" t="s">
        <v>1122</v>
      </c>
      <c r="I257" s="176" t="s">
        <v>1123</v>
      </c>
      <c r="J257" s="352" t="s">
        <v>825</v>
      </c>
      <c r="K257" s="352">
        <v>200</v>
      </c>
      <c r="L257" s="352" t="s">
        <v>2902</v>
      </c>
      <c r="M257" s="352">
        <v>200</v>
      </c>
      <c r="N257" s="352" t="s">
        <v>1656</v>
      </c>
      <c r="O257" s="351">
        <v>200</v>
      </c>
      <c r="P257" s="349" t="s">
        <v>1850</v>
      </c>
      <c r="R257" s="349">
        <f t="shared" si="3"/>
        <v>10</v>
      </c>
      <c r="S257" s="352"/>
      <c r="T257" s="352"/>
      <c r="U257" s="352"/>
      <c r="V257" s="353"/>
      <c r="W257" s="352"/>
      <c r="X257" s="176"/>
      <c r="Y257" s="176"/>
      <c r="Z257" s="352"/>
      <c r="AA257" s="352"/>
      <c r="AB257" s="352"/>
      <c r="AC257" s="352"/>
      <c r="AD257" s="352"/>
    </row>
    <row r="258" spans="1:30" ht="38.450000000000003" hidden="1" x14ac:dyDescent="0.35">
      <c r="A258" s="349">
        <v>257</v>
      </c>
      <c r="B258" s="352" t="s">
        <v>2373</v>
      </c>
      <c r="C258" s="351" t="s">
        <v>2805</v>
      </c>
      <c r="D258" s="352" t="s">
        <v>2805</v>
      </c>
      <c r="E258" s="352" t="s">
        <v>824</v>
      </c>
      <c r="F258" s="353">
        <v>17.277100000000001</v>
      </c>
      <c r="G258" s="352" t="s">
        <v>3034</v>
      </c>
      <c r="H258" s="37"/>
      <c r="I258" s="176" t="s">
        <v>1123</v>
      </c>
      <c r="J258" s="352" t="s">
        <v>825</v>
      </c>
      <c r="K258" s="352">
        <v>200</v>
      </c>
      <c r="L258" s="352" t="s">
        <v>2902</v>
      </c>
      <c r="M258" s="352">
        <v>200</v>
      </c>
      <c r="N258" s="352" t="s">
        <v>1656</v>
      </c>
      <c r="O258" s="351">
        <v>200</v>
      </c>
      <c r="P258" s="349" t="s">
        <v>1850</v>
      </c>
      <c r="R258" s="349">
        <f t="shared" si="3"/>
        <v>10</v>
      </c>
      <c r="S258" s="352"/>
      <c r="T258" s="352"/>
      <c r="U258" s="352"/>
      <c r="V258" s="353"/>
      <c r="W258" s="352"/>
      <c r="X258" s="176"/>
      <c r="Y258" s="176"/>
      <c r="Z258" s="352"/>
      <c r="AA258" s="352"/>
      <c r="AB258" s="352"/>
      <c r="AC258" s="352"/>
      <c r="AD258" s="352"/>
    </row>
    <row r="259" spans="1:30" ht="38.450000000000003" hidden="1" x14ac:dyDescent="0.35">
      <c r="A259" s="349">
        <v>258</v>
      </c>
      <c r="B259" s="352" t="s">
        <v>2373</v>
      </c>
      <c r="C259" s="351" t="s">
        <v>2805</v>
      </c>
      <c r="D259" s="352" t="s">
        <v>2805</v>
      </c>
      <c r="E259" s="352" t="s">
        <v>2903</v>
      </c>
      <c r="F259" s="353">
        <v>8.6385000000000005</v>
      </c>
      <c r="G259" s="352" t="s">
        <v>3034</v>
      </c>
      <c r="H259" s="176"/>
      <c r="I259" s="176" t="s">
        <v>1123</v>
      </c>
      <c r="J259" s="352" t="s">
        <v>825</v>
      </c>
      <c r="K259" s="352">
        <v>400</v>
      </c>
      <c r="L259" s="352" t="s">
        <v>2902</v>
      </c>
      <c r="M259" s="352">
        <v>50</v>
      </c>
      <c r="N259" s="352" t="s">
        <v>1656</v>
      </c>
      <c r="O259" s="351">
        <v>400</v>
      </c>
      <c r="P259" s="349" t="s">
        <v>1850</v>
      </c>
      <c r="R259" s="349">
        <f t="shared" ref="R259:R322" si="4">LEN(D259)</f>
        <v>10</v>
      </c>
      <c r="S259" s="352"/>
      <c r="T259" s="352"/>
      <c r="U259" s="352"/>
      <c r="V259" s="353"/>
      <c r="W259" s="352"/>
      <c r="X259" s="176"/>
      <c r="Y259" s="176"/>
      <c r="Z259" s="352"/>
      <c r="AA259" s="352"/>
      <c r="AB259" s="352"/>
      <c r="AC259" s="352"/>
      <c r="AD259" s="352"/>
    </row>
    <row r="260" spans="1:30" ht="51.3" hidden="1" x14ac:dyDescent="0.35">
      <c r="A260" s="349">
        <v>259</v>
      </c>
      <c r="B260" s="352" t="s">
        <v>2373</v>
      </c>
      <c r="C260" s="351" t="s">
        <v>2805</v>
      </c>
      <c r="D260" s="352" t="s">
        <v>2805</v>
      </c>
      <c r="E260" s="352" t="s">
        <v>2903</v>
      </c>
      <c r="F260" s="353">
        <v>8.6385000000000005</v>
      </c>
      <c r="G260" s="352" t="s">
        <v>3034</v>
      </c>
      <c r="H260" s="176" t="s">
        <v>1122</v>
      </c>
      <c r="I260" s="176" t="s">
        <v>1123</v>
      </c>
      <c r="J260" s="352" t="s">
        <v>825</v>
      </c>
      <c r="K260" s="352">
        <v>400</v>
      </c>
      <c r="L260" s="352" t="s">
        <v>2902</v>
      </c>
      <c r="M260" s="352">
        <v>50</v>
      </c>
      <c r="N260" s="352" t="s">
        <v>1656</v>
      </c>
      <c r="O260" s="351">
        <v>400</v>
      </c>
      <c r="P260" s="349" t="s">
        <v>1850</v>
      </c>
      <c r="R260" s="349">
        <f t="shared" si="4"/>
        <v>10</v>
      </c>
      <c r="S260" s="352"/>
      <c r="T260" s="352"/>
      <c r="U260" s="352"/>
      <c r="V260" s="353"/>
      <c r="W260" s="352"/>
      <c r="X260" s="176"/>
      <c r="Y260" s="176"/>
      <c r="Z260" s="352"/>
      <c r="AA260" s="352"/>
      <c r="AB260" s="352"/>
      <c r="AC260" s="352"/>
      <c r="AD260" s="352"/>
    </row>
    <row r="261" spans="1:30" ht="64.099999999999994" hidden="1" x14ac:dyDescent="0.35">
      <c r="A261" s="349">
        <v>260</v>
      </c>
      <c r="B261" s="352" t="s">
        <v>2373</v>
      </c>
      <c r="C261" s="351" t="s">
        <v>2805</v>
      </c>
      <c r="D261" s="352" t="s">
        <v>2805</v>
      </c>
      <c r="E261" s="352" t="s">
        <v>2379</v>
      </c>
      <c r="F261" s="353">
        <v>15.2056</v>
      </c>
      <c r="G261" s="352" t="s">
        <v>3034</v>
      </c>
      <c r="H261" s="37" t="s">
        <v>3220</v>
      </c>
      <c r="I261" s="176" t="s">
        <v>3221</v>
      </c>
      <c r="J261" s="352" t="s">
        <v>3215</v>
      </c>
      <c r="K261" s="352">
        <v>50</v>
      </c>
      <c r="L261" s="352" t="s">
        <v>3216</v>
      </c>
      <c r="M261" s="352">
        <v>200</v>
      </c>
      <c r="N261" s="352" t="s">
        <v>1656</v>
      </c>
      <c r="O261" s="351">
        <v>50</v>
      </c>
      <c r="P261" s="349" t="s">
        <v>1850</v>
      </c>
      <c r="R261" s="349">
        <f t="shared" si="4"/>
        <v>10</v>
      </c>
      <c r="S261" s="352"/>
      <c r="T261" s="352"/>
      <c r="U261" s="352"/>
      <c r="V261" s="353"/>
      <c r="W261" s="352"/>
      <c r="X261" s="176"/>
      <c r="Y261" s="176"/>
      <c r="Z261" s="352"/>
      <c r="AA261" s="352"/>
      <c r="AB261" s="352"/>
      <c r="AC261" s="352"/>
      <c r="AD261" s="352"/>
    </row>
    <row r="262" spans="1:30" ht="64.099999999999994" hidden="1" x14ac:dyDescent="0.35">
      <c r="A262" s="349">
        <v>261</v>
      </c>
      <c r="B262" s="352" t="s">
        <v>2373</v>
      </c>
      <c r="C262" s="351" t="s">
        <v>2805</v>
      </c>
      <c r="D262" s="352" t="s">
        <v>2805</v>
      </c>
      <c r="E262" s="352" t="s">
        <v>2379</v>
      </c>
      <c r="F262" s="353">
        <v>49.407200000000003</v>
      </c>
      <c r="G262" s="352" t="s">
        <v>3034</v>
      </c>
      <c r="H262" s="176" t="s">
        <v>3220</v>
      </c>
      <c r="I262" s="176" t="s">
        <v>3221</v>
      </c>
      <c r="J262" s="352" t="s">
        <v>3215</v>
      </c>
      <c r="K262" s="352">
        <v>200</v>
      </c>
      <c r="L262" s="352" t="s">
        <v>3216</v>
      </c>
      <c r="M262" s="352">
        <v>200</v>
      </c>
      <c r="N262" s="352" t="s">
        <v>1656</v>
      </c>
      <c r="O262" s="351">
        <v>200</v>
      </c>
      <c r="P262" s="349" t="s">
        <v>1850</v>
      </c>
      <c r="R262" s="349">
        <f t="shared" si="4"/>
        <v>10</v>
      </c>
      <c r="S262" s="352"/>
      <c r="T262" s="352"/>
      <c r="U262" s="352"/>
      <c r="V262" s="353"/>
      <c r="W262" s="352"/>
      <c r="X262" s="176"/>
      <c r="Y262" s="176"/>
      <c r="Z262" s="352"/>
      <c r="AA262" s="352"/>
      <c r="AB262" s="352"/>
      <c r="AC262" s="352"/>
      <c r="AD262" s="352"/>
    </row>
    <row r="263" spans="1:30" ht="51.3" hidden="1" x14ac:dyDescent="0.35">
      <c r="A263" s="349">
        <v>262</v>
      </c>
      <c r="B263" s="352" t="s">
        <v>1609</v>
      </c>
      <c r="C263" s="351" t="s">
        <v>2805</v>
      </c>
      <c r="D263" s="352" t="s">
        <v>2805</v>
      </c>
      <c r="E263" s="352" t="s">
        <v>2025</v>
      </c>
      <c r="F263" s="353">
        <v>8.9910999999999994</v>
      </c>
      <c r="G263" s="352" t="s">
        <v>967</v>
      </c>
      <c r="H263" s="176" t="s">
        <v>2806</v>
      </c>
      <c r="I263" s="176" t="s">
        <v>3516</v>
      </c>
      <c r="J263" s="352" t="s">
        <v>806</v>
      </c>
      <c r="K263" s="352">
        <v>2.2999999999999998</v>
      </c>
      <c r="L263" s="352" t="s">
        <v>1464</v>
      </c>
      <c r="M263" s="352"/>
      <c r="N263" s="352"/>
      <c r="O263" s="351">
        <v>2.2999999999999998</v>
      </c>
      <c r="P263" s="349" t="s">
        <v>1836</v>
      </c>
      <c r="R263" s="349">
        <f t="shared" si="4"/>
        <v>10</v>
      </c>
      <c r="S263" s="352"/>
      <c r="T263" s="352"/>
      <c r="U263" s="352"/>
      <c r="V263" s="353"/>
      <c r="W263" s="352"/>
      <c r="X263" s="176"/>
      <c r="Y263" s="176"/>
      <c r="Z263" s="352"/>
      <c r="AA263" s="352"/>
      <c r="AB263" s="352"/>
      <c r="AC263" s="352"/>
      <c r="AD263" s="352"/>
    </row>
    <row r="264" spans="1:30" ht="153.80000000000001" hidden="1" x14ac:dyDescent="0.35">
      <c r="A264" s="349">
        <v>263</v>
      </c>
      <c r="B264" s="352" t="s">
        <v>807</v>
      </c>
      <c r="C264" s="351" t="s">
        <v>3154</v>
      </c>
      <c r="D264" s="352" t="s">
        <v>3154</v>
      </c>
      <c r="E264" s="352" t="s">
        <v>3583</v>
      </c>
      <c r="F264" s="353">
        <v>7</v>
      </c>
      <c r="G264" s="352" t="s">
        <v>3261</v>
      </c>
      <c r="H264" s="176" t="s">
        <v>2545</v>
      </c>
      <c r="I264" s="176" t="s">
        <v>4832</v>
      </c>
      <c r="J264" s="352" t="s">
        <v>1115</v>
      </c>
      <c r="K264" s="352">
        <v>2.5</v>
      </c>
      <c r="L264" s="352" t="s">
        <v>1116</v>
      </c>
      <c r="M264" s="352">
        <v>20</v>
      </c>
      <c r="N264" s="352" t="s">
        <v>1109</v>
      </c>
      <c r="O264" s="351">
        <v>2.5</v>
      </c>
      <c r="P264" s="349" t="s">
        <v>1836</v>
      </c>
      <c r="R264" s="349">
        <f t="shared" si="4"/>
        <v>11</v>
      </c>
      <c r="S264" s="352"/>
      <c r="T264" s="352"/>
      <c r="U264" s="352"/>
      <c r="V264" s="353"/>
      <c r="W264" s="352"/>
      <c r="X264" s="176"/>
      <c r="Y264" s="176"/>
      <c r="Z264" s="352"/>
      <c r="AA264" s="352"/>
      <c r="AB264" s="352"/>
      <c r="AC264" s="352"/>
      <c r="AD264" s="352"/>
    </row>
    <row r="265" spans="1:30" ht="51.3" hidden="1" x14ac:dyDescent="0.35">
      <c r="A265" s="349">
        <v>264</v>
      </c>
      <c r="B265" s="352" t="s">
        <v>807</v>
      </c>
      <c r="C265" s="351" t="s">
        <v>3154</v>
      </c>
      <c r="D265" s="352" t="s">
        <v>3154</v>
      </c>
      <c r="E265" s="352" t="s">
        <v>3583</v>
      </c>
      <c r="F265" s="353">
        <v>7</v>
      </c>
      <c r="G265" s="352" t="s">
        <v>3261</v>
      </c>
      <c r="H265" s="176" t="s">
        <v>55</v>
      </c>
      <c r="I265" s="176" t="s">
        <v>2638</v>
      </c>
      <c r="J265" s="352" t="s">
        <v>1115</v>
      </c>
      <c r="K265" s="352">
        <v>2.5</v>
      </c>
      <c r="L265" s="352" t="s">
        <v>1116</v>
      </c>
      <c r="M265" s="352">
        <v>20</v>
      </c>
      <c r="N265" s="352" t="s">
        <v>1109</v>
      </c>
      <c r="O265" s="351">
        <v>2.5</v>
      </c>
      <c r="P265" s="349" t="s">
        <v>1836</v>
      </c>
      <c r="R265" s="349">
        <f t="shared" si="4"/>
        <v>11</v>
      </c>
      <c r="S265" s="352"/>
      <c r="T265" s="352"/>
      <c r="U265" s="352"/>
      <c r="V265" s="353"/>
      <c r="W265" s="352"/>
      <c r="X265" s="176"/>
      <c r="Y265" s="176"/>
      <c r="Z265" s="352"/>
      <c r="AA265" s="352"/>
      <c r="AB265" s="352"/>
      <c r="AC265" s="352"/>
      <c r="AD265" s="352"/>
    </row>
    <row r="266" spans="1:30" hidden="1" x14ac:dyDescent="0.35">
      <c r="A266" s="349">
        <v>265</v>
      </c>
      <c r="B266" s="352" t="s">
        <v>807</v>
      </c>
      <c r="C266" s="351" t="s">
        <v>3154</v>
      </c>
      <c r="D266" s="352" t="s">
        <v>3154</v>
      </c>
      <c r="E266" s="352" t="s">
        <v>1498</v>
      </c>
      <c r="F266" s="353">
        <v>8.74</v>
      </c>
      <c r="G266" s="352" t="s">
        <v>1499</v>
      </c>
      <c r="H266" s="176" t="s">
        <v>2654</v>
      </c>
      <c r="I266" s="176" t="s">
        <v>4668</v>
      </c>
      <c r="J266" s="352" t="s">
        <v>1115</v>
      </c>
      <c r="K266" s="352">
        <v>5</v>
      </c>
      <c r="L266" s="352" t="s">
        <v>1116</v>
      </c>
      <c r="M266" s="352">
        <v>4</v>
      </c>
      <c r="N266" s="352" t="s">
        <v>1109</v>
      </c>
      <c r="O266" s="351">
        <v>5</v>
      </c>
      <c r="P266" s="349" t="s">
        <v>1836</v>
      </c>
      <c r="R266" s="349">
        <f t="shared" si="4"/>
        <v>11</v>
      </c>
      <c r="S266" s="352"/>
      <c r="T266" s="352"/>
      <c r="U266" s="352"/>
      <c r="V266" s="353"/>
      <c r="W266" s="352"/>
      <c r="X266" s="176"/>
      <c r="Y266" s="176"/>
      <c r="Z266" s="352"/>
      <c r="AA266" s="352"/>
      <c r="AB266" s="352"/>
      <c r="AC266" s="352"/>
      <c r="AD266" s="352"/>
    </row>
    <row r="267" spans="1:30" ht="51.3" hidden="1" x14ac:dyDescent="0.35">
      <c r="A267" s="349">
        <v>266</v>
      </c>
      <c r="B267" s="352" t="s">
        <v>1500</v>
      </c>
      <c r="C267" s="351" t="s">
        <v>4918</v>
      </c>
      <c r="D267" s="352" t="s">
        <v>906</v>
      </c>
      <c r="E267" s="352" t="s">
        <v>2855</v>
      </c>
      <c r="F267" s="353">
        <v>2.5783</v>
      </c>
      <c r="G267" s="352" t="s">
        <v>1501</v>
      </c>
      <c r="H267" s="176" t="s">
        <v>1514</v>
      </c>
      <c r="I267" s="176" t="s">
        <v>1515</v>
      </c>
      <c r="J267" s="352" t="s">
        <v>828</v>
      </c>
      <c r="K267" s="352">
        <v>20</v>
      </c>
      <c r="L267" s="352" t="s">
        <v>1116</v>
      </c>
      <c r="M267" s="352">
        <v>1</v>
      </c>
      <c r="N267" s="352" t="s">
        <v>1109</v>
      </c>
      <c r="O267" s="351">
        <v>20</v>
      </c>
      <c r="P267" s="349" t="s">
        <v>1836</v>
      </c>
      <c r="R267" s="349">
        <f t="shared" si="4"/>
        <v>16</v>
      </c>
      <c r="S267" s="352"/>
      <c r="T267" s="352"/>
      <c r="U267" s="352"/>
      <c r="V267" s="353"/>
      <c r="W267" s="352"/>
      <c r="X267" s="176"/>
      <c r="Y267" s="176"/>
      <c r="Z267" s="352"/>
      <c r="AA267" s="352"/>
      <c r="AB267" s="352"/>
      <c r="AC267" s="351"/>
      <c r="AD267" s="351"/>
    </row>
    <row r="268" spans="1:30" ht="25.65" hidden="1" x14ac:dyDescent="0.35">
      <c r="A268" s="349">
        <v>267</v>
      </c>
      <c r="B268" s="352" t="s">
        <v>1080</v>
      </c>
      <c r="C268" s="351" t="s">
        <v>2655</v>
      </c>
      <c r="D268" s="352" t="s">
        <v>2655</v>
      </c>
      <c r="E268" s="352" t="s">
        <v>2002</v>
      </c>
      <c r="F268" s="353">
        <v>0.81540000000000001</v>
      </c>
      <c r="G268" s="352" t="s">
        <v>2126</v>
      </c>
      <c r="H268" s="176" t="s">
        <v>2218</v>
      </c>
      <c r="I268" s="176" t="s">
        <v>1739</v>
      </c>
      <c r="J268" s="352" t="s">
        <v>1502</v>
      </c>
      <c r="K268" s="352">
        <v>2</v>
      </c>
      <c r="L268" s="352" t="s">
        <v>1503</v>
      </c>
      <c r="M268" s="351"/>
      <c r="N268" s="351"/>
      <c r="O268" s="351">
        <v>2</v>
      </c>
      <c r="P268" s="349" t="s">
        <v>1836</v>
      </c>
      <c r="R268" s="349">
        <f t="shared" si="4"/>
        <v>8</v>
      </c>
      <c r="S268" s="352"/>
      <c r="T268" s="352"/>
      <c r="U268" s="352"/>
      <c r="V268" s="353"/>
      <c r="W268" s="352"/>
      <c r="X268" s="176"/>
      <c r="Y268" s="176"/>
      <c r="Z268" s="352"/>
      <c r="AA268" s="352"/>
      <c r="AB268" s="352"/>
      <c r="AC268" s="351"/>
      <c r="AD268" s="351"/>
    </row>
    <row r="269" spans="1:30" ht="51.3" hidden="1" x14ac:dyDescent="0.35">
      <c r="A269" s="349">
        <v>268</v>
      </c>
      <c r="B269" s="352" t="s">
        <v>1500</v>
      </c>
      <c r="C269" s="351" t="s">
        <v>906</v>
      </c>
      <c r="D269" s="352" t="s">
        <v>906</v>
      </c>
      <c r="E269" s="352" t="s">
        <v>2855</v>
      </c>
      <c r="F269" s="353">
        <v>2.5783</v>
      </c>
      <c r="G269" s="352" t="s">
        <v>1501</v>
      </c>
      <c r="H269" s="176" t="s">
        <v>1514</v>
      </c>
      <c r="I269" s="176" t="s">
        <v>1515</v>
      </c>
      <c r="J269" s="352" t="s">
        <v>828</v>
      </c>
      <c r="K269" s="352">
        <v>20</v>
      </c>
      <c r="L269" s="352" t="s">
        <v>1116</v>
      </c>
      <c r="M269" s="352">
        <v>1</v>
      </c>
      <c r="N269" s="352" t="s">
        <v>1109</v>
      </c>
      <c r="O269" s="351">
        <v>20</v>
      </c>
      <c r="P269" s="349" t="s">
        <v>1836</v>
      </c>
      <c r="R269" s="349">
        <f t="shared" si="4"/>
        <v>16</v>
      </c>
      <c r="S269" s="352"/>
      <c r="T269" s="352"/>
      <c r="U269" s="352"/>
      <c r="V269" s="353"/>
      <c r="W269" s="352"/>
      <c r="X269" s="176"/>
      <c r="Y269" s="176"/>
      <c r="Z269" s="352"/>
      <c r="AA269" s="352"/>
      <c r="AB269" s="352"/>
      <c r="AC269" s="352"/>
      <c r="AD269" s="352"/>
    </row>
    <row r="270" spans="1:30" ht="64.099999999999994" hidden="1" x14ac:dyDescent="0.35">
      <c r="A270" s="349">
        <v>269</v>
      </c>
      <c r="B270" s="352" t="s">
        <v>1504</v>
      </c>
      <c r="C270" s="351" t="s">
        <v>3264</v>
      </c>
      <c r="D270" s="352" t="s">
        <v>3264</v>
      </c>
      <c r="E270" s="352" t="s">
        <v>1997</v>
      </c>
      <c r="F270" s="353">
        <v>927.49749999999995</v>
      </c>
      <c r="G270" s="352" t="s">
        <v>1107</v>
      </c>
      <c r="H270" s="176" t="s">
        <v>3298</v>
      </c>
      <c r="I270" s="176"/>
      <c r="J270" s="352" t="s">
        <v>1115</v>
      </c>
      <c r="K270" s="352">
        <v>500</v>
      </c>
      <c r="L270" s="352" t="s">
        <v>2069</v>
      </c>
      <c r="M270" s="351"/>
      <c r="N270" s="351"/>
      <c r="O270" s="351">
        <v>500</v>
      </c>
      <c r="P270" s="349" t="s">
        <v>2030</v>
      </c>
      <c r="R270" s="349">
        <f t="shared" si="4"/>
        <v>17</v>
      </c>
      <c r="S270" s="352"/>
      <c r="T270" s="352"/>
      <c r="U270" s="352"/>
      <c r="V270" s="353"/>
      <c r="W270" s="352"/>
      <c r="X270" s="176"/>
      <c r="Y270" s="176"/>
      <c r="Z270" s="352"/>
      <c r="AA270" s="352"/>
      <c r="AB270" s="352"/>
      <c r="AC270" s="352"/>
      <c r="AD270" s="352"/>
    </row>
    <row r="271" spans="1:30" ht="51.3" hidden="1" x14ac:dyDescent="0.35">
      <c r="A271" s="349">
        <v>270</v>
      </c>
      <c r="B271" s="352" t="s">
        <v>2038</v>
      </c>
      <c r="C271" s="351" t="s">
        <v>4919</v>
      </c>
      <c r="D271" s="352" t="s">
        <v>1209</v>
      </c>
      <c r="E271" s="352" t="s">
        <v>2021</v>
      </c>
      <c r="F271" s="353">
        <v>0.26</v>
      </c>
      <c r="G271" s="352" t="s">
        <v>2126</v>
      </c>
      <c r="H271" s="176" t="s">
        <v>2148</v>
      </c>
      <c r="I271" s="176" t="s">
        <v>1465</v>
      </c>
      <c r="J271" s="352" t="s">
        <v>4028</v>
      </c>
      <c r="K271" s="352">
        <v>1.25</v>
      </c>
      <c r="L271" s="352" t="s">
        <v>2039</v>
      </c>
      <c r="M271" s="351"/>
      <c r="N271" s="351"/>
      <c r="O271" s="351">
        <v>1.25</v>
      </c>
      <c r="P271" s="349" t="s">
        <v>818</v>
      </c>
      <c r="R271" s="349">
        <f t="shared" si="4"/>
        <v>16</v>
      </c>
      <c r="S271" s="352"/>
      <c r="T271" s="352"/>
      <c r="U271" s="352"/>
      <c r="V271" s="353"/>
      <c r="W271" s="352"/>
      <c r="X271" s="176"/>
      <c r="Y271" s="176"/>
      <c r="Z271" s="352"/>
      <c r="AA271" s="352"/>
      <c r="AB271" s="352"/>
      <c r="AC271" s="352"/>
      <c r="AD271" s="352"/>
    </row>
    <row r="272" spans="1:30" ht="51.3" hidden="1" x14ac:dyDescent="0.35">
      <c r="A272" s="349">
        <v>271</v>
      </c>
      <c r="B272" s="352" t="s">
        <v>2192</v>
      </c>
      <c r="C272" s="351" t="s">
        <v>4919</v>
      </c>
      <c r="D272" s="352" t="s">
        <v>1209</v>
      </c>
      <c r="E272" s="352" t="s">
        <v>2021</v>
      </c>
      <c r="F272" s="353">
        <v>0.26440000000000002</v>
      </c>
      <c r="G272" s="352" t="s">
        <v>2126</v>
      </c>
      <c r="H272" s="176" t="s">
        <v>321</v>
      </c>
      <c r="I272" s="176" t="s">
        <v>3586</v>
      </c>
      <c r="J272" s="352" t="s">
        <v>4028</v>
      </c>
      <c r="K272" s="352">
        <v>1.25</v>
      </c>
      <c r="L272" s="352" t="s">
        <v>2039</v>
      </c>
      <c r="M272" s="351"/>
      <c r="N272" s="351"/>
      <c r="O272" s="351">
        <v>1.25</v>
      </c>
      <c r="P272" s="349" t="s">
        <v>818</v>
      </c>
      <c r="R272" s="349">
        <f t="shared" si="4"/>
        <v>16</v>
      </c>
      <c r="S272" s="352"/>
      <c r="T272" s="352"/>
      <c r="U272" s="352"/>
      <c r="V272" s="353"/>
      <c r="W272" s="352"/>
      <c r="X272" s="176"/>
      <c r="Y272" s="176"/>
      <c r="Z272" s="352"/>
      <c r="AA272" s="352"/>
      <c r="AB272" s="352"/>
      <c r="AC272" s="352"/>
      <c r="AD272" s="352"/>
    </row>
    <row r="273" spans="1:30" ht="64.099999999999994" hidden="1" x14ac:dyDescent="0.35">
      <c r="A273" s="349">
        <v>272</v>
      </c>
      <c r="B273" s="352" t="s">
        <v>1133</v>
      </c>
      <c r="C273" s="351" t="s">
        <v>1260</v>
      </c>
      <c r="D273" s="352" t="s">
        <v>1260</v>
      </c>
      <c r="E273" s="352" t="s">
        <v>1793</v>
      </c>
      <c r="F273" s="353">
        <v>24.5</v>
      </c>
      <c r="G273" s="352" t="s">
        <v>34</v>
      </c>
      <c r="H273" s="176" t="s">
        <v>1261</v>
      </c>
      <c r="I273" s="176" t="s">
        <v>734</v>
      </c>
      <c r="J273" s="352" t="s">
        <v>29</v>
      </c>
      <c r="K273" s="352">
        <v>5.0000000000000001E-3</v>
      </c>
      <c r="L273" s="352" t="s">
        <v>470</v>
      </c>
      <c r="M273" s="352">
        <v>30</v>
      </c>
      <c r="N273" s="352" t="s">
        <v>31</v>
      </c>
      <c r="O273" s="351">
        <v>5.0000000000000001E-3</v>
      </c>
      <c r="P273" s="349" t="s">
        <v>1838</v>
      </c>
      <c r="R273" s="349">
        <f t="shared" si="4"/>
        <v>12</v>
      </c>
      <c r="S273" s="352"/>
      <c r="T273" s="352"/>
      <c r="U273" s="352"/>
      <c r="V273" s="353"/>
      <c r="W273" s="352"/>
      <c r="X273" s="176"/>
      <c r="Y273" s="176"/>
      <c r="Z273" s="352"/>
      <c r="AA273" s="352"/>
      <c r="AB273" s="352"/>
      <c r="AC273" s="351"/>
      <c r="AD273" s="351"/>
    </row>
    <row r="274" spans="1:30" ht="64.099999999999994" hidden="1" x14ac:dyDescent="0.35">
      <c r="A274" s="349">
        <v>273</v>
      </c>
      <c r="B274" s="352" t="s">
        <v>1133</v>
      </c>
      <c r="C274" s="351" t="s">
        <v>1260</v>
      </c>
      <c r="D274" s="352" t="s">
        <v>1260</v>
      </c>
      <c r="E274" s="352" t="s">
        <v>1134</v>
      </c>
      <c r="F274" s="353">
        <v>97.844700000000003</v>
      </c>
      <c r="G274" s="352" t="s">
        <v>34</v>
      </c>
      <c r="H274" s="176" t="s">
        <v>1261</v>
      </c>
      <c r="I274" s="176" t="s">
        <v>734</v>
      </c>
      <c r="J274" s="352" t="s">
        <v>2131</v>
      </c>
      <c r="K274" s="352">
        <v>5.0000000000000001E-3</v>
      </c>
      <c r="L274" s="352" t="s">
        <v>470</v>
      </c>
      <c r="M274" s="352">
        <v>100</v>
      </c>
      <c r="N274" s="352" t="s">
        <v>31</v>
      </c>
      <c r="O274" s="351">
        <v>5.0000000000000001E-3</v>
      </c>
      <c r="P274" s="349" t="s">
        <v>1838</v>
      </c>
      <c r="R274" s="349">
        <f t="shared" si="4"/>
        <v>12</v>
      </c>
      <c r="S274" s="352"/>
      <c r="T274" s="352"/>
      <c r="U274" s="352"/>
      <c r="V274" s="353"/>
      <c r="W274" s="352"/>
      <c r="X274" s="176"/>
      <c r="Y274" s="176"/>
      <c r="Z274" s="352"/>
      <c r="AA274" s="352"/>
      <c r="AB274" s="352"/>
      <c r="AC274" s="352"/>
      <c r="AD274" s="352"/>
    </row>
    <row r="275" spans="1:30" ht="25.65" hidden="1" x14ac:dyDescent="0.35">
      <c r="A275" s="349">
        <v>274</v>
      </c>
      <c r="B275" s="352" t="s">
        <v>2038</v>
      </c>
      <c r="C275" s="351" t="s">
        <v>4920</v>
      </c>
      <c r="D275" s="352" t="s">
        <v>3091</v>
      </c>
      <c r="E275" s="352" t="s">
        <v>2007</v>
      </c>
      <c r="F275" s="353">
        <v>0.6</v>
      </c>
      <c r="G275" s="352" t="s">
        <v>2126</v>
      </c>
      <c r="H275" s="176" t="s">
        <v>2667</v>
      </c>
      <c r="I275" s="176" t="s">
        <v>1466</v>
      </c>
      <c r="J275" s="352" t="s">
        <v>21</v>
      </c>
      <c r="K275" s="352">
        <v>500</v>
      </c>
      <c r="L275" s="352" t="s">
        <v>3581</v>
      </c>
      <c r="M275" s="351"/>
      <c r="N275" s="351"/>
      <c r="O275" s="351">
        <v>500</v>
      </c>
      <c r="P275" s="349" t="s">
        <v>1836</v>
      </c>
      <c r="R275" s="349">
        <f t="shared" si="4"/>
        <v>22</v>
      </c>
      <c r="S275" s="352"/>
      <c r="T275" s="352"/>
      <c r="U275" s="352"/>
      <c r="V275" s="353"/>
      <c r="W275" s="352"/>
      <c r="X275" s="176"/>
      <c r="Y275" s="176"/>
      <c r="Z275" s="352"/>
      <c r="AA275" s="352"/>
      <c r="AB275" s="352"/>
      <c r="AC275" s="351"/>
      <c r="AD275" s="351"/>
    </row>
    <row r="276" spans="1:30" ht="51.3" hidden="1" x14ac:dyDescent="0.35">
      <c r="A276" s="349">
        <v>275</v>
      </c>
      <c r="B276" s="352" t="s">
        <v>2192</v>
      </c>
      <c r="C276" s="351" t="s">
        <v>323</v>
      </c>
      <c r="D276" s="352" t="s">
        <v>323</v>
      </c>
      <c r="E276" s="352" t="s">
        <v>1995</v>
      </c>
      <c r="F276" s="353">
        <v>0.6</v>
      </c>
      <c r="G276" s="352" t="s">
        <v>2126</v>
      </c>
      <c r="H276" s="176" t="s">
        <v>324</v>
      </c>
      <c r="I276" s="176" t="s">
        <v>325</v>
      </c>
      <c r="J276" s="352" t="s">
        <v>3580</v>
      </c>
      <c r="K276" s="352">
        <v>1.1000000000000001</v>
      </c>
      <c r="L276" s="352" t="s">
        <v>2039</v>
      </c>
      <c r="M276" s="351"/>
      <c r="N276" s="351"/>
      <c r="O276" s="351">
        <v>1.1000000000000001</v>
      </c>
      <c r="P276" s="349" t="s">
        <v>818</v>
      </c>
      <c r="R276" s="349">
        <f t="shared" si="4"/>
        <v>14</v>
      </c>
      <c r="S276" s="352"/>
      <c r="T276" s="352"/>
      <c r="U276" s="352"/>
      <c r="V276" s="353"/>
      <c r="W276" s="352"/>
      <c r="X276" s="176"/>
      <c r="Y276" s="176"/>
      <c r="Z276" s="352"/>
      <c r="AA276" s="352"/>
      <c r="AB276" s="352"/>
      <c r="AC276" s="352"/>
      <c r="AD276" s="352"/>
    </row>
    <row r="277" spans="1:30" ht="51.3" hidden="1" x14ac:dyDescent="0.35">
      <c r="A277" s="349">
        <v>276</v>
      </c>
      <c r="B277" s="352" t="s">
        <v>2038</v>
      </c>
      <c r="C277" s="351" t="s">
        <v>1209</v>
      </c>
      <c r="D277" s="352" t="s">
        <v>1209</v>
      </c>
      <c r="E277" s="352" t="s">
        <v>2021</v>
      </c>
      <c r="F277" s="353">
        <v>0.26</v>
      </c>
      <c r="G277" s="352" t="s">
        <v>2126</v>
      </c>
      <c r="H277" s="176" t="s">
        <v>2148</v>
      </c>
      <c r="I277" s="176" t="s">
        <v>1465</v>
      </c>
      <c r="J277" s="352" t="s">
        <v>4028</v>
      </c>
      <c r="K277" s="352">
        <v>1.25</v>
      </c>
      <c r="L277" s="352" t="s">
        <v>2039</v>
      </c>
      <c r="M277" s="351"/>
      <c r="N277" s="351"/>
      <c r="O277" s="351">
        <v>1.25</v>
      </c>
      <c r="P277" s="349" t="s">
        <v>818</v>
      </c>
      <c r="R277" s="349">
        <f t="shared" si="4"/>
        <v>16</v>
      </c>
      <c r="S277" s="352"/>
      <c r="T277" s="352"/>
      <c r="U277" s="352"/>
      <c r="V277" s="351"/>
      <c r="W277" s="352"/>
      <c r="X277" s="176"/>
      <c r="Y277" s="176"/>
      <c r="Z277" s="352"/>
      <c r="AA277" s="351"/>
      <c r="AB277" s="351"/>
      <c r="AC277" s="352"/>
      <c r="AD277" s="352"/>
    </row>
    <row r="278" spans="1:30" ht="51.3" hidden="1" x14ac:dyDescent="0.35">
      <c r="A278" s="349">
        <v>277</v>
      </c>
      <c r="B278" s="352" t="s">
        <v>2192</v>
      </c>
      <c r="C278" s="351" t="s">
        <v>1209</v>
      </c>
      <c r="D278" s="352" t="s">
        <v>1209</v>
      </c>
      <c r="E278" s="352" t="s">
        <v>2021</v>
      </c>
      <c r="F278" s="353">
        <v>0.26440000000000002</v>
      </c>
      <c r="G278" s="352" t="s">
        <v>2126</v>
      </c>
      <c r="H278" s="176" t="s">
        <v>321</v>
      </c>
      <c r="I278" s="176" t="s">
        <v>3586</v>
      </c>
      <c r="J278" s="352" t="s">
        <v>4028</v>
      </c>
      <c r="K278" s="352">
        <v>1.25</v>
      </c>
      <c r="L278" s="352" t="s">
        <v>2039</v>
      </c>
      <c r="M278" s="351"/>
      <c r="N278" s="351"/>
      <c r="O278" s="351">
        <v>1.25</v>
      </c>
      <c r="P278" s="349" t="s">
        <v>818</v>
      </c>
      <c r="R278" s="349">
        <f t="shared" si="4"/>
        <v>16</v>
      </c>
      <c r="S278" s="352"/>
      <c r="T278" s="352"/>
      <c r="U278" s="352"/>
      <c r="V278" s="351"/>
      <c r="W278" s="352"/>
      <c r="X278" s="176"/>
      <c r="Y278" s="176"/>
      <c r="Z278" s="352"/>
      <c r="AA278" s="351"/>
      <c r="AB278" s="351"/>
      <c r="AC278" s="352"/>
      <c r="AD278" s="352"/>
    </row>
    <row r="279" spans="1:30" ht="51.3" hidden="1" x14ac:dyDescent="0.35">
      <c r="A279" s="349">
        <v>278</v>
      </c>
      <c r="B279" s="352" t="s">
        <v>2038</v>
      </c>
      <c r="C279" s="351" t="s">
        <v>1209</v>
      </c>
      <c r="D279" s="352" t="s">
        <v>1209</v>
      </c>
      <c r="E279" s="352" t="s">
        <v>1995</v>
      </c>
      <c r="F279" s="353">
        <v>0.17630000000000001</v>
      </c>
      <c r="G279" s="352" t="s">
        <v>2126</v>
      </c>
      <c r="H279" s="176" t="s">
        <v>2148</v>
      </c>
      <c r="I279" s="176" t="s">
        <v>1465</v>
      </c>
      <c r="J279" s="352" t="s">
        <v>3580</v>
      </c>
      <c r="K279" s="352">
        <v>500</v>
      </c>
      <c r="L279" s="352" t="s">
        <v>3581</v>
      </c>
      <c r="M279" s="351"/>
      <c r="N279" s="351"/>
      <c r="O279" s="351">
        <v>500</v>
      </c>
      <c r="P279" s="349" t="s">
        <v>1836</v>
      </c>
      <c r="R279" s="349">
        <f t="shared" si="4"/>
        <v>16</v>
      </c>
      <c r="S279" s="352"/>
      <c r="T279" s="352"/>
      <c r="U279" s="352"/>
      <c r="V279" s="353"/>
      <c r="W279" s="352"/>
      <c r="X279" s="176"/>
      <c r="Y279" s="176"/>
      <c r="Z279" s="352"/>
      <c r="AA279" s="352"/>
      <c r="AB279" s="352"/>
      <c r="AC279" s="351"/>
      <c r="AD279" s="351"/>
    </row>
    <row r="280" spans="1:30" ht="64.099999999999994" hidden="1" x14ac:dyDescent="0.35">
      <c r="A280" s="349">
        <v>279</v>
      </c>
      <c r="B280" s="352" t="s">
        <v>2192</v>
      </c>
      <c r="C280" s="351" t="s">
        <v>1209</v>
      </c>
      <c r="D280" s="352" t="s">
        <v>1209</v>
      </c>
      <c r="E280" s="352" t="s">
        <v>1995</v>
      </c>
      <c r="F280" s="353">
        <v>0.17630000000000001</v>
      </c>
      <c r="G280" s="352" t="s">
        <v>2126</v>
      </c>
      <c r="H280" s="176" t="s">
        <v>321</v>
      </c>
      <c r="I280" s="176" t="s">
        <v>322</v>
      </c>
      <c r="J280" s="352" t="s">
        <v>3580</v>
      </c>
      <c r="K280" s="352">
        <v>500</v>
      </c>
      <c r="L280" s="352" t="s">
        <v>3581</v>
      </c>
      <c r="M280" s="351"/>
      <c r="N280" s="351"/>
      <c r="O280" s="351">
        <v>500</v>
      </c>
      <c r="P280" s="349" t="s">
        <v>1836</v>
      </c>
      <c r="R280" s="349">
        <f t="shared" si="4"/>
        <v>16</v>
      </c>
      <c r="S280" s="352"/>
      <c r="T280" s="352"/>
      <c r="U280" s="352"/>
      <c r="V280" s="353"/>
      <c r="W280" s="352"/>
      <c r="X280" s="176"/>
      <c r="Y280" s="176"/>
      <c r="Z280" s="352"/>
      <c r="AA280" s="352"/>
      <c r="AB280" s="352"/>
      <c r="AC280" s="351"/>
      <c r="AD280" s="351"/>
    </row>
    <row r="281" spans="1:30" ht="51.3" hidden="1" x14ac:dyDescent="0.35">
      <c r="A281" s="349">
        <v>280</v>
      </c>
      <c r="B281" s="352" t="s">
        <v>2038</v>
      </c>
      <c r="C281" s="351" t="s">
        <v>1209</v>
      </c>
      <c r="D281" s="352" t="s">
        <v>1209</v>
      </c>
      <c r="E281" s="352" t="s">
        <v>1995</v>
      </c>
      <c r="F281" s="353">
        <v>0.17630000000000001</v>
      </c>
      <c r="G281" s="352" t="s">
        <v>2126</v>
      </c>
      <c r="H281" s="176" t="s">
        <v>2148</v>
      </c>
      <c r="I281" s="176" t="s">
        <v>1465</v>
      </c>
      <c r="J281" s="352" t="s">
        <v>3580</v>
      </c>
      <c r="K281" s="352">
        <v>500</v>
      </c>
      <c r="L281" s="352" t="s">
        <v>3581</v>
      </c>
      <c r="M281" s="351"/>
      <c r="N281" s="351"/>
      <c r="O281" s="351">
        <v>500</v>
      </c>
      <c r="P281" s="349" t="s">
        <v>1836</v>
      </c>
      <c r="R281" s="349">
        <f t="shared" si="4"/>
        <v>16</v>
      </c>
      <c r="S281" s="352"/>
      <c r="T281" s="352"/>
      <c r="U281" s="352"/>
      <c r="V281" s="353"/>
      <c r="W281" s="352"/>
      <c r="X281" s="176"/>
      <c r="Y281" s="176"/>
      <c r="Z281" s="352"/>
      <c r="AA281" s="352"/>
      <c r="AB281" s="352"/>
      <c r="AC281" s="351"/>
      <c r="AD281" s="351"/>
    </row>
    <row r="282" spans="1:30" ht="64.099999999999994" hidden="1" x14ac:dyDescent="0.35">
      <c r="A282" s="349">
        <v>281</v>
      </c>
      <c r="B282" s="352" t="s">
        <v>2192</v>
      </c>
      <c r="C282" s="351" t="s">
        <v>1209</v>
      </c>
      <c r="D282" s="352" t="s">
        <v>1209</v>
      </c>
      <c r="E282" s="352" t="s">
        <v>1995</v>
      </c>
      <c r="F282" s="353">
        <v>0.17630000000000001</v>
      </c>
      <c r="G282" s="352" t="s">
        <v>2126</v>
      </c>
      <c r="H282" s="176" t="s">
        <v>321</v>
      </c>
      <c r="I282" s="176" t="s">
        <v>322</v>
      </c>
      <c r="J282" s="352" t="s">
        <v>3580</v>
      </c>
      <c r="K282" s="352">
        <v>500</v>
      </c>
      <c r="L282" s="352" t="s">
        <v>3581</v>
      </c>
      <c r="M282" s="351"/>
      <c r="N282" s="351"/>
      <c r="O282" s="351">
        <v>500</v>
      </c>
      <c r="P282" s="349" t="s">
        <v>1836</v>
      </c>
      <c r="R282" s="349">
        <f t="shared" si="4"/>
        <v>16</v>
      </c>
      <c r="S282" s="352"/>
      <c r="T282" s="352"/>
      <c r="U282" s="352"/>
      <c r="V282" s="353"/>
      <c r="W282" s="352"/>
      <c r="X282" s="176"/>
      <c r="Y282" s="176"/>
      <c r="Z282" s="352"/>
      <c r="AA282" s="352"/>
      <c r="AB282" s="352"/>
      <c r="AC282" s="351"/>
      <c r="AD282" s="351"/>
    </row>
    <row r="283" spans="1:30" ht="269.14999999999998" hidden="1" x14ac:dyDescent="0.35">
      <c r="A283" s="349">
        <v>282</v>
      </c>
      <c r="B283" s="352" t="s">
        <v>1113</v>
      </c>
      <c r="C283" s="351" t="s">
        <v>3623</v>
      </c>
      <c r="D283" s="352" t="s">
        <v>3623</v>
      </c>
      <c r="E283" s="352" t="s">
        <v>1997</v>
      </c>
      <c r="F283" s="353">
        <v>7.71</v>
      </c>
      <c r="G283" s="352" t="s">
        <v>1107</v>
      </c>
      <c r="H283" s="176" t="s">
        <v>3269</v>
      </c>
      <c r="I283" s="176" t="s">
        <v>656</v>
      </c>
      <c r="J283" s="352" t="s">
        <v>1115</v>
      </c>
      <c r="K283" s="352">
        <v>15</v>
      </c>
      <c r="L283" s="352" t="s">
        <v>1464</v>
      </c>
      <c r="M283" s="351"/>
      <c r="N283" s="351"/>
      <c r="O283" s="351">
        <v>15</v>
      </c>
      <c r="P283" s="349" t="s">
        <v>1836</v>
      </c>
      <c r="R283" s="349">
        <f t="shared" si="4"/>
        <v>15</v>
      </c>
      <c r="S283" s="352"/>
      <c r="T283" s="352"/>
      <c r="U283" s="352"/>
      <c r="V283" s="353"/>
      <c r="W283" s="352"/>
      <c r="X283" s="176"/>
      <c r="Y283" s="176"/>
      <c r="Z283" s="352"/>
      <c r="AA283" s="352"/>
      <c r="AB283" s="352"/>
      <c r="AC283" s="351"/>
      <c r="AD283" s="351"/>
    </row>
    <row r="284" spans="1:30" ht="269.14999999999998" hidden="1" x14ac:dyDescent="0.35">
      <c r="A284" s="349">
        <v>283</v>
      </c>
      <c r="B284" s="352" t="s">
        <v>1113</v>
      </c>
      <c r="C284" s="351" t="s">
        <v>3623</v>
      </c>
      <c r="D284" s="352" t="s">
        <v>3623</v>
      </c>
      <c r="E284" s="352" t="s">
        <v>1997</v>
      </c>
      <c r="F284" s="353">
        <v>9.92</v>
      </c>
      <c r="G284" s="352" t="s">
        <v>1107</v>
      </c>
      <c r="H284" s="176" t="s">
        <v>3269</v>
      </c>
      <c r="I284" s="176" t="s">
        <v>656</v>
      </c>
      <c r="J284" s="352" t="s">
        <v>1115</v>
      </c>
      <c r="K284" s="352">
        <v>50</v>
      </c>
      <c r="L284" s="352" t="s">
        <v>1464</v>
      </c>
      <c r="M284" s="351"/>
      <c r="N284" s="351"/>
      <c r="O284" s="351">
        <v>50</v>
      </c>
      <c r="P284" s="349" t="s">
        <v>1836</v>
      </c>
      <c r="R284" s="349">
        <f t="shared" si="4"/>
        <v>15</v>
      </c>
      <c r="S284" s="352"/>
      <c r="T284" s="352"/>
      <c r="U284" s="352"/>
      <c r="V284" s="353"/>
      <c r="W284" s="352"/>
      <c r="X284" s="176"/>
      <c r="Y284" s="176"/>
      <c r="Z284" s="352"/>
      <c r="AA284" s="352"/>
      <c r="AB284" s="352"/>
      <c r="AC284" s="351"/>
      <c r="AD284" s="351"/>
    </row>
    <row r="285" spans="1:30" ht="269.14999999999998" hidden="1" x14ac:dyDescent="0.35">
      <c r="A285" s="349">
        <v>284</v>
      </c>
      <c r="B285" s="352" t="s">
        <v>1113</v>
      </c>
      <c r="C285" s="351" t="s">
        <v>3623</v>
      </c>
      <c r="D285" s="352" t="s">
        <v>3623</v>
      </c>
      <c r="E285" s="352" t="s">
        <v>1997</v>
      </c>
      <c r="F285" s="353">
        <v>20.94</v>
      </c>
      <c r="G285" s="352" t="s">
        <v>1107</v>
      </c>
      <c r="H285" s="176" t="s">
        <v>3269</v>
      </c>
      <c r="I285" s="176" t="s">
        <v>656</v>
      </c>
      <c r="J285" s="352" t="s">
        <v>1115</v>
      </c>
      <c r="K285" s="352">
        <v>100</v>
      </c>
      <c r="L285" s="352" t="s">
        <v>1464</v>
      </c>
      <c r="M285" s="351"/>
      <c r="N285" s="351"/>
      <c r="O285" s="351">
        <v>100</v>
      </c>
      <c r="P285" s="349" t="s">
        <v>1836</v>
      </c>
      <c r="R285" s="349">
        <f t="shared" si="4"/>
        <v>15</v>
      </c>
      <c r="S285" s="352"/>
      <c r="T285" s="352"/>
      <c r="U285" s="352"/>
      <c r="V285" s="353"/>
      <c r="W285" s="352"/>
      <c r="X285" s="176"/>
      <c r="Y285" s="176"/>
      <c r="Z285" s="352"/>
      <c r="AA285" s="352"/>
      <c r="AB285" s="352"/>
      <c r="AC285" s="351"/>
      <c r="AD285" s="351"/>
    </row>
    <row r="286" spans="1:30" ht="89.75" hidden="1" x14ac:dyDescent="0.35">
      <c r="A286" s="349">
        <v>285</v>
      </c>
      <c r="B286" s="352" t="s">
        <v>1113</v>
      </c>
      <c r="C286" s="351" t="s">
        <v>3623</v>
      </c>
      <c r="D286" s="352" t="s">
        <v>3623</v>
      </c>
      <c r="E286" s="352" t="s">
        <v>1995</v>
      </c>
      <c r="F286" s="353">
        <v>3.46</v>
      </c>
      <c r="G286" s="352" t="s">
        <v>2126</v>
      </c>
      <c r="H286" s="176" t="s">
        <v>657</v>
      </c>
      <c r="I286" s="176" t="s">
        <v>656</v>
      </c>
      <c r="J286" s="352" t="s">
        <v>3580</v>
      </c>
      <c r="K286" s="352">
        <v>15</v>
      </c>
      <c r="L286" s="352" t="s">
        <v>3581</v>
      </c>
      <c r="M286" s="351"/>
      <c r="N286" s="351"/>
      <c r="O286" s="351">
        <v>15</v>
      </c>
      <c r="P286" s="349" t="s">
        <v>1836</v>
      </c>
      <c r="R286" s="349">
        <f t="shared" si="4"/>
        <v>15</v>
      </c>
      <c r="S286" s="352"/>
      <c r="T286" s="352"/>
      <c r="U286" s="352"/>
      <c r="V286" s="353"/>
      <c r="W286" s="352"/>
      <c r="X286" s="176"/>
      <c r="Y286" s="176"/>
      <c r="Z286" s="352"/>
      <c r="AA286" s="352"/>
      <c r="AB286" s="352"/>
      <c r="AC286" s="351"/>
      <c r="AD286" s="351"/>
    </row>
    <row r="287" spans="1:30" ht="153.80000000000001" hidden="1" x14ac:dyDescent="0.35">
      <c r="A287" s="349">
        <v>286</v>
      </c>
      <c r="B287" s="352" t="s">
        <v>2038</v>
      </c>
      <c r="C287" s="351" t="s">
        <v>4678</v>
      </c>
      <c r="D287" s="352" t="s">
        <v>1135</v>
      </c>
      <c r="E287" s="352" t="s">
        <v>2857</v>
      </c>
      <c r="F287" s="353">
        <v>2.1817000000000002</v>
      </c>
      <c r="G287" s="352" t="s">
        <v>1107</v>
      </c>
      <c r="H287" s="176" t="s">
        <v>4671</v>
      </c>
      <c r="I287" s="176" t="s">
        <v>1467</v>
      </c>
      <c r="J287" s="352" t="s">
        <v>828</v>
      </c>
      <c r="K287" s="352">
        <v>0.22500000000000001</v>
      </c>
      <c r="L287" s="352" t="s">
        <v>1136</v>
      </c>
      <c r="M287" s="352">
        <v>10</v>
      </c>
      <c r="N287" s="352" t="s">
        <v>1109</v>
      </c>
      <c r="O287" s="351">
        <v>0.22500000000000001</v>
      </c>
      <c r="P287" s="349" t="s">
        <v>1837</v>
      </c>
      <c r="R287" s="349">
        <f t="shared" si="4"/>
        <v>17</v>
      </c>
      <c r="S287" s="352"/>
      <c r="T287" s="352"/>
      <c r="U287" s="352"/>
      <c r="V287" s="353"/>
      <c r="W287" s="352"/>
      <c r="X287" s="176"/>
      <c r="Y287" s="176"/>
      <c r="Z287" s="352"/>
      <c r="AA287" s="352"/>
      <c r="AB287" s="352"/>
      <c r="AC287" s="352"/>
      <c r="AD287" s="352"/>
    </row>
    <row r="288" spans="1:30" ht="153.80000000000001" hidden="1" x14ac:dyDescent="0.35">
      <c r="A288" s="349">
        <v>287</v>
      </c>
      <c r="B288" s="352" t="s">
        <v>2038</v>
      </c>
      <c r="C288" s="351" t="s">
        <v>4679</v>
      </c>
      <c r="D288" s="352" t="s">
        <v>1135</v>
      </c>
      <c r="E288" s="352" t="s">
        <v>2857</v>
      </c>
      <c r="F288" s="353">
        <v>2.1817000000000002</v>
      </c>
      <c r="G288" s="352" t="s">
        <v>1107</v>
      </c>
      <c r="H288" s="176" t="s">
        <v>4671</v>
      </c>
      <c r="I288" s="176" t="s">
        <v>1467</v>
      </c>
      <c r="J288" s="352" t="s">
        <v>828</v>
      </c>
      <c r="K288" s="352">
        <v>0.22500000000000001</v>
      </c>
      <c r="L288" s="352" t="s">
        <v>1136</v>
      </c>
      <c r="M288" s="352">
        <v>10</v>
      </c>
      <c r="N288" s="352" t="s">
        <v>1109</v>
      </c>
      <c r="O288" s="351">
        <v>0.22500000000000001</v>
      </c>
      <c r="P288" s="349" t="s">
        <v>1837</v>
      </c>
      <c r="R288" s="349">
        <f t="shared" si="4"/>
        <v>17</v>
      </c>
      <c r="S288" s="352"/>
      <c r="T288" s="352"/>
      <c r="U288" s="352"/>
      <c r="V288" s="353"/>
      <c r="W288" s="352"/>
      <c r="X288" s="176"/>
      <c r="Y288" s="176"/>
      <c r="Z288" s="352"/>
      <c r="AA288" s="352"/>
      <c r="AB288" s="352"/>
      <c r="AC288" s="352"/>
      <c r="AD288" s="352"/>
    </row>
    <row r="289" spans="1:30" ht="64.099999999999994" hidden="1" x14ac:dyDescent="0.35">
      <c r="A289" s="349">
        <v>288</v>
      </c>
      <c r="B289" s="352" t="s">
        <v>2038</v>
      </c>
      <c r="C289" s="351" t="s">
        <v>2176</v>
      </c>
      <c r="D289" s="352" t="s">
        <v>2176</v>
      </c>
      <c r="E289" s="352" t="s">
        <v>1137</v>
      </c>
      <c r="F289" s="353">
        <v>5</v>
      </c>
      <c r="G289" s="352" t="s">
        <v>2126</v>
      </c>
      <c r="H289" s="176" t="s">
        <v>2149</v>
      </c>
      <c r="I289" s="176" t="s">
        <v>2150</v>
      </c>
      <c r="J289" s="352" t="s">
        <v>3579</v>
      </c>
      <c r="K289" s="352">
        <v>50</v>
      </c>
      <c r="L289" s="352" t="s">
        <v>1116</v>
      </c>
      <c r="M289" s="352">
        <v>50</v>
      </c>
      <c r="N289" s="352" t="s">
        <v>1109</v>
      </c>
      <c r="O289" s="351">
        <v>50</v>
      </c>
      <c r="P289" s="349" t="s">
        <v>1836</v>
      </c>
      <c r="R289" s="349">
        <f t="shared" si="4"/>
        <v>14</v>
      </c>
      <c r="S289" s="352"/>
      <c r="T289" s="352"/>
      <c r="U289" s="352"/>
      <c r="V289" s="353"/>
      <c r="W289" s="352"/>
      <c r="X289" s="176"/>
      <c r="Y289" s="176"/>
      <c r="Z289" s="352"/>
      <c r="AA289" s="352"/>
      <c r="AB289" s="352"/>
      <c r="AC289" s="352"/>
      <c r="AD289" s="352"/>
    </row>
    <row r="290" spans="1:30" ht="64.099999999999994" hidden="1" x14ac:dyDescent="0.35">
      <c r="A290" s="349">
        <v>289</v>
      </c>
      <c r="B290" s="352" t="s">
        <v>2038</v>
      </c>
      <c r="C290" s="351" t="s">
        <v>4680</v>
      </c>
      <c r="D290" s="352" t="s">
        <v>2176</v>
      </c>
      <c r="E290" s="352" t="s">
        <v>1137</v>
      </c>
      <c r="F290" s="353">
        <v>5</v>
      </c>
      <c r="G290" s="352" t="s">
        <v>2126</v>
      </c>
      <c r="H290" s="176" t="s">
        <v>2149</v>
      </c>
      <c r="I290" s="176" t="s">
        <v>2150</v>
      </c>
      <c r="J290" s="352" t="s">
        <v>3579</v>
      </c>
      <c r="K290" s="352">
        <v>50</v>
      </c>
      <c r="L290" s="352" t="s">
        <v>1116</v>
      </c>
      <c r="M290" s="352">
        <v>50</v>
      </c>
      <c r="N290" s="352" t="s">
        <v>1109</v>
      </c>
      <c r="O290" s="351">
        <v>50</v>
      </c>
      <c r="P290" s="349" t="s">
        <v>1836</v>
      </c>
      <c r="R290" s="349">
        <f t="shared" si="4"/>
        <v>14</v>
      </c>
      <c r="S290" s="352"/>
      <c r="T290" s="352"/>
      <c r="U290" s="352"/>
      <c r="V290" s="353"/>
      <c r="W290" s="352"/>
      <c r="X290" s="176"/>
      <c r="Y290" s="176"/>
      <c r="Z290" s="352"/>
      <c r="AA290" s="352"/>
      <c r="AB290" s="352"/>
      <c r="AC290" s="352"/>
      <c r="AD290" s="352"/>
    </row>
    <row r="291" spans="1:30" ht="25.65" hidden="1" x14ac:dyDescent="0.35">
      <c r="A291" s="349">
        <v>290</v>
      </c>
      <c r="B291" s="352" t="s">
        <v>2038</v>
      </c>
      <c r="C291" s="351" t="s">
        <v>3091</v>
      </c>
      <c r="D291" s="352" t="s">
        <v>3091</v>
      </c>
      <c r="E291" s="352" t="s">
        <v>2007</v>
      </c>
      <c r="F291" s="353">
        <v>0.6</v>
      </c>
      <c r="G291" s="352" t="s">
        <v>2126</v>
      </c>
      <c r="H291" s="176" t="s">
        <v>2667</v>
      </c>
      <c r="I291" s="176" t="s">
        <v>1466</v>
      </c>
      <c r="J291" s="352" t="s">
        <v>21</v>
      </c>
      <c r="K291" s="352">
        <v>500</v>
      </c>
      <c r="L291" s="352" t="s">
        <v>3581</v>
      </c>
      <c r="M291" s="351"/>
      <c r="N291" s="351"/>
      <c r="O291" s="351">
        <v>500</v>
      </c>
      <c r="P291" s="349" t="s">
        <v>1836</v>
      </c>
      <c r="R291" s="349">
        <f t="shared" si="4"/>
        <v>22</v>
      </c>
      <c r="S291" s="352"/>
      <c r="T291" s="352"/>
      <c r="U291" s="352"/>
      <c r="V291" s="353"/>
      <c r="W291" s="352"/>
      <c r="X291" s="176"/>
      <c r="Y291" s="176"/>
      <c r="Z291" s="352"/>
      <c r="AA291" s="352"/>
      <c r="AB291" s="352"/>
      <c r="AC291" s="352"/>
      <c r="AD291" s="352"/>
    </row>
    <row r="292" spans="1:30" ht="179.45" hidden="1" x14ac:dyDescent="0.35">
      <c r="A292" s="349">
        <v>291</v>
      </c>
      <c r="B292" s="352" t="s">
        <v>2694</v>
      </c>
      <c r="C292" s="351" t="s">
        <v>4681</v>
      </c>
      <c r="D292" s="352" t="s">
        <v>3092</v>
      </c>
      <c r="E292" s="352" t="s">
        <v>1998</v>
      </c>
      <c r="F292" s="353">
        <v>0.3</v>
      </c>
      <c r="G292" s="352" t="s">
        <v>2126</v>
      </c>
      <c r="H292" s="176" t="s">
        <v>4480</v>
      </c>
      <c r="I292" s="176" t="s">
        <v>685</v>
      </c>
      <c r="J292" s="352" t="s">
        <v>22</v>
      </c>
      <c r="K292" s="352">
        <v>0.5</v>
      </c>
      <c r="L292" s="352" t="s">
        <v>23</v>
      </c>
      <c r="M292" s="351"/>
      <c r="N292" s="351"/>
      <c r="O292" s="351">
        <v>0.5</v>
      </c>
      <c r="P292" s="349" t="s">
        <v>1836</v>
      </c>
      <c r="R292" s="349">
        <f t="shared" si="4"/>
        <v>9</v>
      </c>
      <c r="S292" s="352"/>
      <c r="T292" s="352"/>
      <c r="U292" s="352"/>
      <c r="V292" s="353"/>
      <c r="W292" s="352"/>
      <c r="X292" s="176"/>
      <c r="Y292" s="176"/>
      <c r="Z292" s="352"/>
      <c r="AA292" s="352"/>
      <c r="AB292" s="352"/>
      <c r="AC292" s="352"/>
      <c r="AD292" s="352"/>
    </row>
    <row r="293" spans="1:30" ht="179.45" hidden="1" x14ac:dyDescent="0.35">
      <c r="A293" s="349">
        <v>292</v>
      </c>
      <c r="B293" s="352" t="s">
        <v>2694</v>
      </c>
      <c r="C293" s="351" t="s">
        <v>4681</v>
      </c>
      <c r="D293" s="352" t="s">
        <v>3092</v>
      </c>
      <c r="E293" s="352" t="s">
        <v>1998</v>
      </c>
      <c r="F293" s="353">
        <v>0.3</v>
      </c>
      <c r="G293" s="352" t="s">
        <v>2126</v>
      </c>
      <c r="H293" s="176" t="s">
        <v>4480</v>
      </c>
      <c r="I293" s="176" t="s">
        <v>685</v>
      </c>
      <c r="J293" s="352" t="s">
        <v>22</v>
      </c>
      <c r="K293" s="352">
        <v>1</v>
      </c>
      <c r="L293" s="352" t="s">
        <v>23</v>
      </c>
      <c r="M293" s="351"/>
      <c r="N293" s="351"/>
      <c r="O293" s="351">
        <v>1</v>
      </c>
      <c r="P293" s="349" t="s">
        <v>1836</v>
      </c>
      <c r="R293" s="349">
        <f t="shared" si="4"/>
        <v>9</v>
      </c>
      <c r="S293" s="352"/>
      <c r="T293" s="352"/>
      <c r="U293" s="352"/>
      <c r="V293" s="353"/>
      <c r="W293" s="352"/>
      <c r="X293" s="176"/>
      <c r="Y293" s="176"/>
      <c r="Z293" s="352"/>
      <c r="AA293" s="352"/>
      <c r="AB293" s="352"/>
      <c r="AC293" s="351"/>
      <c r="AD293" s="351"/>
    </row>
    <row r="294" spans="1:30" ht="179.45" hidden="1" x14ac:dyDescent="0.35">
      <c r="A294" s="349">
        <v>293</v>
      </c>
      <c r="B294" s="352" t="s">
        <v>2694</v>
      </c>
      <c r="C294" s="351" t="s">
        <v>4681</v>
      </c>
      <c r="D294" s="352" t="s">
        <v>3092</v>
      </c>
      <c r="E294" s="352" t="s">
        <v>1998</v>
      </c>
      <c r="F294" s="353">
        <v>0.3</v>
      </c>
      <c r="G294" s="352" t="s">
        <v>2126</v>
      </c>
      <c r="H294" s="176" t="s">
        <v>4480</v>
      </c>
      <c r="I294" s="176" t="s">
        <v>685</v>
      </c>
      <c r="J294" s="352" t="s">
        <v>22</v>
      </c>
      <c r="K294" s="352">
        <v>3</v>
      </c>
      <c r="L294" s="352" t="s">
        <v>23</v>
      </c>
      <c r="M294" s="351"/>
      <c r="N294" s="351"/>
      <c r="O294" s="351">
        <v>3</v>
      </c>
      <c r="P294" s="349" t="s">
        <v>1836</v>
      </c>
      <c r="R294" s="349">
        <f t="shared" si="4"/>
        <v>9</v>
      </c>
      <c r="S294" s="352"/>
      <c r="T294" s="352"/>
      <c r="U294" s="352"/>
      <c r="V294" s="353"/>
      <c r="W294" s="352"/>
      <c r="X294" s="176"/>
      <c r="Y294" s="176"/>
      <c r="Z294" s="352"/>
      <c r="AA294" s="352"/>
      <c r="AB294" s="352"/>
      <c r="AC294" s="352"/>
      <c r="AD294" s="352"/>
    </row>
    <row r="295" spans="1:30" ht="179.45" hidden="1" x14ac:dyDescent="0.35">
      <c r="A295" s="349">
        <v>294</v>
      </c>
      <c r="B295" s="352" t="s">
        <v>2694</v>
      </c>
      <c r="C295" s="351" t="s">
        <v>4681</v>
      </c>
      <c r="D295" s="352" t="s">
        <v>3092</v>
      </c>
      <c r="E295" s="352" t="s">
        <v>1995</v>
      </c>
      <c r="F295" s="353">
        <v>8.8099999999999998E-2</v>
      </c>
      <c r="G295" s="352" t="s">
        <v>2126</v>
      </c>
      <c r="H295" s="176" t="s">
        <v>4480</v>
      </c>
      <c r="I295" s="176" t="s">
        <v>685</v>
      </c>
      <c r="J295" s="352" t="s">
        <v>3580</v>
      </c>
      <c r="K295" s="352">
        <v>12.5</v>
      </c>
      <c r="L295" s="352" t="s">
        <v>3581</v>
      </c>
      <c r="M295" s="351"/>
      <c r="N295" s="351"/>
      <c r="O295" s="351">
        <v>12.5</v>
      </c>
      <c r="P295" s="349" t="s">
        <v>1836</v>
      </c>
      <c r="R295" s="349">
        <f t="shared" si="4"/>
        <v>9</v>
      </c>
      <c r="S295" s="352"/>
      <c r="T295" s="352"/>
      <c r="U295" s="352"/>
      <c r="V295" s="353"/>
      <c r="W295" s="352"/>
      <c r="X295" s="176"/>
      <c r="Y295" s="176"/>
      <c r="Z295" s="352"/>
      <c r="AA295" s="352"/>
      <c r="AB295" s="352"/>
      <c r="AC295" s="351"/>
      <c r="AD295" s="351"/>
    </row>
    <row r="296" spans="1:30" ht="179.45" hidden="1" x14ac:dyDescent="0.35">
      <c r="A296" s="349">
        <v>295</v>
      </c>
      <c r="B296" s="352" t="s">
        <v>2694</v>
      </c>
      <c r="C296" s="351" t="s">
        <v>4681</v>
      </c>
      <c r="D296" s="352" t="s">
        <v>3092</v>
      </c>
      <c r="E296" s="352" t="s">
        <v>1995</v>
      </c>
      <c r="F296" s="353">
        <v>0.13220000000000001</v>
      </c>
      <c r="G296" s="352" t="s">
        <v>2126</v>
      </c>
      <c r="H296" s="176" t="s">
        <v>4480</v>
      </c>
      <c r="I296" s="176" t="s">
        <v>685</v>
      </c>
      <c r="J296" s="352" t="s">
        <v>3580</v>
      </c>
      <c r="K296" s="352">
        <v>25</v>
      </c>
      <c r="L296" s="352" t="s">
        <v>3581</v>
      </c>
      <c r="M296" s="351"/>
      <c r="N296" s="351"/>
      <c r="O296" s="351">
        <v>25</v>
      </c>
      <c r="P296" s="349" t="s">
        <v>1836</v>
      </c>
      <c r="R296" s="349">
        <f t="shared" si="4"/>
        <v>9</v>
      </c>
      <c r="S296" s="352"/>
      <c r="T296" s="352"/>
      <c r="U296" s="352"/>
      <c r="V296" s="353"/>
      <c r="W296" s="352"/>
      <c r="X296" s="176"/>
      <c r="Y296" s="176"/>
      <c r="Z296" s="352"/>
      <c r="AA296" s="352"/>
      <c r="AB296" s="352"/>
      <c r="AC296" s="352"/>
      <c r="AD296" s="352"/>
    </row>
    <row r="297" spans="1:30" ht="38.450000000000003" hidden="1" x14ac:dyDescent="0.35">
      <c r="A297" s="349">
        <v>296</v>
      </c>
      <c r="B297" s="352" t="s">
        <v>19</v>
      </c>
      <c r="C297" s="351" t="s">
        <v>4682</v>
      </c>
      <c r="D297" s="352" t="s">
        <v>840</v>
      </c>
      <c r="E297" s="352" t="s">
        <v>2002</v>
      </c>
      <c r="F297" s="351"/>
      <c r="G297" s="352" t="s">
        <v>2126</v>
      </c>
      <c r="H297" s="176" t="s">
        <v>3448</v>
      </c>
      <c r="I297" s="176" t="s">
        <v>781</v>
      </c>
      <c r="J297" s="352" t="s">
        <v>1502</v>
      </c>
      <c r="K297" s="352">
        <v>100</v>
      </c>
      <c r="L297" s="352" t="s">
        <v>1503</v>
      </c>
      <c r="M297" s="351"/>
      <c r="N297" s="351"/>
      <c r="O297" s="351">
        <v>100</v>
      </c>
      <c r="P297" s="349" t="s">
        <v>1836</v>
      </c>
      <c r="R297" s="349">
        <f t="shared" si="4"/>
        <v>10</v>
      </c>
      <c r="S297" s="352"/>
      <c r="T297" s="352"/>
      <c r="U297" s="352"/>
      <c r="V297" s="353"/>
      <c r="W297" s="352"/>
      <c r="X297" s="176"/>
      <c r="Y297" s="176"/>
      <c r="Z297" s="352"/>
      <c r="AA297" s="352"/>
      <c r="AB297" s="352"/>
      <c r="AC297" s="352"/>
      <c r="AD297" s="352"/>
    </row>
    <row r="298" spans="1:30" ht="38.450000000000003" hidden="1" x14ac:dyDescent="0.35">
      <c r="A298" s="349">
        <v>297</v>
      </c>
      <c r="B298" s="352" t="s">
        <v>19</v>
      </c>
      <c r="C298" s="351" t="s">
        <v>4682</v>
      </c>
      <c r="D298" s="352" t="s">
        <v>840</v>
      </c>
      <c r="E298" s="352" t="s">
        <v>2002</v>
      </c>
      <c r="F298" s="351"/>
      <c r="G298" s="352" t="s">
        <v>2126</v>
      </c>
      <c r="H298" s="176" t="s">
        <v>3448</v>
      </c>
      <c r="I298" s="176" t="s">
        <v>781</v>
      </c>
      <c r="J298" s="352" t="s">
        <v>1502</v>
      </c>
      <c r="K298" s="352">
        <v>250</v>
      </c>
      <c r="L298" s="352" t="s">
        <v>1503</v>
      </c>
      <c r="M298" s="351"/>
      <c r="N298" s="351"/>
      <c r="O298" s="351">
        <v>250</v>
      </c>
      <c r="P298" s="349" t="s">
        <v>1836</v>
      </c>
      <c r="R298" s="349">
        <f t="shared" si="4"/>
        <v>10</v>
      </c>
      <c r="S298" s="352"/>
      <c r="T298" s="352"/>
      <c r="U298" s="352"/>
      <c r="V298" s="353"/>
      <c r="W298" s="352"/>
      <c r="X298" s="176"/>
      <c r="Y298" s="176"/>
      <c r="Z298" s="352"/>
      <c r="AA298" s="352"/>
      <c r="AB298" s="352"/>
      <c r="AC298" s="351"/>
      <c r="AD298" s="351"/>
    </row>
    <row r="299" spans="1:30" ht="179.45" hidden="1" x14ac:dyDescent="0.35">
      <c r="A299" s="349">
        <v>298</v>
      </c>
      <c r="B299" s="352" t="s">
        <v>2694</v>
      </c>
      <c r="C299" s="351" t="s">
        <v>3092</v>
      </c>
      <c r="D299" s="352" t="s">
        <v>3092</v>
      </c>
      <c r="E299" s="352" t="s">
        <v>1998</v>
      </c>
      <c r="F299" s="353">
        <v>0.3</v>
      </c>
      <c r="G299" s="352" t="s">
        <v>2126</v>
      </c>
      <c r="H299" s="176" t="s">
        <v>4480</v>
      </c>
      <c r="I299" s="176" t="s">
        <v>685</v>
      </c>
      <c r="J299" s="352" t="s">
        <v>22</v>
      </c>
      <c r="K299" s="352">
        <v>0.5</v>
      </c>
      <c r="L299" s="352" t="s">
        <v>23</v>
      </c>
      <c r="M299" s="351"/>
      <c r="N299" s="351"/>
      <c r="O299" s="351">
        <v>0.5</v>
      </c>
      <c r="P299" s="349" t="s">
        <v>1836</v>
      </c>
      <c r="R299" s="349">
        <f t="shared" si="4"/>
        <v>9</v>
      </c>
      <c r="S299" s="352"/>
      <c r="T299" s="352"/>
      <c r="U299" s="352"/>
      <c r="V299" s="353"/>
      <c r="W299" s="352"/>
      <c r="X299" s="176"/>
      <c r="Y299" s="176"/>
      <c r="Z299" s="352"/>
      <c r="AA299" s="352"/>
      <c r="AB299" s="352"/>
      <c r="AC299" s="351"/>
      <c r="AD299" s="351"/>
    </row>
    <row r="300" spans="1:30" ht="179.45" hidden="1" x14ac:dyDescent="0.35">
      <c r="A300" s="349">
        <v>299</v>
      </c>
      <c r="B300" s="352" t="s">
        <v>2694</v>
      </c>
      <c r="C300" s="351" t="s">
        <v>3092</v>
      </c>
      <c r="D300" s="352" t="s">
        <v>3092</v>
      </c>
      <c r="E300" s="352" t="s">
        <v>1998</v>
      </c>
      <c r="F300" s="353">
        <v>0.3</v>
      </c>
      <c r="G300" s="352" t="s">
        <v>2126</v>
      </c>
      <c r="H300" s="176" t="s">
        <v>4480</v>
      </c>
      <c r="I300" s="176" t="s">
        <v>685</v>
      </c>
      <c r="J300" s="352" t="s">
        <v>22</v>
      </c>
      <c r="K300" s="352">
        <v>1</v>
      </c>
      <c r="L300" s="352" t="s">
        <v>23</v>
      </c>
      <c r="M300" s="351"/>
      <c r="N300" s="351"/>
      <c r="O300" s="351">
        <v>1</v>
      </c>
      <c r="P300" s="349" t="s">
        <v>1836</v>
      </c>
      <c r="R300" s="349">
        <f t="shared" si="4"/>
        <v>9</v>
      </c>
      <c r="S300" s="352"/>
      <c r="T300" s="352"/>
      <c r="U300" s="352"/>
      <c r="V300" s="353"/>
      <c r="W300" s="352"/>
      <c r="X300" s="176"/>
      <c r="Y300" s="176"/>
      <c r="Z300" s="352"/>
      <c r="AA300" s="352"/>
      <c r="AB300" s="352"/>
      <c r="AC300" s="352"/>
      <c r="AD300" s="352"/>
    </row>
    <row r="301" spans="1:30" ht="179.45" hidden="1" x14ac:dyDescent="0.35">
      <c r="A301" s="349">
        <v>300</v>
      </c>
      <c r="B301" s="352" t="s">
        <v>2694</v>
      </c>
      <c r="C301" s="351" t="s">
        <v>3092</v>
      </c>
      <c r="D301" s="352" t="s">
        <v>3092</v>
      </c>
      <c r="E301" s="352" t="s">
        <v>1998</v>
      </c>
      <c r="F301" s="353">
        <v>0.3</v>
      </c>
      <c r="G301" s="352" t="s">
        <v>2126</v>
      </c>
      <c r="H301" s="176" t="s">
        <v>4480</v>
      </c>
      <c r="I301" s="176" t="s">
        <v>685</v>
      </c>
      <c r="J301" s="352" t="s">
        <v>22</v>
      </c>
      <c r="K301" s="352">
        <v>3</v>
      </c>
      <c r="L301" s="352" t="s">
        <v>23</v>
      </c>
      <c r="M301" s="351"/>
      <c r="N301" s="351"/>
      <c r="O301" s="351">
        <v>3</v>
      </c>
      <c r="P301" s="349" t="s">
        <v>1836</v>
      </c>
      <c r="R301" s="349">
        <f t="shared" si="4"/>
        <v>9</v>
      </c>
      <c r="S301" s="352"/>
      <c r="T301" s="352"/>
      <c r="U301" s="352"/>
      <c r="V301" s="353"/>
      <c r="W301" s="352"/>
      <c r="X301" s="176"/>
      <c r="Y301" s="176"/>
      <c r="Z301" s="352"/>
      <c r="AA301" s="352"/>
      <c r="AB301" s="352"/>
      <c r="AC301" s="352"/>
      <c r="AD301" s="352"/>
    </row>
    <row r="302" spans="1:30" ht="179.45" hidden="1" x14ac:dyDescent="0.35">
      <c r="A302" s="349">
        <v>301</v>
      </c>
      <c r="B302" s="352" t="s">
        <v>2694</v>
      </c>
      <c r="C302" s="351" t="s">
        <v>3092</v>
      </c>
      <c r="D302" s="352" t="s">
        <v>3092</v>
      </c>
      <c r="E302" s="352" t="s">
        <v>1995</v>
      </c>
      <c r="F302" s="353">
        <v>8.8099999999999998E-2</v>
      </c>
      <c r="G302" s="352" t="s">
        <v>2126</v>
      </c>
      <c r="H302" s="176" t="s">
        <v>4480</v>
      </c>
      <c r="I302" s="176" t="s">
        <v>685</v>
      </c>
      <c r="J302" s="352" t="s">
        <v>3580</v>
      </c>
      <c r="K302" s="352">
        <v>12.5</v>
      </c>
      <c r="L302" s="352" t="s">
        <v>3581</v>
      </c>
      <c r="M302" s="351"/>
      <c r="N302" s="351"/>
      <c r="O302" s="351">
        <v>12.5</v>
      </c>
      <c r="P302" s="349" t="s">
        <v>1836</v>
      </c>
      <c r="R302" s="349">
        <f t="shared" si="4"/>
        <v>9</v>
      </c>
      <c r="S302" s="352"/>
      <c r="T302" s="352"/>
      <c r="U302" s="352"/>
      <c r="V302" s="353"/>
      <c r="W302" s="352"/>
      <c r="X302" s="176"/>
      <c r="Y302" s="176"/>
      <c r="Z302" s="352"/>
      <c r="AA302" s="352"/>
      <c r="AB302" s="352"/>
      <c r="AC302" s="351"/>
      <c r="AD302" s="351"/>
    </row>
    <row r="303" spans="1:30" ht="179.45" hidden="1" x14ac:dyDescent="0.35">
      <c r="A303" s="349">
        <v>302</v>
      </c>
      <c r="B303" s="352" t="s">
        <v>2694</v>
      </c>
      <c r="C303" s="351" t="s">
        <v>3092</v>
      </c>
      <c r="D303" s="352" t="s">
        <v>3092</v>
      </c>
      <c r="E303" s="352" t="s">
        <v>1995</v>
      </c>
      <c r="F303" s="353">
        <v>0.13220000000000001</v>
      </c>
      <c r="G303" s="352" t="s">
        <v>2126</v>
      </c>
      <c r="H303" s="176" t="s">
        <v>4480</v>
      </c>
      <c r="I303" s="176" t="s">
        <v>685</v>
      </c>
      <c r="J303" s="352" t="s">
        <v>3580</v>
      </c>
      <c r="K303" s="352">
        <v>25</v>
      </c>
      <c r="L303" s="352" t="s">
        <v>3581</v>
      </c>
      <c r="M303" s="351"/>
      <c r="N303" s="351"/>
      <c r="O303" s="351">
        <v>25</v>
      </c>
      <c r="P303" s="349" t="s">
        <v>1836</v>
      </c>
      <c r="R303" s="349">
        <f t="shared" si="4"/>
        <v>9</v>
      </c>
      <c r="S303" s="352"/>
      <c r="T303" s="352"/>
      <c r="U303" s="352"/>
      <c r="V303" s="353"/>
      <c r="W303" s="352"/>
      <c r="X303" s="176"/>
      <c r="Y303" s="176"/>
      <c r="Z303" s="352"/>
      <c r="AA303" s="352"/>
      <c r="AB303" s="352"/>
      <c r="AC303" s="351"/>
      <c r="AD303" s="351"/>
    </row>
    <row r="304" spans="1:30" ht="256.35000000000002" hidden="1" x14ac:dyDescent="0.35">
      <c r="A304" s="349">
        <v>303</v>
      </c>
      <c r="B304" s="352" t="s">
        <v>1787</v>
      </c>
      <c r="C304" s="351" t="s">
        <v>542</v>
      </c>
      <c r="D304" s="352" t="s">
        <v>542</v>
      </c>
      <c r="E304" s="352" t="s">
        <v>1788</v>
      </c>
      <c r="F304" s="353">
        <v>13</v>
      </c>
      <c r="G304" s="352" t="s">
        <v>2126</v>
      </c>
      <c r="H304" s="176" t="s">
        <v>2241</v>
      </c>
      <c r="I304" s="176" t="s">
        <v>4950</v>
      </c>
      <c r="J304" s="352" t="s">
        <v>3579</v>
      </c>
      <c r="K304" s="352">
        <v>20</v>
      </c>
      <c r="L304" s="352" t="s">
        <v>1116</v>
      </c>
      <c r="M304" s="351">
        <v>250</v>
      </c>
      <c r="N304" s="351" t="s">
        <v>1109</v>
      </c>
      <c r="O304" s="351">
        <v>20</v>
      </c>
      <c r="P304" s="349" t="s">
        <v>1836</v>
      </c>
      <c r="R304" s="349">
        <f t="shared" si="4"/>
        <v>13</v>
      </c>
      <c r="S304" s="352"/>
      <c r="T304" s="352"/>
      <c r="U304" s="352"/>
      <c r="V304" s="353"/>
      <c r="W304" s="352"/>
      <c r="X304" s="176"/>
      <c r="Y304" s="176"/>
      <c r="Z304" s="352"/>
      <c r="AA304" s="352"/>
      <c r="AB304" s="352"/>
      <c r="AC304" s="352"/>
      <c r="AD304" s="352"/>
    </row>
    <row r="305" spans="1:30" ht="256.35000000000002" hidden="1" x14ac:dyDescent="0.35">
      <c r="A305" s="349">
        <v>304</v>
      </c>
      <c r="B305" s="352" t="s">
        <v>1787</v>
      </c>
      <c r="C305" s="351" t="s">
        <v>542</v>
      </c>
      <c r="D305" s="352" t="s">
        <v>542</v>
      </c>
      <c r="E305" s="352" t="s">
        <v>1995</v>
      </c>
      <c r="F305" s="353">
        <v>0.2</v>
      </c>
      <c r="G305" s="352" t="s">
        <v>2126</v>
      </c>
      <c r="H305" s="176" t="s">
        <v>2241</v>
      </c>
      <c r="I305" s="176" t="s">
        <v>4950</v>
      </c>
      <c r="J305" s="352" t="s">
        <v>3580</v>
      </c>
      <c r="K305" s="352">
        <v>100</v>
      </c>
      <c r="L305" s="352" t="s">
        <v>3581</v>
      </c>
      <c r="M305" s="351"/>
      <c r="N305" s="351"/>
      <c r="O305" s="351">
        <v>100</v>
      </c>
      <c r="P305" s="349" t="s">
        <v>1836</v>
      </c>
      <c r="R305" s="349">
        <f t="shared" si="4"/>
        <v>13</v>
      </c>
      <c r="S305" s="352"/>
      <c r="T305" s="352"/>
      <c r="U305" s="352"/>
      <c r="V305" s="353"/>
      <c r="W305" s="352"/>
      <c r="X305" s="176"/>
      <c r="Y305" s="176"/>
      <c r="Z305" s="352"/>
      <c r="AA305" s="352"/>
      <c r="AB305" s="352"/>
      <c r="AC305" s="351"/>
      <c r="AD305" s="351"/>
    </row>
    <row r="306" spans="1:30" ht="256.35000000000002" hidden="1" x14ac:dyDescent="0.35">
      <c r="A306" s="349">
        <v>305</v>
      </c>
      <c r="B306" s="352" t="s">
        <v>1787</v>
      </c>
      <c r="C306" s="351" t="s">
        <v>542</v>
      </c>
      <c r="D306" s="352" t="s">
        <v>542</v>
      </c>
      <c r="E306" s="352" t="s">
        <v>2011</v>
      </c>
      <c r="F306" s="353">
        <v>0.4</v>
      </c>
      <c r="G306" s="352" t="s">
        <v>2126</v>
      </c>
      <c r="H306" s="176" t="s">
        <v>2241</v>
      </c>
      <c r="I306" s="176" t="s">
        <v>4950</v>
      </c>
      <c r="J306" s="352" t="s">
        <v>1789</v>
      </c>
      <c r="K306" s="352">
        <v>200</v>
      </c>
      <c r="L306" s="352" t="s">
        <v>3581</v>
      </c>
      <c r="M306" s="351"/>
      <c r="N306" s="351"/>
      <c r="O306" s="351">
        <v>200</v>
      </c>
      <c r="P306" s="349" t="s">
        <v>1836</v>
      </c>
      <c r="R306" s="349">
        <f t="shared" si="4"/>
        <v>13</v>
      </c>
      <c r="S306" s="352"/>
      <c r="T306" s="352"/>
      <c r="U306" s="352"/>
      <c r="V306" s="353"/>
      <c r="W306" s="352"/>
      <c r="X306" s="176"/>
      <c r="Y306" s="176"/>
      <c r="Z306" s="352"/>
      <c r="AA306" s="352"/>
      <c r="AB306" s="352"/>
      <c r="AC306" s="351"/>
      <c r="AD306" s="351"/>
    </row>
    <row r="307" spans="1:30" ht="128.19999999999999" hidden="1" x14ac:dyDescent="0.35">
      <c r="A307" s="349">
        <v>306</v>
      </c>
      <c r="B307" s="352" t="s">
        <v>1787</v>
      </c>
      <c r="C307" s="351" t="s">
        <v>542</v>
      </c>
      <c r="D307" s="352" t="s">
        <v>542</v>
      </c>
      <c r="E307" s="352" t="s">
        <v>1999</v>
      </c>
      <c r="F307" s="353">
        <v>0.55000000000000004</v>
      </c>
      <c r="G307" s="352" t="s">
        <v>967</v>
      </c>
      <c r="H307" s="176" t="s">
        <v>4222</v>
      </c>
      <c r="I307" s="176" t="s">
        <v>4950</v>
      </c>
      <c r="J307" s="352" t="s">
        <v>968</v>
      </c>
      <c r="K307" s="352">
        <v>125</v>
      </c>
      <c r="L307" s="352" t="s">
        <v>969</v>
      </c>
      <c r="M307" s="352"/>
      <c r="N307" s="352"/>
      <c r="O307" s="351">
        <v>125</v>
      </c>
      <c r="P307" s="349" t="s">
        <v>1836</v>
      </c>
      <c r="R307" s="349">
        <f t="shared" si="4"/>
        <v>13</v>
      </c>
      <c r="S307" s="352"/>
      <c r="T307" s="352"/>
      <c r="U307" s="352"/>
      <c r="V307" s="353"/>
      <c r="W307" s="352"/>
      <c r="X307" s="176"/>
      <c r="Y307" s="176"/>
      <c r="Z307" s="352"/>
      <c r="AA307" s="352"/>
      <c r="AB307" s="352"/>
      <c r="AC307" s="351"/>
      <c r="AD307" s="351"/>
    </row>
    <row r="308" spans="1:30" ht="128.19999999999999" hidden="1" x14ac:dyDescent="0.35">
      <c r="A308" s="349">
        <v>307</v>
      </c>
      <c r="B308" s="352" t="s">
        <v>1787</v>
      </c>
      <c r="C308" s="351" t="s">
        <v>542</v>
      </c>
      <c r="D308" s="352" t="s">
        <v>542</v>
      </c>
      <c r="E308" s="352" t="s">
        <v>1999</v>
      </c>
      <c r="F308" s="353">
        <v>0.7</v>
      </c>
      <c r="G308" s="352" t="s">
        <v>967</v>
      </c>
      <c r="H308" s="176" t="s">
        <v>4222</v>
      </c>
      <c r="I308" s="176" t="s">
        <v>4950</v>
      </c>
      <c r="J308" s="352" t="s">
        <v>968</v>
      </c>
      <c r="K308" s="352">
        <v>250</v>
      </c>
      <c r="L308" s="352" t="s">
        <v>969</v>
      </c>
      <c r="M308" s="351"/>
      <c r="N308" s="351"/>
      <c r="O308" s="351">
        <v>250</v>
      </c>
      <c r="P308" s="349" t="s">
        <v>1836</v>
      </c>
      <c r="R308" s="349">
        <f t="shared" si="4"/>
        <v>13</v>
      </c>
      <c r="S308" s="352"/>
      <c r="T308" s="352"/>
      <c r="U308" s="352"/>
      <c r="V308" s="353"/>
      <c r="W308" s="352"/>
      <c r="X308" s="176"/>
      <c r="Y308" s="176"/>
      <c r="Z308" s="352"/>
      <c r="AA308" s="352"/>
      <c r="AB308" s="352"/>
      <c r="AC308" s="351"/>
      <c r="AD308" s="351"/>
    </row>
    <row r="309" spans="1:30" ht="128.19999999999999" hidden="1" x14ac:dyDescent="0.35">
      <c r="A309" s="349">
        <v>308</v>
      </c>
      <c r="B309" s="352" t="s">
        <v>1787</v>
      </c>
      <c r="C309" s="351" t="s">
        <v>542</v>
      </c>
      <c r="D309" s="352" t="s">
        <v>542</v>
      </c>
      <c r="E309" s="352" t="s">
        <v>1999</v>
      </c>
      <c r="F309" s="353">
        <v>1</v>
      </c>
      <c r="G309" s="352" t="s">
        <v>967</v>
      </c>
      <c r="H309" s="176" t="s">
        <v>4222</v>
      </c>
      <c r="I309" s="176" t="s">
        <v>4950</v>
      </c>
      <c r="J309" s="352" t="s">
        <v>968</v>
      </c>
      <c r="K309" s="352">
        <v>500</v>
      </c>
      <c r="L309" s="352" t="s">
        <v>969</v>
      </c>
      <c r="M309" s="351"/>
      <c r="N309" s="351"/>
      <c r="O309" s="351">
        <v>500</v>
      </c>
      <c r="P309" s="349" t="s">
        <v>1836</v>
      </c>
      <c r="R309" s="349">
        <f t="shared" si="4"/>
        <v>13</v>
      </c>
      <c r="S309" s="352"/>
      <c r="T309" s="352"/>
      <c r="U309" s="352"/>
      <c r="V309" s="353"/>
      <c r="W309" s="352"/>
      <c r="X309" s="176"/>
      <c r="Y309" s="176"/>
      <c r="Z309" s="352"/>
      <c r="AA309" s="352"/>
      <c r="AB309" s="352"/>
      <c r="AC309" s="351"/>
      <c r="AD309" s="351"/>
    </row>
    <row r="310" spans="1:30" ht="153.80000000000001" hidden="1" x14ac:dyDescent="0.35">
      <c r="A310" s="349">
        <v>309</v>
      </c>
      <c r="B310" s="352" t="s">
        <v>2067</v>
      </c>
      <c r="C310" s="351" t="s">
        <v>1003</v>
      </c>
      <c r="D310" s="352" t="s">
        <v>1382</v>
      </c>
      <c r="E310" s="352" t="s">
        <v>2004</v>
      </c>
      <c r="F310" s="353">
        <v>0.15</v>
      </c>
      <c r="G310" s="352" t="s">
        <v>2126</v>
      </c>
      <c r="H310" s="176" t="s">
        <v>2046</v>
      </c>
      <c r="I310" s="176" t="s">
        <v>4333</v>
      </c>
      <c r="J310" s="352" t="s">
        <v>3577</v>
      </c>
      <c r="K310" s="352">
        <v>100</v>
      </c>
      <c r="L310" s="352" t="s">
        <v>2068</v>
      </c>
      <c r="M310" s="351"/>
      <c r="N310" s="351"/>
      <c r="O310" s="351">
        <v>100</v>
      </c>
      <c r="P310" s="349" t="s">
        <v>1836</v>
      </c>
      <c r="R310" s="349">
        <f t="shared" si="4"/>
        <v>19</v>
      </c>
      <c r="S310" s="352"/>
      <c r="T310" s="352"/>
      <c r="U310" s="352"/>
      <c r="V310" s="353"/>
      <c r="W310" s="352"/>
      <c r="X310" s="176"/>
      <c r="Y310" s="176"/>
      <c r="Z310" s="352"/>
      <c r="AA310" s="352"/>
      <c r="AB310" s="352"/>
      <c r="AC310" s="351"/>
      <c r="AD310" s="351"/>
    </row>
    <row r="311" spans="1:30" ht="153.80000000000001" hidden="1" x14ac:dyDescent="0.35">
      <c r="A311" s="349">
        <v>310</v>
      </c>
      <c r="B311" s="352" t="s">
        <v>2067</v>
      </c>
      <c r="C311" s="351" t="s">
        <v>1003</v>
      </c>
      <c r="D311" s="352" t="s">
        <v>1382</v>
      </c>
      <c r="E311" s="352" t="s">
        <v>2004</v>
      </c>
      <c r="F311" s="353">
        <v>0.11</v>
      </c>
      <c r="G311" s="352" t="s">
        <v>2126</v>
      </c>
      <c r="H311" s="176" t="s">
        <v>2046</v>
      </c>
      <c r="I311" s="176" t="s">
        <v>4333</v>
      </c>
      <c r="J311" s="352" t="s">
        <v>3577</v>
      </c>
      <c r="K311" s="352">
        <v>300</v>
      </c>
      <c r="L311" s="352" t="s">
        <v>2068</v>
      </c>
      <c r="M311" s="351"/>
      <c r="N311" s="351"/>
      <c r="O311" s="351">
        <v>300</v>
      </c>
      <c r="P311" s="349" t="s">
        <v>1836</v>
      </c>
      <c r="R311" s="349">
        <f t="shared" si="4"/>
        <v>19</v>
      </c>
      <c r="S311" s="352"/>
      <c r="T311" s="352"/>
      <c r="U311" s="352"/>
      <c r="V311" s="353"/>
      <c r="W311" s="352"/>
      <c r="X311" s="176"/>
      <c r="Y311" s="176"/>
      <c r="Z311" s="352"/>
      <c r="AA311" s="352"/>
      <c r="AB311" s="352"/>
      <c r="AC311" s="351"/>
      <c r="AD311" s="351"/>
    </row>
    <row r="312" spans="1:30" ht="153.80000000000001" hidden="1" x14ac:dyDescent="0.35">
      <c r="A312" s="349">
        <v>311</v>
      </c>
      <c r="B312" s="352" t="s">
        <v>2067</v>
      </c>
      <c r="C312" s="351" t="s">
        <v>1003</v>
      </c>
      <c r="D312" s="352" t="s">
        <v>1382</v>
      </c>
      <c r="E312" s="352" t="s">
        <v>2004</v>
      </c>
      <c r="F312" s="353">
        <v>0.18</v>
      </c>
      <c r="G312" s="352" t="s">
        <v>2126</v>
      </c>
      <c r="H312" s="176" t="s">
        <v>2046</v>
      </c>
      <c r="I312" s="176" t="s">
        <v>4333</v>
      </c>
      <c r="J312" s="352" t="s">
        <v>3577</v>
      </c>
      <c r="K312" s="352">
        <v>600</v>
      </c>
      <c r="L312" s="352" t="s">
        <v>2068</v>
      </c>
      <c r="M312" s="351"/>
      <c r="N312" s="351"/>
      <c r="O312" s="351">
        <v>600</v>
      </c>
      <c r="P312" s="349" t="s">
        <v>1836</v>
      </c>
      <c r="R312" s="349">
        <f t="shared" si="4"/>
        <v>19</v>
      </c>
      <c r="S312" s="352"/>
      <c r="T312" s="352"/>
      <c r="U312" s="352"/>
      <c r="V312" s="353"/>
      <c r="W312" s="352"/>
      <c r="X312" s="176"/>
      <c r="Y312" s="176"/>
      <c r="Z312" s="352"/>
      <c r="AA312" s="352"/>
      <c r="AB312" s="352"/>
      <c r="AC312" s="351"/>
      <c r="AD312" s="351"/>
    </row>
    <row r="313" spans="1:30" ht="115.35" hidden="1" x14ac:dyDescent="0.35">
      <c r="A313" s="349">
        <v>312</v>
      </c>
      <c r="B313" s="352" t="s">
        <v>26</v>
      </c>
      <c r="C313" s="351" t="s">
        <v>1003</v>
      </c>
      <c r="D313" s="352" t="s">
        <v>1382</v>
      </c>
      <c r="E313" s="352" t="s">
        <v>2004</v>
      </c>
      <c r="F313" s="353">
        <v>0.2</v>
      </c>
      <c r="G313" s="352" t="s">
        <v>2126</v>
      </c>
      <c r="H313" s="176" t="s">
        <v>3919</v>
      </c>
      <c r="I313" s="176" t="s">
        <v>3920</v>
      </c>
      <c r="J313" s="352" t="s">
        <v>3577</v>
      </c>
      <c r="K313" s="352">
        <v>20</v>
      </c>
      <c r="L313" s="352" t="s">
        <v>2068</v>
      </c>
      <c r="M313" s="351"/>
      <c r="N313" s="351"/>
      <c r="O313" s="351">
        <v>20</v>
      </c>
      <c r="P313" s="349" t="s">
        <v>1836</v>
      </c>
      <c r="R313" s="349">
        <f t="shared" si="4"/>
        <v>19</v>
      </c>
      <c r="S313" s="352"/>
      <c r="T313" s="352"/>
      <c r="U313" s="352"/>
      <c r="V313" s="353"/>
      <c r="W313" s="352"/>
      <c r="X313" s="176"/>
      <c r="Y313" s="176"/>
      <c r="Z313" s="352"/>
      <c r="AA313" s="352"/>
      <c r="AB313" s="352"/>
      <c r="AC313" s="351"/>
      <c r="AD313" s="351"/>
    </row>
    <row r="314" spans="1:30" ht="115.35" hidden="1" x14ac:dyDescent="0.35">
      <c r="A314" s="349">
        <v>313</v>
      </c>
      <c r="B314" s="352" t="s">
        <v>26</v>
      </c>
      <c r="C314" s="351" t="s">
        <v>1003</v>
      </c>
      <c r="D314" s="352" t="s">
        <v>1382</v>
      </c>
      <c r="E314" s="352" t="s">
        <v>2004</v>
      </c>
      <c r="F314" s="353">
        <v>0.15</v>
      </c>
      <c r="G314" s="352" t="s">
        <v>2126</v>
      </c>
      <c r="H314" s="176" t="s">
        <v>3919</v>
      </c>
      <c r="I314" s="176" t="s">
        <v>3920</v>
      </c>
      <c r="J314" s="352" t="s">
        <v>3577</v>
      </c>
      <c r="K314" s="352">
        <v>38</v>
      </c>
      <c r="L314" s="352" t="s">
        <v>2068</v>
      </c>
      <c r="M314" s="351"/>
      <c r="N314" s="351"/>
      <c r="O314" s="351">
        <v>38</v>
      </c>
      <c r="P314" s="349" t="s">
        <v>1836</v>
      </c>
      <c r="R314" s="349">
        <f t="shared" si="4"/>
        <v>19</v>
      </c>
      <c r="S314" s="352"/>
      <c r="T314" s="352"/>
      <c r="U314" s="352"/>
      <c r="V314" s="353"/>
      <c r="W314" s="352"/>
      <c r="X314" s="176"/>
      <c r="Y314" s="176"/>
      <c r="Z314" s="352"/>
      <c r="AA314" s="352"/>
      <c r="AB314" s="352"/>
      <c r="AC314" s="351"/>
      <c r="AD314" s="351"/>
    </row>
    <row r="315" spans="1:30" ht="115.35" hidden="1" x14ac:dyDescent="0.35">
      <c r="A315" s="349">
        <v>314</v>
      </c>
      <c r="B315" s="352" t="s">
        <v>26</v>
      </c>
      <c r="C315" s="351" t="s">
        <v>1003</v>
      </c>
      <c r="D315" s="352" t="s">
        <v>1382</v>
      </c>
      <c r="E315" s="352" t="s">
        <v>2004</v>
      </c>
      <c r="F315" s="353">
        <v>0.15</v>
      </c>
      <c r="G315" s="352" t="s">
        <v>2126</v>
      </c>
      <c r="H315" s="176" t="s">
        <v>3919</v>
      </c>
      <c r="I315" s="176" t="s">
        <v>3920</v>
      </c>
      <c r="J315" s="352" t="s">
        <v>3577</v>
      </c>
      <c r="K315" s="352">
        <v>100</v>
      </c>
      <c r="L315" s="352" t="s">
        <v>2068</v>
      </c>
      <c r="M315" s="351"/>
      <c r="N315" s="351"/>
      <c r="O315" s="351">
        <v>100</v>
      </c>
      <c r="P315" s="349" t="s">
        <v>1836</v>
      </c>
      <c r="R315" s="349">
        <f t="shared" si="4"/>
        <v>19</v>
      </c>
      <c r="S315" s="352"/>
      <c r="T315" s="352"/>
      <c r="U315" s="352"/>
      <c r="V315" s="353"/>
      <c r="W315" s="352"/>
      <c r="X315" s="176"/>
      <c r="Y315" s="176"/>
      <c r="Z315" s="352"/>
      <c r="AA315" s="352"/>
      <c r="AB315" s="352"/>
      <c r="AC315" s="351"/>
      <c r="AD315" s="351"/>
    </row>
    <row r="316" spans="1:30" ht="115.35" hidden="1" x14ac:dyDescent="0.35">
      <c r="A316" s="349">
        <v>315</v>
      </c>
      <c r="B316" s="352" t="s">
        <v>26</v>
      </c>
      <c r="C316" s="351" t="s">
        <v>1003</v>
      </c>
      <c r="D316" s="352" t="s">
        <v>1382</v>
      </c>
      <c r="E316" s="352" t="s">
        <v>2004</v>
      </c>
      <c r="F316" s="353">
        <v>0.1</v>
      </c>
      <c r="G316" s="352" t="s">
        <v>2126</v>
      </c>
      <c r="H316" s="176" t="s">
        <v>3919</v>
      </c>
      <c r="I316" s="176" t="s">
        <v>3920</v>
      </c>
      <c r="J316" s="352" t="s">
        <v>3577</v>
      </c>
      <c r="K316" s="352">
        <v>300</v>
      </c>
      <c r="L316" s="352" t="s">
        <v>2068</v>
      </c>
      <c r="M316" s="351"/>
      <c r="N316" s="351"/>
      <c r="O316" s="351">
        <v>300</v>
      </c>
      <c r="P316" s="349" t="s">
        <v>1836</v>
      </c>
      <c r="R316" s="349">
        <f t="shared" si="4"/>
        <v>19</v>
      </c>
      <c r="S316" s="352"/>
      <c r="T316" s="352"/>
      <c r="U316" s="352"/>
      <c r="V316" s="353"/>
      <c r="W316" s="352"/>
      <c r="X316" s="176"/>
      <c r="Y316" s="176"/>
      <c r="Z316" s="352"/>
      <c r="AA316" s="352"/>
      <c r="AB316" s="352"/>
      <c r="AC316" s="351"/>
      <c r="AD316" s="351"/>
    </row>
    <row r="317" spans="1:30" ht="115.35" hidden="1" x14ac:dyDescent="0.35">
      <c r="A317" s="349">
        <v>316</v>
      </c>
      <c r="B317" s="352" t="s">
        <v>26</v>
      </c>
      <c r="C317" s="351" t="s">
        <v>1003</v>
      </c>
      <c r="D317" s="352" t="s">
        <v>1382</v>
      </c>
      <c r="E317" s="352" t="s">
        <v>2004</v>
      </c>
      <c r="F317" s="353">
        <v>0.17630000000000001</v>
      </c>
      <c r="G317" s="352" t="s">
        <v>2126</v>
      </c>
      <c r="H317" s="176" t="s">
        <v>3919</v>
      </c>
      <c r="I317" s="176" t="s">
        <v>3920</v>
      </c>
      <c r="J317" s="352" t="s">
        <v>3577</v>
      </c>
      <c r="K317" s="352">
        <v>600</v>
      </c>
      <c r="L317" s="352" t="s">
        <v>2068</v>
      </c>
      <c r="M317" s="351"/>
      <c r="N317" s="351"/>
      <c r="O317" s="351">
        <v>600</v>
      </c>
      <c r="P317" s="349" t="s">
        <v>1836</v>
      </c>
      <c r="R317" s="349">
        <f t="shared" si="4"/>
        <v>19</v>
      </c>
      <c r="S317" s="352"/>
      <c r="T317" s="352"/>
      <c r="U317" s="352"/>
      <c r="V317" s="353"/>
      <c r="W317" s="352"/>
      <c r="X317" s="176"/>
      <c r="Y317" s="176"/>
      <c r="Z317" s="352"/>
      <c r="AA317" s="352"/>
      <c r="AB317" s="352"/>
      <c r="AC317" s="351"/>
      <c r="AD317" s="351"/>
    </row>
    <row r="318" spans="1:30" ht="25.65" hidden="1" x14ac:dyDescent="0.35">
      <c r="A318" s="349">
        <v>317</v>
      </c>
      <c r="B318" s="352" t="s">
        <v>1790</v>
      </c>
      <c r="C318" s="351" t="s">
        <v>3277</v>
      </c>
      <c r="D318" s="352" t="s">
        <v>3277</v>
      </c>
      <c r="E318" s="352" t="s">
        <v>1791</v>
      </c>
      <c r="F318" s="353">
        <v>6.9417</v>
      </c>
      <c r="G318" s="352" t="s">
        <v>34</v>
      </c>
      <c r="H318" s="176" t="s">
        <v>3278</v>
      </c>
      <c r="I318" s="176" t="s">
        <v>974</v>
      </c>
      <c r="J318" s="352" t="s">
        <v>3358</v>
      </c>
      <c r="K318" s="352">
        <v>2</v>
      </c>
      <c r="L318" s="352" t="s">
        <v>30</v>
      </c>
      <c r="M318" s="352">
        <v>10</v>
      </c>
      <c r="N318" s="352" t="s">
        <v>31</v>
      </c>
      <c r="O318" s="351">
        <v>2</v>
      </c>
      <c r="P318" s="349" t="s">
        <v>1836</v>
      </c>
      <c r="R318" s="349">
        <f t="shared" si="4"/>
        <v>9</v>
      </c>
      <c r="S318" s="352"/>
      <c r="T318" s="352"/>
      <c r="U318" s="352"/>
      <c r="V318" s="353"/>
      <c r="W318" s="352"/>
      <c r="X318" s="176"/>
      <c r="Y318" s="176"/>
      <c r="Z318" s="352"/>
      <c r="AA318" s="352"/>
      <c r="AB318" s="352"/>
      <c r="AC318" s="351"/>
      <c r="AD318" s="351"/>
    </row>
    <row r="319" spans="1:30" ht="102.55" hidden="1" x14ac:dyDescent="0.35">
      <c r="A319" s="349">
        <v>318</v>
      </c>
      <c r="B319" s="352" t="s">
        <v>2694</v>
      </c>
      <c r="C319" s="351" t="s">
        <v>4683</v>
      </c>
      <c r="D319" s="352" t="s">
        <v>2850</v>
      </c>
      <c r="E319" s="352" t="s">
        <v>827</v>
      </c>
      <c r="F319" s="353">
        <v>17.827999999999999</v>
      </c>
      <c r="G319" s="352" t="s">
        <v>1107</v>
      </c>
      <c r="H319" s="176" t="s">
        <v>2548</v>
      </c>
      <c r="I319" s="176" t="s">
        <v>1460</v>
      </c>
      <c r="J319" s="352" t="s">
        <v>828</v>
      </c>
      <c r="K319" s="352">
        <v>1</v>
      </c>
      <c r="L319" s="352" t="s">
        <v>1116</v>
      </c>
      <c r="M319" s="352">
        <v>5</v>
      </c>
      <c r="N319" s="352" t="s">
        <v>1109</v>
      </c>
      <c r="O319" s="351">
        <v>1</v>
      </c>
      <c r="P319" s="349" t="s">
        <v>1836</v>
      </c>
      <c r="R319" s="349">
        <f t="shared" si="4"/>
        <v>11</v>
      </c>
      <c r="S319" s="352"/>
      <c r="T319" s="352"/>
      <c r="U319" s="352"/>
      <c r="V319" s="353"/>
      <c r="W319" s="352"/>
      <c r="X319" s="176"/>
      <c r="Y319" s="176"/>
      <c r="Z319" s="352"/>
      <c r="AA319" s="352"/>
      <c r="AB319" s="352"/>
      <c r="AC319" s="351"/>
      <c r="AD319" s="351"/>
    </row>
    <row r="320" spans="1:30" ht="76.900000000000006" hidden="1" x14ac:dyDescent="0.35">
      <c r="A320" s="349">
        <v>319</v>
      </c>
      <c r="B320" s="352" t="s">
        <v>1018</v>
      </c>
      <c r="C320" s="351" t="s">
        <v>4684</v>
      </c>
      <c r="D320" s="352" t="s">
        <v>291</v>
      </c>
      <c r="E320" s="352" t="s">
        <v>827</v>
      </c>
      <c r="F320" s="353">
        <v>5.8</v>
      </c>
      <c r="G320" s="352" t="s">
        <v>1107</v>
      </c>
      <c r="H320" s="176" t="s">
        <v>153</v>
      </c>
      <c r="I320" s="176" t="s">
        <v>154</v>
      </c>
      <c r="J320" s="352" t="s">
        <v>828</v>
      </c>
      <c r="K320" s="352">
        <v>200</v>
      </c>
      <c r="L320" s="352" t="s">
        <v>1116</v>
      </c>
      <c r="M320" s="352">
        <v>5</v>
      </c>
      <c r="N320" s="352" t="s">
        <v>1109</v>
      </c>
      <c r="O320" s="351">
        <v>200</v>
      </c>
      <c r="P320" s="349" t="s">
        <v>1836</v>
      </c>
      <c r="R320" s="349">
        <f t="shared" si="4"/>
        <v>11</v>
      </c>
      <c r="S320" s="352"/>
      <c r="T320" s="352"/>
      <c r="U320" s="352"/>
      <c r="V320" s="353"/>
      <c r="W320" s="352"/>
      <c r="X320" s="176"/>
      <c r="Y320" s="176"/>
      <c r="Z320" s="352"/>
      <c r="AA320" s="352"/>
      <c r="AB320" s="352"/>
      <c r="AC320" s="352"/>
      <c r="AD320" s="352"/>
    </row>
    <row r="321" spans="1:30" ht="141" hidden="1" x14ac:dyDescent="0.35">
      <c r="A321" s="349">
        <v>320</v>
      </c>
      <c r="B321" s="352" t="s">
        <v>548</v>
      </c>
      <c r="C321" s="351" t="s">
        <v>4684</v>
      </c>
      <c r="D321" s="352" t="s">
        <v>291</v>
      </c>
      <c r="E321" s="352" t="s">
        <v>549</v>
      </c>
      <c r="F321" s="353">
        <v>4.2</v>
      </c>
      <c r="G321" s="352" t="s">
        <v>2126</v>
      </c>
      <c r="H321" s="176" t="s">
        <v>2893</v>
      </c>
      <c r="I321" s="176" t="s">
        <v>3316</v>
      </c>
      <c r="J321" s="352" t="s">
        <v>3579</v>
      </c>
      <c r="K321" s="352">
        <v>100</v>
      </c>
      <c r="L321" s="352" t="s">
        <v>1116</v>
      </c>
      <c r="M321" s="351">
        <v>10</v>
      </c>
      <c r="N321" s="351" t="s">
        <v>1109</v>
      </c>
      <c r="O321" s="351">
        <v>100</v>
      </c>
      <c r="P321" s="349" t="s">
        <v>1836</v>
      </c>
      <c r="R321" s="349">
        <f t="shared" si="4"/>
        <v>11</v>
      </c>
      <c r="S321" s="352"/>
      <c r="T321" s="352"/>
      <c r="U321" s="352"/>
      <c r="V321" s="353"/>
      <c r="W321" s="352"/>
      <c r="X321" s="176"/>
      <c r="Y321" s="176"/>
      <c r="Z321" s="352"/>
      <c r="AA321" s="352"/>
      <c r="AB321" s="352"/>
      <c r="AC321" s="352"/>
      <c r="AD321" s="352"/>
    </row>
    <row r="322" spans="1:30" ht="141" hidden="1" x14ac:dyDescent="0.35">
      <c r="A322" s="349">
        <v>321</v>
      </c>
      <c r="B322" s="352" t="s">
        <v>548</v>
      </c>
      <c r="C322" s="351" t="s">
        <v>4684</v>
      </c>
      <c r="D322" s="352" t="s">
        <v>291</v>
      </c>
      <c r="E322" s="352" t="s">
        <v>1995</v>
      </c>
      <c r="F322" s="353">
        <v>1.2782</v>
      </c>
      <c r="G322" s="352" t="s">
        <v>2126</v>
      </c>
      <c r="H322" s="176" t="s">
        <v>2893</v>
      </c>
      <c r="I322" s="176" t="s">
        <v>3316</v>
      </c>
      <c r="J322" s="352" t="s">
        <v>3580</v>
      </c>
      <c r="K322" s="352">
        <v>330</v>
      </c>
      <c r="L322" s="352" t="s">
        <v>3581</v>
      </c>
      <c r="M322" s="352"/>
      <c r="N322" s="352"/>
      <c r="O322" s="351">
        <v>330</v>
      </c>
      <c r="P322" s="349" t="s">
        <v>1836</v>
      </c>
      <c r="R322" s="349">
        <f t="shared" si="4"/>
        <v>11</v>
      </c>
      <c r="S322" s="352"/>
      <c r="T322" s="352"/>
      <c r="U322" s="352"/>
      <c r="V322" s="353"/>
      <c r="W322" s="352"/>
      <c r="X322" s="176"/>
      <c r="Y322" s="176"/>
      <c r="Z322" s="352"/>
      <c r="AA322" s="352"/>
      <c r="AB322" s="352"/>
      <c r="AC322" s="351"/>
      <c r="AD322" s="351"/>
    </row>
    <row r="323" spans="1:30" ht="51.3" hidden="1" x14ac:dyDescent="0.35">
      <c r="A323" s="349">
        <v>322</v>
      </c>
      <c r="B323" s="352" t="s">
        <v>1080</v>
      </c>
      <c r="C323" s="351" t="s">
        <v>4685</v>
      </c>
      <c r="D323" s="352" t="s">
        <v>585</v>
      </c>
      <c r="E323" s="352" t="s">
        <v>1997</v>
      </c>
      <c r="F323" s="353">
        <v>59.99</v>
      </c>
      <c r="G323" s="352" t="s">
        <v>1107</v>
      </c>
      <c r="H323" s="176" t="s">
        <v>2218</v>
      </c>
      <c r="I323" s="176" t="s">
        <v>2834</v>
      </c>
      <c r="J323" s="352" t="s">
        <v>1115</v>
      </c>
      <c r="K323" s="352">
        <v>10</v>
      </c>
      <c r="L323" s="352" t="s">
        <v>1464</v>
      </c>
      <c r="M323" s="351"/>
      <c r="N323" s="351"/>
      <c r="O323" s="351">
        <v>10</v>
      </c>
      <c r="P323" s="349" t="s">
        <v>1836</v>
      </c>
      <c r="R323" s="349">
        <f t="shared" ref="R323:R386" si="5">LEN(D323)</f>
        <v>13</v>
      </c>
      <c r="S323" s="352"/>
      <c r="T323" s="352"/>
      <c r="U323" s="352"/>
      <c r="V323" s="353"/>
      <c r="W323" s="352"/>
      <c r="X323" s="176"/>
      <c r="Y323" s="176"/>
      <c r="Z323" s="352"/>
      <c r="AA323" s="352"/>
      <c r="AB323" s="352"/>
      <c r="AC323" s="351"/>
      <c r="AD323" s="351"/>
    </row>
    <row r="324" spans="1:30" ht="64.099999999999994" hidden="1" x14ac:dyDescent="0.35">
      <c r="A324" s="349">
        <v>323</v>
      </c>
      <c r="B324" s="352" t="s">
        <v>1512</v>
      </c>
      <c r="C324" s="351" t="s">
        <v>4686</v>
      </c>
      <c r="D324" s="352" t="s">
        <v>547</v>
      </c>
      <c r="E324" s="352" t="s">
        <v>1995</v>
      </c>
      <c r="F324" s="353">
        <v>0.2</v>
      </c>
      <c r="G324" s="352" t="s">
        <v>2126</v>
      </c>
      <c r="H324" s="176" t="s">
        <v>1126</v>
      </c>
      <c r="I324" s="176" t="s">
        <v>1127</v>
      </c>
      <c r="J324" s="352" t="s">
        <v>3580</v>
      </c>
      <c r="K324" s="352">
        <v>0.15</v>
      </c>
      <c r="L324" s="352" t="s">
        <v>3581</v>
      </c>
      <c r="M324" s="351"/>
      <c r="N324" s="351"/>
      <c r="O324" s="351">
        <v>0.15</v>
      </c>
      <c r="P324" s="349" t="s">
        <v>1836</v>
      </c>
      <c r="R324" s="349">
        <f t="shared" si="5"/>
        <v>9</v>
      </c>
      <c r="S324" s="352"/>
      <c r="T324" s="352"/>
      <c r="U324" s="352"/>
      <c r="V324" s="353"/>
      <c r="W324" s="352"/>
      <c r="X324" s="176"/>
      <c r="Y324" s="176"/>
      <c r="Z324" s="352"/>
      <c r="AA324" s="352"/>
      <c r="AB324" s="352"/>
      <c r="AC324" s="351"/>
      <c r="AD324" s="351"/>
    </row>
    <row r="325" spans="1:30" ht="38.450000000000003" hidden="1" x14ac:dyDescent="0.35">
      <c r="A325" s="349">
        <v>324</v>
      </c>
      <c r="B325" s="352" t="s">
        <v>1585</v>
      </c>
      <c r="C325" s="351" t="s">
        <v>4687</v>
      </c>
      <c r="D325" s="352" t="s">
        <v>649</v>
      </c>
      <c r="E325" s="352" t="s">
        <v>730</v>
      </c>
      <c r="F325" s="353">
        <v>23.359300000000001</v>
      </c>
      <c r="G325" s="352" t="s">
        <v>1107</v>
      </c>
      <c r="H325" s="176" t="s">
        <v>650</v>
      </c>
      <c r="I325" s="176" t="s">
        <v>3344</v>
      </c>
      <c r="J325" s="352" t="s">
        <v>1115</v>
      </c>
      <c r="K325" s="352">
        <v>20</v>
      </c>
      <c r="L325" s="352" t="s">
        <v>470</v>
      </c>
      <c r="M325" s="352">
        <v>10</v>
      </c>
      <c r="N325" s="352" t="s">
        <v>1109</v>
      </c>
      <c r="O325" s="351">
        <v>20</v>
      </c>
      <c r="P325" s="349" t="s">
        <v>1838</v>
      </c>
      <c r="R325" s="349">
        <f t="shared" si="5"/>
        <v>8</v>
      </c>
      <c r="S325" s="352"/>
      <c r="T325" s="352"/>
      <c r="U325" s="352"/>
      <c r="V325" s="353"/>
      <c r="W325" s="352"/>
      <c r="X325" s="176"/>
      <c r="Y325" s="176"/>
      <c r="Z325" s="352"/>
      <c r="AA325" s="352"/>
      <c r="AB325" s="352"/>
      <c r="AC325" s="351"/>
      <c r="AD325" s="351"/>
    </row>
    <row r="326" spans="1:30" ht="38.450000000000003" hidden="1" x14ac:dyDescent="0.35">
      <c r="A326" s="349">
        <v>325</v>
      </c>
      <c r="B326" s="352" t="s">
        <v>1585</v>
      </c>
      <c r="C326" s="351" t="s">
        <v>4687</v>
      </c>
      <c r="D326" s="352" t="s">
        <v>649</v>
      </c>
      <c r="E326" s="352" t="s">
        <v>1586</v>
      </c>
      <c r="F326" s="353">
        <v>119.1326</v>
      </c>
      <c r="G326" s="352" t="s">
        <v>1107</v>
      </c>
      <c r="H326" s="176" t="s">
        <v>650</v>
      </c>
      <c r="I326" s="176" t="s">
        <v>3344</v>
      </c>
      <c r="J326" s="352" t="s">
        <v>1115</v>
      </c>
      <c r="K326" s="352">
        <v>20</v>
      </c>
      <c r="L326" s="352" t="s">
        <v>470</v>
      </c>
      <c r="M326" s="352">
        <v>100</v>
      </c>
      <c r="N326" s="352" t="s">
        <v>1109</v>
      </c>
      <c r="O326" s="351">
        <v>20</v>
      </c>
      <c r="P326" s="349" t="s">
        <v>1838</v>
      </c>
      <c r="R326" s="349">
        <f t="shared" si="5"/>
        <v>8</v>
      </c>
      <c r="S326" s="352"/>
      <c r="T326" s="352"/>
      <c r="U326" s="352"/>
      <c r="V326" s="353"/>
      <c r="W326" s="352"/>
      <c r="X326" s="176"/>
      <c r="Y326" s="176"/>
      <c r="Z326" s="352"/>
      <c r="AA326" s="352"/>
      <c r="AB326" s="352"/>
      <c r="AC326" s="351"/>
      <c r="AD326" s="351"/>
    </row>
    <row r="327" spans="1:30" ht="192.25" hidden="1" x14ac:dyDescent="0.35">
      <c r="A327" s="349">
        <v>326</v>
      </c>
      <c r="B327" s="352" t="s">
        <v>550</v>
      </c>
      <c r="C327" s="351" t="s">
        <v>4688</v>
      </c>
      <c r="D327" s="352" t="s">
        <v>607</v>
      </c>
      <c r="E327" s="352" t="s">
        <v>1997</v>
      </c>
      <c r="F327" s="353">
        <v>1.98</v>
      </c>
      <c r="G327" s="352" t="s">
        <v>1107</v>
      </c>
      <c r="H327" s="176" t="s">
        <v>2081</v>
      </c>
      <c r="I327" s="176" t="s">
        <v>4748</v>
      </c>
      <c r="J327" s="352" t="s">
        <v>1115</v>
      </c>
      <c r="K327" s="352">
        <v>1</v>
      </c>
      <c r="L327" s="352" t="s">
        <v>3252</v>
      </c>
      <c r="M327" s="351"/>
      <c r="N327" s="351"/>
      <c r="O327" s="351">
        <v>1000</v>
      </c>
      <c r="P327" s="349" t="s">
        <v>1836</v>
      </c>
      <c r="R327" s="349">
        <f t="shared" si="5"/>
        <v>10</v>
      </c>
      <c r="S327" s="352"/>
      <c r="T327" s="352"/>
      <c r="U327" s="352"/>
      <c r="V327" s="353"/>
      <c r="W327" s="352"/>
      <c r="X327" s="176"/>
      <c r="Y327" s="176"/>
      <c r="Z327" s="352"/>
      <c r="AA327" s="352"/>
      <c r="AB327" s="352"/>
      <c r="AC327" s="352"/>
      <c r="AD327" s="352"/>
    </row>
    <row r="328" spans="1:30" ht="76.900000000000006" hidden="1" x14ac:dyDescent="0.35">
      <c r="A328" s="349">
        <v>327</v>
      </c>
      <c r="B328" s="352" t="s">
        <v>550</v>
      </c>
      <c r="C328" s="351" t="s">
        <v>1819</v>
      </c>
      <c r="D328" s="352" t="s">
        <v>1819</v>
      </c>
      <c r="E328" s="352" t="s">
        <v>1997</v>
      </c>
      <c r="F328" s="353">
        <v>5.77</v>
      </c>
      <c r="G328" s="352" t="s">
        <v>1107</v>
      </c>
      <c r="H328" s="176" t="s">
        <v>1347</v>
      </c>
      <c r="I328" s="176" t="s">
        <v>1348</v>
      </c>
      <c r="J328" s="352" t="s">
        <v>1115</v>
      </c>
      <c r="K328" s="352">
        <v>1</v>
      </c>
      <c r="L328" s="352" t="s">
        <v>3252</v>
      </c>
      <c r="M328" s="351"/>
      <c r="N328" s="351"/>
      <c r="O328" s="351">
        <v>1000</v>
      </c>
      <c r="P328" s="349" t="s">
        <v>1836</v>
      </c>
      <c r="R328" s="349">
        <f t="shared" si="5"/>
        <v>10</v>
      </c>
      <c r="S328" s="352"/>
      <c r="T328" s="352"/>
      <c r="U328" s="352"/>
      <c r="V328" s="353"/>
      <c r="W328" s="352"/>
      <c r="X328" s="176"/>
      <c r="Y328" s="176"/>
      <c r="Z328" s="352"/>
      <c r="AA328" s="352"/>
      <c r="AB328" s="352"/>
      <c r="AC328" s="352"/>
      <c r="AD328" s="352"/>
    </row>
    <row r="329" spans="1:30" ht="192.25" hidden="1" x14ac:dyDescent="0.35">
      <c r="A329" s="349">
        <v>328</v>
      </c>
      <c r="B329" s="352" t="s">
        <v>550</v>
      </c>
      <c r="C329" s="351" t="s">
        <v>607</v>
      </c>
      <c r="D329" s="352" t="s">
        <v>607</v>
      </c>
      <c r="E329" s="352" t="s">
        <v>1997</v>
      </c>
      <c r="F329" s="353">
        <v>1.98</v>
      </c>
      <c r="G329" s="352" t="s">
        <v>1107</v>
      </c>
      <c r="H329" s="176" t="s">
        <v>2081</v>
      </c>
      <c r="I329" s="176" t="s">
        <v>4748</v>
      </c>
      <c r="J329" s="352" t="s">
        <v>1115</v>
      </c>
      <c r="K329" s="352">
        <v>1</v>
      </c>
      <c r="L329" s="352" t="s">
        <v>3252</v>
      </c>
      <c r="M329" s="351"/>
      <c r="N329" s="351"/>
      <c r="O329" s="351">
        <v>1000</v>
      </c>
      <c r="P329" s="349" t="s">
        <v>1836</v>
      </c>
      <c r="R329" s="349">
        <f t="shared" si="5"/>
        <v>10</v>
      </c>
      <c r="S329" s="352"/>
      <c r="T329" s="352"/>
      <c r="U329" s="352"/>
      <c r="V329" s="353"/>
      <c r="W329" s="352"/>
      <c r="X329" s="176"/>
      <c r="Y329" s="176"/>
      <c r="Z329" s="352"/>
      <c r="AA329" s="352"/>
      <c r="AB329" s="352"/>
      <c r="AC329" s="352"/>
      <c r="AD329" s="352"/>
    </row>
    <row r="330" spans="1:30" ht="51.3" hidden="1" x14ac:dyDescent="0.35">
      <c r="A330" s="349">
        <v>329</v>
      </c>
      <c r="B330" s="352" t="s">
        <v>550</v>
      </c>
      <c r="C330" s="351" t="s">
        <v>1285</v>
      </c>
      <c r="D330" s="352" t="s">
        <v>1285</v>
      </c>
      <c r="E330" s="352" t="s">
        <v>2129</v>
      </c>
      <c r="F330" s="353">
        <v>17.190000000000001</v>
      </c>
      <c r="G330" s="352" t="s">
        <v>2126</v>
      </c>
      <c r="H330" s="176" t="s">
        <v>1346</v>
      </c>
      <c r="I330" s="176" t="s">
        <v>4795</v>
      </c>
      <c r="J330" s="352" t="s">
        <v>3579</v>
      </c>
      <c r="K330" s="352">
        <v>20</v>
      </c>
      <c r="L330" s="352" t="s">
        <v>1116</v>
      </c>
      <c r="M330" s="352">
        <v>100</v>
      </c>
      <c r="N330" s="352" t="s">
        <v>1109</v>
      </c>
      <c r="O330" s="351">
        <v>20</v>
      </c>
      <c r="P330" s="349" t="s">
        <v>1836</v>
      </c>
      <c r="R330" s="349">
        <f t="shared" si="5"/>
        <v>7</v>
      </c>
      <c r="S330" s="352"/>
      <c r="T330" s="352"/>
      <c r="U330" s="352"/>
      <c r="V330" s="353"/>
      <c r="W330" s="352"/>
      <c r="X330" s="176"/>
      <c r="Y330" s="176"/>
      <c r="Z330" s="352"/>
      <c r="AA330" s="352"/>
      <c r="AB330" s="352"/>
      <c r="AC330" s="351"/>
      <c r="AD330" s="351"/>
    </row>
    <row r="331" spans="1:30" ht="192.25" hidden="1" x14ac:dyDescent="0.35">
      <c r="A331" s="349">
        <v>330</v>
      </c>
      <c r="B331" s="352" t="s">
        <v>550</v>
      </c>
      <c r="C331" s="351" t="s">
        <v>1345</v>
      </c>
      <c r="D331" s="352" t="s">
        <v>1345</v>
      </c>
      <c r="E331" s="352" t="s">
        <v>551</v>
      </c>
      <c r="F331" s="353">
        <v>11.02</v>
      </c>
      <c r="G331" s="352" t="s">
        <v>1107</v>
      </c>
      <c r="H331" s="176" t="s">
        <v>2082</v>
      </c>
      <c r="I331" s="176" t="s">
        <v>5073</v>
      </c>
      <c r="J331" s="352" t="s">
        <v>1115</v>
      </c>
      <c r="K331" s="352">
        <v>1</v>
      </c>
      <c r="L331" s="352" t="s">
        <v>3252</v>
      </c>
      <c r="M331" s="352">
        <v>1</v>
      </c>
      <c r="N331" s="352" t="s">
        <v>31</v>
      </c>
      <c r="O331" s="351">
        <v>1000</v>
      </c>
      <c r="P331" s="349" t="s">
        <v>1836</v>
      </c>
      <c r="R331" s="349">
        <f t="shared" si="5"/>
        <v>9</v>
      </c>
      <c r="S331" s="352"/>
      <c r="T331" s="352"/>
      <c r="U331" s="352"/>
      <c r="V331" s="353"/>
      <c r="W331" s="352"/>
      <c r="X331" s="176"/>
      <c r="Y331" s="176"/>
      <c r="Z331" s="352"/>
      <c r="AA331" s="352"/>
      <c r="AB331" s="352"/>
      <c r="AC331" s="351"/>
      <c r="AD331" s="351"/>
    </row>
    <row r="332" spans="1:30" ht="230.7" hidden="1" x14ac:dyDescent="0.35">
      <c r="A332" s="349">
        <v>331</v>
      </c>
      <c r="B332" s="352" t="s">
        <v>550</v>
      </c>
      <c r="C332" s="351" t="s">
        <v>1288</v>
      </c>
      <c r="D332" s="352" t="s">
        <v>1288</v>
      </c>
      <c r="E332" s="352" t="s">
        <v>1997</v>
      </c>
      <c r="F332" s="353">
        <v>19.899999999999999</v>
      </c>
      <c r="G332" s="352" t="s">
        <v>1107</v>
      </c>
      <c r="H332" s="176" t="s">
        <v>2083</v>
      </c>
      <c r="I332" s="176" t="s">
        <v>4851</v>
      </c>
      <c r="J332" s="352" t="s">
        <v>1115</v>
      </c>
      <c r="K332" s="352">
        <v>1</v>
      </c>
      <c r="L332" s="352" t="s">
        <v>3252</v>
      </c>
      <c r="M332" s="351"/>
      <c r="N332" s="351"/>
      <c r="O332" s="351">
        <v>1000</v>
      </c>
      <c r="P332" s="349" t="s">
        <v>1836</v>
      </c>
      <c r="R332" s="349">
        <f t="shared" si="5"/>
        <v>10</v>
      </c>
      <c r="S332" s="352"/>
      <c r="T332" s="352"/>
      <c r="U332" s="352"/>
      <c r="V332" s="353"/>
      <c r="W332" s="352"/>
      <c r="X332" s="176"/>
      <c r="Y332" s="176"/>
      <c r="Z332" s="352"/>
      <c r="AA332" s="352"/>
      <c r="AB332" s="352"/>
      <c r="AC332" s="352"/>
      <c r="AD332" s="352"/>
    </row>
    <row r="333" spans="1:30" ht="230.7" hidden="1" x14ac:dyDescent="0.35">
      <c r="A333" s="349">
        <v>332</v>
      </c>
      <c r="B333" s="352" t="s">
        <v>550</v>
      </c>
      <c r="C333" s="351" t="s">
        <v>1288</v>
      </c>
      <c r="D333" s="352" t="s">
        <v>1288</v>
      </c>
      <c r="E333" s="352" t="s">
        <v>1997</v>
      </c>
      <c r="F333" s="353">
        <v>39.799999999999997</v>
      </c>
      <c r="G333" s="352" t="s">
        <v>1107</v>
      </c>
      <c r="H333" s="176" t="s">
        <v>2083</v>
      </c>
      <c r="I333" s="176" t="s">
        <v>4851</v>
      </c>
      <c r="J333" s="352" t="s">
        <v>1115</v>
      </c>
      <c r="K333" s="352">
        <v>2</v>
      </c>
      <c r="L333" s="352" t="s">
        <v>3252</v>
      </c>
      <c r="M333" s="351"/>
      <c r="N333" s="351"/>
      <c r="O333" s="351">
        <v>2000</v>
      </c>
      <c r="P333" s="349" t="s">
        <v>1836</v>
      </c>
      <c r="R333" s="349">
        <f t="shared" si="5"/>
        <v>10</v>
      </c>
      <c r="S333" s="352"/>
      <c r="T333" s="352"/>
      <c r="U333" s="352"/>
      <c r="V333" s="353"/>
      <c r="W333" s="352"/>
      <c r="X333" s="176"/>
      <c r="Y333" s="176"/>
      <c r="Z333" s="352"/>
      <c r="AA333" s="352"/>
      <c r="AB333" s="352"/>
      <c r="AC333" s="351"/>
      <c r="AD333" s="351"/>
    </row>
    <row r="334" spans="1:30" ht="230.7" hidden="1" x14ac:dyDescent="0.35">
      <c r="A334" s="349">
        <v>333</v>
      </c>
      <c r="B334" s="352" t="s">
        <v>550</v>
      </c>
      <c r="C334" s="351" t="s">
        <v>1288</v>
      </c>
      <c r="D334" s="352" t="s">
        <v>1288</v>
      </c>
      <c r="E334" s="352" t="s">
        <v>1997</v>
      </c>
      <c r="F334" s="353">
        <v>11.65</v>
      </c>
      <c r="G334" s="352" t="s">
        <v>1107</v>
      </c>
      <c r="H334" s="176" t="s">
        <v>2083</v>
      </c>
      <c r="I334" s="176" t="s">
        <v>4851</v>
      </c>
      <c r="J334" s="352" t="s">
        <v>1115</v>
      </c>
      <c r="K334" s="352">
        <v>500</v>
      </c>
      <c r="L334" s="352" t="s">
        <v>1464</v>
      </c>
      <c r="M334" s="351"/>
      <c r="N334" s="351"/>
      <c r="O334" s="351">
        <v>500</v>
      </c>
      <c r="P334" s="349" t="s">
        <v>1836</v>
      </c>
      <c r="R334" s="349">
        <f t="shared" si="5"/>
        <v>10</v>
      </c>
      <c r="S334" s="352"/>
      <c r="T334" s="352"/>
      <c r="U334" s="352"/>
      <c r="V334" s="353"/>
      <c r="W334" s="352"/>
      <c r="X334" s="176"/>
      <c r="Y334" s="176"/>
      <c r="Z334" s="352"/>
      <c r="AA334" s="352"/>
      <c r="AB334" s="352"/>
      <c r="AC334" s="352"/>
      <c r="AD334" s="352"/>
    </row>
    <row r="335" spans="1:30" ht="179.45" hidden="1" x14ac:dyDescent="0.35">
      <c r="A335" s="349">
        <v>334</v>
      </c>
      <c r="B335" s="352" t="s">
        <v>550</v>
      </c>
      <c r="C335" s="351" t="s">
        <v>3877</v>
      </c>
      <c r="D335" s="352" t="s">
        <v>3877</v>
      </c>
      <c r="E335" s="352" t="s">
        <v>1997</v>
      </c>
      <c r="F335" s="353">
        <v>22.565999999999999</v>
      </c>
      <c r="G335" s="352" t="s">
        <v>1107</v>
      </c>
      <c r="H335" s="176" t="s">
        <v>3866</v>
      </c>
      <c r="I335" s="176" t="s">
        <v>4759</v>
      </c>
      <c r="J335" s="352" t="s">
        <v>1115</v>
      </c>
      <c r="K335" s="352">
        <v>1</v>
      </c>
      <c r="L335" s="352" t="s">
        <v>3252</v>
      </c>
      <c r="M335" s="351"/>
      <c r="N335" s="351"/>
      <c r="O335" s="351">
        <v>1000</v>
      </c>
      <c r="P335" s="349" t="s">
        <v>1836</v>
      </c>
      <c r="R335" s="349">
        <f t="shared" si="5"/>
        <v>10</v>
      </c>
      <c r="S335" s="352"/>
      <c r="T335" s="352"/>
      <c r="U335" s="352"/>
      <c r="V335" s="353"/>
      <c r="W335" s="352"/>
      <c r="X335" s="176"/>
      <c r="Y335" s="176"/>
      <c r="Z335" s="352"/>
      <c r="AA335" s="352"/>
      <c r="AB335" s="352"/>
      <c r="AC335" s="351"/>
      <c r="AD335" s="351"/>
    </row>
    <row r="336" spans="1:30" ht="179.45" hidden="1" x14ac:dyDescent="0.35">
      <c r="A336" s="349">
        <v>335</v>
      </c>
      <c r="B336" s="352" t="s">
        <v>550</v>
      </c>
      <c r="C336" s="351" t="s">
        <v>3877</v>
      </c>
      <c r="D336" s="352" t="s">
        <v>3877</v>
      </c>
      <c r="E336" s="352" t="s">
        <v>1997</v>
      </c>
      <c r="F336" s="353">
        <v>37.969900000000003</v>
      </c>
      <c r="G336" s="352" t="s">
        <v>1107</v>
      </c>
      <c r="H336" s="176" t="s">
        <v>3866</v>
      </c>
      <c r="I336" s="176" t="s">
        <v>4759</v>
      </c>
      <c r="J336" s="352" t="s">
        <v>1115</v>
      </c>
      <c r="K336" s="352">
        <v>2</v>
      </c>
      <c r="L336" s="352" t="s">
        <v>3252</v>
      </c>
      <c r="M336" s="351"/>
      <c r="N336" s="351"/>
      <c r="O336" s="351">
        <v>2000</v>
      </c>
      <c r="P336" s="349" t="s">
        <v>1836</v>
      </c>
      <c r="R336" s="349">
        <f t="shared" si="5"/>
        <v>10</v>
      </c>
      <c r="S336" s="352"/>
      <c r="T336" s="352"/>
      <c r="U336" s="352"/>
      <c r="V336" s="353"/>
      <c r="W336" s="352"/>
      <c r="X336" s="176"/>
      <c r="Y336" s="176"/>
      <c r="Z336" s="352"/>
      <c r="AA336" s="352"/>
      <c r="AB336" s="352"/>
      <c r="AC336" s="352"/>
      <c r="AD336" s="352"/>
    </row>
    <row r="337" spans="1:30" ht="179.45" hidden="1" x14ac:dyDescent="0.35">
      <c r="A337" s="349">
        <v>336</v>
      </c>
      <c r="B337" s="352" t="s">
        <v>550</v>
      </c>
      <c r="C337" s="351" t="s">
        <v>3877</v>
      </c>
      <c r="D337" s="352" t="s">
        <v>3877</v>
      </c>
      <c r="E337" s="352" t="s">
        <v>1997</v>
      </c>
      <c r="F337" s="353">
        <v>13.8</v>
      </c>
      <c r="G337" s="352" t="s">
        <v>1107</v>
      </c>
      <c r="H337" s="176" t="s">
        <v>3866</v>
      </c>
      <c r="I337" s="176" t="s">
        <v>4759</v>
      </c>
      <c r="J337" s="352" t="s">
        <v>1115</v>
      </c>
      <c r="K337" s="352">
        <v>500</v>
      </c>
      <c r="L337" s="352" t="s">
        <v>1464</v>
      </c>
      <c r="M337" s="351"/>
      <c r="N337" s="351"/>
      <c r="O337" s="351">
        <v>500</v>
      </c>
      <c r="P337" s="349" t="s">
        <v>1836</v>
      </c>
      <c r="R337" s="349">
        <f t="shared" si="5"/>
        <v>10</v>
      </c>
      <c r="S337" s="352"/>
      <c r="T337" s="352"/>
      <c r="U337" s="352"/>
      <c r="V337" s="353"/>
      <c r="W337" s="352"/>
      <c r="X337" s="176"/>
      <c r="Y337" s="176"/>
      <c r="Z337" s="352"/>
      <c r="AA337" s="352"/>
      <c r="AB337" s="352"/>
      <c r="AC337" s="351"/>
      <c r="AD337" s="351"/>
    </row>
    <row r="338" spans="1:30" ht="76.900000000000006" hidden="1" x14ac:dyDescent="0.35">
      <c r="A338" s="349">
        <v>337</v>
      </c>
      <c r="B338" s="352" t="s">
        <v>550</v>
      </c>
      <c r="C338" s="351" t="s">
        <v>280</v>
      </c>
      <c r="D338" s="352" t="s">
        <v>280</v>
      </c>
      <c r="E338" s="352" t="s">
        <v>1997</v>
      </c>
      <c r="F338" s="353">
        <v>4.6100000000000003</v>
      </c>
      <c r="G338" s="352" t="s">
        <v>1107</v>
      </c>
      <c r="H338" s="176" t="s">
        <v>1343</v>
      </c>
      <c r="I338" s="176" t="s">
        <v>1344</v>
      </c>
      <c r="J338" s="352" t="s">
        <v>1115</v>
      </c>
      <c r="K338" s="352">
        <v>1.5</v>
      </c>
      <c r="L338" s="352" t="s">
        <v>3252</v>
      </c>
      <c r="M338" s="351"/>
      <c r="N338" s="351"/>
      <c r="O338" s="351">
        <v>1500</v>
      </c>
      <c r="P338" s="349" t="s">
        <v>1836</v>
      </c>
      <c r="R338" s="349">
        <f t="shared" si="5"/>
        <v>9</v>
      </c>
      <c r="S338" s="352"/>
      <c r="T338" s="352"/>
      <c r="U338" s="352"/>
      <c r="V338" s="353"/>
      <c r="W338" s="352"/>
      <c r="X338" s="176"/>
      <c r="Y338" s="176"/>
      <c r="Z338" s="352"/>
      <c r="AA338" s="352"/>
      <c r="AB338" s="352"/>
      <c r="AC338" s="351"/>
      <c r="AD338" s="351"/>
    </row>
    <row r="339" spans="1:30" ht="76.900000000000006" hidden="1" x14ac:dyDescent="0.35">
      <c r="A339" s="349">
        <v>338</v>
      </c>
      <c r="B339" s="352" t="s">
        <v>550</v>
      </c>
      <c r="C339" s="351" t="s">
        <v>280</v>
      </c>
      <c r="D339" s="352" t="s">
        <v>280</v>
      </c>
      <c r="E339" s="352" t="s">
        <v>1997</v>
      </c>
      <c r="F339" s="353">
        <v>3.3</v>
      </c>
      <c r="G339" s="352" t="s">
        <v>1107</v>
      </c>
      <c r="H339" s="176" t="s">
        <v>1343</v>
      </c>
      <c r="I339" s="176" t="s">
        <v>1344</v>
      </c>
      <c r="J339" s="352" t="s">
        <v>1115</v>
      </c>
      <c r="K339" s="352">
        <v>250</v>
      </c>
      <c r="L339" s="352" t="s">
        <v>1464</v>
      </c>
      <c r="M339" s="351"/>
      <c r="N339" s="351"/>
      <c r="O339" s="351">
        <v>250</v>
      </c>
      <c r="P339" s="349" t="s">
        <v>1836</v>
      </c>
      <c r="R339" s="349">
        <f t="shared" si="5"/>
        <v>9</v>
      </c>
      <c r="S339" s="352"/>
      <c r="T339" s="352"/>
      <c r="U339" s="352"/>
      <c r="V339" s="353"/>
      <c r="W339" s="352"/>
      <c r="X339" s="176"/>
      <c r="Y339" s="176"/>
      <c r="Z339" s="352"/>
      <c r="AA339" s="352"/>
      <c r="AB339" s="352"/>
      <c r="AC339" s="352"/>
      <c r="AD339" s="352"/>
    </row>
    <row r="340" spans="1:30" ht="76.900000000000006" hidden="1" x14ac:dyDescent="0.35">
      <c r="A340" s="349">
        <v>339</v>
      </c>
      <c r="B340" s="352" t="s">
        <v>550</v>
      </c>
      <c r="C340" s="351" t="s">
        <v>280</v>
      </c>
      <c r="D340" s="352" t="s">
        <v>280</v>
      </c>
      <c r="E340" s="352" t="s">
        <v>1997</v>
      </c>
      <c r="F340" s="353">
        <v>3.3</v>
      </c>
      <c r="G340" s="352" t="s">
        <v>1107</v>
      </c>
      <c r="H340" s="176" t="s">
        <v>1343</v>
      </c>
      <c r="I340" s="176" t="s">
        <v>1344</v>
      </c>
      <c r="J340" s="352" t="s">
        <v>1115</v>
      </c>
      <c r="K340" s="352">
        <v>750</v>
      </c>
      <c r="L340" s="352" t="s">
        <v>1464</v>
      </c>
      <c r="M340" s="351"/>
      <c r="N340" s="351"/>
      <c r="O340" s="351">
        <v>750</v>
      </c>
      <c r="P340" s="349" t="s">
        <v>1836</v>
      </c>
      <c r="R340" s="349">
        <f t="shared" si="5"/>
        <v>9</v>
      </c>
      <c r="S340" s="352"/>
      <c r="T340" s="352"/>
      <c r="U340" s="352"/>
      <c r="V340" s="353"/>
      <c r="W340" s="352"/>
      <c r="X340" s="176"/>
      <c r="Y340" s="176"/>
      <c r="Z340" s="352"/>
      <c r="AA340" s="352"/>
      <c r="AB340" s="352"/>
      <c r="AC340" s="351"/>
      <c r="AD340" s="351"/>
    </row>
    <row r="341" spans="1:30" ht="76.900000000000006" hidden="1" x14ac:dyDescent="0.35">
      <c r="A341" s="349">
        <v>340</v>
      </c>
      <c r="B341" s="352" t="s">
        <v>550</v>
      </c>
      <c r="C341" s="351" t="s">
        <v>280</v>
      </c>
      <c r="D341" s="352" t="s">
        <v>280</v>
      </c>
      <c r="E341" s="352" t="s">
        <v>1997</v>
      </c>
      <c r="F341" s="353">
        <v>4.6100000000000003</v>
      </c>
      <c r="G341" s="352" t="s">
        <v>1107</v>
      </c>
      <c r="H341" s="176" t="s">
        <v>1343</v>
      </c>
      <c r="I341" s="176" t="s">
        <v>1344</v>
      </c>
      <c r="J341" s="352" t="s">
        <v>1115</v>
      </c>
      <c r="K341" s="352">
        <v>1.5</v>
      </c>
      <c r="L341" s="352" t="s">
        <v>3252</v>
      </c>
      <c r="M341" s="351"/>
      <c r="N341" s="351"/>
      <c r="O341" s="351">
        <v>1500</v>
      </c>
      <c r="P341" s="349" t="s">
        <v>1836</v>
      </c>
      <c r="R341" s="349">
        <f t="shared" si="5"/>
        <v>9</v>
      </c>
      <c r="S341" s="352"/>
      <c r="T341" s="352"/>
      <c r="U341" s="352"/>
      <c r="V341" s="353"/>
      <c r="W341" s="352"/>
      <c r="X341" s="176"/>
      <c r="Y341" s="176"/>
      <c r="Z341" s="352"/>
      <c r="AA341" s="352"/>
      <c r="AB341" s="352"/>
      <c r="AC341" s="351"/>
      <c r="AD341" s="351"/>
    </row>
    <row r="342" spans="1:30" ht="76.900000000000006" hidden="1" x14ac:dyDescent="0.35">
      <c r="A342" s="349">
        <v>341</v>
      </c>
      <c r="B342" s="352" t="s">
        <v>550</v>
      </c>
      <c r="C342" s="351" t="s">
        <v>280</v>
      </c>
      <c r="D342" s="352" t="s">
        <v>280</v>
      </c>
      <c r="E342" s="352" t="s">
        <v>1997</v>
      </c>
      <c r="F342" s="353">
        <v>3.3</v>
      </c>
      <c r="G342" s="352" t="s">
        <v>1107</v>
      </c>
      <c r="H342" s="176" t="s">
        <v>1343</v>
      </c>
      <c r="I342" s="176" t="s">
        <v>1344</v>
      </c>
      <c r="J342" s="352" t="s">
        <v>1115</v>
      </c>
      <c r="K342" s="352">
        <v>250</v>
      </c>
      <c r="L342" s="352" t="s">
        <v>1464</v>
      </c>
      <c r="M342" s="351"/>
      <c r="N342" s="351"/>
      <c r="O342" s="351">
        <v>250</v>
      </c>
      <c r="P342" s="349" t="s">
        <v>1836</v>
      </c>
      <c r="R342" s="349">
        <f t="shared" si="5"/>
        <v>9</v>
      </c>
      <c r="S342" s="352"/>
      <c r="T342" s="352"/>
      <c r="U342" s="352"/>
      <c r="V342" s="353"/>
      <c r="W342" s="352"/>
      <c r="X342" s="176"/>
      <c r="Y342" s="176"/>
      <c r="Z342" s="352"/>
      <c r="AA342" s="352"/>
      <c r="AB342" s="352"/>
      <c r="AC342" s="352"/>
      <c r="AD342" s="352"/>
    </row>
    <row r="343" spans="1:30" ht="76.900000000000006" hidden="1" x14ac:dyDescent="0.35">
      <c r="A343" s="349">
        <v>342</v>
      </c>
      <c r="B343" s="352" t="s">
        <v>550</v>
      </c>
      <c r="C343" s="351" t="s">
        <v>280</v>
      </c>
      <c r="D343" s="352" t="s">
        <v>280</v>
      </c>
      <c r="E343" s="352" t="s">
        <v>1997</v>
      </c>
      <c r="F343" s="353">
        <v>3.3</v>
      </c>
      <c r="G343" s="352" t="s">
        <v>1107</v>
      </c>
      <c r="H343" s="176" t="s">
        <v>1343</v>
      </c>
      <c r="I343" s="176" t="s">
        <v>1344</v>
      </c>
      <c r="J343" s="352" t="s">
        <v>1115</v>
      </c>
      <c r="K343" s="352">
        <v>750</v>
      </c>
      <c r="L343" s="352" t="s">
        <v>1464</v>
      </c>
      <c r="M343" s="351"/>
      <c r="N343" s="351"/>
      <c r="O343" s="351">
        <v>750</v>
      </c>
      <c r="P343" s="349" t="s">
        <v>1836</v>
      </c>
      <c r="R343" s="349">
        <f t="shared" si="5"/>
        <v>9</v>
      </c>
      <c r="S343" s="352"/>
      <c r="T343" s="352"/>
      <c r="U343" s="352"/>
      <c r="V343" s="353"/>
      <c r="W343" s="352"/>
      <c r="X343" s="176"/>
      <c r="Y343" s="176"/>
      <c r="Z343" s="352"/>
      <c r="AA343" s="352"/>
      <c r="AB343" s="352"/>
      <c r="AC343" s="352"/>
      <c r="AD343" s="352"/>
    </row>
    <row r="344" spans="1:30" ht="76.900000000000006" hidden="1" x14ac:dyDescent="0.35">
      <c r="A344" s="349">
        <v>343</v>
      </c>
      <c r="B344" s="352" t="s">
        <v>550</v>
      </c>
      <c r="C344" s="351" t="s">
        <v>3196</v>
      </c>
      <c r="D344" s="352" t="s">
        <v>3196</v>
      </c>
      <c r="E344" s="352" t="s">
        <v>1137</v>
      </c>
      <c r="F344" s="353">
        <v>18.329999999999998</v>
      </c>
      <c r="G344" s="352" t="s">
        <v>2126</v>
      </c>
      <c r="H344" s="176" t="s">
        <v>3867</v>
      </c>
      <c r="I344" s="176" t="s">
        <v>5001</v>
      </c>
      <c r="J344" s="352" t="s">
        <v>3579</v>
      </c>
      <c r="K344" s="352">
        <v>25</v>
      </c>
      <c r="L344" s="352" t="s">
        <v>1116</v>
      </c>
      <c r="M344" s="352">
        <v>50</v>
      </c>
      <c r="N344" s="352" t="s">
        <v>1109</v>
      </c>
      <c r="O344" s="351">
        <v>25</v>
      </c>
      <c r="P344" s="349" t="s">
        <v>1836</v>
      </c>
      <c r="R344" s="349">
        <f t="shared" si="5"/>
        <v>15</v>
      </c>
      <c r="S344" s="352"/>
      <c r="T344" s="352"/>
      <c r="U344" s="352"/>
      <c r="V344" s="353"/>
      <c r="W344" s="352"/>
      <c r="X344" s="176"/>
      <c r="Y344" s="176"/>
      <c r="Z344" s="352"/>
      <c r="AA344" s="352"/>
      <c r="AB344" s="352"/>
      <c r="AC344" s="352"/>
      <c r="AD344" s="352"/>
    </row>
    <row r="345" spans="1:30" ht="76.900000000000006" hidden="1" x14ac:dyDescent="0.35">
      <c r="A345" s="349">
        <v>344</v>
      </c>
      <c r="B345" s="352" t="s">
        <v>550</v>
      </c>
      <c r="C345" s="351" t="s">
        <v>3196</v>
      </c>
      <c r="D345" s="352" t="s">
        <v>3196</v>
      </c>
      <c r="E345" s="352" t="s">
        <v>1995</v>
      </c>
      <c r="F345" s="353">
        <v>2.86</v>
      </c>
      <c r="G345" s="352" t="s">
        <v>2126</v>
      </c>
      <c r="H345" s="176" t="s">
        <v>3867</v>
      </c>
      <c r="I345" s="176" t="s">
        <v>5001</v>
      </c>
      <c r="J345" s="352" t="s">
        <v>3580</v>
      </c>
      <c r="K345" s="352">
        <v>250</v>
      </c>
      <c r="L345" s="352" t="s">
        <v>3581</v>
      </c>
      <c r="M345" s="351"/>
      <c r="N345" s="351"/>
      <c r="O345" s="351">
        <v>250</v>
      </c>
      <c r="P345" s="349" t="s">
        <v>1836</v>
      </c>
      <c r="R345" s="349">
        <f t="shared" si="5"/>
        <v>15</v>
      </c>
      <c r="S345" s="352"/>
      <c r="T345" s="352"/>
      <c r="U345" s="352"/>
      <c r="V345" s="353"/>
      <c r="W345" s="352"/>
      <c r="X345" s="176"/>
      <c r="Y345" s="176"/>
      <c r="Z345" s="352"/>
      <c r="AA345" s="352"/>
      <c r="AB345" s="352"/>
      <c r="AC345" s="351"/>
      <c r="AD345" s="351"/>
    </row>
    <row r="346" spans="1:30" ht="38.450000000000003" hidden="1" x14ac:dyDescent="0.35">
      <c r="A346" s="349">
        <v>345</v>
      </c>
      <c r="B346" s="352" t="s">
        <v>3204</v>
      </c>
      <c r="C346" s="351" t="s">
        <v>4689</v>
      </c>
      <c r="D346" s="352" t="s">
        <v>1370</v>
      </c>
      <c r="E346" s="352" t="s">
        <v>1997</v>
      </c>
      <c r="F346" s="353">
        <v>42.18</v>
      </c>
      <c r="G346" s="352" t="s">
        <v>1107</v>
      </c>
      <c r="H346" s="176" t="s">
        <v>1571</v>
      </c>
      <c r="I346" s="37"/>
      <c r="J346" s="352" t="s">
        <v>1115</v>
      </c>
      <c r="K346" s="352">
        <v>500</v>
      </c>
      <c r="L346" s="352" t="s">
        <v>1464</v>
      </c>
      <c r="M346" s="352"/>
      <c r="N346" s="352"/>
      <c r="O346" s="351">
        <v>500</v>
      </c>
      <c r="P346" s="349" t="s">
        <v>1836</v>
      </c>
      <c r="R346" s="349">
        <f t="shared" si="5"/>
        <v>12</v>
      </c>
      <c r="S346" s="352"/>
      <c r="T346" s="352"/>
      <c r="U346" s="352"/>
      <c r="V346" s="353"/>
      <c r="W346" s="352"/>
      <c r="X346" s="176"/>
      <c r="Y346" s="176"/>
      <c r="Z346" s="352"/>
      <c r="AA346" s="352"/>
      <c r="AB346" s="352"/>
      <c r="AC346" s="351"/>
      <c r="AD346" s="351"/>
    </row>
    <row r="347" spans="1:30" ht="89.75" hidden="1" x14ac:dyDescent="0.35">
      <c r="A347" s="349">
        <v>346</v>
      </c>
      <c r="B347" s="352" t="s">
        <v>3204</v>
      </c>
      <c r="C347" s="351" t="s">
        <v>4689</v>
      </c>
      <c r="D347" s="352" t="s">
        <v>1370</v>
      </c>
      <c r="E347" s="352" t="s">
        <v>1998</v>
      </c>
      <c r="F347" s="353">
        <v>2.9750000000000001</v>
      </c>
      <c r="G347" s="352" t="s">
        <v>2126</v>
      </c>
      <c r="H347" s="176" t="s">
        <v>3974</v>
      </c>
      <c r="I347" s="37"/>
      <c r="J347" s="352" t="s">
        <v>22</v>
      </c>
      <c r="K347" s="352">
        <v>250</v>
      </c>
      <c r="L347" s="352" t="s">
        <v>23</v>
      </c>
      <c r="M347" s="351"/>
      <c r="N347" s="351"/>
      <c r="O347" s="351">
        <v>250</v>
      </c>
      <c r="P347" s="349" t="s">
        <v>1836</v>
      </c>
      <c r="R347" s="349">
        <f t="shared" si="5"/>
        <v>12</v>
      </c>
      <c r="S347" s="352"/>
      <c r="T347" s="352"/>
      <c r="U347" s="352"/>
      <c r="V347" s="353"/>
      <c r="W347" s="352"/>
      <c r="X347" s="176"/>
      <c r="Y347" s="176"/>
      <c r="Z347" s="352"/>
      <c r="AA347" s="352"/>
      <c r="AB347" s="352"/>
      <c r="AC347" s="351"/>
      <c r="AD347" s="351"/>
    </row>
    <row r="348" spans="1:30" ht="89.75" hidden="1" x14ac:dyDescent="0.35">
      <c r="A348" s="349">
        <v>347</v>
      </c>
      <c r="B348" s="352" t="s">
        <v>3204</v>
      </c>
      <c r="C348" s="351" t="s">
        <v>4689</v>
      </c>
      <c r="D348" s="352" t="s">
        <v>1370</v>
      </c>
      <c r="E348" s="352" t="s">
        <v>1998</v>
      </c>
      <c r="F348" s="353">
        <v>5.95</v>
      </c>
      <c r="G348" s="352" t="s">
        <v>2126</v>
      </c>
      <c r="H348" s="176" t="s">
        <v>3974</v>
      </c>
      <c r="I348" s="37"/>
      <c r="J348" s="352" t="s">
        <v>22</v>
      </c>
      <c r="K348" s="352">
        <v>500</v>
      </c>
      <c r="L348" s="352" t="s">
        <v>23</v>
      </c>
      <c r="M348" s="352"/>
      <c r="N348" s="352"/>
      <c r="O348" s="351">
        <v>500</v>
      </c>
      <c r="P348" s="349" t="s">
        <v>1836</v>
      </c>
      <c r="R348" s="349">
        <f t="shared" si="5"/>
        <v>12</v>
      </c>
      <c r="S348" s="352"/>
      <c r="T348" s="352"/>
      <c r="U348" s="352"/>
      <c r="V348" s="353"/>
      <c r="W348" s="352"/>
      <c r="X348" s="176"/>
      <c r="Y348" s="176"/>
      <c r="Z348" s="352"/>
      <c r="AA348" s="352"/>
      <c r="AB348" s="352"/>
      <c r="AC348" s="351"/>
      <c r="AD348" s="351"/>
    </row>
    <row r="349" spans="1:30" ht="89.75" hidden="1" x14ac:dyDescent="0.35">
      <c r="A349" s="349">
        <v>348</v>
      </c>
      <c r="B349" s="352" t="s">
        <v>3204</v>
      </c>
      <c r="C349" s="351" t="s">
        <v>4689</v>
      </c>
      <c r="D349" s="352" t="s">
        <v>1370</v>
      </c>
      <c r="E349" s="352" t="s">
        <v>552</v>
      </c>
      <c r="F349" s="353">
        <v>495.83</v>
      </c>
      <c r="G349" s="352" t="s">
        <v>2126</v>
      </c>
      <c r="H349" s="176" t="s">
        <v>3974</v>
      </c>
      <c r="I349" s="37"/>
      <c r="J349" s="352" t="s">
        <v>3579</v>
      </c>
      <c r="K349" s="352">
        <v>200</v>
      </c>
      <c r="L349" s="352" t="s">
        <v>1116</v>
      </c>
      <c r="M349" s="351">
        <v>110</v>
      </c>
      <c r="N349" s="351" t="s">
        <v>31</v>
      </c>
      <c r="O349" s="351">
        <v>200</v>
      </c>
      <c r="P349" s="349" t="s">
        <v>1836</v>
      </c>
      <c r="R349" s="349">
        <f t="shared" si="5"/>
        <v>12</v>
      </c>
      <c r="S349" s="352"/>
      <c r="T349" s="352"/>
      <c r="U349" s="352"/>
      <c r="V349" s="353"/>
      <c r="W349" s="352"/>
      <c r="X349" s="176"/>
      <c r="Y349" s="176"/>
      <c r="Z349" s="352"/>
      <c r="AA349" s="352"/>
      <c r="AB349" s="352"/>
      <c r="AC349" s="351"/>
      <c r="AD349" s="351"/>
    </row>
    <row r="350" spans="1:30" ht="64.099999999999994" hidden="1" x14ac:dyDescent="0.35">
      <c r="A350" s="349">
        <v>349</v>
      </c>
      <c r="B350" s="352" t="s">
        <v>1080</v>
      </c>
      <c r="C350" s="351" t="s">
        <v>4690</v>
      </c>
      <c r="D350" s="352" t="s">
        <v>1213</v>
      </c>
      <c r="E350" s="352" t="s">
        <v>1997</v>
      </c>
      <c r="F350" s="353">
        <v>29.15</v>
      </c>
      <c r="G350" s="352" t="s">
        <v>1107</v>
      </c>
      <c r="H350" s="37"/>
      <c r="I350" s="176" t="s">
        <v>4097</v>
      </c>
      <c r="J350" s="352" t="s">
        <v>1115</v>
      </c>
      <c r="K350" s="352">
        <v>20</v>
      </c>
      <c r="L350" s="352" t="s">
        <v>1464</v>
      </c>
      <c r="M350" s="351"/>
      <c r="N350" s="351"/>
      <c r="O350" s="351">
        <v>20</v>
      </c>
      <c r="P350" s="349" t="s">
        <v>1836</v>
      </c>
      <c r="R350" s="349">
        <f t="shared" si="5"/>
        <v>13</v>
      </c>
      <c r="S350" s="352"/>
      <c r="T350" s="352"/>
      <c r="U350" s="352"/>
      <c r="V350" s="353"/>
      <c r="W350" s="352"/>
      <c r="X350" s="176"/>
      <c r="Y350" s="176"/>
      <c r="Z350" s="352"/>
      <c r="AA350" s="352"/>
      <c r="AB350" s="352"/>
      <c r="AC350" s="351"/>
      <c r="AD350" s="351"/>
    </row>
    <row r="351" spans="1:30" ht="51.3" hidden="1" x14ac:dyDescent="0.35">
      <c r="A351" s="349">
        <v>350</v>
      </c>
      <c r="B351" s="352" t="s">
        <v>4029</v>
      </c>
      <c r="C351" s="351" t="s">
        <v>975</v>
      </c>
      <c r="D351" s="352" t="s">
        <v>975</v>
      </c>
      <c r="E351" s="352" t="s">
        <v>553</v>
      </c>
      <c r="F351" s="353">
        <v>41.297499999999999</v>
      </c>
      <c r="G351" s="352" t="s">
        <v>2126</v>
      </c>
      <c r="H351" s="176" t="s">
        <v>1119</v>
      </c>
      <c r="I351" s="176" t="s">
        <v>1806</v>
      </c>
      <c r="J351" s="352" t="s">
        <v>3579</v>
      </c>
      <c r="K351" s="352">
        <v>1</v>
      </c>
      <c r="L351" s="352" t="s">
        <v>1116</v>
      </c>
      <c r="M351" s="352">
        <v>200</v>
      </c>
      <c r="N351" s="352" t="s">
        <v>1109</v>
      </c>
      <c r="O351" s="351">
        <v>1</v>
      </c>
      <c r="P351" s="349" t="s">
        <v>1836</v>
      </c>
      <c r="R351" s="349">
        <f t="shared" si="5"/>
        <v>10</v>
      </c>
      <c r="S351" s="352"/>
      <c r="T351" s="352"/>
      <c r="U351" s="352"/>
      <c r="V351" s="353"/>
      <c r="W351" s="352"/>
      <c r="X351" s="176"/>
      <c r="Y351" s="176"/>
      <c r="Z351" s="352"/>
      <c r="AA351" s="352"/>
      <c r="AB351" s="352"/>
      <c r="AC351" s="352"/>
      <c r="AD351" s="352"/>
    </row>
    <row r="352" spans="1:30" ht="51.3" hidden="1" x14ac:dyDescent="0.35">
      <c r="A352" s="349">
        <v>351</v>
      </c>
      <c r="B352" s="352" t="s">
        <v>4029</v>
      </c>
      <c r="C352" s="351" t="s">
        <v>975</v>
      </c>
      <c r="D352" s="352" t="s">
        <v>975</v>
      </c>
      <c r="E352" s="352" t="s">
        <v>1995</v>
      </c>
      <c r="F352" s="353">
        <v>1.35</v>
      </c>
      <c r="G352" s="352" t="s">
        <v>2126</v>
      </c>
      <c r="H352" s="176" t="s">
        <v>1119</v>
      </c>
      <c r="I352" s="176" t="s">
        <v>1806</v>
      </c>
      <c r="J352" s="352" t="s">
        <v>3580</v>
      </c>
      <c r="K352" s="352">
        <v>10</v>
      </c>
      <c r="L352" s="352" t="s">
        <v>3581</v>
      </c>
      <c r="M352" s="351"/>
      <c r="N352" s="351"/>
      <c r="O352" s="351">
        <v>10</v>
      </c>
      <c r="P352" s="349" t="s">
        <v>1836</v>
      </c>
      <c r="R352" s="349">
        <f t="shared" si="5"/>
        <v>10</v>
      </c>
      <c r="S352" s="352"/>
      <c r="T352" s="352"/>
      <c r="U352" s="352"/>
      <c r="V352" s="353"/>
      <c r="W352" s="352"/>
      <c r="X352" s="176"/>
      <c r="Y352" s="176"/>
      <c r="Z352" s="352"/>
      <c r="AA352" s="352"/>
      <c r="AB352" s="352"/>
      <c r="AC352" s="352"/>
      <c r="AD352" s="352"/>
    </row>
    <row r="353" spans="1:30" ht="38.450000000000003" hidden="1" x14ac:dyDescent="0.35">
      <c r="A353" s="349">
        <v>352</v>
      </c>
      <c r="B353" s="352" t="s">
        <v>959</v>
      </c>
      <c r="C353" s="351" t="s">
        <v>4691</v>
      </c>
      <c r="D353" s="352" t="s">
        <v>1797</v>
      </c>
      <c r="E353" s="352" t="s">
        <v>554</v>
      </c>
      <c r="F353" s="353">
        <v>3.3056000000000001</v>
      </c>
      <c r="G353" s="352" t="s">
        <v>34</v>
      </c>
      <c r="H353" s="176" t="s">
        <v>252</v>
      </c>
      <c r="I353" s="176" t="s">
        <v>4741</v>
      </c>
      <c r="J353" s="352" t="s">
        <v>555</v>
      </c>
      <c r="K353" s="351"/>
      <c r="L353" s="351"/>
      <c r="M353" s="352">
        <v>50</v>
      </c>
      <c r="N353" s="352" t="s">
        <v>31</v>
      </c>
      <c r="O353" s="351">
        <v>0</v>
      </c>
      <c r="P353" s="349" t="s">
        <v>818</v>
      </c>
      <c r="R353" s="349">
        <f t="shared" si="5"/>
        <v>15</v>
      </c>
      <c r="S353" s="352"/>
      <c r="T353" s="352"/>
      <c r="U353" s="352"/>
      <c r="V353" s="353"/>
      <c r="W353" s="352"/>
      <c r="X353" s="176"/>
      <c r="Y353" s="176"/>
      <c r="Z353" s="352"/>
      <c r="AA353" s="352"/>
      <c r="AB353" s="352"/>
      <c r="AC353" s="352"/>
      <c r="AD353" s="352"/>
    </row>
    <row r="354" spans="1:30" ht="25.65" hidden="1" x14ac:dyDescent="0.35">
      <c r="A354" s="349">
        <v>353</v>
      </c>
      <c r="B354" s="352" t="s">
        <v>959</v>
      </c>
      <c r="C354" s="351" t="s">
        <v>1797</v>
      </c>
      <c r="D354" s="352" t="s">
        <v>1797</v>
      </c>
      <c r="E354" s="352" t="s">
        <v>556</v>
      </c>
      <c r="F354" s="353">
        <v>5</v>
      </c>
      <c r="G354" s="352" t="s">
        <v>34</v>
      </c>
      <c r="H354" s="176" t="s">
        <v>253</v>
      </c>
      <c r="I354" s="176" t="s">
        <v>366</v>
      </c>
      <c r="J354" s="352" t="s">
        <v>1064</v>
      </c>
      <c r="K354" s="351"/>
      <c r="L354" s="351"/>
      <c r="M354" s="352">
        <v>50</v>
      </c>
      <c r="N354" s="352" t="s">
        <v>31</v>
      </c>
      <c r="O354" s="351">
        <v>0</v>
      </c>
      <c r="P354" s="349" t="s">
        <v>818</v>
      </c>
      <c r="R354" s="349">
        <f t="shared" si="5"/>
        <v>15</v>
      </c>
      <c r="S354" s="352"/>
      <c r="T354" s="352"/>
      <c r="U354" s="352"/>
      <c r="V354" s="353"/>
      <c r="W354" s="352"/>
      <c r="X354" s="176"/>
      <c r="Y354" s="176"/>
      <c r="Z354" s="352"/>
      <c r="AA354" s="352"/>
      <c r="AB354" s="352"/>
      <c r="AC354" s="351"/>
      <c r="AD354" s="351"/>
    </row>
    <row r="355" spans="1:30" ht="38.450000000000003" hidden="1" x14ac:dyDescent="0.35">
      <c r="A355" s="349">
        <v>354</v>
      </c>
      <c r="B355" s="352" t="s">
        <v>959</v>
      </c>
      <c r="C355" s="351" t="s">
        <v>1797</v>
      </c>
      <c r="D355" s="352" t="s">
        <v>1797</v>
      </c>
      <c r="E355" s="352" t="s">
        <v>554</v>
      </c>
      <c r="F355" s="353">
        <v>3.3056000000000001</v>
      </c>
      <c r="G355" s="352" t="s">
        <v>34</v>
      </c>
      <c r="H355" s="176" t="s">
        <v>1489</v>
      </c>
      <c r="I355" s="176" t="s">
        <v>4741</v>
      </c>
      <c r="J355" s="352" t="s">
        <v>555</v>
      </c>
      <c r="K355" s="352"/>
      <c r="L355" s="352"/>
      <c r="M355" s="351">
        <v>50</v>
      </c>
      <c r="N355" s="351" t="s">
        <v>31</v>
      </c>
      <c r="O355" s="351">
        <v>0</v>
      </c>
      <c r="P355" s="349" t="s">
        <v>818</v>
      </c>
      <c r="R355" s="349">
        <f t="shared" si="5"/>
        <v>15</v>
      </c>
      <c r="S355" s="352"/>
      <c r="T355" s="352"/>
      <c r="U355" s="352"/>
      <c r="V355" s="353"/>
      <c r="W355" s="352"/>
      <c r="X355" s="176"/>
      <c r="Y355" s="176"/>
      <c r="Z355" s="352"/>
      <c r="AA355" s="352"/>
      <c r="AB355" s="352"/>
      <c r="AC355" s="351"/>
      <c r="AD355" s="351"/>
    </row>
    <row r="356" spans="1:30" hidden="1" x14ac:dyDescent="0.35">
      <c r="A356" s="349">
        <v>355</v>
      </c>
      <c r="B356" s="352" t="s">
        <v>959</v>
      </c>
      <c r="C356" s="351" t="s">
        <v>1797</v>
      </c>
      <c r="D356" s="352" t="s">
        <v>1797</v>
      </c>
      <c r="E356" s="352" t="s">
        <v>554</v>
      </c>
      <c r="F356" s="353">
        <v>3.3056000000000001</v>
      </c>
      <c r="G356" s="352" t="s">
        <v>34</v>
      </c>
      <c r="H356" s="176" t="s">
        <v>4232</v>
      </c>
      <c r="I356" s="176" t="s">
        <v>4619</v>
      </c>
      <c r="J356" s="352" t="s">
        <v>555</v>
      </c>
      <c r="K356" s="352"/>
      <c r="L356" s="352"/>
      <c r="M356" s="352">
        <v>50</v>
      </c>
      <c r="N356" s="352" t="s">
        <v>31</v>
      </c>
      <c r="O356" s="351">
        <v>0</v>
      </c>
      <c r="P356" s="349" t="s">
        <v>818</v>
      </c>
      <c r="R356" s="349">
        <f t="shared" si="5"/>
        <v>15</v>
      </c>
      <c r="S356" s="352"/>
      <c r="T356" s="352"/>
      <c r="U356" s="352"/>
      <c r="V356" s="353"/>
      <c r="W356" s="352"/>
      <c r="X356" s="176"/>
      <c r="Y356" s="176"/>
      <c r="Z356" s="352"/>
      <c r="AA356" s="352"/>
      <c r="AB356" s="352"/>
      <c r="AC356" s="351"/>
      <c r="AD356" s="351"/>
    </row>
    <row r="357" spans="1:30" ht="25.65" hidden="1" x14ac:dyDescent="0.35">
      <c r="A357" s="349">
        <v>356</v>
      </c>
      <c r="B357" s="352" t="s">
        <v>959</v>
      </c>
      <c r="C357" s="351" t="s">
        <v>4692</v>
      </c>
      <c r="D357" s="352" t="s">
        <v>1797</v>
      </c>
      <c r="E357" s="352" t="s">
        <v>556</v>
      </c>
      <c r="F357" s="353">
        <v>5</v>
      </c>
      <c r="G357" s="352" t="s">
        <v>34</v>
      </c>
      <c r="H357" s="176" t="s">
        <v>253</v>
      </c>
      <c r="I357" s="176" t="s">
        <v>366</v>
      </c>
      <c r="J357" s="352" t="s">
        <v>1064</v>
      </c>
      <c r="K357" s="352"/>
      <c r="L357" s="352"/>
      <c r="M357" s="352">
        <v>50</v>
      </c>
      <c r="N357" s="352" t="s">
        <v>31</v>
      </c>
      <c r="O357" s="351">
        <v>0</v>
      </c>
      <c r="P357" s="349" t="s">
        <v>818</v>
      </c>
      <c r="R357" s="349">
        <f t="shared" si="5"/>
        <v>15</v>
      </c>
      <c r="S357" s="352"/>
      <c r="T357" s="352"/>
      <c r="U357" s="352"/>
      <c r="V357" s="353"/>
      <c r="W357" s="352"/>
      <c r="X357" s="176"/>
      <c r="Y357" s="176"/>
      <c r="Z357" s="352"/>
      <c r="AA357" s="352"/>
      <c r="AB357" s="352"/>
      <c r="AC357" s="351"/>
      <c r="AD357" s="351"/>
    </row>
    <row r="358" spans="1:30" ht="64.099999999999994" hidden="1" x14ac:dyDescent="0.35">
      <c r="A358" s="349">
        <v>357</v>
      </c>
      <c r="B358" s="352" t="s">
        <v>1504</v>
      </c>
      <c r="C358" s="351" t="s">
        <v>4693</v>
      </c>
      <c r="D358" s="352" t="s">
        <v>3264</v>
      </c>
      <c r="E358" s="352" t="s">
        <v>1997</v>
      </c>
      <c r="F358" s="353">
        <v>927.49749999999995</v>
      </c>
      <c r="G358" s="352" t="s">
        <v>1107</v>
      </c>
      <c r="H358" s="176" t="s">
        <v>3298</v>
      </c>
      <c r="I358" s="176"/>
      <c r="J358" s="352" t="s">
        <v>1115</v>
      </c>
      <c r="K358" s="352">
        <v>500</v>
      </c>
      <c r="L358" s="352" t="s">
        <v>2069</v>
      </c>
      <c r="M358" s="351"/>
      <c r="N358" s="351"/>
      <c r="O358" s="351">
        <v>500</v>
      </c>
      <c r="P358" s="349" t="s">
        <v>2030</v>
      </c>
      <c r="R358" s="349">
        <f t="shared" si="5"/>
        <v>17</v>
      </c>
      <c r="S358" s="352"/>
      <c r="T358" s="352"/>
      <c r="U358" s="352"/>
      <c r="V358" s="353"/>
      <c r="W358" s="352"/>
      <c r="X358" s="176"/>
      <c r="Y358" s="176"/>
      <c r="Z358" s="352"/>
      <c r="AA358" s="352"/>
      <c r="AB358" s="352"/>
      <c r="AC358" s="351"/>
      <c r="AD358" s="351"/>
    </row>
    <row r="359" spans="1:30" hidden="1" x14ac:dyDescent="0.35">
      <c r="A359" s="349">
        <v>358</v>
      </c>
      <c r="B359" s="352" t="s">
        <v>1322</v>
      </c>
      <c r="C359" s="351" t="s">
        <v>1093</v>
      </c>
      <c r="D359" s="352" t="s">
        <v>1093</v>
      </c>
      <c r="E359" s="352" t="s">
        <v>1065</v>
      </c>
      <c r="F359" s="353">
        <v>3.11</v>
      </c>
      <c r="G359" s="352" t="s">
        <v>34</v>
      </c>
      <c r="H359" s="37" t="s">
        <v>1762</v>
      </c>
      <c r="I359" s="176" t="s">
        <v>1763</v>
      </c>
      <c r="J359" s="352" t="s">
        <v>1066</v>
      </c>
      <c r="K359" s="351">
        <v>1</v>
      </c>
      <c r="L359" s="351" t="s">
        <v>1116</v>
      </c>
      <c r="M359" s="352">
        <v>300</v>
      </c>
      <c r="N359" s="352" t="s">
        <v>1109</v>
      </c>
      <c r="O359" s="351">
        <v>1</v>
      </c>
      <c r="P359" s="349" t="s">
        <v>1836</v>
      </c>
      <c r="R359" s="349">
        <f t="shared" si="5"/>
        <v>9</v>
      </c>
      <c r="S359" s="352"/>
      <c r="T359" s="352"/>
      <c r="U359" s="352"/>
      <c r="V359" s="353"/>
      <c r="W359" s="352"/>
      <c r="X359" s="176"/>
      <c r="Y359" s="176"/>
      <c r="Z359" s="352"/>
      <c r="AA359" s="352"/>
      <c r="AB359" s="352"/>
      <c r="AC359" s="351"/>
      <c r="AD359" s="351"/>
    </row>
    <row r="360" spans="1:30" hidden="1" x14ac:dyDescent="0.35">
      <c r="A360" s="349">
        <v>359</v>
      </c>
      <c r="B360" s="352" t="s">
        <v>1322</v>
      </c>
      <c r="C360" s="351" t="s">
        <v>1093</v>
      </c>
      <c r="D360" s="352" t="s">
        <v>1093</v>
      </c>
      <c r="E360" s="352" t="s">
        <v>1065</v>
      </c>
      <c r="F360" s="353">
        <v>3.11</v>
      </c>
      <c r="G360" s="352" t="s">
        <v>34</v>
      </c>
      <c r="H360" s="176" t="s">
        <v>1762</v>
      </c>
      <c r="I360" s="176" t="s">
        <v>1763</v>
      </c>
      <c r="J360" s="352" t="s">
        <v>1066</v>
      </c>
      <c r="K360" s="352">
        <v>1</v>
      </c>
      <c r="L360" s="352" t="s">
        <v>1116</v>
      </c>
      <c r="M360" s="352">
        <v>300</v>
      </c>
      <c r="N360" s="352" t="s">
        <v>1109</v>
      </c>
      <c r="O360" s="351">
        <v>1</v>
      </c>
      <c r="P360" s="349" t="s">
        <v>1836</v>
      </c>
      <c r="R360" s="349">
        <f t="shared" si="5"/>
        <v>9</v>
      </c>
      <c r="S360" s="352"/>
      <c r="T360" s="352"/>
      <c r="U360" s="352"/>
      <c r="V360" s="353"/>
      <c r="W360" s="352"/>
      <c r="X360" s="176"/>
      <c r="Y360" s="176"/>
      <c r="Z360" s="352"/>
      <c r="AA360" s="352"/>
      <c r="AB360" s="352"/>
      <c r="AC360" s="351"/>
      <c r="AD360" s="351"/>
    </row>
    <row r="361" spans="1:30" ht="76.900000000000006" hidden="1" x14ac:dyDescent="0.35">
      <c r="A361" s="349">
        <v>360</v>
      </c>
      <c r="B361" s="352" t="s">
        <v>761</v>
      </c>
      <c r="C361" s="351" t="s">
        <v>4694</v>
      </c>
      <c r="D361" s="352" t="s">
        <v>208</v>
      </c>
      <c r="E361" s="352" t="s">
        <v>2002</v>
      </c>
      <c r="F361" s="353">
        <v>0.44069999999999998</v>
      </c>
      <c r="G361" s="352" t="s">
        <v>2126</v>
      </c>
      <c r="H361" s="176" t="s">
        <v>2295</v>
      </c>
      <c r="I361" s="176" t="s">
        <v>2296</v>
      </c>
      <c r="J361" s="352" t="s">
        <v>1502</v>
      </c>
      <c r="K361" s="352">
        <v>200</v>
      </c>
      <c r="L361" s="352" t="s">
        <v>1503</v>
      </c>
      <c r="M361" s="352"/>
      <c r="N361" s="352"/>
      <c r="O361" s="351">
        <v>200</v>
      </c>
      <c r="P361" s="349" t="s">
        <v>1836</v>
      </c>
      <c r="R361" s="349">
        <f t="shared" si="5"/>
        <v>8</v>
      </c>
      <c r="S361" s="352"/>
      <c r="T361" s="352"/>
      <c r="U361" s="352"/>
      <c r="V361" s="353"/>
      <c r="W361" s="352"/>
      <c r="X361" s="176"/>
      <c r="Y361" s="176"/>
      <c r="Z361" s="352"/>
      <c r="AA361" s="352"/>
      <c r="AB361" s="352"/>
      <c r="AC361" s="351"/>
      <c r="AD361" s="351"/>
    </row>
    <row r="362" spans="1:30" hidden="1" x14ac:dyDescent="0.35">
      <c r="A362" s="349">
        <v>361</v>
      </c>
      <c r="B362" s="352" t="s">
        <v>807</v>
      </c>
      <c r="C362" s="351" t="s">
        <v>4695</v>
      </c>
      <c r="D362" s="352" t="s">
        <v>3400</v>
      </c>
      <c r="E362" s="352" t="s">
        <v>1067</v>
      </c>
      <c r="F362" s="353">
        <v>14.99</v>
      </c>
      <c r="G362" s="352" t="s">
        <v>28</v>
      </c>
      <c r="H362" s="176"/>
      <c r="I362" s="176" t="s">
        <v>4829</v>
      </c>
      <c r="J362" s="352" t="s">
        <v>1068</v>
      </c>
      <c r="K362" s="352"/>
      <c r="L362" s="352"/>
      <c r="M362" s="351">
        <v>150</v>
      </c>
      <c r="N362" s="351" t="s">
        <v>1109</v>
      </c>
      <c r="O362" s="351">
        <v>0</v>
      </c>
      <c r="P362" s="349" t="s">
        <v>1837</v>
      </c>
      <c r="R362" s="349">
        <f t="shared" si="5"/>
        <v>13</v>
      </c>
      <c r="S362" s="352"/>
      <c r="T362" s="352"/>
      <c r="U362" s="352"/>
      <c r="V362" s="353"/>
      <c r="W362" s="352"/>
      <c r="X362" s="176"/>
      <c r="Y362" s="176"/>
      <c r="Z362" s="352"/>
      <c r="AA362" s="352"/>
      <c r="AB362" s="352"/>
      <c r="AC362" s="351"/>
      <c r="AD362" s="351"/>
    </row>
    <row r="363" spans="1:30" ht="89.75" hidden="1" x14ac:dyDescent="0.35">
      <c r="A363" s="349">
        <v>362</v>
      </c>
      <c r="B363" s="352" t="s">
        <v>32</v>
      </c>
      <c r="C363" s="351" t="s">
        <v>544</v>
      </c>
      <c r="D363" s="352" t="s">
        <v>544</v>
      </c>
      <c r="E363" s="352" t="s">
        <v>3209</v>
      </c>
      <c r="F363" s="353">
        <v>4.05</v>
      </c>
      <c r="G363" s="352" t="s">
        <v>34</v>
      </c>
      <c r="H363" s="37" t="s">
        <v>705</v>
      </c>
      <c r="I363" s="176" t="s">
        <v>4750</v>
      </c>
      <c r="J363" s="352" t="s">
        <v>4025</v>
      </c>
      <c r="K363" s="352">
        <v>2.5</v>
      </c>
      <c r="L363" s="352" t="s">
        <v>1116</v>
      </c>
      <c r="M363" s="352">
        <v>5</v>
      </c>
      <c r="N363" s="352" t="s">
        <v>1109</v>
      </c>
      <c r="O363" s="351">
        <v>2.5</v>
      </c>
      <c r="P363" s="349" t="s">
        <v>1836</v>
      </c>
      <c r="R363" s="349">
        <f t="shared" si="5"/>
        <v>15</v>
      </c>
      <c r="S363" s="352"/>
      <c r="T363" s="352"/>
      <c r="U363" s="352"/>
      <c r="V363" s="353"/>
      <c r="W363" s="352"/>
      <c r="X363" s="176"/>
      <c r="Y363" s="176"/>
      <c r="Z363" s="352"/>
      <c r="AA363" s="352"/>
      <c r="AB363" s="352"/>
      <c r="AC363" s="352"/>
      <c r="AD363" s="352"/>
    </row>
    <row r="364" spans="1:30" ht="89.75" hidden="1" x14ac:dyDescent="0.35">
      <c r="A364" s="349">
        <v>363</v>
      </c>
      <c r="B364" s="352" t="s">
        <v>32</v>
      </c>
      <c r="C364" s="351" t="s">
        <v>544</v>
      </c>
      <c r="D364" s="352" t="s">
        <v>544</v>
      </c>
      <c r="E364" s="352" t="s">
        <v>1069</v>
      </c>
      <c r="F364" s="353">
        <v>3.3056000000000001</v>
      </c>
      <c r="G364" s="352" t="s">
        <v>34</v>
      </c>
      <c r="H364" s="37" t="s">
        <v>705</v>
      </c>
      <c r="I364" s="176" t="s">
        <v>4750</v>
      </c>
      <c r="J364" s="352" t="s">
        <v>35</v>
      </c>
      <c r="K364" s="351">
        <v>10</v>
      </c>
      <c r="L364" s="351" t="s">
        <v>30</v>
      </c>
      <c r="M364" s="352">
        <v>5</v>
      </c>
      <c r="N364" s="352" t="s">
        <v>31</v>
      </c>
      <c r="O364" s="351">
        <v>10</v>
      </c>
      <c r="P364" s="349" t="s">
        <v>1836</v>
      </c>
      <c r="R364" s="349">
        <f t="shared" si="5"/>
        <v>15</v>
      </c>
      <c r="S364" s="352"/>
      <c r="T364" s="352"/>
      <c r="U364" s="352"/>
      <c r="V364" s="353"/>
      <c r="W364" s="352"/>
      <c r="X364" s="176"/>
      <c r="Y364" s="176"/>
      <c r="Z364" s="352"/>
      <c r="AA364" s="352"/>
      <c r="AB364" s="352"/>
      <c r="AC364" s="352"/>
      <c r="AD364" s="352"/>
    </row>
    <row r="365" spans="1:30" ht="25.65" hidden="1" x14ac:dyDescent="0.35">
      <c r="A365" s="349">
        <v>364</v>
      </c>
      <c r="B365" s="352" t="s">
        <v>1322</v>
      </c>
      <c r="C365" s="351" t="s">
        <v>4035</v>
      </c>
      <c r="D365" s="352" t="s">
        <v>4035</v>
      </c>
      <c r="E365" s="352" t="s">
        <v>1070</v>
      </c>
      <c r="F365" s="353">
        <v>2.1</v>
      </c>
      <c r="G365" s="352" t="s">
        <v>34</v>
      </c>
      <c r="H365" s="37"/>
      <c r="I365" s="176" t="s">
        <v>583</v>
      </c>
      <c r="J365" s="352" t="s">
        <v>1066</v>
      </c>
      <c r="K365" s="352">
        <v>2</v>
      </c>
      <c r="L365" s="352" t="s">
        <v>1116</v>
      </c>
      <c r="M365" s="352">
        <v>200</v>
      </c>
      <c r="N365" s="352" t="s">
        <v>1109</v>
      </c>
      <c r="O365" s="351">
        <v>2</v>
      </c>
      <c r="P365" s="349" t="s">
        <v>1836</v>
      </c>
      <c r="R365" s="349">
        <f t="shared" si="5"/>
        <v>14</v>
      </c>
      <c r="S365" s="352"/>
      <c r="T365" s="352"/>
      <c r="U365" s="352"/>
      <c r="V365" s="353"/>
      <c r="W365" s="352"/>
      <c r="X365" s="176"/>
      <c r="Y365" s="176"/>
      <c r="Z365" s="352"/>
      <c r="AA365" s="352"/>
      <c r="AB365" s="352"/>
      <c r="AC365" s="352"/>
      <c r="AD365" s="352"/>
    </row>
    <row r="366" spans="1:30" ht="38.450000000000003" hidden="1" x14ac:dyDescent="0.35">
      <c r="A366" s="349">
        <v>365</v>
      </c>
      <c r="B366" s="352" t="s">
        <v>1322</v>
      </c>
      <c r="C366" s="351" t="s">
        <v>4035</v>
      </c>
      <c r="D366" s="352" t="s">
        <v>4035</v>
      </c>
      <c r="E366" s="352" t="s">
        <v>467</v>
      </c>
      <c r="F366" s="353">
        <v>1.4104000000000001</v>
      </c>
      <c r="G366" s="352" t="s">
        <v>34</v>
      </c>
      <c r="H366" s="37"/>
      <c r="I366" s="176" t="s">
        <v>1766</v>
      </c>
      <c r="J366" s="352" t="s">
        <v>469</v>
      </c>
      <c r="K366" s="352"/>
      <c r="L366" s="352"/>
      <c r="M366" s="352">
        <v>50</v>
      </c>
      <c r="N366" s="352" t="s">
        <v>1109</v>
      </c>
      <c r="O366" s="351">
        <v>0</v>
      </c>
      <c r="P366" s="349" t="s">
        <v>1837</v>
      </c>
      <c r="R366" s="349">
        <f t="shared" si="5"/>
        <v>14</v>
      </c>
      <c r="S366" s="352"/>
      <c r="T366" s="352"/>
      <c r="U366" s="352"/>
      <c r="V366" s="353"/>
      <c r="W366" s="352"/>
      <c r="X366" s="176"/>
      <c r="Y366" s="176"/>
      <c r="Z366" s="352"/>
      <c r="AA366" s="352"/>
      <c r="AB366" s="352"/>
      <c r="AC366" s="351"/>
      <c r="AD366" s="351"/>
    </row>
    <row r="367" spans="1:30" ht="38.450000000000003" hidden="1" x14ac:dyDescent="0.35">
      <c r="A367" s="349">
        <v>366</v>
      </c>
      <c r="B367" s="352" t="s">
        <v>1322</v>
      </c>
      <c r="C367" s="351" t="s">
        <v>4035</v>
      </c>
      <c r="D367" s="352" t="s">
        <v>4035</v>
      </c>
      <c r="E367" s="352" t="s">
        <v>1071</v>
      </c>
      <c r="F367" s="353">
        <v>15.514099999999999</v>
      </c>
      <c r="G367" s="352" t="s">
        <v>34</v>
      </c>
      <c r="H367" s="176"/>
      <c r="I367" s="176" t="s">
        <v>3217</v>
      </c>
      <c r="J367" s="352" t="s">
        <v>1072</v>
      </c>
      <c r="K367" s="352">
        <v>4</v>
      </c>
      <c r="L367" s="352" t="s">
        <v>470</v>
      </c>
      <c r="M367" s="351">
        <v>500</v>
      </c>
      <c r="N367" s="351" t="s">
        <v>1109</v>
      </c>
      <c r="O367" s="351">
        <v>4</v>
      </c>
      <c r="P367" s="349" t="s">
        <v>1838</v>
      </c>
      <c r="R367" s="349">
        <f t="shared" si="5"/>
        <v>14</v>
      </c>
      <c r="S367" s="352"/>
      <c r="T367" s="352"/>
      <c r="U367" s="352"/>
      <c r="V367" s="353"/>
      <c r="W367" s="352"/>
      <c r="X367" s="176"/>
      <c r="Y367" s="176"/>
      <c r="Z367" s="352"/>
      <c r="AA367" s="352"/>
      <c r="AB367" s="352"/>
      <c r="AC367" s="351"/>
      <c r="AD367" s="351"/>
    </row>
    <row r="368" spans="1:30" hidden="1" x14ac:dyDescent="0.35">
      <c r="A368" s="349">
        <v>367</v>
      </c>
      <c r="B368" s="352" t="s">
        <v>1322</v>
      </c>
      <c r="C368" s="351" t="s">
        <v>4035</v>
      </c>
      <c r="D368" s="352" t="s">
        <v>4035</v>
      </c>
      <c r="E368" s="352" t="s">
        <v>2016</v>
      </c>
      <c r="F368" s="353">
        <v>0.28649999999999998</v>
      </c>
      <c r="G368" s="352" t="s">
        <v>2126</v>
      </c>
      <c r="H368" s="176" t="s">
        <v>584</v>
      </c>
      <c r="I368" s="176" t="s">
        <v>2554</v>
      </c>
      <c r="J368" s="352" t="s">
        <v>893</v>
      </c>
      <c r="K368" s="352">
        <v>2.5</v>
      </c>
      <c r="L368" s="352" t="s">
        <v>3581</v>
      </c>
      <c r="M368" s="352"/>
      <c r="N368" s="352"/>
      <c r="O368" s="351">
        <v>2.5</v>
      </c>
      <c r="P368" s="349" t="s">
        <v>1836</v>
      </c>
      <c r="R368" s="349">
        <f t="shared" si="5"/>
        <v>14</v>
      </c>
      <c r="S368" s="352"/>
      <c r="T368" s="352"/>
      <c r="U368" s="352"/>
      <c r="V368" s="353"/>
      <c r="W368" s="352"/>
      <c r="X368" s="176"/>
      <c r="Y368" s="176"/>
      <c r="Z368" s="352"/>
      <c r="AA368" s="352"/>
      <c r="AB368" s="352"/>
      <c r="AC368" s="351"/>
      <c r="AD368" s="351"/>
    </row>
    <row r="369" spans="1:30" ht="25.65" hidden="1" x14ac:dyDescent="0.35">
      <c r="A369" s="349">
        <v>368</v>
      </c>
      <c r="B369" s="352" t="s">
        <v>1322</v>
      </c>
      <c r="C369" s="351" t="s">
        <v>4696</v>
      </c>
      <c r="D369" s="352" t="s">
        <v>4035</v>
      </c>
      <c r="E369" s="352" t="s">
        <v>1070</v>
      </c>
      <c r="F369" s="353">
        <v>2.1</v>
      </c>
      <c r="G369" s="352" t="s">
        <v>34</v>
      </c>
      <c r="H369" s="176"/>
      <c r="I369" s="176" t="s">
        <v>583</v>
      </c>
      <c r="J369" s="352" t="s">
        <v>1066</v>
      </c>
      <c r="K369" s="352">
        <v>2</v>
      </c>
      <c r="L369" s="352" t="s">
        <v>1116</v>
      </c>
      <c r="M369" s="352">
        <v>200</v>
      </c>
      <c r="N369" s="352" t="s">
        <v>1109</v>
      </c>
      <c r="O369" s="351">
        <v>2</v>
      </c>
      <c r="P369" s="349" t="s">
        <v>1836</v>
      </c>
      <c r="R369" s="349">
        <f t="shared" si="5"/>
        <v>14</v>
      </c>
      <c r="S369" s="352"/>
      <c r="T369" s="352"/>
      <c r="U369" s="352"/>
      <c r="V369" s="353"/>
      <c r="W369" s="352"/>
      <c r="X369" s="176"/>
      <c r="Y369" s="176"/>
      <c r="Z369" s="352"/>
      <c r="AA369" s="352"/>
      <c r="AB369" s="352"/>
      <c r="AC369" s="351"/>
      <c r="AD369" s="351"/>
    </row>
    <row r="370" spans="1:30" ht="51.3" hidden="1" x14ac:dyDescent="0.35">
      <c r="A370" s="349">
        <v>369</v>
      </c>
      <c r="B370" s="352" t="s">
        <v>1080</v>
      </c>
      <c r="C370" s="351" t="s">
        <v>585</v>
      </c>
      <c r="D370" s="352" t="s">
        <v>585</v>
      </c>
      <c r="E370" s="352" t="s">
        <v>1997</v>
      </c>
      <c r="F370" s="353">
        <v>59.99</v>
      </c>
      <c r="G370" s="352" t="s">
        <v>1107</v>
      </c>
      <c r="H370" s="176" t="s">
        <v>2218</v>
      </c>
      <c r="I370" s="176" t="s">
        <v>2834</v>
      </c>
      <c r="J370" s="352" t="s">
        <v>1115</v>
      </c>
      <c r="K370" s="352">
        <v>10</v>
      </c>
      <c r="L370" s="352" t="s">
        <v>1464</v>
      </c>
      <c r="M370" s="352"/>
      <c r="N370" s="352"/>
      <c r="O370" s="351">
        <v>10</v>
      </c>
      <c r="P370" s="349" t="s">
        <v>1836</v>
      </c>
      <c r="R370" s="349">
        <f t="shared" si="5"/>
        <v>13</v>
      </c>
      <c r="S370" s="352"/>
      <c r="T370" s="352"/>
      <c r="U370" s="352"/>
      <c r="V370" s="353"/>
      <c r="W370" s="352"/>
      <c r="X370" s="176"/>
      <c r="Y370" s="176"/>
      <c r="Z370" s="352"/>
      <c r="AA370" s="352"/>
      <c r="AB370" s="352"/>
      <c r="AC370" s="352"/>
      <c r="AD370" s="352"/>
    </row>
    <row r="371" spans="1:30" ht="76.900000000000006" hidden="1" x14ac:dyDescent="0.35">
      <c r="A371" s="349">
        <v>370</v>
      </c>
      <c r="B371" s="352" t="s">
        <v>1073</v>
      </c>
      <c r="C371" s="351" t="s">
        <v>1848</v>
      </c>
      <c r="D371" s="352" t="s">
        <v>1848</v>
      </c>
      <c r="E371" s="352" t="s">
        <v>1996</v>
      </c>
      <c r="F371" s="353">
        <v>0.11</v>
      </c>
      <c r="G371" s="352" t="s">
        <v>2126</v>
      </c>
      <c r="H371" s="176" t="s">
        <v>1990</v>
      </c>
      <c r="I371" s="176" t="s">
        <v>5077</v>
      </c>
      <c r="J371" s="352" t="s">
        <v>3579</v>
      </c>
      <c r="K371" s="352">
        <v>20</v>
      </c>
      <c r="L371" s="352" t="s">
        <v>1116</v>
      </c>
      <c r="M371" s="352"/>
      <c r="N371" s="352"/>
      <c r="O371" s="351">
        <v>20</v>
      </c>
      <c r="P371" s="349" t="s">
        <v>1836</v>
      </c>
      <c r="R371" s="349">
        <f t="shared" si="5"/>
        <v>14</v>
      </c>
      <c r="S371" s="352"/>
      <c r="T371" s="352"/>
      <c r="U371" s="352"/>
      <c r="V371" s="353"/>
      <c r="W371" s="352"/>
      <c r="X371" s="176"/>
      <c r="Y371" s="176"/>
      <c r="Z371" s="352"/>
      <c r="AA371" s="352"/>
      <c r="AB371" s="352"/>
      <c r="AC371" s="352"/>
      <c r="AD371" s="352"/>
    </row>
    <row r="372" spans="1:30" ht="76.900000000000006" hidden="1" x14ac:dyDescent="0.35">
      <c r="A372" s="349">
        <v>371</v>
      </c>
      <c r="B372" s="352" t="s">
        <v>1073</v>
      </c>
      <c r="C372" s="351" t="s">
        <v>1848</v>
      </c>
      <c r="D372" s="352" t="s">
        <v>1848</v>
      </c>
      <c r="E372" s="352" t="s">
        <v>1996</v>
      </c>
      <c r="F372" s="353">
        <v>0.11</v>
      </c>
      <c r="G372" s="352" t="s">
        <v>2126</v>
      </c>
      <c r="H372" s="176" t="s">
        <v>1990</v>
      </c>
      <c r="I372" s="176" t="s">
        <v>5077</v>
      </c>
      <c r="J372" s="352" t="s">
        <v>3579</v>
      </c>
      <c r="K372" s="352">
        <v>100</v>
      </c>
      <c r="L372" s="352" t="s">
        <v>1116</v>
      </c>
      <c r="M372" s="351"/>
      <c r="N372" s="351"/>
      <c r="O372" s="351">
        <v>100</v>
      </c>
      <c r="P372" s="349" t="s">
        <v>1836</v>
      </c>
      <c r="R372" s="349">
        <f t="shared" si="5"/>
        <v>14</v>
      </c>
      <c r="S372" s="352"/>
      <c r="T372" s="352"/>
      <c r="U372" s="352"/>
      <c r="V372" s="353"/>
      <c r="W372" s="352"/>
      <c r="X372" s="176"/>
      <c r="Y372" s="176"/>
      <c r="Z372" s="352"/>
      <c r="AA372" s="352"/>
      <c r="AB372" s="352"/>
      <c r="AC372" s="352"/>
      <c r="AD372" s="352"/>
    </row>
    <row r="373" spans="1:30" ht="76.900000000000006" hidden="1" x14ac:dyDescent="0.35">
      <c r="A373" s="349">
        <v>372</v>
      </c>
      <c r="B373" s="352" t="s">
        <v>1073</v>
      </c>
      <c r="C373" s="351" t="s">
        <v>1848</v>
      </c>
      <c r="D373" s="352" t="s">
        <v>1848</v>
      </c>
      <c r="E373" s="352" t="s">
        <v>1743</v>
      </c>
      <c r="F373" s="353">
        <v>0.1</v>
      </c>
      <c r="G373" s="352" t="s">
        <v>967</v>
      </c>
      <c r="H373" s="176" t="s">
        <v>1966</v>
      </c>
      <c r="I373" s="176" t="s">
        <v>5077</v>
      </c>
      <c r="J373" s="352" t="s">
        <v>806</v>
      </c>
      <c r="K373" s="352">
        <v>20</v>
      </c>
      <c r="L373" s="352" t="s">
        <v>1116</v>
      </c>
      <c r="M373" s="351">
        <v>1</v>
      </c>
      <c r="N373" s="351" t="s">
        <v>1109</v>
      </c>
      <c r="O373" s="351">
        <v>20</v>
      </c>
      <c r="P373" s="349" t="s">
        <v>1836</v>
      </c>
      <c r="R373" s="349">
        <f t="shared" si="5"/>
        <v>14</v>
      </c>
      <c r="S373" s="352"/>
      <c r="T373" s="352"/>
      <c r="U373" s="352"/>
      <c r="V373" s="353"/>
      <c r="W373" s="352"/>
      <c r="X373" s="176"/>
      <c r="Y373" s="176"/>
      <c r="Z373" s="352"/>
      <c r="AA373" s="352"/>
      <c r="AB373" s="352"/>
      <c r="AC373" s="351"/>
      <c r="AD373" s="351"/>
    </row>
    <row r="374" spans="1:30" ht="76.900000000000006" hidden="1" x14ac:dyDescent="0.35">
      <c r="A374" s="349">
        <v>373</v>
      </c>
      <c r="B374" s="352" t="s">
        <v>1073</v>
      </c>
      <c r="C374" s="351" t="s">
        <v>1848</v>
      </c>
      <c r="D374" s="352" t="s">
        <v>1848</v>
      </c>
      <c r="E374" s="352" t="s">
        <v>1744</v>
      </c>
      <c r="F374" s="353">
        <v>0.75</v>
      </c>
      <c r="G374" s="352" t="s">
        <v>967</v>
      </c>
      <c r="H374" s="176" t="s">
        <v>1966</v>
      </c>
      <c r="I374" s="176" t="s">
        <v>5077</v>
      </c>
      <c r="J374" s="352" t="s">
        <v>806</v>
      </c>
      <c r="K374" s="352">
        <v>240</v>
      </c>
      <c r="L374" s="352" t="s">
        <v>1116</v>
      </c>
      <c r="M374" s="351">
        <v>2.5</v>
      </c>
      <c r="N374" s="351" t="s">
        <v>1109</v>
      </c>
      <c r="O374" s="351">
        <v>240</v>
      </c>
      <c r="P374" s="349" t="s">
        <v>1836</v>
      </c>
      <c r="R374" s="349">
        <f t="shared" si="5"/>
        <v>14</v>
      </c>
      <c r="S374" s="352"/>
      <c r="T374" s="352"/>
      <c r="U374" s="352"/>
      <c r="V374" s="353"/>
      <c r="W374" s="352"/>
      <c r="X374" s="176"/>
      <c r="Y374" s="176"/>
      <c r="Z374" s="352"/>
      <c r="AA374" s="352"/>
      <c r="AB374" s="352"/>
      <c r="AC374" s="351"/>
      <c r="AD374" s="351"/>
    </row>
    <row r="375" spans="1:30" ht="76.900000000000006" hidden="1" x14ac:dyDescent="0.35">
      <c r="A375" s="349">
        <v>374</v>
      </c>
      <c r="B375" s="352" t="s">
        <v>1073</v>
      </c>
      <c r="C375" s="351" t="s">
        <v>1848</v>
      </c>
      <c r="D375" s="352" t="s">
        <v>1848</v>
      </c>
      <c r="E375" s="352" t="s">
        <v>1996</v>
      </c>
      <c r="F375" s="353">
        <v>0.11</v>
      </c>
      <c r="G375" s="352" t="s">
        <v>2126</v>
      </c>
      <c r="H375" s="176" t="s">
        <v>1990</v>
      </c>
      <c r="I375" s="176" t="s">
        <v>5077</v>
      </c>
      <c r="J375" s="352" t="s">
        <v>3579</v>
      </c>
      <c r="K375" s="352">
        <v>20</v>
      </c>
      <c r="L375" s="352" t="s">
        <v>1116</v>
      </c>
      <c r="M375" s="351"/>
      <c r="N375" s="351"/>
      <c r="O375" s="351">
        <v>20</v>
      </c>
      <c r="P375" s="349" t="s">
        <v>1836</v>
      </c>
      <c r="R375" s="349">
        <f t="shared" si="5"/>
        <v>14</v>
      </c>
      <c r="S375" s="352"/>
      <c r="T375" s="352"/>
      <c r="U375" s="352"/>
      <c r="V375" s="353"/>
      <c r="W375" s="352"/>
      <c r="X375" s="176"/>
      <c r="Y375" s="176"/>
      <c r="Z375" s="352"/>
      <c r="AA375" s="352"/>
      <c r="AB375" s="352"/>
      <c r="AC375" s="352"/>
      <c r="AD375" s="352"/>
    </row>
    <row r="376" spans="1:30" ht="76.900000000000006" hidden="1" x14ac:dyDescent="0.35">
      <c r="A376" s="349">
        <v>375</v>
      </c>
      <c r="B376" s="352" t="s">
        <v>1073</v>
      </c>
      <c r="C376" s="351" t="s">
        <v>1848</v>
      </c>
      <c r="D376" s="352" t="s">
        <v>1848</v>
      </c>
      <c r="E376" s="352" t="s">
        <v>1996</v>
      </c>
      <c r="F376" s="353">
        <v>0.11</v>
      </c>
      <c r="G376" s="352" t="s">
        <v>2126</v>
      </c>
      <c r="H376" s="176" t="s">
        <v>1990</v>
      </c>
      <c r="I376" s="176" t="s">
        <v>5077</v>
      </c>
      <c r="J376" s="352" t="s">
        <v>3579</v>
      </c>
      <c r="K376" s="352">
        <v>100</v>
      </c>
      <c r="L376" s="352" t="s">
        <v>1116</v>
      </c>
      <c r="M376" s="351"/>
      <c r="N376" s="351"/>
      <c r="O376" s="351">
        <v>100</v>
      </c>
      <c r="P376" s="349" t="s">
        <v>1836</v>
      </c>
      <c r="R376" s="349">
        <f t="shared" si="5"/>
        <v>14</v>
      </c>
      <c r="S376" s="352"/>
      <c r="T376" s="352"/>
      <c r="U376" s="352"/>
      <c r="V376" s="353"/>
      <c r="W376" s="352"/>
      <c r="X376" s="176"/>
      <c r="Y376" s="176"/>
      <c r="Z376" s="352"/>
      <c r="AA376" s="352"/>
      <c r="AB376" s="352"/>
      <c r="AC376" s="351"/>
      <c r="AD376" s="351"/>
    </row>
    <row r="377" spans="1:30" ht="76.900000000000006" hidden="1" x14ac:dyDescent="0.35">
      <c r="A377" s="349">
        <v>376</v>
      </c>
      <c r="B377" s="352" t="s">
        <v>1073</v>
      </c>
      <c r="C377" s="351" t="s">
        <v>1848</v>
      </c>
      <c r="D377" s="352" t="s">
        <v>1848</v>
      </c>
      <c r="E377" s="352" t="s">
        <v>1743</v>
      </c>
      <c r="F377" s="353">
        <v>0.1</v>
      </c>
      <c r="G377" s="352" t="s">
        <v>967</v>
      </c>
      <c r="H377" s="176" t="s">
        <v>1966</v>
      </c>
      <c r="I377" s="176" t="s">
        <v>5077</v>
      </c>
      <c r="J377" s="352" t="s">
        <v>806</v>
      </c>
      <c r="K377" s="352">
        <v>20</v>
      </c>
      <c r="L377" s="352" t="s">
        <v>1116</v>
      </c>
      <c r="M377" s="351">
        <v>1</v>
      </c>
      <c r="N377" s="351" t="s">
        <v>1109</v>
      </c>
      <c r="O377" s="351">
        <v>20</v>
      </c>
      <c r="P377" s="349" t="s">
        <v>1836</v>
      </c>
      <c r="R377" s="349">
        <f t="shared" si="5"/>
        <v>14</v>
      </c>
      <c r="S377" s="352"/>
      <c r="T377" s="352"/>
      <c r="U377" s="352"/>
      <c r="V377" s="353"/>
      <c r="W377" s="352"/>
      <c r="X377" s="176"/>
      <c r="Y377" s="176"/>
      <c r="Z377" s="352"/>
      <c r="AA377" s="352"/>
      <c r="AB377" s="352"/>
      <c r="AC377" s="352"/>
      <c r="AD377" s="352"/>
    </row>
    <row r="378" spans="1:30" ht="76.900000000000006" hidden="1" x14ac:dyDescent="0.35">
      <c r="A378" s="349">
        <v>377</v>
      </c>
      <c r="B378" s="352" t="s">
        <v>1073</v>
      </c>
      <c r="C378" s="351" t="s">
        <v>1848</v>
      </c>
      <c r="D378" s="352" t="s">
        <v>1848</v>
      </c>
      <c r="E378" s="352" t="s">
        <v>1744</v>
      </c>
      <c r="F378" s="353">
        <v>0.75</v>
      </c>
      <c r="G378" s="352" t="s">
        <v>967</v>
      </c>
      <c r="H378" s="176" t="s">
        <v>1966</v>
      </c>
      <c r="I378" s="176" t="s">
        <v>5077</v>
      </c>
      <c r="J378" s="352" t="s">
        <v>806</v>
      </c>
      <c r="K378" s="352">
        <v>240</v>
      </c>
      <c r="L378" s="352" t="s">
        <v>1116</v>
      </c>
      <c r="M378" s="351">
        <v>2.5</v>
      </c>
      <c r="N378" s="351" t="s">
        <v>1109</v>
      </c>
      <c r="O378" s="351">
        <v>240</v>
      </c>
      <c r="P378" s="349" t="s">
        <v>1836</v>
      </c>
      <c r="R378" s="349">
        <f t="shared" si="5"/>
        <v>14</v>
      </c>
      <c r="S378" s="352"/>
      <c r="T378" s="352"/>
      <c r="U378" s="352"/>
      <c r="V378" s="353"/>
      <c r="W378" s="352"/>
      <c r="X378" s="176"/>
      <c r="Y378" s="176"/>
      <c r="Z378" s="352"/>
      <c r="AA378" s="352"/>
      <c r="AB378" s="352"/>
      <c r="AC378" s="352"/>
      <c r="AD378" s="352"/>
    </row>
    <row r="379" spans="1:30" ht="38.450000000000003" hidden="1" x14ac:dyDescent="0.35">
      <c r="A379" s="349">
        <v>378</v>
      </c>
      <c r="B379" s="352" t="s">
        <v>2891</v>
      </c>
      <c r="C379" s="351" t="s">
        <v>4697</v>
      </c>
      <c r="D379" s="352" t="s">
        <v>1752</v>
      </c>
      <c r="E379" s="352" t="s">
        <v>1997</v>
      </c>
      <c r="F379" s="353">
        <v>4.5</v>
      </c>
      <c r="G379" s="352" t="s">
        <v>2384</v>
      </c>
      <c r="H379" s="176" t="s">
        <v>1749</v>
      </c>
      <c r="I379" s="176" t="s">
        <v>1750</v>
      </c>
      <c r="J379" s="352" t="s">
        <v>1115</v>
      </c>
      <c r="K379" s="352">
        <v>1500</v>
      </c>
      <c r="L379" s="352" t="s">
        <v>2069</v>
      </c>
      <c r="M379" s="351"/>
      <c r="N379" s="351"/>
      <c r="O379" s="351">
        <v>1500</v>
      </c>
      <c r="P379" s="349" t="s">
        <v>2030</v>
      </c>
      <c r="R379" s="349">
        <f t="shared" si="5"/>
        <v>22</v>
      </c>
      <c r="S379" s="352"/>
      <c r="T379" s="352"/>
      <c r="U379" s="352"/>
      <c r="V379" s="353"/>
      <c r="W379" s="352"/>
      <c r="X379" s="176"/>
      <c r="Y379" s="176"/>
      <c r="Z379" s="352"/>
      <c r="AA379" s="352"/>
      <c r="AB379" s="352"/>
      <c r="AC379" s="351"/>
      <c r="AD379" s="351"/>
    </row>
    <row r="380" spans="1:30" ht="38.450000000000003" hidden="1" x14ac:dyDescent="0.35">
      <c r="A380" s="349">
        <v>379</v>
      </c>
      <c r="B380" s="352" t="s">
        <v>3204</v>
      </c>
      <c r="C380" s="351" t="s">
        <v>679</v>
      </c>
      <c r="D380" s="352" t="s">
        <v>679</v>
      </c>
      <c r="E380" s="352" t="s">
        <v>2855</v>
      </c>
      <c r="F380" s="353">
        <v>6.8315000000000001</v>
      </c>
      <c r="G380" s="352" t="s">
        <v>1107</v>
      </c>
      <c r="H380" s="176" t="s">
        <v>680</v>
      </c>
      <c r="I380" s="176" t="s">
        <v>687</v>
      </c>
      <c r="J380" s="352" t="s">
        <v>828</v>
      </c>
      <c r="K380" s="352">
        <v>50</v>
      </c>
      <c r="L380" s="352" t="s">
        <v>1116</v>
      </c>
      <c r="M380" s="351">
        <v>1</v>
      </c>
      <c r="N380" s="351" t="s">
        <v>1109</v>
      </c>
      <c r="O380" s="351">
        <v>50</v>
      </c>
      <c r="P380" s="349" t="s">
        <v>1836</v>
      </c>
      <c r="R380" s="349">
        <f t="shared" si="5"/>
        <v>12</v>
      </c>
      <c r="S380" s="352"/>
      <c r="T380" s="352"/>
      <c r="U380" s="352"/>
      <c r="V380" s="353"/>
      <c r="W380" s="352"/>
      <c r="X380" s="176"/>
      <c r="Y380" s="176"/>
      <c r="Z380" s="352"/>
      <c r="AA380" s="352"/>
      <c r="AB380" s="352"/>
      <c r="AC380" s="352"/>
      <c r="AD380" s="352"/>
    </row>
    <row r="381" spans="1:30" ht="102.55" hidden="1" x14ac:dyDescent="0.35">
      <c r="A381" s="349">
        <v>380</v>
      </c>
      <c r="B381" s="352" t="s">
        <v>1133</v>
      </c>
      <c r="C381" s="351" t="s">
        <v>679</v>
      </c>
      <c r="D381" s="352" t="s">
        <v>679</v>
      </c>
      <c r="E381" s="352" t="s">
        <v>1998</v>
      </c>
      <c r="F381" s="353">
        <v>1.9172</v>
      </c>
      <c r="G381" s="352" t="s">
        <v>2126</v>
      </c>
      <c r="H381" s="176" t="s">
        <v>735</v>
      </c>
      <c r="I381" s="176" t="s">
        <v>4727</v>
      </c>
      <c r="J381" s="352" t="s">
        <v>22</v>
      </c>
      <c r="K381" s="352">
        <v>25</v>
      </c>
      <c r="L381" s="352" t="s">
        <v>23</v>
      </c>
      <c r="M381" s="352"/>
      <c r="N381" s="352"/>
      <c r="O381" s="351">
        <v>25</v>
      </c>
      <c r="P381" s="349" t="s">
        <v>1836</v>
      </c>
      <c r="R381" s="349">
        <f t="shared" si="5"/>
        <v>12</v>
      </c>
      <c r="S381" s="352"/>
      <c r="T381" s="352"/>
      <c r="U381" s="352"/>
      <c r="V381" s="353"/>
      <c r="W381" s="352"/>
      <c r="X381" s="176"/>
      <c r="Y381" s="176"/>
      <c r="Z381" s="352"/>
      <c r="AA381" s="352"/>
      <c r="AB381" s="352"/>
      <c r="AC381" s="352"/>
      <c r="AD381" s="352"/>
    </row>
    <row r="382" spans="1:30" ht="102.55" hidden="1" x14ac:dyDescent="0.35">
      <c r="A382" s="349">
        <v>381</v>
      </c>
      <c r="B382" s="352" t="s">
        <v>1133</v>
      </c>
      <c r="C382" s="351" t="s">
        <v>679</v>
      </c>
      <c r="D382" s="352" t="s">
        <v>679</v>
      </c>
      <c r="E382" s="352" t="s">
        <v>1998</v>
      </c>
      <c r="F382" s="353">
        <v>6.8756000000000004</v>
      </c>
      <c r="G382" s="352" t="s">
        <v>2126</v>
      </c>
      <c r="H382" s="176" t="s">
        <v>735</v>
      </c>
      <c r="I382" s="176" t="s">
        <v>4727</v>
      </c>
      <c r="J382" s="352" t="s">
        <v>22</v>
      </c>
      <c r="K382" s="352">
        <v>100</v>
      </c>
      <c r="L382" s="352" t="s">
        <v>23</v>
      </c>
      <c r="M382" s="352"/>
      <c r="N382" s="352"/>
      <c r="O382" s="351">
        <v>100</v>
      </c>
      <c r="P382" s="349" t="s">
        <v>1836</v>
      </c>
      <c r="R382" s="349">
        <f t="shared" si="5"/>
        <v>12</v>
      </c>
      <c r="S382" s="352"/>
      <c r="T382" s="352"/>
      <c r="U382" s="352"/>
      <c r="V382" s="353"/>
      <c r="W382" s="352"/>
      <c r="X382" s="176"/>
      <c r="Y382" s="176"/>
      <c r="Z382" s="352"/>
      <c r="AA382" s="352"/>
      <c r="AB382" s="352"/>
      <c r="AC382" s="352"/>
      <c r="AD382" s="352"/>
    </row>
    <row r="383" spans="1:30" ht="115.35" hidden="1" x14ac:dyDescent="0.35">
      <c r="A383" s="349">
        <v>382</v>
      </c>
      <c r="B383" s="352" t="s">
        <v>3204</v>
      </c>
      <c r="C383" s="351" t="s">
        <v>679</v>
      </c>
      <c r="D383" s="352" t="s">
        <v>679</v>
      </c>
      <c r="E383" s="352" t="s">
        <v>1998</v>
      </c>
      <c r="F383" s="353">
        <v>1.9172</v>
      </c>
      <c r="G383" s="352" t="s">
        <v>2126</v>
      </c>
      <c r="H383" s="176" t="s">
        <v>680</v>
      </c>
      <c r="I383" s="176" t="s">
        <v>5075</v>
      </c>
      <c r="J383" s="352" t="s">
        <v>22</v>
      </c>
      <c r="K383" s="352">
        <v>25</v>
      </c>
      <c r="L383" s="352" t="s">
        <v>23</v>
      </c>
      <c r="M383" s="352"/>
      <c r="N383" s="352"/>
      <c r="O383" s="351">
        <v>25</v>
      </c>
      <c r="P383" s="349" t="s">
        <v>1836</v>
      </c>
      <c r="R383" s="349">
        <f t="shared" si="5"/>
        <v>12</v>
      </c>
      <c r="S383" s="352"/>
      <c r="T383" s="352"/>
      <c r="U383" s="352"/>
      <c r="V383" s="353"/>
      <c r="W383" s="352"/>
      <c r="X383" s="176"/>
      <c r="Y383" s="176"/>
      <c r="Z383" s="352"/>
      <c r="AA383" s="352"/>
      <c r="AB383" s="352"/>
      <c r="AC383" s="352"/>
      <c r="AD383" s="352"/>
    </row>
    <row r="384" spans="1:30" ht="115.35" hidden="1" x14ac:dyDescent="0.35">
      <c r="A384" s="349">
        <v>383</v>
      </c>
      <c r="B384" s="352" t="s">
        <v>3204</v>
      </c>
      <c r="C384" s="351" t="s">
        <v>679</v>
      </c>
      <c r="D384" s="352" t="s">
        <v>679</v>
      </c>
      <c r="E384" s="352" t="s">
        <v>1998</v>
      </c>
      <c r="F384" s="353">
        <v>6.8756000000000004</v>
      </c>
      <c r="G384" s="352" t="s">
        <v>2126</v>
      </c>
      <c r="H384" s="176" t="s">
        <v>680</v>
      </c>
      <c r="I384" s="176" t="s">
        <v>5075</v>
      </c>
      <c r="J384" s="352" t="s">
        <v>22</v>
      </c>
      <c r="K384" s="352">
        <v>100</v>
      </c>
      <c r="L384" s="352" t="s">
        <v>23</v>
      </c>
      <c r="M384" s="351"/>
      <c r="N384" s="351"/>
      <c r="O384" s="351">
        <v>100</v>
      </c>
      <c r="P384" s="349" t="s">
        <v>1836</v>
      </c>
      <c r="R384" s="349">
        <f t="shared" si="5"/>
        <v>12</v>
      </c>
      <c r="S384" s="352"/>
      <c r="T384" s="352"/>
      <c r="U384" s="352"/>
      <c r="V384" s="353"/>
      <c r="W384" s="352"/>
      <c r="X384" s="176"/>
      <c r="Y384" s="176"/>
      <c r="Z384" s="352"/>
      <c r="AA384" s="352"/>
      <c r="AB384" s="352"/>
      <c r="AC384" s="351"/>
      <c r="AD384" s="351"/>
    </row>
    <row r="385" spans="1:30" ht="115.35" hidden="1" x14ac:dyDescent="0.35">
      <c r="A385" s="349">
        <v>384</v>
      </c>
      <c r="B385" s="352" t="s">
        <v>3204</v>
      </c>
      <c r="C385" s="351" t="s">
        <v>679</v>
      </c>
      <c r="D385" s="352" t="s">
        <v>679</v>
      </c>
      <c r="E385" s="352" t="s">
        <v>1137</v>
      </c>
      <c r="F385" s="353">
        <v>321.87389999999999</v>
      </c>
      <c r="G385" s="352" t="s">
        <v>2126</v>
      </c>
      <c r="H385" s="176" t="s">
        <v>680</v>
      </c>
      <c r="I385" s="176" t="s">
        <v>5075</v>
      </c>
      <c r="J385" s="352" t="s">
        <v>3579</v>
      </c>
      <c r="K385" s="352">
        <v>100</v>
      </c>
      <c r="L385" s="352" t="s">
        <v>1116</v>
      </c>
      <c r="M385" s="351">
        <v>50</v>
      </c>
      <c r="N385" s="351" t="s">
        <v>1109</v>
      </c>
      <c r="O385" s="351">
        <v>100</v>
      </c>
      <c r="P385" s="349" t="s">
        <v>1836</v>
      </c>
      <c r="R385" s="349">
        <f t="shared" si="5"/>
        <v>12</v>
      </c>
      <c r="S385" s="352"/>
      <c r="T385" s="352"/>
      <c r="U385" s="352"/>
      <c r="V385" s="353"/>
      <c r="W385" s="352"/>
      <c r="X385" s="176"/>
      <c r="Y385" s="176"/>
      <c r="Z385" s="352"/>
      <c r="AA385" s="352"/>
      <c r="AB385" s="352"/>
      <c r="AC385" s="351"/>
      <c r="AD385" s="351"/>
    </row>
    <row r="386" spans="1:30" ht="166.65" hidden="1" x14ac:dyDescent="0.35">
      <c r="A386" s="349">
        <v>385</v>
      </c>
      <c r="B386" s="352" t="s">
        <v>4100</v>
      </c>
      <c r="C386" s="351" t="s">
        <v>3184</v>
      </c>
      <c r="D386" s="352" t="s">
        <v>3184</v>
      </c>
      <c r="E386" s="352" t="s">
        <v>1114</v>
      </c>
      <c r="F386" s="353">
        <v>1556.08</v>
      </c>
      <c r="G386" s="352" t="s">
        <v>1107</v>
      </c>
      <c r="H386" s="176" t="s">
        <v>3985</v>
      </c>
      <c r="I386" s="176" t="s">
        <v>4475</v>
      </c>
      <c r="J386" s="352" t="s">
        <v>1115</v>
      </c>
      <c r="K386" s="352">
        <v>75</v>
      </c>
      <c r="L386" s="352" t="s">
        <v>1116</v>
      </c>
      <c r="M386" s="352">
        <v>5</v>
      </c>
      <c r="N386" s="352" t="s">
        <v>1109</v>
      </c>
      <c r="O386" s="351">
        <v>75</v>
      </c>
      <c r="P386" s="349" t="s">
        <v>1836</v>
      </c>
      <c r="R386" s="349">
        <f t="shared" si="5"/>
        <v>9</v>
      </c>
      <c r="S386" s="352"/>
      <c r="T386" s="352"/>
      <c r="U386" s="352"/>
      <c r="V386" s="353"/>
      <c r="W386" s="352"/>
      <c r="X386" s="176"/>
      <c r="Y386" s="176"/>
      <c r="Z386" s="352"/>
      <c r="AA386" s="352"/>
      <c r="AB386" s="352"/>
      <c r="AC386" s="351"/>
      <c r="AD386" s="351"/>
    </row>
    <row r="387" spans="1:30" ht="38.450000000000003" hidden="1" x14ac:dyDescent="0.35">
      <c r="A387" s="349">
        <v>386</v>
      </c>
      <c r="B387" s="352" t="s">
        <v>4029</v>
      </c>
      <c r="C387" s="351" t="s">
        <v>3181</v>
      </c>
      <c r="D387" s="352" t="s">
        <v>3181</v>
      </c>
      <c r="E387" s="352" t="s">
        <v>1995</v>
      </c>
      <c r="F387" s="353">
        <v>0.1</v>
      </c>
      <c r="G387" s="352" t="s">
        <v>2126</v>
      </c>
      <c r="H387" s="176" t="s">
        <v>3182</v>
      </c>
      <c r="I387" s="176" t="s">
        <v>3548</v>
      </c>
      <c r="J387" s="352" t="s">
        <v>3580</v>
      </c>
      <c r="K387" s="352">
        <v>25</v>
      </c>
      <c r="L387" s="352" t="s">
        <v>3581</v>
      </c>
      <c r="M387" s="352"/>
      <c r="N387" s="352"/>
      <c r="O387" s="351">
        <v>25</v>
      </c>
      <c r="P387" s="349" t="s">
        <v>1836</v>
      </c>
      <c r="R387" s="349">
        <f t="shared" ref="R387:R450" si="6">LEN(D387)</f>
        <v>11</v>
      </c>
      <c r="S387" s="352"/>
      <c r="T387" s="352"/>
      <c r="U387" s="352"/>
      <c r="V387" s="353"/>
      <c r="W387" s="352"/>
      <c r="X387" s="176"/>
      <c r="Y387" s="176"/>
      <c r="Z387" s="352"/>
      <c r="AA387" s="352"/>
      <c r="AB387" s="352"/>
      <c r="AC387" s="351"/>
      <c r="AD387" s="351"/>
    </row>
    <row r="388" spans="1:30" ht="38.450000000000003" hidden="1" x14ac:dyDescent="0.35">
      <c r="A388" s="349">
        <v>387</v>
      </c>
      <c r="B388" s="352" t="s">
        <v>4029</v>
      </c>
      <c r="C388" s="351" t="s">
        <v>4698</v>
      </c>
      <c r="D388" s="352" t="s">
        <v>3181</v>
      </c>
      <c r="E388" s="352" t="s">
        <v>1995</v>
      </c>
      <c r="F388" s="353">
        <v>0.1</v>
      </c>
      <c r="G388" s="352" t="s">
        <v>2126</v>
      </c>
      <c r="H388" s="176" t="s">
        <v>3182</v>
      </c>
      <c r="I388" s="176" t="s">
        <v>3548</v>
      </c>
      <c r="J388" s="352" t="s">
        <v>3580</v>
      </c>
      <c r="K388" s="352">
        <v>25</v>
      </c>
      <c r="L388" s="352" t="s">
        <v>3581</v>
      </c>
      <c r="M388" s="351"/>
      <c r="N388" s="351"/>
      <c r="O388" s="351">
        <v>25</v>
      </c>
      <c r="P388" s="349" t="s">
        <v>1836</v>
      </c>
      <c r="R388" s="349">
        <f t="shared" si="6"/>
        <v>11</v>
      </c>
      <c r="S388" s="352"/>
      <c r="T388" s="352"/>
      <c r="U388" s="352"/>
      <c r="V388" s="353"/>
      <c r="W388" s="352"/>
      <c r="X388" s="176"/>
      <c r="Y388" s="176"/>
      <c r="Z388" s="352"/>
      <c r="AA388" s="352"/>
      <c r="AB388" s="352"/>
      <c r="AC388" s="352"/>
      <c r="AD388" s="352"/>
    </row>
    <row r="389" spans="1:30" ht="76.900000000000006" hidden="1" x14ac:dyDescent="0.35">
      <c r="A389" s="349">
        <v>388</v>
      </c>
      <c r="B389" s="352" t="s">
        <v>1753</v>
      </c>
      <c r="C389" s="351" t="s">
        <v>545</v>
      </c>
      <c r="D389" s="352" t="s">
        <v>545</v>
      </c>
      <c r="E389" s="352" t="s">
        <v>1586</v>
      </c>
      <c r="F389" s="353">
        <v>33.450000000000003</v>
      </c>
      <c r="G389" s="352" t="s">
        <v>1107</v>
      </c>
      <c r="H389" s="176" t="s">
        <v>3868</v>
      </c>
      <c r="I389" s="176" t="s">
        <v>3869</v>
      </c>
      <c r="J389" s="352" t="s">
        <v>1115</v>
      </c>
      <c r="K389" s="352">
        <v>2</v>
      </c>
      <c r="L389" s="352" t="s">
        <v>1116</v>
      </c>
      <c r="M389" s="351">
        <v>100</v>
      </c>
      <c r="N389" s="351" t="s">
        <v>1109</v>
      </c>
      <c r="O389" s="351">
        <v>2</v>
      </c>
      <c r="P389" s="349" t="s">
        <v>1836</v>
      </c>
      <c r="R389" s="349">
        <f t="shared" si="6"/>
        <v>14</v>
      </c>
      <c r="S389" s="352"/>
      <c r="T389" s="352"/>
      <c r="U389" s="352"/>
      <c r="V389" s="353"/>
      <c r="W389" s="352"/>
      <c r="X389" s="176"/>
      <c r="Y389" s="176"/>
      <c r="Z389" s="352"/>
      <c r="AA389" s="352"/>
      <c r="AB389" s="352"/>
      <c r="AC389" s="352"/>
      <c r="AD389" s="352"/>
    </row>
    <row r="390" spans="1:30" ht="76.900000000000006" hidden="1" x14ac:dyDescent="0.35">
      <c r="A390" s="349">
        <v>389</v>
      </c>
      <c r="B390" s="352" t="s">
        <v>1753</v>
      </c>
      <c r="C390" s="351" t="s">
        <v>545</v>
      </c>
      <c r="D390" s="352" t="s">
        <v>545</v>
      </c>
      <c r="E390" s="352" t="s">
        <v>1754</v>
      </c>
      <c r="F390" s="353">
        <v>18.5</v>
      </c>
      <c r="G390" s="352" t="s">
        <v>1107</v>
      </c>
      <c r="H390" s="176" t="s">
        <v>3868</v>
      </c>
      <c r="I390" s="176" t="s">
        <v>3869</v>
      </c>
      <c r="J390" s="352" t="s">
        <v>1115</v>
      </c>
      <c r="K390" s="352">
        <v>2</v>
      </c>
      <c r="L390" s="352" t="s">
        <v>1116</v>
      </c>
      <c r="M390" s="352">
        <v>50</v>
      </c>
      <c r="N390" s="352" t="s">
        <v>1109</v>
      </c>
      <c r="O390" s="351">
        <v>2</v>
      </c>
      <c r="P390" s="349" t="s">
        <v>1836</v>
      </c>
      <c r="R390" s="349">
        <f t="shared" si="6"/>
        <v>14</v>
      </c>
      <c r="S390" s="352"/>
      <c r="T390" s="352"/>
      <c r="U390" s="352"/>
      <c r="V390" s="353"/>
      <c r="W390" s="352"/>
      <c r="X390" s="176"/>
      <c r="Y390" s="176"/>
      <c r="Z390" s="352"/>
      <c r="AA390" s="352"/>
      <c r="AB390" s="352"/>
      <c r="AC390" s="352"/>
      <c r="AD390" s="352"/>
    </row>
    <row r="391" spans="1:30" ht="76.900000000000006" hidden="1" x14ac:dyDescent="0.35">
      <c r="A391" s="349">
        <v>390</v>
      </c>
      <c r="B391" s="352" t="s">
        <v>1753</v>
      </c>
      <c r="C391" s="351" t="s">
        <v>545</v>
      </c>
      <c r="D391" s="352" t="s">
        <v>545</v>
      </c>
      <c r="E391" s="352" t="s">
        <v>2129</v>
      </c>
      <c r="F391" s="353">
        <v>41.8</v>
      </c>
      <c r="G391" s="352" t="s">
        <v>2126</v>
      </c>
      <c r="H391" s="176" t="s">
        <v>3294</v>
      </c>
      <c r="I391" s="176" t="s">
        <v>3869</v>
      </c>
      <c r="J391" s="352" t="s">
        <v>3579</v>
      </c>
      <c r="K391" s="352">
        <v>50</v>
      </c>
      <c r="L391" s="352" t="s">
        <v>1116</v>
      </c>
      <c r="M391" s="352">
        <v>100</v>
      </c>
      <c r="N391" s="352" t="s">
        <v>1109</v>
      </c>
      <c r="O391" s="351">
        <v>50</v>
      </c>
      <c r="P391" s="349" t="s">
        <v>1836</v>
      </c>
      <c r="R391" s="349">
        <f t="shared" si="6"/>
        <v>14</v>
      </c>
      <c r="S391" s="352"/>
      <c r="T391" s="352"/>
      <c r="U391" s="352"/>
      <c r="V391" s="353"/>
      <c r="W391" s="352"/>
      <c r="X391" s="176"/>
      <c r="Y391" s="176"/>
      <c r="Z391" s="352"/>
      <c r="AA391" s="352"/>
      <c r="AB391" s="352"/>
      <c r="AC391" s="352"/>
      <c r="AD391" s="352"/>
    </row>
    <row r="392" spans="1:30" ht="76.900000000000006" hidden="1" x14ac:dyDescent="0.35">
      <c r="A392" s="349">
        <v>391</v>
      </c>
      <c r="B392" s="352" t="s">
        <v>1753</v>
      </c>
      <c r="C392" s="351" t="s">
        <v>545</v>
      </c>
      <c r="D392" s="352" t="s">
        <v>545</v>
      </c>
      <c r="E392" s="352" t="s">
        <v>2129</v>
      </c>
      <c r="F392" s="353">
        <v>83.63</v>
      </c>
      <c r="G392" s="352" t="s">
        <v>2126</v>
      </c>
      <c r="H392" s="176" t="s">
        <v>3294</v>
      </c>
      <c r="I392" s="176" t="s">
        <v>3869</v>
      </c>
      <c r="J392" s="352" t="s">
        <v>3579</v>
      </c>
      <c r="K392" s="352">
        <v>100</v>
      </c>
      <c r="L392" s="352" t="s">
        <v>1116</v>
      </c>
      <c r="M392" s="352">
        <v>100</v>
      </c>
      <c r="N392" s="352" t="s">
        <v>1109</v>
      </c>
      <c r="O392" s="351">
        <v>100</v>
      </c>
      <c r="P392" s="349" t="s">
        <v>1836</v>
      </c>
      <c r="R392" s="349">
        <f t="shared" si="6"/>
        <v>14</v>
      </c>
      <c r="S392" s="352"/>
      <c r="T392" s="352"/>
      <c r="U392" s="352"/>
      <c r="V392" s="353"/>
      <c r="W392" s="352"/>
      <c r="X392" s="176"/>
      <c r="Y392" s="176"/>
      <c r="Z392" s="352"/>
      <c r="AA392" s="352"/>
      <c r="AB392" s="352"/>
      <c r="AC392" s="352"/>
      <c r="AD392" s="352"/>
    </row>
    <row r="393" spans="1:30" ht="76.900000000000006" hidden="1" x14ac:dyDescent="0.35">
      <c r="A393" s="349">
        <v>392</v>
      </c>
      <c r="B393" s="352" t="s">
        <v>1753</v>
      </c>
      <c r="C393" s="351" t="s">
        <v>545</v>
      </c>
      <c r="D393" s="352" t="s">
        <v>545</v>
      </c>
      <c r="E393" s="352" t="s">
        <v>1995</v>
      </c>
      <c r="F393" s="353">
        <v>1.9</v>
      </c>
      <c r="G393" s="352" t="s">
        <v>2126</v>
      </c>
      <c r="H393" s="176" t="s">
        <v>3294</v>
      </c>
      <c r="I393" s="176" t="s">
        <v>3869</v>
      </c>
      <c r="J393" s="352" t="s">
        <v>3580</v>
      </c>
      <c r="K393" s="352">
        <v>250</v>
      </c>
      <c r="L393" s="352" t="s">
        <v>3581</v>
      </c>
      <c r="M393" s="352"/>
      <c r="N393" s="352"/>
      <c r="O393" s="351">
        <v>250</v>
      </c>
      <c r="P393" s="349" t="s">
        <v>1836</v>
      </c>
      <c r="R393" s="349">
        <f t="shared" si="6"/>
        <v>14</v>
      </c>
      <c r="S393" s="352"/>
      <c r="T393" s="352"/>
      <c r="U393" s="352"/>
      <c r="V393" s="353"/>
      <c r="W393" s="352"/>
      <c r="X393" s="176"/>
      <c r="Y393" s="176"/>
      <c r="Z393" s="352"/>
      <c r="AA393" s="352"/>
      <c r="AB393" s="352"/>
      <c r="AC393" s="352"/>
      <c r="AD393" s="352"/>
    </row>
    <row r="394" spans="1:30" ht="76.900000000000006" hidden="1" x14ac:dyDescent="0.35">
      <c r="A394" s="349">
        <v>393</v>
      </c>
      <c r="B394" s="352" t="s">
        <v>1753</v>
      </c>
      <c r="C394" s="351" t="s">
        <v>545</v>
      </c>
      <c r="D394" s="352" t="s">
        <v>545</v>
      </c>
      <c r="E394" s="352" t="s">
        <v>1995</v>
      </c>
      <c r="F394" s="353">
        <v>3.45</v>
      </c>
      <c r="G394" s="352" t="s">
        <v>2126</v>
      </c>
      <c r="H394" s="176" t="s">
        <v>3294</v>
      </c>
      <c r="I394" s="176" t="s">
        <v>3869</v>
      </c>
      <c r="J394" s="352" t="s">
        <v>3580</v>
      </c>
      <c r="K394" s="352">
        <v>500</v>
      </c>
      <c r="L394" s="352" t="s">
        <v>3581</v>
      </c>
      <c r="M394" s="351"/>
      <c r="N394" s="351"/>
      <c r="O394" s="351">
        <v>500</v>
      </c>
      <c r="P394" s="349" t="s">
        <v>1836</v>
      </c>
      <c r="R394" s="349">
        <f t="shared" si="6"/>
        <v>14</v>
      </c>
      <c r="S394" s="352"/>
      <c r="T394" s="352"/>
      <c r="U394" s="352"/>
      <c r="V394" s="353"/>
      <c r="W394" s="352"/>
      <c r="X394" s="176"/>
      <c r="Y394" s="176"/>
      <c r="Z394" s="352"/>
      <c r="AA394" s="352"/>
      <c r="AB394" s="352"/>
      <c r="AC394" s="352"/>
      <c r="AD394" s="352"/>
    </row>
    <row r="395" spans="1:30" ht="76.900000000000006" hidden="1" x14ac:dyDescent="0.35">
      <c r="A395" s="349">
        <v>394</v>
      </c>
      <c r="B395" s="352" t="s">
        <v>1753</v>
      </c>
      <c r="C395" s="351" t="s">
        <v>4699</v>
      </c>
      <c r="D395" s="352" t="s">
        <v>545</v>
      </c>
      <c r="E395" s="352" t="s">
        <v>1586</v>
      </c>
      <c r="F395" s="353">
        <v>33.450000000000003</v>
      </c>
      <c r="G395" s="352" t="s">
        <v>1107</v>
      </c>
      <c r="H395" s="176" t="s">
        <v>3868</v>
      </c>
      <c r="I395" s="176" t="s">
        <v>3869</v>
      </c>
      <c r="J395" s="352" t="s">
        <v>1115</v>
      </c>
      <c r="K395" s="352">
        <v>2</v>
      </c>
      <c r="L395" s="352" t="s">
        <v>1116</v>
      </c>
      <c r="M395" s="351">
        <v>100</v>
      </c>
      <c r="N395" s="351" t="s">
        <v>1109</v>
      </c>
      <c r="O395" s="351">
        <v>2</v>
      </c>
      <c r="P395" s="349" t="s">
        <v>1836</v>
      </c>
      <c r="R395" s="349">
        <f t="shared" si="6"/>
        <v>14</v>
      </c>
      <c r="S395" s="352"/>
      <c r="T395" s="352"/>
      <c r="U395" s="352"/>
      <c r="V395" s="353"/>
      <c r="W395" s="352"/>
      <c r="X395" s="176"/>
      <c r="Y395" s="176"/>
      <c r="Z395" s="352"/>
      <c r="AA395" s="352"/>
      <c r="AB395" s="352"/>
      <c r="AC395" s="352"/>
      <c r="AD395" s="352"/>
    </row>
    <row r="396" spans="1:30" ht="76.900000000000006" hidden="1" x14ac:dyDescent="0.35">
      <c r="A396" s="349">
        <v>395</v>
      </c>
      <c r="B396" s="352" t="s">
        <v>1753</v>
      </c>
      <c r="C396" s="351" t="s">
        <v>4699</v>
      </c>
      <c r="D396" s="352" t="s">
        <v>545</v>
      </c>
      <c r="E396" s="352" t="s">
        <v>1754</v>
      </c>
      <c r="F396" s="353">
        <v>18.5</v>
      </c>
      <c r="G396" s="352" t="s">
        <v>1107</v>
      </c>
      <c r="H396" s="176" t="s">
        <v>3868</v>
      </c>
      <c r="I396" s="176" t="s">
        <v>3869</v>
      </c>
      <c r="J396" s="352" t="s">
        <v>1115</v>
      </c>
      <c r="K396" s="352">
        <v>2</v>
      </c>
      <c r="L396" s="352" t="s">
        <v>1116</v>
      </c>
      <c r="M396" s="352">
        <v>50</v>
      </c>
      <c r="N396" s="352" t="s">
        <v>1109</v>
      </c>
      <c r="O396" s="351">
        <v>2</v>
      </c>
      <c r="P396" s="349" t="s">
        <v>1836</v>
      </c>
      <c r="R396" s="349">
        <f t="shared" si="6"/>
        <v>14</v>
      </c>
      <c r="S396" s="352"/>
      <c r="T396" s="352"/>
      <c r="U396" s="352"/>
      <c r="V396" s="353"/>
      <c r="W396" s="352"/>
      <c r="X396" s="176"/>
      <c r="Y396" s="176"/>
      <c r="Z396" s="352"/>
      <c r="AA396" s="352"/>
      <c r="AB396" s="352"/>
      <c r="AC396" s="351"/>
      <c r="AD396" s="351"/>
    </row>
    <row r="397" spans="1:30" ht="76.900000000000006" hidden="1" x14ac:dyDescent="0.35">
      <c r="A397" s="349">
        <v>396</v>
      </c>
      <c r="B397" s="352" t="s">
        <v>1753</v>
      </c>
      <c r="C397" s="351" t="s">
        <v>4699</v>
      </c>
      <c r="D397" s="352" t="s">
        <v>545</v>
      </c>
      <c r="E397" s="352" t="s">
        <v>2129</v>
      </c>
      <c r="F397" s="353">
        <v>41.8</v>
      </c>
      <c r="G397" s="352" t="s">
        <v>2126</v>
      </c>
      <c r="H397" s="176" t="s">
        <v>3294</v>
      </c>
      <c r="I397" s="176" t="s">
        <v>3869</v>
      </c>
      <c r="J397" s="352" t="s">
        <v>3579</v>
      </c>
      <c r="K397" s="352">
        <v>50</v>
      </c>
      <c r="L397" s="352" t="s">
        <v>1116</v>
      </c>
      <c r="M397" s="352">
        <v>100</v>
      </c>
      <c r="N397" s="352" t="s">
        <v>1109</v>
      </c>
      <c r="O397" s="351">
        <v>50</v>
      </c>
      <c r="P397" s="349" t="s">
        <v>1836</v>
      </c>
      <c r="R397" s="349">
        <f t="shared" si="6"/>
        <v>14</v>
      </c>
      <c r="S397" s="352"/>
      <c r="T397" s="352"/>
      <c r="U397" s="352"/>
      <c r="V397" s="353"/>
      <c r="W397" s="352"/>
      <c r="X397" s="176"/>
      <c r="Y397" s="176"/>
      <c r="Z397" s="352"/>
      <c r="AA397" s="352"/>
      <c r="AB397" s="352"/>
      <c r="AC397" s="351"/>
      <c r="AD397" s="351"/>
    </row>
    <row r="398" spans="1:30" ht="76.900000000000006" hidden="1" x14ac:dyDescent="0.35">
      <c r="A398" s="349">
        <v>397</v>
      </c>
      <c r="B398" s="352" t="s">
        <v>1753</v>
      </c>
      <c r="C398" s="351" t="s">
        <v>4699</v>
      </c>
      <c r="D398" s="352" t="s">
        <v>545</v>
      </c>
      <c r="E398" s="352" t="s">
        <v>2129</v>
      </c>
      <c r="F398" s="353">
        <v>83.63</v>
      </c>
      <c r="G398" s="352" t="s">
        <v>2126</v>
      </c>
      <c r="H398" s="176" t="s">
        <v>3294</v>
      </c>
      <c r="I398" s="176" t="s">
        <v>3869</v>
      </c>
      <c r="J398" s="352" t="s">
        <v>3579</v>
      </c>
      <c r="K398" s="352">
        <v>100</v>
      </c>
      <c r="L398" s="352" t="s">
        <v>1116</v>
      </c>
      <c r="M398" s="352">
        <v>100</v>
      </c>
      <c r="N398" s="352" t="s">
        <v>1109</v>
      </c>
      <c r="O398" s="351">
        <v>100</v>
      </c>
      <c r="P398" s="349" t="s">
        <v>1836</v>
      </c>
      <c r="R398" s="349">
        <f t="shared" si="6"/>
        <v>14</v>
      </c>
      <c r="S398" s="352"/>
      <c r="T398" s="352"/>
      <c r="U398" s="352"/>
      <c r="V398" s="353"/>
      <c r="W398" s="352"/>
      <c r="X398" s="176"/>
      <c r="Y398" s="176"/>
      <c r="Z398" s="352"/>
      <c r="AA398" s="352"/>
      <c r="AB398" s="352"/>
      <c r="AC398" s="352"/>
      <c r="AD398" s="352"/>
    </row>
    <row r="399" spans="1:30" ht="76.900000000000006" hidden="1" x14ac:dyDescent="0.35">
      <c r="A399" s="349">
        <v>398</v>
      </c>
      <c r="B399" s="352" t="s">
        <v>1753</v>
      </c>
      <c r="C399" s="351" t="s">
        <v>4699</v>
      </c>
      <c r="D399" s="352" t="s">
        <v>545</v>
      </c>
      <c r="E399" s="352" t="s">
        <v>1995</v>
      </c>
      <c r="F399" s="353">
        <v>1.9</v>
      </c>
      <c r="G399" s="352" t="s">
        <v>2126</v>
      </c>
      <c r="H399" s="176" t="s">
        <v>3294</v>
      </c>
      <c r="I399" s="176" t="s">
        <v>3869</v>
      </c>
      <c r="J399" s="352" t="s">
        <v>3580</v>
      </c>
      <c r="K399" s="352">
        <v>250</v>
      </c>
      <c r="L399" s="352" t="s">
        <v>3581</v>
      </c>
      <c r="M399" s="351"/>
      <c r="N399" s="351"/>
      <c r="O399" s="351">
        <v>250</v>
      </c>
      <c r="P399" s="349" t="s">
        <v>1836</v>
      </c>
      <c r="R399" s="349">
        <f t="shared" si="6"/>
        <v>14</v>
      </c>
      <c r="S399" s="352"/>
      <c r="T399" s="352"/>
      <c r="U399" s="352"/>
      <c r="V399" s="353"/>
      <c r="W399" s="352"/>
      <c r="X399" s="176"/>
      <c r="Y399" s="176"/>
      <c r="Z399" s="352"/>
      <c r="AA399" s="352"/>
      <c r="AB399" s="352"/>
      <c r="AC399" s="351"/>
      <c r="AD399" s="351"/>
    </row>
    <row r="400" spans="1:30" ht="76.900000000000006" hidden="1" x14ac:dyDescent="0.35">
      <c r="A400" s="349">
        <v>399</v>
      </c>
      <c r="B400" s="352" t="s">
        <v>1753</v>
      </c>
      <c r="C400" s="351" t="s">
        <v>4699</v>
      </c>
      <c r="D400" s="352" t="s">
        <v>545</v>
      </c>
      <c r="E400" s="352" t="s">
        <v>1995</v>
      </c>
      <c r="F400" s="353">
        <v>3.45</v>
      </c>
      <c r="G400" s="352" t="s">
        <v>2126</v>
      </c>
      <c r="H400" s="176" t="s">
        <v>3294</v>
      </c>
      <c r="I400" s="176" t="s">
        <v>3869</v>
      </c>
      <c r="J400" s="352" t="s">
        <v>3580</v>
      </c>
      <c r="K400" s="352">
        <v>500</v>
      </c>
      <c r="L400" s="352" t="s">
        <v>3581</v>
      </c>
      <c r="M400" s="351"/>
      <c r="N400" s="351"/>
      <c r="O400" s="351">
        <v>500</v>
      </c>
      <c r="P400" s="349" t="s">
        <v>1836</v>
      </c>
      <c r="R400" s="349">
        <f t="shared" si="6"/>
        <v>14</v>
      </c>
      <c r="S400" s="352"/>
      <c r="T400" s="352"/>
      <c r="U400" s="352"/>
      <c r="V400" s="353"/>
      <c r="W400" s="352"/>
      <c r="X400" s="176"/>
      <c r="Y400" s="176"/>
      <c r="Z400" s="352"/>
      <c r="AA400" s="352"/>
      <c r="AB400" s="352"/>
      <c r="AC400" s="351"/>
      <c r="AD400" s="351"/>
    </row>
    <row r="401" spans="1:30" ht="256.35000000000002" hidden="1" x14ac:dyDescent="0.35">
      <c r="A401" s="349">
        <v>400</v>
      </c>
      <c r="B401" s="352" t="s">
        <v>3160</v>
      </c>
      <c r="C401" s="351" t="s">
        <v>2713</v>
      </c>
      <c r="D401" s="352" t="s">
        <v>2713</v>
      </c>
      <c r="E401" s="352" t="s">
        <v>553</v>
      </c>
      <c r="F401" s="353">
        <v>18.86</v>
      </c>
      <c r="G401" s="352" t="s">
        <v>2126</v>
      </c>
      <c r="H401" s="176" t="s">
        <v>4862</v>
      </c>
      <c r="I401" s="176" t="s">
        <v>4477</v>
      </c>
      <c r="J401" s="352" t="s">
        <v>3579</v>
      </c>
      <c r="K401" s="352">
        <v>1</v>
      </c>
      <c r="L401" s="352" t="s">
        <v>1116</v>
      </c>
      <c r="M401" s="352">
        <v>200</v>
      </c>
      <c r="N401" s="352" t="s">
        <v>1109</v>
      </c>
      <c r="O401" s="351">
        <v>1</v>
      </c>
      <c r="P401" s="349" t="s">
        <v>1836</v>
      </c>
      <c r="R401" s="349">
        <f t="shared" si="6"/>
        <v>9</v>
      </c>
      <c r="S401" s="352"/>
      <c r="T401" s="352"/>
      <c r="U401" s="352"/>
      <c r="V401" s="353"/>
      <c r="W401" s="352"/>
      <c r="X401" s="176"/>
      <c r="Y401" s="176"/>
      <c r="Z401" s="352"/>
      <c r="AA401" s="352"/>
      <c r="AB401" s="352"/>
      <c r="AC401" s="351"/>
      <c r="AD401" s="351"/>
    </row>
    <row r="402" spans="1:30" ht="256.35000000000002" hidden="1" x14ac:dyDescent="0.35">
      <c r="A402" s="349">
        <v>401</v>
      </c>
      <c r="B402" s="352" t="s">
        <v>3160</v>
      </c>
      <c r="C402" s="351" t="s">
        <v>2713</v>
      </c>
      <c r="D402" s="352" t="s">
        <v>2713</v>
      </c>
      <c r="E402" s="352" t="s">
        <v>1995</v>
      </c>
      <c r="F402" s="353">
        <v>0.45</v>
      </c>
      <c r="G402" s="352" t="s">
        <v>2126</v>
      </c>
      <c r="H402" s="176" t="s">
        <v>4862</v>
      </c>
      <c r="I402" s="176" t="s">
        <v>4477</v>
      </c>
      <c r="J402" s="352" t="s">
        <v>3580</v>
      </c>
      <c r="K402" s="352">
        <v>5</v>
      </c>
      <c r="L402" s="352" t="s">
        <v>3581</v>
      </c>
      <c r="M402" s="351"/>
      <c r="N402" s="351"/>
      <c r="O402" s="351">
        <v>5</v>
      </c>
      <c r="P402" s="349" t="s">
        <v>1836</v>
      </c>
      <c r="R402" s="349">
        <f t="shared" si="6"/>
        <v>9</v>
      </c>
      <c r="S402" s="352"/>
      <c r="T402" s="352"/>
      <c r="U402" s="352"/>
      <c r="V402" s="353"/>
      <c r="W402" s="352"/>
      <c r="X402" s="176"/>
      <c r="Y402" s="176"/>
      <c r="Z402" s="352"/>
      <c r="AA402" s="352"/>
      <c r="AB402" s="352"/>
      <c r="AC402" s="351"/>
      <c r="AD402" s="351"/>
    </row>
    <row r="403" spans="1:30" ht="256.35000000000002" hidden="1" x14ac:dyDescent="0.35">
      <c r="A403" s="349">
        <v>402</v>
      </c>
      <c r="B403" s="352" t="s">
        <v>3160</v>
      </c>
      <c r="C403" s="351" t="s">
        <v>2713</v>
      </c>
      <c r="D403" s="352" t="s">
        <v>2713</v>
      </c>
      <c r="E403" s="352" t="s">
        <v>1995</v>
      </c>
      <c r="F403" s="353">
        <v>0.68</v>
      </c>
      <c r="G403" s="352" t="s">
        <v>2126</v>
      </c>
      <c r="H403" s="176" t="s">
        <v>4862</v>
      </c>
      <c r="I403" s="176" t="s">
        <v>4477</v>
      </c>
      <c r="J403" s="352" t="s">
        <v>3580</v>
      </c>
      <c r="K403" s="352">
        <v>10</v>
      </c>
      <c r="L403" s="352" t="s">
        <v>3581</v>
      </c>
      <c r="M403" s="351"/>
      <c r="N403" s="351"/>
      <c r="O403" s="351">
        <v>10</v>
      </c>
      <c r="P403" s="349" t="s">
        <v>1836</v>
      </c>
      <c r="R403" s="349">
        <f t="shared" si="6"/>
        <v>9</v>
      </c>
      <c r="S403" s="352"/>
      <c r="T403" s="352"/>
      <c r="U403" s="352"/>
      <c r="V403" s="353"/>
      <c r="W403" s="352"/>
      <c r="X403" s="176"/>
      <c r="Y403" s="176"/>
      <c r="Z403" s="352"/>
      <c r="AA403" s="352"/>
      <c r="AB403" s="352"/>
      <c r="AC403" s="351"/>
      <c r="AD403" s="351"/>
    </row>
    <row r="404" spans="1:30" ht="192.25" hidden="1" x14ac:dyDescent="0.35">
      <c r="A404" s="349">
        <v>403</v>
      </c>
      <c r="B404" s="352" t="s">
        <v>550</v>
      </c>
      <c r="C404" s="351" t="s">
        <v>4700</v>
      </c>
      <c r="D404" s="352" t="s">
        <v>1345</v>
      </c>
      <c r="E404" s="352" t="s">
        <v>551</v>
      </c>
      <c r="F404" s="353">
        <v>11.02</v>
      </c>
      <c r="G404" s="352" t="s">
        <v>1107</v>
      </c>
      <c r="H404" s="176" t="s">
        <v>2082</v>
      </c>
      <c r="I404" s="176" t="s">
        <v>5073</v>
      </c>
      <c r="J404" s="352" t="s">
        <v>1115</v>
      </c>
      <c r="K404" s="352">
        <v>1</v>
      </c>
      <c r="L404" s="352" t="s">
        <v>3252</v>
      </c>
      <c r="M404" s="352">
        <v>1</v>
      </c>
      <c r="N404" s="352" t="s">
        <v>31</v>
      </c>
      <c r="O404" s="351">
        <v>1000</v>
      </c>
      <c r="P404" s="349" t="s">
        <v>1836</v>
      </c>
      <c r="R404" s="349">
        <f t="shared" si="6"/>
        <v>9</v>
      </c>
      <c r="S404" s="352"/>
      <c r="T404" s="352"/>
      <c r="U404" s="352"/>
      <c r="V404" s="353"/>
      <c r="W404" s="352"/>
      <c r="X404" s="176"/>
      <c r="Y404" s="176"/>
      <c r="Z404" s="352"/>
      <c r="AA404" s="352"/>
      <c r="AB404" s="352"/>
      <c r="AC404" s="352"/>
      <c r="AD404" s="352"/>
    </row>
    <row r="405" spans="1:30" ht="102.55" hidden="1" x14ac:dyDescent="0.35">
      <c r="A405" s="349">
        <v>404</v>
      </c>
      <c r="B405" s="352" t="s">
        <v>831</v>
      </c>
      <c r="C405" s="351" t="s">
        <v>4701</v>
      </c>
      <c r="D405" s="352" t="s">
        <v>546</v>
      </c>
      <c r="E405" s="352" t="s">
        <v>1997</v>
      </c>
      <c r="F405" s="353">
        <v>2.4</v>
      </c>
      <c r="G405" s="352" t="s">
        <v>1107</v>
      </c>
      <c r="H405" s="176" t="s">
        <v>412</v>
      </c>
      <c r="I405" s="176" t="s">
        <v>4676</v>
      </c>
      <c r="J405" s="352" t="s">
        <v>1115</v>
      </c>
      <c r="K405" s="352">
        <v>1</v>
      </c>
      <c r="L405" s="352" t="s">
        <v>3252</v>
      </c>
      <c r="M405" s="351"/>
      <c r="N405" s="351"/>
      <c r="O405" s="351">
        <v>1000</v>
      </c>
      <c r="P405" s="349" t="s">
        <v>1836</v>
      </c>
      <c r="R405" s="349">
        <f t="shared" si="6"/>
        <v>12</v>
      </c>
      <c r="S405" s="352"/>
      <c r="T405" s="352"/>
      <c r="U405" s="352"/>
      <c r="V405" s="353"/>
      <c r="W405" s="352"/>
      <c r="X405" s="176"/>
      <c r="Y405" s="176"/>
      <c r="Z405" s="352"/>
      <c r="AA405" s="352"/>
      <c r="AB405" s="352"/>
      <c r="AC405" s="351"/>
      <c r="AD405" s="351"/>
    </row>
    <row r="406" spans="1:30" ht="51.3" hidden="1" x14ac:dyDescent="0.35">
      <c r="A406" s="349">
        <v>405</v>
      </c>
      <c r="B406" s="352" t="s">
        <v>831</v>
      </c>
      <c r="C406" s="351" t="s">
        <v>4701</v>
      </c>
      <c r="D406" s="352" t="s">
        <v>546</v>
      </c>
      <c r="E406" s="352" t="s">
        <v>1997</v>
      </c>
      <c r="F406" s="353">
        <v>2.4</v>
      </c>
      <c r="G406" s="352" t="s">
        <v>1107</v>
      </c>
      <c r="H406" s="176" t="s">
        <v>2313</v>
      </c>
      <c r="I406" s="176" t="s">
        <v>4676</v>
      </c>
      <c r="J406" s="352" t="s">
        <v>1115</v>
      </c>
      <c r="K406" s="352">
        <v>1</v>
      </c>
      <c r="L406" s="352" t="s">
        <v>3252</v>
      </c>
      <c r="M406" s="351"/>
      <c r="N406" s="351"/>
      <c r="O406" s="351">
        <v>1000</v>
      </c>
      <c r="P406" s="349" t="s">
        <v>1836</v>
      </c>
      <c r="R406" s="349">
        <f t="shared" si="6"/>
        <v>12</v>
      </c>
      <c r="S406" s="352"/>
      <c r="T406" s="352"/>
      <c r="U406" s="352"/>
      <c r="V406" s="353"/>
      <c r="W406" s="352"/>
      <c r="X406" s="176"/>
      <c r="Y406" s="176"/>
      <c r="Z406" s="352"/>
      <c r="AA406" s="352"/>
      <c r="AB406" s="352"/>
      <c r="AC406" s="352"/>
      <c r="AD406" s="352"/>
    </row>
    <row r="407" spans="1:30" ht="102.55" hidden="1" x14ac:dyDescent="0.35">
      <c r="A407" s="349">
        <v>406</v>
      </c>
      <c r="B407" s="352" t="s">
        <v>831</v>
      </c>
      <c r="C407" s="351" t="s">
        <v>4701</v>
      </c>
      <c r="D407" s="352" t="s">
        <v>546</v>
      </c>
      <c r="E407" s="352" t="s">
        <v>1997</v>
      </c>
      <c r="F407" s="353">
        <v>2.4</v>
      </c>
      <c r="G407" s="352" t="s">
        <v>1107</v>
      </c>
      <c r="H407" s="176" t="s">
        <v>412</v>
      </c>
      <c r="I407" s="176" t="s">
        <v>4676</v>
      </c>
      <c r="J407" s="352" t="s">
        <v>1115</v>
      </c>
      <c r="K407" s="352">
        <v>1</v>
      </c>
      <c r="L407" s="352" t="s">
        <v>3252</v>
      </c>
      <c r="M407" s="352"/>
      <c r="N407" s="352"/>
      <c r="O407" s="351">
        <v>1000</v>
      </c>
      <c r="P407" s="349" t="s">
        <v>1836</v>
      </c>
      <c r="R407" s="349">
        <f t="shared" si="6"/>
        <v>12</v>
      </c>
      <c r="S407" s="352"/>
      <c r="T407" s="352"/>
      <c r="U407" s="352"/>
      <c r="V407" s="353"/>
      <c r="W407" s="352"/>
      <c r="X407" s="176"/>
      <c r="Y407" s="176"/>
      <c r="Z407" s="352"/>
      <c r="AA407" s="352"/>
      <c r="AB407" s="352"/>
      <c r="AC407" s="351"/>
      <c r="AD407" s="351"/>
    </row>
    <row r="408" spans="1:30" ht="102.55" hidden="1" x14ac:dyDescent="0.35">
      <c r="A408" s="349">
        <v>407</v>
      </c>
      <c r="B408" s="352" t="s">
        <v>831</v>
      </c>
      <c r="C408" s="351" t="s">
        <v>4701</v>
      </c>
      <c r="D408" s="352" t="s">
        <v>546</v>
      </c>
      <c r="E408" s="352" t="s">
        <v>1997</v>
      </c>
      <c r="F408" s="353">
        <v>1.5</v>
      </c>
      <c r="G408" s="352" t="s">
        <v>1107</v>
      </c>
      <c r="H408" s="176" t="s">
        <v>412</v>
      </c>
      <c r="I408" s="176" t="s">
        <v>4676</v>
      </c>
      <c r="J408" s="352" t="s">
        <v>1115</v>
      </c>
      <c r="K408" s="352">
        <v>500</v>
      </c>
      <c r="L408" s="352" t="s">
        <v>1464</v>
      </c>
      <c r="M408" s="351"/>
      <c r="N408" s="351"/>
      <c r="O408" s="351">
        <v>500</v>
      </c>
      <c r="P408" s="349" t="s">
        <v>1836</v>
      </c>
      <c r="R408" s="349">
        <f t="shared" si="6"/>
        <v>12</v>
      </c>
      <c r="S408" s="352"/>
      <c r="T408" s="352"/>
      <c r="U408" s="352"/>
      <c r="V408" s="353"/>
      <c r="W408" s="352"/>
      <c r="X408" s="176"/>
      <c r="Y408" s="176"/>
      <c r="Z408" s="352"/>
      <c r="AA408" s="352"/>
      <c r="AB408" s="352"/>
      <c r="AC408" s="351"/>
      <c r="AD408" s="351"/>
    </row>
    <row r="409" spans="1:30" ht="51.3" hidden="1" x14ac:dyDescent="0.35">
      <c r="A409" s="349">
        <v>408</v>
      </c>
      <c r="B409" s="352" t="s">
        <v>831</v>
      </c>
      <c r="C409" s="351" t="s">
        <v>4701</v>
      </c>
      <c r="D409" s="352" t="s">
        <v>546</v>
      </c>
      <c r="E409" s="352" t="s">
        <v>1997</v>
      </c>
      <c r="F409" s="353">
        <v>1.5</v>
      </c>
      <c r="G409" s="352" t="s">
        <v>1107</v>
      </c>
      <c r="H409" s="176" t="s">
        <v>2313</v>
      </c>
      <c r="I409" s="176" t="s">
        <v>4676</v>
      </c>
      <c r="J409" s="352" t="s">
        <v>1115</v>
      </c>
      <c r="K409" s="352">
        <v>500</v>
      </c>
      <c r="L409" s="352" t="s">
        <v>1464</v>
      </c>
      <c r="M409" s="351"/>
      <c r="N409" s="351"/>
      <c r="O409" s="351">
        <v>500</v>
      </c>
      <c r="P409" s="349" t="s">
        <v>1836</v>
      </c>
      <c r="R409" s="349">
        <f t="shared" si="6"/>
        <v>12</v>
      </c>
      <c r="S409" s="352"/>
      <c r="T409" s="352"/>
      <c r="U409" s="352"/>
      <c r="V409" s="353"/>
      <c r="W409" s="352"/>
      <c r="X409" s="176"/>
      <c r="Y409" s="176"/>
      <c r="Z409" s="352"/>
      <c r="AA409" s="352"/>
      <c r="AB409" s="352"/>
      <c r="AC409" s="352"/>
      <c r="AD409" s="352"/>
    </row>
    <row r="410" spans="1:30" ht="102.55" hidden="1" x14ac:dyDescent="0.35">
      <c r="A410" s="349">
        <v>409</v>
      </c>
      <c r="B410" s="352" t="s">
        <v>831</v>
      </c>
      <c r="C410" s="351" t="s">
        <v>4701</v>
      </c>
      <c r="D410" s="352" t="s">
        <v>546</v>
      </c>
      <c r="E410" s="352" t="s">
        <v>1997</v>
      </c>
      <c r="F410" s="353">
        <v>1.5</v>
      </c>
      <c r="G410" s="352" t="s">
        <v>1107</v>
      </c>
      <c r="H410" s="176" t="s">
        <v>412</v>
      </c>
      <c r="I410" s="176" t="s">
        <v>4676</v>
      </c>
      <c r="J410" s="352" t="s">
        <v>1115</v>
      </c>
      <c r="K410" s="352">
        <v>500</v>
      </c>
      <c r="L410" s="352" t="s">
        <v>1464</v>
      </c>
      <c r="M410" s="351"/>
      <c r="N410" s="351"/>
      <c r="O410" s="351">
        <v>500</v>
      </c>
      <c r="P410" s="349" t="s">
        <v>1836</v>
      </c>
      <c r="R410" s="349">
        <f t="shared" si="6"/>
        <v>12</v>
      </c>
      <c r="S410" s="352"/>
      <c r="T410" s="352"/>
      <c r="U410" s="352"/>
      <c r="V410" s="353"/>
      <c r="W410" s="352"/>
      <c r="X410" s="176"/>
      <c r="Y410" s="176"/>
      <c r="Z410" s="352"/>
      <c r="AA410" s="352"/>
      <c r="AB410" s="352"/>
      <c r="AC410" s="351"/>
      <c r="AD410" s="351"/>
    </row>
    <row r="411" spans="1:30" ht="51.3" hidden="1" x14ac:dyDescent="0.35">
      <c r="A411" s="349">
        <v>410</v>
      </c>
      <c r="B411" s="352" t="s">
        <v>831</v>
      </c>
      <c r="C411" s="351" t="s">
        <v>4701</v>
      </c>
      <c r="D411" s="352" t="s">
        <v>546</v>
      </c>
      <c r="E411" s="352" t="s">
        <v>1998</v>
      </c>
      <c r="F411" s="353">
        <v>0.25</v>
      </c>
      <c r="G411" s="352" t="s">
        <v>2126</v>
      </c>
      <c r="H411" s="176" t="s">
        <v>413</v>
      </c>
      <c r="I411" s="176" t="s">
        <v>4676</v>
      </c>
      <c r="J411" s="352" t="s">
        <v>22</v>
      </c>
      <c r="K411" s="352">
        <v>375</v>
      </c>
      <c r="L411" s="352" t="s">
        <v>23</v>
      </c>
      <c r="M411" s="351"/>
      <c r="N411" s="351"/>
      <c r="O411" s="351">
        <v>375</v>
      </c>
      <c r="P411" s="349" t="s">
        <v>1836</v>
      </c>
      <c r="R411" s="349">
        <f t="shared" si="6"/>
        <v>12</v>
      </c>
      <c r="S411" s="352"/>
      <c r="T411" s="352"/>
      <c r="U411" s="352"/>
      <c r="V411" s="353"/>
      <c r="W411" s="352"/>
      <c r="X411" s="176"/>
      <c r="Y411" s="176"/>
      <c r="Z411" s="352"/>
      <c r="AA411" s="352"/>
      <c r="AB411" s="352"/>
      <c r="AC411" s="351"/>
      <c r="AD411" s="351"/>
    </row>
    <row r="412" spans="1:30" ht="51.3" hidden="1" x14ac:dyDescent="0.35">
      <c r="A412" s="349">
        <v>411</v>
      </c>
      <c r="B412" s="352" t="s">
        <v>831</v>
      </c>
      <c r="C412" s="351" t="s">
        <v>4701</v>
      </c>
      <c r="D412" s="352" t="s">
        <v>546</v>
      </c>
      <c r="E412" s="352" t="s">
        <v>1998</v>
      </c>
      <c r="F412" s="353">
        <v>0.26</v>
      </c>
      <c r="G412" s="352" t="s">
        <v>2126</v>
      </c>
      <c r="H412" s="176" t="s">
        <v>413</v>
      </c>
      <c r="I412" s="176" t="s">
        <v>4676</v>
      </c>
      <c r="J412" s="352" t="s">
        <v>22</v>
      </c>
      <c r="K412" s="352">
        <v>500</v>
      </c>
      <c r="L412" s="352" t="s">
        <v>23</v>
      </c>
      <c r="M412" s="352"/>
      <c r="N412" s="352"/>
      <c r="O412" s="351">
        <v>500</v>
      </c>
      <c r="P412" s="349" t="s">
        <v>1836</v>
      </c>
      <c r="R412" s="349">
        <f t="shared" si="6"/>
        <v>12</v>
      </c>
      <c r="S412" s="352"/>
      <c r="T412" s="352"/>
      <c r="U412" s="352"/>
      <c r="V412" s="353"/>
      <c r="W412" s="352"/>
      <c r="X412" s="176"/>
      <c r="Y412" s="176"/>
      <c r="Z412" s="352"/>
      <c r="AA412" s="352"/>
      <c r="AB412" s="352"/>
      <c r="AC412" s="351"/>
      <c r="AD412" s="351"/>
    </row>
    <row r="413" spans="1:30" ht="51.3" hidden="1" x14ac:dyDescent="0.35">
      <c r="A413" s="349">
        <v>412</v>
      </c>
      <c r="B413" s="352" t="s">
        <v>831</v>
      </c>
      <c r="C413" s="351" t="s">
        <v>4701</v>
      </c>
      <c r="D413" s="352" t="s">
        <v>546</v>
      </c>
      <c r="E413" s="352" t="s">
        <v>3969</v>
      </c>
      <c r="F413" s="353">
        <v>9.35</v>
      </c>
      <c r="G413" s="352" t="s">
        <v>2126</v>
      </c>
      <c r="H413" s="176" t="s">
        <v>413</v>
      </c>
      <c r="I413" s="176" t="s">
        <v>4676</v>
      </c>
      <c r="J413" s="352" t="s">
        <v>2340</v>
      </c>
      <c r="K413" s="352">
        <v>50</v>
      </c>
      <c r="L413" s="352" t="s">
        <v>1116</v>
      </c>
      <c r="M413" s="351">
        <v>100</v>
      </c>
      <c r="N413" s="351" t="s">
        <v>1109</v>
      </c>
      <c r="O413" s="351">
        <v>50</v>
      </c>
      <c r="P413" s="349" t="s">
        <v>1836</v>
      </c>
      <c r="R413" s="349">
        <f t="shared" si="6"/>
        <v>12</v>
      </c>
      <c r="S413" s="352"/>
      <c r="T413" s="352"/>
      <c r="U413" s="352"/>
      <c r="V413" s="353"/>
      <c r="W413" s="352"/>
      <c r="X413" s="176"/>
      <c r="Y413" s="176"/>
      <c r="Z413" s="352"/>
      <c r="AA413" s="352"/>
      <c r="AB413" s="352"/>
      <c r="AC413" s="351"/>
      <c r="AD413" s="351"/>
    </row>
    <row r="414" spans="1:30" ht="25.65" hidden="1" x14ac:dyDescent="0.35">
      <c r="A414" s="349">
        <v>413</v>
      </c>
      <c r="B414" s="352" t="s">
        <v>4029</v>
      </c>
      <c r="C414" s="351" t="s">
        <v>4702</v>
      </c>
      <c r="D414" s="352" t="s">
        <v>724</v>
      </c>
      <c r="E414" s="352" t="s">
        <v>1995</v>
      </c>
      <c r="F414" s="353">
        <v>1.0578000000000001</v>
      </c>
      <c r="G414" s="352" t="s">
        <v>2126</v>
      </c>
      <c r="H414" s="176" t="s">
        <v>3549</v>
      </c>
      <c r="I414" s="176" t="s">
        <v>1674</v>
      </c>
      <c r="J414" s="352" t="s">
        <v>3580</v>
      </c>
      <c r="K414" s="352">
        <v>10</v>
      </c>
      <c r="L414" s="352" t="s">
        <v>3581</v>
      </c>
      <c r="M414" s="351"/>
      <c r="N414" s="351"/>
      <c r="O414" s="351">
        <v>10</v>
      </c>
      <c r="P414" s="349" t="s">
        <v>1836</v>
      </c>
      <c r="R414" s="349">
        <f t="shared" si="6"/>
        <v>10</v>
      </c>
      <c r="S414" s="352"/>
      <c r="T414" s="352"/>
      <c r="U414" s="352"/>
      <c r="V414" s="353"/>
      <c r="W414" s="352"/>
      <c r="X414" s="176"/>
      <c r="Y414" s="176"/>
      <c r="Z414" s="352"/>
      <c r="AA414" s="352"/>
      <c r="AB414" s="352"/>
      <c r="AC414" s="351"/>
      <c r="AD414" s="351"/>
    </row>
    <row r="415" spans="1:30" ht="51.3" hidden="1" x14ac:dyDescent="0.35">
      <c r="A415" s="349">
        <v>414</v>
      </c>
      <c r="B415" s="352" t="s">
        <v>696</v>
      </c>
      <c r="C415" s="351" t="s">
        <v>1818</v>
      </c>
      <c r="D415" s="352" t="s">
        <v>1818</v>
      </c>
      <c r="E415" s="352" t="s">
        <v>1137</v>
      </c>
      <c r="F415" s="353">
        <v>15.5</v>
      </c>
      <c r="G415" s="352" t="s">
        <v>2126</v>
      </c>
      <c r="H415" s="176" t="s">
        <v>1063</v>
      </c>
      <c r="I415" s="176" t="s">
        <v>4476</v>
      </c>
      <c r="J415" s="352" t="s">
        <v>3579</v>
      </c>
      <c r="K415" s="352">
        <v>25</v>
      </c>
      <c r="L415" s="352" t="s">
        <v>1116</v>
      </c>
      <c r="M415" s="352">
        <v>50</v>
      </c>
      <c r="N415" s="352" t="s">
        <v>1109</v>
      </c>
      <c r="O415" s="351">
        <v>25</v>
      </c>
      <c r="P415" s="349" t="s">
        <v>1836</v>
      </c>
      <c r="R415" s="349">
        <f t="shared" si="6"/>
        <v>14</v>
      </c>
      <c r="S415" s="352"/>
      <c r="T415" s="352"/>
      <c r="U415" s="352"/>
      <c r="V415" s="351"/>
      <c r="W415" s="352"/>
      <c r="X415" s="176"/>
      <c r="Y415" s="176"/>
      <c r="Z415" s="352"/>
      <c r="AA415" s="351"/>
      <c r="AB415" s="351"/>
      <c r="AC415" s="351"/>
      <c r="AD415" s="351"/>
    </row>
    <row r="416" spans="1:30" ht="51.3" hidden="1" x14ac:dyDescent="0.35">
      <c r="A416" s="349">
        <v>415</v>
      </c>
      <c r="B416" s="352" t="s">
        <v>696</v>
      </c>
      <c r="C416" s="351" t="s">
        <v>1818</v>
      </c>
      <c r="D416" s="352" t="s">
        <v>1818</v>
      </c>
      <c r="E416" s="352" t="s">
        <v>1995</v>
      </c>
      <c r="F416" s="353">
        <v>2.64</v>
      </c>
      <c r="G416" s="352" t="s">
        <v>2126</v>
      </c>
      <c r="H416" s="176" t="s">
        <v>1063</v>
      </c>
      <c r="I416" s="176" t="s">
        <v>4476</v>
      </c>
      <c r="J416" s="352" t="s">
        <v>3580</v>
      </c>
      <c r="K416" s="352">
        <v>250</v>
      </c>
      <c r="L416" s="352" t="s">
        <v>3581</v>
      </c>
      <c r="M416" s="352"/>
      <c r="N416" s="352"/>
      <c r="O416" s="351">
        <v>250</v>
      </c>
      <c r="P416" s="349" t="s">
        <v>1836</v>
      </c>
      <c r="R416" s="349">
        <f t="shared" si="6"/>
        <v>14</v>
      </c>
      <c r="S416" s="352"/>
      <c r="T416" s="352"/>
      <c r="U416" s="352"/>
      <c r="V416" s="353"/>
      <c r="W416" s="352"/>
      <c r="X416" s="176"/>
      <c r="Y416" s="176"/>
      <c r="Z416" s="352"/>
      <c r="AA416" s="352"/>
      <c r="AB416" s="352"/>
      <c r="AC416" s="352"/>
      <c r="AD416" s="352"/>
    </row>
    <row r="417" spans="1:30" ht="51.3" hidden="1" x14ac:dyDescent="0.35">
      <c r="A417" s="349">
        <v>416</v>
      </c>
      <c r="B417" s="352" t="s">
        <v>4029</v>
      </c>
      <c r="C417" s="351" t="s">
        <v>1522</v>
      </c>
      <c r="D417" s="352" t="s">
        <v>1522</v>
      </c>
      <c r="E417" s="352" t="s">
        <v>762</v>
      </c>
      <c r="F417" s="353">
        <v>1.5206</v>
      </c>
      <c r="G417" s="352" t="s">
        <v>1501</v>
      </c>
      <c r="H417" s="176" t="s">
        <v>1524</v>
      </c>
      <c r="I417" s="176" t="s">
        <v>2632</v>
      </c>
      <c r="J417" s="352" t="s">
        <v>828</v>
      </c>
      <c r="K417" s="352">
        <v>1</v>
      </c>
      <c r="L417" s="352" t="s">
        <v>1116</v>
      </c>
      <c r="M417" s="352">
        <v>2</v>
      </c>
      <c r="N417" s="352" t="s">
        <v>1109</v>
      </c>
      <c r="O417" s="351">
        <v>1</v>
      </c>
      <c r="P417" s="349" t="s">
        <v>1836</v>
      </c>
      <c r="R417" s="349">
        <f t="shared" si="6"/>
        <v>10</v>
      </c>
      <c r="S417" s="352"/>
      <c r="T417" s="352"/>
      <c r="U417" s="352"/>
      <c r="V417" s="353"/>
      <c r="W417" s="352"/>
      <c r="X417" s="176"/>
      <c r="Y417" s="176"/>
      <c r="Z417" s="352"/>
      <c r="AA417" s="352"/>
      <c r="AB417" s="352"/>
      <c r="AC417" s="352"/>
      <c r="AD417" s="352"/>
    </row>
    <row r="418" spans="1:30" ht="51.3" hidden="1" x14ac:dyDescent="0.35">
      <c r="A418" s="349">
        <v>417</v>
      </c>
      <c r="B418" s="352" t="s">
        <v>4029</v>
      </c>
      <c r="C418" s="351" t="s">
        <v>1522</v>
      </c>
      <c r="D418" s="352" t="s">
        <v>1522</v>
      </c>
      <c r="E418" s="352" t="s">
        <v>1995</v>
      </c>
      <c r="F418" s="353">
        <v>0.3306</v>
      </c>
      <c r="G418" s="352" t="s">
        <v>2126</v>
      </c>
      <c r="H418" s="176" t="s">
        <v>1523</v>
      </c>
      <c r="I418" s="176" t="s">
        <v>2632</v>
      </c>
      <c r="J418" s="352" t="s">
        <v>3580</v>
      </c>
      <c r="K418" s="352">
        <v>1</v>
      </c>
      <c r="L418" s="352" t="s">
        <v>3581</v>
      </c>
      <c r="M418" s="352"/>
      <c r="N418" s="352"/>
      <c r="O418" s="351">
        <v>1</v>
      </c>
      <c r="P418" s="349" t="s">
        <v>1836</v>
      </c>
      <c r="R418" s="349">
        <f t="shared" si="6"/>
        <v>10</v>
      </c>
      <c r="S418" s="352"/>
      <c r="T418" s="352"/>
      <c r="U418" s="352"/>
      <c r="V418" s="353"/>
      <c r="W418" s="352"/>
      <c r="X418" s="176"/>
      <c r="Y418" s="176"/>
      <c r="Z418" s="352"/>
      <c r="AA418" s="352"/>
      <c r="AB418" s="352"/>
      <c r="AC418" s="352"/>
      <c r="AD418" s="352"/>
    </row>
    <row r="419" spans="1:30" ht="64.099999999999994" hidden="1" x14ac:dyDescent="0.35">
      <c r="A419" s="349">
        <v>418</v>
      </c>
      <c r="B419" s="352" t="s">
        <v>3090</v>
      </c>
      <c r="C419" s="351" t="s">
        <v>3440</v>
      </c>
      <c r="D419" s="352" t="s">
        <v>3440</v>
      </c>
      <c r="E419" s="352" t="s">
        <v>1498</v>
      </c>
      <c r="F419" s="353">
        <v>5.84</v>
      </c>
      <c r="G419" s="352" t="s">
        <v>1107</v>
      </c>
      <c r="H419" s="176" t="s">
        <v>1087</v>
      </c>
      <c r="I419" s="176" t="s">
        <v>133</v>
      </c>
      <c r="J419" s="352" t="s">
        <v>1115</v>
      </c>
      <c r="K419" s="352">
        <v>150</v>
      </c>
      <c r="L419" s="352" t="s">
        <v>1116</v>
      </c>
      <c r="M419" s="351">
        <v>4</v>
      </c>
      <c r="N419" s="351" t="s">
        <v>1109</v>
      </c>
      <c r="O419" s="351">
        <v>150</v>
      </c>
      <c r="P419" s="349" t="s">
        <v>1836</v>
      </c>
      <c r="R419" s="349">
        <f t="shared" si="6"/>
        <v>12</v>
      </c>
      <c r="S419" s="352"/>
      <c r="T419" s="352"/>
      <c r="U419" s="352"/>
      <c r="V419" s="353"/>
      <c r="W419" s="352"/>
      <c r="X419" s="176"/>
      <c r="Y419" s="176"/>
      <c r="Z419" s="352"/>
      <c r="AA419" s="352"/>
      <c r="AB419" s="352"/>
      <c r="AC419" s="352"/>
      <c r="AD419" s="352"/>
    </row>
    <row r="420" spans="1:30" ht="64.099999999999994" hidden="1" x14ac:dyDescent="0.35">
      <c r="A420" s="349">
        <v>419</v>
      </c>
      <c r="B420" s="352" t="s">
        <v>3090</v>
      </c>
      <c r="C420" s="351" t="s">
        <v>3440</v>
      </c>
      <c r="D420" s="352" t="s">
        <v>3440</v>
      </c>
      <c r="E420" s="352" t="s">
        <v>1998</v>
      </c>
      <c r="F420" s="353">
        <v>1.35</v>
      </c>
      <c r="G420" s="352" t="s">
        <v>2126</v>
      </c>
      <c r="H420" s="176" t="s">
        <v>134</v>
      </c>
      <c r="I420" s="176" t="s">
        <v>133</v>
      </c>
      <c r="J420" s="352" t="s">
        <v>22</v>
      </c>
      <c r="K420" s="352">
        <v>150</v>
      </c>
      <c r="L420" s="352" t="s">
        <v>23</v>
      </c>
      <c r="M420" s="352"/>
      <c r="N420" s="352"/>
      <c r="O420" s="351">
        <v>150</v>
      </c>
      <c r="P420" s="349" t="s">
        <v>1836</v>
      </c>
      <c r="R420" s="349">
        <f t="shared" si="6"/>
        <v>12</v>
      </c>
      <c r="S420" s="352"/>
      <c r="T420" s="352"/>
      <c r="U420" s="352"/>
      <c r="V420" s="353"/>
      <c r="W420" s="352"/>
      <c r="X420" s="176"/>
      <c r="Y420" s="176"/>
      <c r="Z420" s="352"/>
      <c r="AA420" s="352"/>
      <c r="AB420" s="352"/>
      <c r="AC420" s="352"/>
      <c r="AD420" s="352"/>
    </row>
    <row r="421" spans="1:30" ht="64.099999999999994" hidden="1" x14ac:dyDescent="0.35">
      <c r="A421" s="349">
        <v>420</v>
      </c>
      <c r="B421" s="352" t="s">
        <v>3090</v>
      </c>
      <c r="C421" s="351" t="s">
        <v>3440</v>
      </c>
      <c r="D421" s="352" t="s">
        <v>3440</v>
      </c>
      <c r="E421" s="352" t="s">
        <v>1755</v>
      </c>
      <c r="F421" s="353">
        <v>15.58</v>
      </c>
      <c r="G421" s="352" t="s">
        <v>2126</v>
      </c>
      <c r="H421" s="176" t="s">
        <v>134</v>
      </c>
      <c r="I421" s="176" t="s">
        <v>133</v>
      </c>
      <c r="J421" s="352" t="s">
        <v>3579</v>
      </c>
      <c r="K421" s="352">
        <v>15</v>
      </c>
      <c r="L421" s="352" t="s">
        <v>1116</v>
      </c>
      <c r="M421" s="351">
        <v>80</v>
      </c>
      <c r="N421" s="351" t="s">
        <v>1109</v>
      </c>
      <c r="O421" s="351">
        <v>15</v>
      </c>
      <c r="P421" s="349" t="s">
        <v>1836</v>
      </c>
      <c r="R421" s="349">
        <f t="shared" si="6"/>
        <v>12</v>
      </c>
      <c r="S421" s="352"/>
      <c r="T421" s="352"/>
      <c r="U421" s="352"/>
      <c r="V421" s="351"/>
      <c r="W421" s="352"/>
      <c r="X421" s="176"/>
      <c r="Y421" s="176"/>
      <c r="Z421" s="352"/>
      <c r="AA421" s="351"/>
      <c r="AB421" s="351"/>
      <c r="AC421" s="351"/>
      <c r="AD421" s="351"/>
    </row>
    <row r="422" spans="1:30" ht="51.3" hidden="1" x14ac:dyDescent="0.35">
      <c r="A422" s="349">
        <v>421</v>
      </c>
      <c r="B422" s="352" t="s">
        <v>1787</v>
      </c>
      <c r="C422" s="351" t="s">
        <v>980</v>
      </c>
      <c r="D422" s="352" t="s">
        <v>980</v>
      </c>
      <c r="E422" s="352" t="s">
        <v>1995</v>
      </c>
      <c r="F422" s="353">
        <v>0.4</v>
      </c>
      <c r="G422" s="352" t="s">
        <v>2126</v>
      </c>
      <c r="H422" s="176" t="s">
        <v>2653</v>
      </c>
      <c r="I422" s="176" t="s">
        <v>431</v>
      </c>
      <c r="J422" s="352" t="s">
        <v>3580</v>
      </c>
      <c r="K422" s="352">
        <v>10</v>
      </c>
      <c r="L422" s="352" t="s">
        <v>3581</v>
      </c>
      <c r="M422" s="351"/>
      <c r="N422" s="351"/>
      <c r="O422" s="351">
        <v>10</v>
      </c>
      <c r="P422" s="349" t="s">
        <v>1836</v>
      </c>
      <c r="R422" s="349">
        <f t="shared" si="6"/>
        <v>8</v>
      </c>
      <c r="S422" s="352"/>
      <c r="T422" s="352"/>
      <c r="U422" s="352"/>
      <c r="V422" s="353"/>
      <c r="W422" s="352"/>
      <c r="X422" s="176"/>
      <c r="Y422" s="176"/>
      <c r="Z422" s="352"/>
      <c r="AA422" s="352"/>
      <c r="AB422" s="352"/>
      <c r="AC422" s="352"/>
      <c r="AD422" s="352"/>
    </row>
    <row r="423" spans="1:30" ht="153.80000000000001" hidden="1" x14ac:dyDescent="0.35">
      <c r="A423" s="349">
        <v>422</v>
      </c>
      <c r="B423" s="352" t="s">
        <v>1787</v>
      </c>
      <c r="C423" s="351" t="s">
        <v>3876</v>
      </c>
      <c r="D423" s="352" t="s">
        <v>3876</v>
      </c>
      <c r="E423" s="352" t="s">
        <v>1997</v>
      </c>
      <c r="F423" s="353">
        <v>2.0499999999999998</v>
      </c>
      <c r="G423" s="352" t="s">
        <v>1107</v>
      </c>
      <c r="H423" s="176" t="s">
        <v>3295</v>
      </c>
      <c r="I423" s="176" t="s">
        <v>4674</v>
      </c>
      <c r="J423" s="352" t="s">
        <v>1115</v>
      </c>
      <c r="K423" s="352">
        <v>1</v>
      </c>
      <c r="L423" s="352" t="s">
        <v>1464</v>
      </c>
      <c r="M423" s="352"/>
      <c r="N423" s="352"/>
      <c r="O423" s="351">
        <v>1</v>
      </c>
      <c r="P423" s="349" t="s">
        <v>1836</v>
      </c>
      <c r="R423" s="349">
        <f t="shared" si="6"/>
        <v>10</v>
      </c>
      <c r="S423" s="352"/>
      <c r="T423" s="352"/>
      <c r="U423" s="352"/>
      <c r="V423" s="353"/>
      <c r="W423" s="352"/>
      <c r="X423" s="176"/>
      <c r="Y423" s="176"/>
      <c r="Z423" s="352"/>
      <c r="AA423" s="352"/>
      <c r="AB423" s="352"/>
      <c r="AC423" s="351"/>
      <c r="AD423" s="351"/>
    </row>
    <row r="424" spans="1:30" ht="205.1" hidden="1" x14ac:dyDescent="0.35">
      <c r="A424" s="349">
        <v>423</v>
      </c>
      <c r="B424" s="352" t="s">
        <v>1787</v>
      </c>
      <c r="C424" s="351" t="s">
        <v>3876</v>
      </c>
      <c r="D424" s="352" t="s">
        <v>3876</v>
      </c>
      <c r="E424" s="352" t="s">
        <v>1756</v>
      </c>
      <c r="F424" s="353">
        <v>5.58</v>
      </c>
      <c r="G424" s="352" t="s">
        <v>2126</v>
      </c>
      <c r="H424" s="176" t="s">
        <v>1172</v>
      </c>
      <c r="I424" s="176" t="s">
        <v>4674</v>
      </c>
      <c r="J424" s="352" t="s">
        <v>4025</v>
      </c>
      <c r="K424" s="352">
        <v>2.5</v>
      </c>
      <c r="L424" s="352" t="s">
        <v>1116</v>
      </c>
      <c r="M424" s="351">
        <v>10</v>
      </c>
      <c r="N424" s="351" t="s">
        <v>1109</v>
      </c>
      <c r="O424" s="351">
        <v>2.5</v>
      </c>
      <c r="P424" s="349" t="s">
        <v>1836</v>
      </c>
      <c r="R424" s="349">
        <f t="shared" si="6"/>
        <v>10</v>
      </c>
      <c r="S424" s="352"/>
      <c r="T424" s="352"/>
      <c r="U424" s="352"/>
      <c r="V424" s="353"/>
      <c r="W424" s="352"/>
      <c r="X424" s="176"/>
      <c r="Y424" s="176"/>
      <c r="Z424" s="352"/>
      <c r="AA424" s="352"/>
      <c r="AB424" s="352"/>
      <c r="AC424" s="352"/>
      <c r="AD424" s="352"/>
    </row>
    <row r="425" spans="1:30" ht="205.1" hidden="1" x14ac:dyDescent="0.35">
      <c r="A425" s="349">
        <v>424</v>
      </c>
      <c r="B425" s="352" t="s">
        <v>1787</v>
      </c>
      <c r="C425" s="351" t="s">
        <v>3876</v>
      </c>
      <c r="D425" s="352" t="s">
        <v>3876</v>
      </c>
      <c r="E425" s="352" t="s">
        <v>1995</v>
      </c>
      <c r="F425" s="353">
        <v>0.33</v>
      </c>
      <c r="G425" s="352" t="s">
        <v>2126</v>
      </c>
      <c r="H425" s="176" t="s">
        <v>1172</v>
      </c>
      <c r="I425" s="176" t="s">
        <v>4674</v>
      </c>
      <c r="J425" s="352" t="s">
        <v>3580</v>
      </c>
      <c r="K425" s="352">
        <v>2</v>
      </c>
      <c r="L425" s="352" t="s">
        <v>3581</v>
      </c>
      <c r="M425" s="352"/>
      <c r="N425" s="352"/>
      <c r="O425" s="351">
        <v>2</v>
      </c>
      <c r="P425" s="349" t="s">
        <v>1836</v>
      </c>
      <c r="R425" s="349">
        <f t="shared" si="6"/>
        <v>10</v>
      </c>
      <c r="S425" s="352"/>
      <c r="T425" s="352"/>
      <c r="U425" s="352"/>
      <c r="V425" s="353"/>
      <c r="W425" s="352"/>
      <c r="X425" s="176"/>
      <c r="Y425" s="176"/>
      <c r="Z425" s="352"/>
      <c r="AA425" s="352"/>
      <c r="AB425" s="352"/>
      <c r="AC425" s="352"/>
      <c r="AD425" s="352"/>
    </row>
    <row r="426" spans="1:30" ht="205.1" hidden="1" x14ac:dyDescent="0.35">
      <c r="A426" s="349">
        <v>425</v>
      </c>
      <c r="B426" s="352" t="s">
        <v>1787</v>
      </c>
      <c r="C426" s="351" t="s">
        <v>3876</v>
      </c>
      <c r="D426" s="352" t="s">
        <v>3876</v>
      </c>
      <c r="E426" s="352" t="s">
        <v>1995</v>
      </c>
      <c r="F426" s="353">
        <v>0.25</v>
      </c>
      <c r="G426" s="352" t="s">
        <v>2126</v>
      </c>
      <c r="H426" s="176" t="s">
        <v>1172</v>
      </c>
      <c r="I426" s="176" t="s">
        <v>4674</v>
      </c>
      <c r="J426" s="352" t="s">
        <v>3580</v>
      </c>
      <c r="K426" s="352">
        <v>500</v>
      </c>
      <c r="L426" s="352" t="s">
        <v>1757</v>
      </c>
      <c r="M426" s="352"/>
      <c r="N426" s="352"/>
      <c r="O426" s="351">
        <v>500</v>
      </c>
      <c r="P426" s="349" t="s">
        <v>1850</v>
      </c>
      <c r="R426" s="349">
        <f t="shared" si="6"/>
        <v>10</v>
      </c>
      <c r="S426" s="352"/>
      <c r="T426" s="352"/>
      <c r="U426" s="352"/>
      <c r="V426" s="353"/>
      <c r="W426" s="352"/>
      <c r="X426" s="176"/>
      <c r="Y426" s="176"/>
      <c r="Z426" s="352"/>
      <c r="AA426" s="352"/>
      <c r="AB426" s="352"/>
      <c r="AC426" s="351"/>
      <c r="AD426" s="351"/>
    </row>
    <row r="427" spans="1:30" ht="89.75" hidden="1" x14ac:dyDescent="0.35">
      <c r="A427" s="349">
        <v>426</v>
      </c>
      <c r="B427" s="352" t="s">
        <v>1073</v>
      </c>
      <c r="C427" s="351" t="s">
        <v>547</v>
      </c>
      <c r="D427" s="352" t="s">
        <v>547</v>
      </c>
      <c r="E427" s="352" t="s">
        <v>2855</v>
      </c>
      <c r="F427" s="353">
        <v>1.9</v>
      </c>
      <c r="G427" s="352" t="s">
        <v>1107</v>
      </c>
      <c r="H427" s="176" t="s">
        <v>3745</v>
      </c>
      <c r="I427" s="176" t="s">
        <v>2733</v>
      </c>
      <c r="J427" s="352" t="s">
        <v>828</v>
      </c>
      <c r="K427" s="352">
        <v>150</v>
      </c>
      <c r="L427" s="352" t="s">
        <v>4022</v>
      </c>
      <c r="M427" s="351">
        <v>1</v>
      </c>
      <c r="N427" s="351" t="s">
        <v>1109</v>
      </c>
      <c r="O427" s="351">
        <v>150</v>
      </c>
      <c r="P427" s="349" t="s">
        <v>1850</v>
      </c>
      <c r="R427" s="349">
        <f t="shared" si="6"/>
        <v>9</v>
      </c>
      <c r="S427" s="352"/>
      <c r="T427" s="352"/>
      <c r="U427" s="352"/>
      <c r="V427" s="353"/>
      <c r="W427" s="352"/>
      <c r="X427" s="176"/>
      <c r="Y427" s="176"/>
      <c r="Z427" s="352"/>
      <c r="AA427" s="352"/>
      <c r="AB427" s="352"/>
      <c r="AC427" s="351"/>
      <c r="AD427" s="351"/>
    </row>
    <row r="428" spans="1:30" ht="179.45" hidden="1" x14ac:dyDescent="0.35">
      <c r="A428" s="349">
        <v>427</v>
      </c>
      <c r="B428" s="352" t="s">
        <v>1512</v>
      </c>
      <c r="C428" s="351" t="s">
        <v>547</v>
      </c>
      <c r="D428" s="352" t="s">
        <v>547</v>
      </c>
      <c r="E428" s="352" t="s">
        <v>1995</v>
      </c>
      <c r="F428" s="353">
        <v>0.2</v>
      </c>
      <c r="G428" s="352" t="s">
        <v>2126</v>
      </c>
      <c r="H428" s="176" t="s">
        <v>4952</v>
      </c>
      <c r="I428" s="176" t="s">
        <v>1127</v>
      </c>
      <c r="J428" s="352" t="s">
        <v>3580</v>
      </c>
      <c r="K428" s="352">
        <v>0.15</v>
      </c>
      <c r="L428" s="352" t="s">
        <v>3581</v>
      </c>
      <c r="M428" s="352"/>
      <c r="N428" s="352"/>
      <c r="O428" s="351">
        <v>0.15</v>
      </c>
      <c r="P428" s="349" t="s">
        <v>1836</v>
      </c>
      <c r="R428" s="349">
        <f t="shared" si="6"/>
        <v>9</v>
      </c>
      <c r="S428" s="352"/>
      <c r="T428" s="352"/>
      <c r="U428" s="352"/>
      <c r="V428" s="353"/>
      <c r="W428" s="352"/>
      <c r="X428" s="176"/>
      <c r="Y428" s="176"/>
      <c r="Z428" s="352"/>
      <c r="AA428" s="352"/>
      <c r="AB428" s="352"/>
      <c r="AC428" s="351"/>
      <c r="AD428" s="351"/>
    </row>
    <row r="429" spans="1:30" ht="89.75" hidden="1" x14ac:dyDescent="0.35">
      <c r="A429" s="349">
        <v>428</v>
      </c>
      <c r="B429" s="352" t="s">
        <v>1073</v>
      </c>
      <c r="C429" s="351" t="s">
        <v>547</v>
      </c>
      <c r="D429" s="352" t="s">
        <v>547</v>
      </c>
      <c r="E429" s="352" t="s">
        <v>2855</v>
      </c>
      <c r="F429" s="353">
        <v>1.9</v>
      </c>
      <c r="G429" s="352" t="s">
        <v>1107</v>
      </c>
      <c r="H429" s="176" t="s">
        <v>3745</v>
      </c>
      <c r="I429" s="176" t="s">
        <v>2733</v>
      </c>
      <c r="J429" s="352" t="s">
        <v>828</v>
      </c>
      <c r="K429" s="352">
        <v>150</v>
      </c>
      <c r="L429" s="352" t="s">
        <v>4022</v>
      </c>
      <c r="M429" s="352">
        <v>1</v>
      </c>
      <c r="N429" s="352" t="s">
        <v>1109</v>
      </c>
      <c r="O429" s="351">
        <v>150</v>
      </c>
      <c r="P429" s="349" t="s">
        <v>1850</v>
      </c>
      <c r="R429" s="349">
        <f t="shared" si="6"/>
        <v>9</v>
      </c>
      <c r="S429" s="352"/>
      <c r="T429" s="352"/>
      <c r="U429" s="352"/>
      <c r="V429" s="353"/>
      <c r="W429" s="352"/>
      <c r="X429" s="176"/>
      <c r="Y429" s="176"/>
      <c r="Z429" s="352"/>
      <c r="AA429" s="352"/>
      <c r="AB429" s="352"/>
      <c r="AC429" s="351"/>
      <c r="AD429" s="351"/>
    </row>
    <row r="430" spans="1:30" ht="64.099999999999994" hidden="1" x14ac:dyDescent="0.35">
      <c r="A430" s="349">
        <v>429</v>
      </c>
      <c r="B430" s="352" t="s">
        <v>958</v>
      </c>
      <c r="C430" s="351" t="s">
        <v>2465</v>
      </c>
      <c r="D430" s="352" t="s">
        <v>2465</v>
      </c>
      <c r="E430" s="352" t="s">
        <v>1997</v>
      </c>
      <c r="F430" s="353">
        <v>3.3056000000000001</v>
      </c>
      <c r="G430" s="352" t="s">
        <v>1501</v>
      </c>
      <c r="H430" s="176" t="s">
        <v>1847</v>
      </c>
      <c r="I430" s="176" t="s">
        <v>1061</v>
      </c>
      <c r="J430" s="352" t="s">
        <v>1115</v>
      </c>
      <c r="K430" s="352">
        <v>50</v>
      </c>
      <c r="L430" s="352" t="s">
        <v>1464</v>
      </c>
      <c r="M430" s="351"/>
      <c r="N430" s="351"/>
      <c r="O430" s="351">
        <v>50</v>
      </c>
      <c r="P430" s="349" t="s">
        <v>1836</v>
      </c>
      <c r="R430" s="349">
        <f t="shared" si="6"/>
        <v>11</v>
      </c>
      <c r="S430" s="352"/>
      <c r="T430" s="352"/>
      <c r="U430" s="352"/>
      <c r="V430" s="353"/>
      <c r="W430" s="352"/>
      <c r="X430" s="176"/>
      <c r="Y430" s="176"/>
      <c r="Z430" s="352"/>
      <c r="AA430" s="352"/>
      <c r="AB430" s="352"/>
      <c r="AC430" s="351"/>
      <c r="AD430" s="351"/>
    </row>
    <row r="431" spans="1:30" ht="64.099999999999994" hidden="1" x14ac:dyDescent="0.35">
      <c r="A431" s="349">
        <v>430</v>
      </c>
      <c r="B431" s="352" t="s">
        <v>2491</v>
      </c>
      <c r="C431" s="351" t="s">
        <v>2438</v>
      </c>
      <c r="D431" s="352" t="s">
        <v>2438</v>
      </c>
      <c r="E431" s="352" t="s">
        <v>730</v>
      </c>
      <c r="F431" s="353">
        <v>7.7</v>
      </c>
      <c r="G431" s="352" t="s">
        <v>34</v>
      </c>
      <c r="H431" s="176" t="s">
        <v>3906</v>
      </c>
      <c r="I431" s="176" t="s">
        <v>1583</v>
      </c>
      <c r="J431" s="352" t="s">
        <v>1115</v>
      </c>
      <c r="K431" s="352">
        <v>30</v>
      </c>
      <c r="L431" s="352" t="s">
        <v>1116</v>
      </c>
      <c r="M431" s="351">
        <v>10</v>
      </c>
      <c r="N431" s="351" t="s">
        <v>1109</v>
      </c>
      <c r="O431" s="351">
        <v>30</v>
      </c>
      <c r="P431" s="349" t="s">
        <v>1836</v>
      </c>
      <c r="R431" s="349">
        <f t="shared" si="6"/>
        <v>7</v>
      </c>
      <c r="S431" s="352"/>
      <c r="T431" s="352"/>
      <c r="U431" s="352"/>
      <c r="V431" s="353"/>
      <c r="W431" s="352"/>
      <c r="X431" s="176"/>
      <c r="Y431" s="176"/>
      <c r="Z431" s="352"/>
      <c r="AA431" s="352"/>
      <c r="AB431" s="352"/>
      <c r="AC431" s="352"/>
      <c r="AD431" s="352"/>
    </row>
    <row r="432" spans="1:30" ht="64.099999999999994" hidden="1" x14ac:dyDescent="0.35">
      <c r="A432" s="349">
        <v>431</v>
      </c>
      <c r="B432" s="352" t="s">
        <v>2491</v>
      </c>
      <c r="C432" s="351" t="s">
        <v>4703</v>
      </c>
      <c r="D432" s="352" t="s">
        <v>2438</v>
      </c>
      <c r="E432" s="352" t="s">
        <v>730</v>
      </c>
      <c r="F432" s="353">
        <v>7.7</v>
      </c>
      <c r="G432" s="352" t="s">
        <v>34</v>
      </c>
      <c r="H432" s="176" t="s">
        <v>3906</v>
      </c>
      <c r="I432" s="176" t="s">
        <v>1583</v>
      </c>
      <c r="J432" s="352" t="s">
        <v>1115</v>
      </c>
      <c r="K432" s="352">
        <v>30</v>
      </c>
      <c r="L432" s="352" t="s">
        <v>1116</v>
      </c>
      <c r="M432" s="351">
        <v>10</v>
      </c>
      <c r="N432" s="351" t="s">
        <v>1109</v>
      </c>
      <c r="O432" s="351">
        <v>30</v>
      </c>
      <c r="P432" s="349" t="s">
        <v>1836</v>
      </c>
      <c r="R432" s="349">
        <f t="shared" si="6"/>
        <v>7</v>
      </c>
      <c r="S432" s="352"/>
      <c r="T432" s="352"/>
      <c r="U432" s="352"/>
      <c r="V432" s="353"/>
      <c r="W432" s="352"/>
      <c r="X432" s="176"/>
      <c r="Y432" s="176"/>
      <c r="Z432" s="352"/>
      <c r="AA432" s="352"/>
      <c r="AB432" s="352"/>
      <c r="AC432" s="352"/>
      <c r="AD432" s="352"/>
    </row>
    <row r="433" spans="1:30" ht="102.55" hidden="1" x14ac:dyDescent="0.35">
      <c r="A433" s="349">
        <v>432</v>
      </c>
      <c r="B433" s="352" t="s">
        <v>4027</v>
      </c>
      <c r="C433" s="351" t="s">
        <v>4205</v>
      </c>
      <c r="D433" s="352" t="s">
        <v>4205</v>
      </c>
      <c r="E433" s="352" t="s">
        <v>1995</v>
      </c>
      <c r="F433" s="353">
        <v>0.13</v>
      </c>
      <c r="G433" s="352" t="s">
        <v>2126</v>
      </c>
      <c r="H433" s="176" t="s">
        <v>4206</v>
      </c>
      <c r="I433" s="176" t="s">
        <v>4932</v>
      </c>
      <c r="J433" s="352" t="s">
        <v>3580</v>
      </c>
      <c r="K433" s="352">
        <v>10</v>
      </c>
      <c r="L433" s="352" t="s">
        <v>3581</v>
      </c>
      <c r="M433" s="351"/>
      <c r="N433" s="351"/>
      <c r="O433" s="351">
        <v>10</v>
      </c>
      <c r="P433" s="349" t="s">
        <v>1836</v>
      </c>
      <c r="R433" s="349">
        <f t="shared" si="6"/>
        <v>7</v>
      </c>
      <c r="S433" s="352"/>
      <c r="T433" s="352"/>
      <c r="U433" s="352"/>
      <c r="V433" s="353"/>
      <c r="W433" s="352"/>
      <c r="X433" s="176"/>
      <c r="Y433" s="176"/>
      <c r="Z433" s="352"/>
      <c r="AA433" s="352"/>
      <c r="AB433" s="352"/>
      <c r="AC433" s="352"/>
      <c r="AD433" s="352"/>
    </row>
    <row r="434" spans="1:30" ht="102.55" hidden="1" x14ac:dyDescent="0.35">
      <c r="A434" s="349">
        <v>433</v>
      </c>
      <c r="B434" s="352" t="s">
        <v>4027</v>
      </c>
      <c r="C434" s="351" t="s">
        <v>4205</v>
      </c>
      <c r="D434" s="352" t="s">
        <v>4205</v>
      </c>
      <c r="E434" s="352" t="s">
        <v>1995</v>
      </c>
      <c r="F434" s="353">
        <v>0.17</v>
      </c>
      <c r="G434" s="352" t="s">
        <v>2126</v>
      </c>
      <c r="H434" s="176" t="s">
        <v>4206</v>
      </c>
      <c r="I434" s="176" t="s">
        <v>4932</v>
      </c>
      <c r="J434" s="352" t="s">
        <v>3580</v>
      </c>
      <c r="K434" s="352">
        <v>20</v>
      </c>
      <c r="L434" s="352" t="s">
        <v>3581</v>
      </c>
      <c r="M434" s="352"/>
      <c r="N434" s="352"/>
      <c r="O434" s="351">
        <v>20</v>
      </c>
      <c r="P434" s="349" t="s">
        <v>1836</v>
      </c>
      <c r="R434" s="349">
        <f t="shared" si="6"/>
        <v>7</v>
      </c>
      <c r="S434" s="352"/>
      <c r="T434" s="352"/>
      <c r="U434" s="352"/>
      <c r="V434" s="353"/>
      <c r="W434" s="352"/>
      <c r="X434" s="176"/>
      <c r="Y434" s="176"/>
      <c r="Z434" s="352"/>
      <c r="AA434" s="352"/>
      <c r="AB434" s="352"/>
      <c r="AC434" s="352"/>
      <c r="AD434" s="352"/>
    </row>
    <row r="435" spans="1:30" ht="102.55" hidden="1" x14ac:dyDescent="0.35">
      <c r="A435" s="349">
        <v>434</v>
      </c>
      <c r="B435" s="352" t="s">
        <v>4027</v>
      </c>
      <c r="C435" s="351" t="s">
        <v>4704</v>
      </c>
      <c r="D435" s="352" t="s">
        <v>4205</v>
      </c>
      <c r="E435" s="352" t="s">
        <v>1995</v>
      </c>
      <c r="F435" s="353">
        <v>0.13</v>
      </c>
      <c r="G435" s="352" t="s">
        <v>2126</v>
      </c>
      <c r="H435" s="176" t="s">
        <v>4206</v>
      </c>
      <c r="I435" s="176" t="s">
        <v>4932</v>
      </c>
      <c r="J435" s="352" t="s">
        <v>3580</v>
      </c>
      <c r="K435" s="352">
        <v>10</v>
      </c>
      <c r="L435" s="352" t="s">
        <v>3581</v>
      </c>
      <c r="M435" s="352"/>
      <c r="N435" s="352"/>
      <c r="O435" s="351">
        <v>10</v>
      </c>
      <c r="P435" s="349" t="s">
        <v>1836</v>
      </c>
      <c r="R435" s="349">
        <f t="shared" si="6"/>
        <v>7</v>
      </c>
      <c r="S435" s="352"/>
      <c r="T435" s="352"/>
      <c r="U435" s="352"/>
      <c r="V435" s="353"/>
      <c r="W435" s="352"/>
      <c r="X435" s="176"/>
      <c r="Y435" s="176"/>
      <c r="Z435" s="352"/>
      <c r="AA435" s="352"/>
      <c r="AB435" s="352"/>
      <c r="AC435" s="352"/>
      <c r="AD435" s="352"/>
    </row>
    <row r="436" spans="1:30" ht="102.55" hidden="1" x14ac:dyDescent="0.35">
      <c r="A436" s="349">
        <v>435</v>
      </c>
      <c r="B436" s="352" t="s">
        <v>4027</v>
      </c>
      <c r="C436" s="351" t="s">
        <v>4704</v>
      </c>
      <c r="D436" s="352" t="s">
        <v>4205</v>
      </c>
      <c r="E436" s="352" t="s">
        <v>1995</v>
      </c>
      <c r="F436" s="353">
        <v>0.17</v>
      </c>
      <c r="G436" s="352" t="s">
        <v>2126</v>
      </c>
      <c r="H436" s="176" t="s">
        <v>4206</v>
      </c>
      <c r="I436" s="176" t="s">
        <v>4932</v>
      </c>
      <c r="J436" s="352" t="s">
        <v>3580</v>
      </c>
      <c r="K436" s="352">
        <v>20</v>
      </c>
      <c r="L436" s="352" t="s">
        <v>3581</v>
      </c>
      <c r="M436" s="352"/>
      <c r="N436" s="352"/>
      <c r="O436" s="351">
        <v>20</v>
      </c>
      <c r="P436" s="349" t="s">
        <v>1836</v>
      </c>
      <c r="R436" s="349">
        <f t="shared" si="6"/>
        <v>7</v>
      </c>
      <c r="S436" s="352"/>
      <c r="T436" s="352"/>
      <c r="U436" s="352"/>
      <c r="V436" s="353"/>
      <c r="W436" s="352"/>
      <c r="X436" s="176"/>
      <c r="Y436" s="176"/>
      <c r="Z436" s="352"/>
      <c r="AA436" s="352"/>
      <c r="AB436" s="352"/>
      <c r="AC436" s="352"/>
      <c r="AD436" s="352"/>
    </row>
    <row r="437" spans="1:30" ht="64.099999999999994" hidden="1" x14ac:dyDescent="0.35">
      <c r="A437" s="349">
        <v>436</v>
      </c>
      <c r="B437" s="352" t="s">
        <v>2492</v>
      </c>
      <c r="C437" s="351" t="s">
        <v>3492</v>
      </c>
      <c r="D437" s="352" t="s">
        <v>3492</v>
      </c>
      <c r="E437" s="352" t="s">
        <v>2855</v>
      </c>
      <c r="F437" s="353">
        <v>0.65</v>
      </c>
      <c r="G437" s="352" t="s">
        <v>1107</v>
      </c>
      <c r="H437" s="176" t="s">
        <v>2073</v>
      </c>
      <c r="I437" s="176" t="s">
        <v>1526</v>
      </c>
      <c r="J437" s="352" t="s">
        <v>828</v>
      </c>
      <c r="K437" s="352">
        <v>10</v>
      </c>
      <c r="L437" s="352" t="s">
        <v>1116</v>
      </c>
      <c r="M437" s="352">
        <v>1</v>
      </c>
      <c r="N437" s="352" t="s">
        <v>1109</v>
      </c>
      <c r="O437" s="351">
        <v>10</v>
      </c>
      <c r="P437" s="349" t="s">
        <v>1836</v>
      </c>
      <c r="R437" s="349">
        <f t="shared" si="6"/>
        <v>8</v>
      </c>
      <c r="S437" s="352"/>
      <c r="T437" s="352"/>
      <c r="U437" s="352"/>
      <c r="V437" s="353"/>
      <c r="W437" s="352"/>
      <c r="X437" s="176"/>
      <c r="Y437" s="176"/>
      <c r="Z437" s="352"/>
      <c r="AA437" s="352"/>
      <c r="AB437" s="352"/>
      <c r="AC437" s="351"/>
      <c r="AD437" s="351"/>
    </row>
    <row r="438" spans="1:30" ht="64.099999999999994" hidden="1" x14ac:dyDescent="0.35">
      <c r="A438" s="349">
        <v>437</v>
      </c>
      <c r="B438" s="352" t="s">
        <v>2492</v>
      </c>
      <c r="C438" s="351" t="s">
        <v>3492</v>
      </c>
      <c r="D438" s="352" t="s">
        <v>3492</v>
      </c>
      <c r="E438" s="352" t="s">
        <v>2855</v>
      </c>
      <c r="F438" s="353">
        <v>0.65</v>
      </c>
      <c r="G438" s="352" t="s">
        <v>1107</v>
      </c>
      <c r="H438" s="176" t="s">
        <v>2073</v>
      </c>
      <c r="I438" s="176" t="s">
        <v>1526</v>
      </c>
      <c r="J438" s="352" t="s">
        <v>828</v>
      </c>
      <c r="K438" s="352">
        <v>10</v>
      </c>
      <c r="L438" s="352" t="s">
        <v>1116</v>
      </c>
      <c r="M438" s="351">
        <v>1</v>
      </c>
      <c r="N438" s="351" t="s">
        <v>1109</v>
      </c>
      <c r="O438" s="351">
        <v>10</v>
      </c>
      <c r="P438" s="349" t="s">
        <v>1836</v>
      </c>
      <c r="R438" s="349">
        <f t="shared" si="6"/>
        <v>8</v>
      </c>
      <c r="S438" s="352"/>
      <c r="T438" s="352"/>
      <c r="U438" s="352"/>
      <c r="V438" s="353"/>
      <c r="W438" s="352"/>
      <c r="X438" s="176"/>
      <c r="Y438" s="176"/>
      <c r="Z438" s="352"/>
      <c r="AA438" s="352"/>
      <c r="AB438" s="352"/>
      <c r="AC438" s="351"/>
      <c r="AD438" s="351"/>
    </row>
    <row r="439" spans="1:30" ht="64.099999999999994" hidden="1" x14ac:dyDescent="0.35">
      <c r="A439" s="349">
        <v>438</v>
      </c>
      <c r="B439" s="352" t="s">
        <v>2492</v>
      </c>
      <c r="C439" s="351" t="s">
        <v>3492</v>
      </c>
      <c r="D439" s="352" t="s">
        <v>3492</v>
      </c>
      <c r="E439" s="352" t="s">
        <v>1137</v>
      </c>
      <c r="F439" s="353">
        <v>3.7</v>
      </c>
      <c r="G439" s="352" t="s">
        <v>2126</v>
      </c>
      <c r="H439" s="176" t="s">
        <v>2073</v>
      </c>
      <c r="I439" s="176" t="s">
        <v>1526</v>
      </c>
      <c r="J439" s="352" t="s">
        <v>3579</v>
      </c>
      <c r="K439" s="352">
        <v>2</v>
      </c>
      <c r="L439" s="352" t="s">
        <v>1116</v>
      </c>
      <c r="M439" s="351">
        <v>50</v>
      </c>
      <c r="N439" s="351" t="s">
        <v>1109</v>
      </c>
      <c r="O439" s="351">
        <v>2</v>
      </c>
      <c r="P439" s="349" t="s">
        <v>1836</v>
      </c>
      <c r="R439" s="349">
        <f t="shared" si="6"/>
        <v>8</v>
      </c>
      <c r="S439" s="352"/>
      <c r="T439" s="352"/>
      <c r="U439" s="352"/>
      <c r="V439" s="353"/>
      <c r="W439" s="352"/>
      <c r="X439" s="176"/>
      <c r="Y439" s="176"/>
      <c r="Z439" s="352"/>
      <c r="AA439" s="352"/>
      <c r="AB439" s="352"/>
      <c r="AC439" s="351"/>
      <c r="AD439" s="352"/>
    </row>
    <row r="440" spans="1:30" ht="64.099999999999994" hidden="1" x14ac:dyDescent="0.35">
      <c r="A440" s="349">
        <v>439</v>
      </c>
      <c r="B440" s="352" t="s">
        <v>2492</v>
      </c>
      <c r="C440" s="351" t="s">
        <v>3492</v>
      </c>
      <c r="D440" s="352" t="s">
        <v>3492</v>
      </c>
      <c r="E440" s="352" t="s">
        <v>1137</v>
      </c>
      <c r="F440" s="353">
        <v>3.7</v>
      </c>
      <c r="G440" s="352" t="s">
        <v>2126</v>
      </c>
      <c r="H440" s="176" t="s">
        <v>2073</v>
      </c>
      <c r="I440" s="176" t="s">
        <v>1526</v>
      </c>
      <c r="J440" s="352" t="s">
        <v>3579</v>
      </c>
      <c r="K440" s="352">
        <v>2</v>
      </c>
      <c r="L440" s="352" t="s">
        <v>1116</v>
      </c>
      <c r="M440" s="352">
        <v>50</v>
      </c>
      <c r="N440" s="352" t="s">
        <v>1109</v>
      </c>
      <c r="O440" s="351">
        <v>2</v>
      </c>
      <c r="P440" s="349" t="s">
        <v>1836</v>
      </c>
      <c r="R440" s="349">
        <f t="shared" si="6"/>
        <v>8</v>
      </c>
      <c r="S440" s="352"/>
      <c r="T440" s="352"/>
      <c r="U440" s="352"/>
      <c r="V440" s="353"/>
      <c r="W440" s="352"/>
      <c r="X440" s="176"/>
      <c r="Y440" s="176"/>
      <c r="Z440" s="352"/>
      <c r="AA440" s="352"/>
      <c r="AB440" s="352"/>
      <c r="AC440" s="352"/>
      <c r="AD440" s="352"/>
    </row>
    <row r="441" spans="1:30" ht="115.35" hidden="1" x14ac:dyDescent="0.35">
      <c r="A441" s="349">
        <v>440</v>
      </c>
      <c r="B441" s="352" t="s">
        <v>2677</v>
      </c>
      <c r="C441" s="351" t="s">
        <v>1527</v>
      </c>
      <c r="D441" s="352" t="s">
        <v>1527</v>
      </c>
      <c r="E441" s="352" t="s">
        <v>1995</v>
      </c>
      <c r="F441" s="353">
        <v>0.46</v>
      </c>
      <c r="G441" s="352" t="s">
        <v>2126</v>
      </c>
      <c r="H441" s="176" t="s">
        <v>3905</v>
      </c>
      <c r="I441" s="176" t="s">
        <v>4846</v>
      </c>
      <c r="J441" s="352" t="s">
        <v>3580</v>
      </c>
      <c r="K441" s="352">
        <v>0.5</v>
      </c>
      <c r="L441" s="352" t="s">
        <v>3581</v>
      </c>
      <c r="M441" s="351"/>
      <c r="N441" s="351"/>
      <c r="O441" s="351">
        <v>0.5</v>
      </c>
      <c r="P441" s="349" t="s">
        <v>1836</v>
      </c>
      <c r="R441" s="349">
        <f t="shared" si="6"/>
        <v>10</v>
      </c>
      <c r="S441" s="352"/>
      <c r="T441" s="352"/>
      <c r="U441" s="352"/>
      <c r="V441" s="353"/>
      <c r="W441" s="352"/>
      <c r="X441" s="176"/>
      <c r="Y441" s="176"/>
      <c r="Z441" s="352"/>
      <c r="AA441" s="352"/>
      <c r="AB441" s="352"/>
      <c r="AC441" s="351"/>
      <c r="AD441" s="352"/>
    </row>
    <row r="442" spans="1:30" ht="115.35" hidden="1" x14ac:dyDescent="0.35">
      <c r="A442" s="349">
        <v>441</v>
      </c>
      <c r="B442" s="352" t="s">
        <v>2677</v>
      </c>
      <c r="C442" s="351" t="s">
        <v>1527</v>
      </c>
      <c r="D442" s="352" t="s">
        <v>1527</v>
      </c>
      <c r="E442" s="352" t="s">
        <v>1995</v>
      </c>
      <c r="F442" s="353">
        <v>0.46</v>
      </c>
      <c r="G442" s="352" t="s">
        <v>2126</v>
      </c>
      <c r="H442" s="176" t="s">
        <v>3905</v>
      </c>
      <c r="I442" s="176" t="s">
        <v>4846</v>
      </c>
      <c r="J442" s="352" t="s">
        <v>3580</v>
      </c>
      <c r="K442" s="352">
        <v>0.5</v>
      </c>
      <c r="L442" s="352" t="s">
        <v>3581</v>
      </c>
      <c r="M442" s="351"/>
      <c r="N442" s="351"/>
      <c r="O442" s="351">
        <v>0.5</v>
      </c>
      <c r="P442" s="349" t="s">
        <v>1836</v>
      </c>
      <c r="R442" s="349">
        <f t="shared" si="6"/>
        <v>10</v>
      </c>
      <c r="S442" s="352"/>
      <c r="T442" s="352"/>
      <c r="U442" s="352"/>
      <c r="V442" s="353"/>
      <c r="W442" s="352"/>
      <c r="X442" s="176"/>
      <c r="Y442" s="176"/>
      <c r="Z442" s="352"/>
      <c r="AA442" s="352"/>
      <c r="AB442" s="352"/>
      <c r="AC442" s="352"/>
      <c r="AD442" s="352"/>
    </row>
    <row r="443" spans="1:30" ht="179.45" hidden="1" x14ac:dyDescent="0.35">
      <c r="A443" s="349">
        <v>442</v>
      </c>
      <c r="B443" s="352" t="s">
        <v>2560</v>
      </c>
      <c r="C443" s="351" t="s">
        <v>4125</v>
      </c>
      <c r="D443" s="352" t="s">
        <v>4125</v>
      </c>
      <c r="E443" s="352" t="s">
        <v>2493</v>
      </c>
      <c r="F443" s="353">
        <v>8.1978000000000009</v>
      </c>
      <c r="G443" s="352" t="s">
        <v>2126</v>
      </c>
      <c r="H443" s="176" t="s">
        <v>4666</v>
      </c>
      <c r="I443" s="176" t="s">
        <v>4946</v>
      </c>
      <c r="J443" s="352" t="s">
        <v>4025</v>
      </c>
      <c r="K443" s="352">
        <v>40</v>
      </c>
      <c r="L443" s="352" t="s">
        <v>1518</v>
      </c>
      <c r="M443" s="351">
        <v>25</v>
      </c>
      <c r="N443" s="351" t="s">
        <v>1109</v>
      </c>
      <c r="O443" s="351">
        <v>40</v>
      </c>
      <c r="P443" s="349" t="s">
        <v>2030</v>
      </c>
      <c r="R443" s="349">
        <f t="shared" si="6"/>
        <v>14</v>
      </c>
      <c r="S443" s="352"/>
      <c r="T443" s="352"/>
      <c r="U443" s="352"/>
      <c r="V443" s="353"/>
      <c r="W443" s="352"/>
      <c r="X443" s="176"/>
      <c r="Y443" s="176"/>
      <c r="Z443" s="352"/>
      <c r="AA443" s="352"/>
      <c r="AB443" s="352"/>
      <c r="AC443" s="351"/>
      <c r="AD443" s="351"/>
    </row>
    <row r="444" spans="1:30" ht="179.45" hidden="1" x14ac:dyDescent="0.35">
      <c r="A444" s="349">
        <v>443</v>
      </c>
      <c r="B444" s="352" t="s">
        <v>2560</v>
      </c>
      <c r="C444" s="351" t="s">
        <v>4125</v>
      </c>
      <c r="D444" s="352" t="s">
        <v>4125</v>
      </c>
      <c r="E444" s="352" t="s">
        <v>1995</v>
      </c>
      <c r="F444" s="353">
        <v>0.05</v>
      </c>
      <c r="G444" s="352" t="s">
        <v>2126</v>
      </c>
      <c r="H444" s="176" t="s">
        <v>4666</v>
      </c>
      <c r="I444" s="176" t="s">
        <v>4946</v>
      </c>
      <c r="J444" s="352" t="s">
        <v>3580</v>
      </c>
      <c r="K444" s="352">
        <v>100</v>
      </c>
      <c r="L444" s="352" t="s">
        <v>1519</v>
      </c>
      <c r="M444" s="351"/>
      <c r="N444" s="351"/>
      <c r="O444" s="351">
        <v>100</v>
      </c>
      <c r="P444" s="349" t="s">
        <v>2030</v>
      </c>
      <c r="R444" s="349">
        <f t="shared" si="6"/>
        <v>14</v>
      </c>
      <c r="S444" s="352"/>
      <c r="T444" s="352"/>
      <c r="U444" s="352"/>
      <c r="V444" s="353"/>
      <c r="W444" s="352"/>
      <c r="X444" s="176"/>
      <c r="Y444" s="176"/>
      <c r="Z444" s="352"/>
      <c r="AA444" s="352"/>
      <c r="AB444" s="352"/>
      <c r="AC444" s="351"/>
      <c r="AD444" s="351"/>
    </row>
    <row r="445" spans="1:30" ht="115.35" hidden="1" x14ac:dyDescent="0.35">
      <c r="A445" s="349">
        <v>444</v>
      </c>
      <c r="B445" s="352" t="s">
        <v>2560</v>
      </c>
      <c r="C445" s="351" t="s">
        <v>4125</v>
      </c>
      <c r="D445" s="352" t="s">
        <v>4125</v>
      </c>
      <c r="E445" s="352" t="s">
        <v>1995</v>
      </c>
      <c r="F445" s="353">
        <v>0.15429999999999999</v>
      </c>
      <c r="G445" s="352" t="s">
        <v>2126</v>
      </c>
      <c r="H445" s="176" t="s">
        <v>803</v>
      </c>
      <c r="I445" s="176" t="s">
        <v>4947</v>
      </c>
      <c r="J445" s="352" t="s">
        <v>3580</v>
      </c>
      <c r="K445" s="352">
        <v>400</v>
      </c>
      <c r="L445" s="352" t="s">
        <v>1519</v>
      </c>
      <c r="M445" s="352"/>
      <c r="N445" s="352"/>
      <c r="O445" s="351">
        <v>400</v>
      </c>
      <c r="P445" s="349" t="s">
        <v>2030</v>
      </c>
      <c r="R445" s="349">
        <f t="shared" si="6"/>
        <v>14</v>
      </c>
      <c r="S445" s="352"/>
      <c r="T445" s="352"/>
      <c r="U445" s="352"/>
      <c r="V445" s="353"/>
      <c r="W445" s="352"/>
      <c r="X445" s="176"/>
      <c r="Y445" s="176"/>
      <c r="Z445" s="352"/>
      <c r="AA445" s="352"/>
      <c r="AB445" s="352"/>
      <c r="AC445" s="351"/>
      <c r="AD445" s="351"/>
    </row>
    <row r="446" spans="1:30" ht="38.450000000000003" hidden="1" x14ac:dyDescent="0.35">
      <c r="A446" s="349">
        <v>445</v>
      </c>
      <c r="B446" s="352" t="s">
        <v>2055</v>
      </c>
      <c r="C446" s="351" t="s">
        <v>789</v>
      </c>
      <c r="D446" s="352" t="s">
        <v>789</v>
      </c>
      <c r="E446" s="352" t="s">
        <v>2008</v>
      </c>
      <c r="F446" s="353">
        <v>0.9476</v>
      </c>
      <c r="G446" s="352" t="s">
        <v>2126</v>
      </c>
      <c r="H446" s="176" t="s">
        <v>3320</v>
      </c>
      <c r="I446" s="176" t="s">
        <v>3321</v>
      </c>
      <c r="J446" s="352" t="s">
        <v>2056</v>
      </c>
      <c r="K446" s="352">
        <v>4</v>
      </c>
      <c r="L446" s="352" t="s">
        <v>2057</v>
      </c>
      <c r="M446" s="351"/>
      <c r="N446" s="351"/>
      <c r="O446" s="351">
        <v>4</v>
      </c>
      <c r="P446" s="349" t="s">
        <v>818</v>
      </c>
      <c r="R446" s="349">
        <f t="shared" si="6"/>
        <v>13</v>
      </c>
      <c r="S446" s="352"/>
      <c r="T446" s="352"/>
      <c r="U446" s="352"/>
      <c r="V446" s="353"/>
      <c r="W446" s="352"/>
      <c r="X446" s="176"/>
      <c r="Y446" s="176"/>
      <c r="Z446" s="352"/>
      <c r="AA446" s="352"/>
      <c r="AB446" s="352"/>
      <c r="AC446" s="351"/>
      <c r="AD446" s="351"/>
    </row>
    <row r="447" spans="1:30" ht="128.19999999999999" hidden="1" x14ac:dyDescent="0.35">
      <c r="A447" s="349">
        <v>446</v>
      </c>
      <c r="B447" s="352" t="s">
        <v>788</v>
      </c>
      <c r="C447" s="351" t="s">
        <v>789</v>
      </c>
      <c r="D447" s="352" t="s">
        <v>789</v>
      </c>
      <c r="E447" s="352" t="s">
        <v>2008</v>
      </c>
      <c r="F447" s="353">
        <v>1.1000000000000001</v>
      </c>
      <c r="G447" s="352" t="s">
        <v>2126</v>
      </c>
      <c r="H447" s="176" t="s">
        <v>3815</v>
      </c>
      <c r="I447" s="176" t="s">
        <v>4486</v>
      </c>
      <c r="J447" s="352" t="s">
        <v>2056</v>
      </c>
      <c r="K447" s="352">
        <v>4</v>
      </c>
      <c r="L447" s="352" t="s">
        <v>2057</v>
      </c>
      <c r="M447" s="351"/>
      <c r="N447" s="351"/>
      <c r="O447" s="351">
        <v>4</v>
      </c>
      <c r="P447" s="349" t="s">
        <v>818</v>
      </c>
      <c r="R447" s="349">
        <f t="shared" si="6"/>
        <v>13</v>
      </c>
      <c r="S447" s="352"/>
      <c r="T447" s="352"/>
      <c r="U447" s="352"/>
      <c r="V447" s="353"/>
      <c r="W447" s="352"/>
      <c r="X447" s="176"/>
      <c r="Y447" s="176"/>
      <c r="Z447" s="352"/>
      <c r="AA447" s="352"/>
      <c r="AB447" s="352"/>
      <c r="AC447" s="351"/>
      <c r="AD447" s="351"/>
    </row>
    <row r="448" spans="1:30" ht="153.80000000000001" hidden="1" x14ac:dyDescent="0.35">
      <c r="A448" s="349">
        <v>447</v>
      </c>
      <c r="B448" s="352" t="s">
        <v>785</v>
      </c>
      <c r="C448" s="351" t="s">
        <v>786</v>
      </c>
      <c r="D448" s="352" t="s">
        <v>786</v>
      </c>
      <c r="E448" s="352" t="s">
        <v>892</v>
      </c>
      <c r="F448" s="353">
        <v>478.62</v>
      </c>
      <c r="G448" s="352" t="s">
        <v>3002</v>
      </c>
      <c r="H448" s="176" t="s">
        <v>352</v>
      </c>
      <c r="I448" s="176" t="s">
        <v>5089</v>
      </c>
      <c r="J448" s="352" t="s">
        <v>1115</v>
      </c>
      <c r="K448" s="352">
        <v>50</v>
      </c>
      <c r="L448" s="352" t="s">
        <v>1464</v>
      </c>
      <c r="M448" s="351">
        <v>1.2</v>
      </c>
      <c r="N448" s="351" t="s">
        <v>1109</v>
      </c>
      <c r="O448" s="351">
        <v>50</v>
      </c>
      <c r="P448" s="349" t="s">
        <v>1836</v>
      </c>
      <c r="R448" s="349">
        <f t="shared" si="6"/>
        <v>11</v>
      </c>
      <c r="S448" s="352"/>
      <c r="T448" s="352"/>
      <c r="U448" s="352"/>
      <c r="V448" s="353"/>
      <c r="W448" s="352"/>
      <c r="X448" s="176"/>
      <c r="Y448" s="176"/>
      <c r="Z448" s="352"/>
      <c r="AA448" s="352"/>
      <c r="AB448" s="352"/>
      <c r="AC448" s="351"/>
      <c r="AD448" s="351"/>
    </row>
    <row r="449" spans="1:30" ht="25.65" hidden="1" x14ac:dyDescent="0.35">
      <c r="A449" s="349">
        <v>448</v>
      </c>
      <c r="B449" s="352" t="s">
        <v>3090</v>
      </c>
      <c r="C449" s="351" t="s">
        <v>4705</v>
      </c>
      <c r="D449" s="352" t="s">
        <v>538</v>
      </c>
      <c r="E449" s="352" t="s">
        <v>1997</v>
      </c>
      <c r="F449" s="353">
        <v>5.84</v>
      </c>
      <c r="G449" s="352" t="s">
        <v>2058</v>
      </c>
      <c r="H449" s="176" t="s">
        <v>239</v>
      </c>
      <c r="I449" s="176" t="s">
        <v>240</v>
      </c>
      <c r="J449" s="352" t="s">
        <v>1115</v>
      </c>
      <c r="K449" s="352">
        <v>80</v>
      </c>
      <c r="L449" s="352" t="s">
        <v>1464</v>
      </c>
      <c r="M449" s="351"/>
      <c r="N449" s="351"/>
      <c r="O449" s="351">
        <v>80</v>
      </c>
      <c r="P449" s="349" t="s">
        <v>1836</v>
      </c>
      <c r="R449" s="349">
        <f t="shared" si="6"/>
        <v>17</v>
      </c>
      <c r="S449" s="352"/>
      <c r="T449" s="352"/>
      <c r="U449" s="352"/>
      <c r="V449" s="353"/>
      <c r="W449" s="352"/>
      <c r="X449" s="176"/>
      <c r="Y449" s="176"/>
      <c r="Z449" s="352"/>
      <c r="AA449" s="352"/>
      <c r="AB449" s="352"/>
      <c r="AC449" s="352"/>
      <c r="AD449" s="352"/>
    </row>
    <row r="450" spans="1:30" ht="25.65" hidden="1" x14ac:dyDescent="0.35">
      <c r="A450" s="349">
        <v>449</v>
      </c>
      <c r="B450" s="352" t="s">
        <v>3090</v>
      </c>
      <c r="C450" s="351" t="s">
        <v>538</v>
      </c>
      <c r="D450" s="352" t="s">
        <v>538</v>
      </c>
      <c r="E450" s="352" t="s">
        <v>1997</v>
      </c>
      <c r="F450" s="353">
        <v>5.84</v>
      </c>
      <c r="G450" s="352" t="s">
        <v>2058</v>
      </c>
      <c r="H450" s="176" t="s">
        <v>239</v>
      </c>
      <c r="I450" s="176" t="s">
        <v>240</v>
      </c>
      <c r="J450" s="352" t="s">
        <v>1115</v>
      </c>
      <c r="K450" s="352">
        <v>80</v>
      </c>
      <c r="L450" s="352" t="s">
        <v>1464</v>
      </c>
      <c r="M450" s="351"/>
      <c r="N450" s="351"/>
      <c r="O450" s="351">
        <v>80</v>
      </c>
      <c r="P450" s="349" t="s">
        <v>1836</v>
      </c>
      <c r="R450" s="349">
        <f t="shared" si="6"/>
        <v>17</v>
      </c>
      <c r="S450" s="352"/>
      <c r="T450" s="352"/>
      <c r="U450" s="352"/>
      <c r="V450" s="353"/>
      <c r="W450" s="352"/>
      <c r="X450" s="176"/>
      <c r="Y450" s="176"/>
      <c r="Z450" s="352"/>
      <c r="AA450" s="352"/>
      <c r="AB450" s="352"/>
      <c r="AC450" s="352"/>
      <c r="AD450" s="352"/>
    </row>
    <row r="451" spans="1:30" ht="25.65" hidden="1" x14ac:dyDescent="0.35">
      <c r="A451" s="349">
        <v>450</v>
      </c>
      <c r="B451" s="352" t="s">
        <v>3090</v>
      </c>
      <c r="C451" s="351" t="s">
        <v>538</v>
      </c>
      <c r="D451" s="352" t="s">
        <v>538</v>
      </c>
      <c r="E451" s="352" t="s">
        <v>1998</v>
      </c>
      <c r="F451" s="353">
        <v>0.15</v>
      </c>
      <c r="G451" s="352" t="s">
        <v>2126</v>
      </c>
      <c r="H451" s="176" t="s">
        <v>1085</v>
      </c>
      <c r="I451" s="176" t="s">
        <v>1086</v>
      </c>
      <c r="J451" s="352" t="s">
        <v>22</v>
      </c>
      <c r="K451" s="352">
        <v>10</v>
      </c>
      <c r="L451" s="352" t="s">
        <v>23</v>
      </c>
      <c r="M451" s="351"/>
      <c r="N451" s="351"/>
      <c r="O451" s="351">
        <v>10</v>
      </c>
      <c r="P451" s="349" t="s">
        <v>1836</v>
      </c>
      <c r="R451" s="349">
        <f t="shared" ref="R451:R514" si="7">LEN(D451)</f>
        <v>17</v>
      </c>
      <c r="S451" s="352"/>
      <c r="T451" s="352"/>
      <c r="U451" s="352"/>
      <c r="V451" s="353"/>
      <c r="W451" s="352"/>
      <c r="X451" s="176"/>
      <c r="Y451" s="176"/>
      <c r="Z451" s="352"/>
      <c r="AA451" s="352"/>
      <c r="AB451" s="352"/>
      <c r="AC451" s="352"/>
      <c r="AD451" s="352"/>
    </row>
    <row r="452" spans="1:30" ht="25.65" hidden="1" x14ac:dyDescent="0.35">
      <c r="A452" s="349">
        <v>451</v>
      </c>
      <c r="B452" s="352" t="s">
        <v>3090</v>
      </c>
      <c r="C452" s="351" t="s">
        <v>538</v>
      </c>
      <c r="D452" s="352" t="s">
        <v>538</v>
      </c>
      <c r="E452" s="352" t="s">
        <v>1998</v>
      </c>
      <c r="F452" s="353">
        <v>0.2</v>
      </c>
      <c r="G452" s="352" t="s">
        <v>2126</v>
      </c>
      <c r="H452" s="176" t="s">
        <v>1085</v>
      </c>
      <c r="I452" s="176" t="s">
        <v>1086</v>
      </c>
      <c r="J452" s="352" t="s">
        <v>22</v>
      </c>
      <c r="K452" s="352">
        <v>20</v>
      </c>
      <c r="L452" s="352" t="s">
        <v>23</v>
      </c>
      <c r="M452" s="351"/>
      <c r="N452" s="351"/>
      <c r="O452" s="351">
        <v>20</v>
      </c>
      <c r="P452" s="349" t="s">
        <v>1836</v>
      </c>
      <c r="R452" s="349">
        <f t="shared" si="7"/>
        <v>17</v>
      </c>
      <c r="S452" s="352"/>
      <c r="T452" s="352"/>
      <c r="U452" s="352"/>
      <c r="V452" s="353"/>
      <c r="W452" s="352"/>
      <c r="X452" s="176"/>
      <c r="Y452" s="176"/>
      <c r="Z452" s="352"/>
      <c r="AA452" s="352"/>
      <c r="AB452" s="352"/>
      <c r="AC452" s="352"/>
      <c r="AD452" s="352"/>
    </row>
    <row r="453" spans="1:30" ht="25.65" hidden="1" x14ac:dyDescent="0.35">
      <c r="A453" s="349">
        <v>452</v>
      </c>
      <c r="B453" s="352" t="s">
        <v>3090</v>
      </c>
      <c r="C453" s="351" t="s">
        <v>538</v>
      </c>
      <c r="D453" s="352" t="s">
        <v>538</v>
      </c>
      <c r="E453" s="352" t="s">
        <v>1998</v>
      </c>
      <c r="F453" s="353">
        <v>0.4</v>
      </c>
      <c r="G453" s="352" t="s">
        <v>2126</v>
      </c>
      <c r="H453" s="176" t="s">
        <v>1085</v>
      </c>
      <c r="I453" s="176" t="s">
        <v>1086</v>
      </c>
      <c r="J453" s="352" t="s">
        <v>22</v>
      </c>
      <c r="K453" s="352">
        <v>50</v>
      </c>
      <c r="L453" s="352" t="s">
        <v>23</v>
      </c>
      <c r="M453" s="351"/>
      <c r="N453" s="351"/>
      <c r="O453" s="351">
        <v>50</v>
      </c>
      <c r="P453" s="349" t="s">
        <v>1836</v>
      </c>
      <c r="R453" s="349">
        <f t="shared" si="7"/>
        <v>17</v>
      </c>
      <c r="S453" s="352"/>
      <c r="T453" s="352"/>
      <c r="U453" s="352"/>
      <c r="V453" s="353"/>
      <c r="W453" s="352"/>
      <c r="X453" s="176"/>
      <c r="Y453" s="176"/>
      <c r="Z453" s="352"/>
      <c r="AA453" s="352"/>
      <c r="AB453" s="352"/>
      <c r="AC453" s="352"/>
      <c r="AD453" s="352"/>
    </row>
    <row r="454" spans="1:30" ht="25.65" hidden="1" x14ac:dyDescent="0.35">
      <c r="A454" s="349">
        <v>453</v>
      </c>
      <c r="B454" s="352" t="s">
        <v>3090</v>
      </c>
      <c r="C454" s="351" t="s">
        <v>538</v>
      </c>
      <c r="D454" s="352" t="s">
        <v>538</v>
      </c>
      <c r="E454" s="352" t="s">
        <v>1995</v>
      </c>
      <c r="F454" s="353">
        <v>2.25</v>
      </c>
      <c r="G454" s="352" t="s">
        <v>2126</v>
      </c>
      <c r="H454" s="176" t="s">
        <v>1085</v>
      </c>
      <c r="I454" s="176" t="s">
        <v>1086</v>
      </c>
      <c r="J454" s="352" t="s">
        <v>3580</v>
      </c>
      <c r="K454" s="352">
        <v>75</v>
      </c>
      <c r="L454" s="352" t="s">
        <v>3581</v>
      </c>
      <c r="M454" s="351"/>
      <c r="N454" s="351"/>
      <c r="O454" s="351">
        <v>75</v>
      </c>
      <c r="P454" s="349" t="s">
        <v>1836</v>
      </c>
      <c r="R454" s="349">
        <f t="shared" si="7"/>
        <v>17</v>
      </c>
      <c r="S454" s="352"/>
      <c r="T454" s="352"/>
      <c r="U454" s="352"/>
      <c r="V454" s="353"/>
      <c r="W454" s="352"/>
      <c r="X454" s="176"/>
      <c r="Y454" s="176"/>
      <c r="Z454" s="352"/>
      <c r="AA454" s="352"/>
      <c r="AB454" s="352"/>
      <c r="AC454" s="352"/>
      <c r="AD454" s="352"/>
    </row>
    <row r="455" spans="1:30" ht="25.65" hidden="1" x14ac:dyDescent="0.35">
      <c r="A455" s="349">
        <v>454</v>
      </c>
      <c r="B455" s="352" t="s">
        <v>3090</v>
      </c>
      <c r="C455" s="351" t="s">
        <v>538</v>
      </c>
      <c r="D455" s="352" t="s">
        <v>538</v>
      </c>
      <c r="E455" s="352" t="s">
        <v>1995</v>
      </c>
      <c r="F455" s="353">
        <v>2.75</v>
      </c>
      <c r="G455" s="352" t="s">
        <v>2126</v>
      </c>
      <c r="H455" s="176" t="s">
        <v>1085</v>
      </c>
      <c r="I455" s="176" t="s">
        <v>1086</v>
      </c>
      <c r="J455" s="352" t="s">
        <v>3580</v>
      </c>
      <c r="K455" s="352">
        <v>200</v>
      </c>
      <c r="L455" s="352" t="s">
        <v>3581</v>
      </c>
      <c r="M455" s="351"/>
      <c r="N455" s="351"/>
      <c r="O455" s="351">
        <v>200</v>
      </c>
      <c r="P455" s="349" t="s">
        <v>1836</v>
      </c>
      <c r="R455" s="349">
        <f t="shared" si="7"/>
        <v>17</v>
      </c>
      <c r="S455" s="352"/>
      <c r="T455" s="352"/>
      <c r="U455" s="352"/>
      <c r="V455" s="353"/>
      <c r="W455" s="352"/>
      <c r="X455" s="176"/>
      <c r="Y455" s="176"/>
      <c r="Z455" s="352"/>
      <c r="AA455" s="352"/>
      <c r="AB455" s="352"/>
      <c r="AC455" s="352"/>
      <c r="AD455" s="352"/>
    </row>
    <row r="456" spans="1:30" ht="25.65" hidden="1" x14ac:dyDescent="0.35">
      <c r="A456" s="349">
        <v>455</v>
      </c>
      <c r="B456" s="352" t="s">
        <v>3090</v>
      </c>
      <c r="C456" s="351" t="s">
        <v>538</v>
      </c>
      <c r="D456" s="352" t="s">
        <v>538</v>
      </c>
      <c r="E456" s="352" t="s">
        <v>1998</v>
      </c>
      <c r="F456" s="353">
        <v>0.15</v>
      </c>
      <c r="G456" s="352" t="s">
        <v>2126</v>
      </c>
      <c r="H456" s="176" t="s">
        <v>1085</v>
      </c>
      <c r="I456" s="176" t="s">
        <v>1086</v>
      </c>
      <c r="J456" s="352" t="s">
        <v>22</v>
      </c>
      <c r="K456" s="352">
        <v>10</v>
      </c>
      <c r="L456" s="352" t="s">
        <v>23</v>
      </c>
      <c r="M456" s="351"/>
      <c r="N456" s="351"/>
      <c r="O456" s="351">
        <v>10</v>
      </c>
      <c r="P456" s="349" t="s">
        <v>1836</v>
      </c>
      <c r="R456" s="349">
        <f t="shared" si="7"/>
        <v>17</v>
      </c>
      <c r="S456" s="352"/>
      <c r="T456" s="352"/>
      <c r="U456" s="352"/>
      <c r="V456" s="353"/>
      <c r="W456" s="352"/>
      <c r="X456" s="176"/>
      <c r="Y456" s="176"/>
      <c r="Z456" s="352"/>
      <c r="AA456" s="352"/>
      <c r="AB456" s="352"/>
      <c r="AC456" s="352"/>
      <c r="AD456" s="352"/>
    </row>
    <row r="457" spans="1:30" ht="25.65" hidden="1" x14ac:dyDescent="0.35">
      <c r="A457" s="349">
        <v>456</v>
      </c>
      <c r="B457" s="352" t="s">
        <v>3090</v>
      </c>
      <c r="C457" s="351" t="s">
        <v>538</v>
      </c>
      <c r="D457" s="352" t="s">
        <v>538</v>
      </c>
      <c r="E457" s="352" t="s">
        <v>1998</v>
      </c>
      <c r="F457" s="353">
        <v>0.2</v>
      </c>
      <c r="G457" s="352" t="s">
        <v>2126</v>
      </c>
      <c r="H457" s="176" t="s">
        <v>1085</v>
      </c>
      <c r="I457" s="176" t="s">
        <v>1086</v>
      </c>
      <c r="J457" s="352" t="s">
        <v>22</v>
      </c>
      <c r="K457" s="352">
        <v>20</v>
      </c>
      <c r="L457" s="352" t="s">
        <v>23</v>
      </c>
      <c r="M457" s="351"/>
      <c r="N457" s="351"/>
      <c r="O457" s="351">
        <v>20</v>
      </c>
      <c r="P457" s="349" t="s">
        <v>1836</v>
      </c>
      <c r="R457" s="349">
        <f t="shared" si="7"/>
        <v>17</v>
      </c>
      <c r="S457" s="352"/>
      <c r="T457" s="352"/>
      <c r="U457" s="352"/>
      <c r="V457" s="353"/>
      <c r="W457" s="352"/>
      <c r="X457" s="176"/>
      <c r="Y457" s="176"/>
      <c r="Z457" s="352"/>
      <c r="AA457" s="352"/>
      <c r="AB457" s="352"/>
      <c r="AC457" s="352"/>
      <c r="AD457" s="352"/>
    </row>
    <row r="458" spans="1:30" ht="25.65" hidden="1" x14ac:dyDescent="0.35">
      <c r="A458" s="349">
        <v>457</v>
      </c>
      <c r="B458" s="352" t="s">
        <v>3090</v>
      </c>
      <c r="C458" s="351" t="s">
        <v>538</v>
      </c>
      <c r="D458" s="352" t="s">
        <v>538</v>
      </c>
      <c r="E458" s="352" t="s">
        <v>1998</v>
      </c>
      <c r="F458" s="353">
        <v>0.4</v>
      </c>
      <c r="G458" s="352" t="s">
        <v>2126</v>
      </c>
      <c r="H458" s="176" t="s">
        <v>1085</v>
      </c>
      <c r="I458" s="176" t="s">
        <v>1086</v>
      </c>
      <c r="J458" s="352" t="s">
        <v>22</v>
      </c>
      <c r="K458" s="352">
        <v>50</v>
      </c>
      <c r="L458" s="352" t="s">
        <v>23</v>
      </c>
      <c r="M458" s="351"/>
      <c r="N458" s="351"/>
      <c r="O458" s="351">
        <v>50</v>
      </c>
      <c r="P458" s="349" t="s">
        <v>1836</v>
      </c>
      <c r="R458" s="349">
        <f t="shared" si="7"/>
        <v>17</v>
      </c>
      <c r="S458" s="352"/>
      <c r="T458" s="352"/>
      <c r="U458" s="352"/>
      <c r="V458" s="353"/>
      <c r="W458" s="352"/>
      <c r="X458" s="176"/>
      <c r="Y458" s="176"/>
      <c r="Z458" s="352"/>
      <c r="AA458" s="352"/>
      <c r="AB458" s="352"/>
      <c r="AC458" s="352"/>
      <c r="AD458" s="352"/>
    </row>
    <row r="459" spans="1:30" ht="25.65" hidden="1" x14ac:dyDescent="0.35">
      <c r="A459" s="349">
        <v>458</v>
      </c>
      <c r="B459" s="352" t="s">
        <v>3090</v>
      </c>
      <c r="C459" s="351" t="s">
        <v>538</v>
      </c>
      <c r="D459" s="352" t="s">
        <v>538</v>
      </c>
      <c r="E459" s="352" t="s">
        <v>1995</v>
      </c>
      <c r="F459" s="353">
        <v>2.25</v>
      </c>
      <c r="G459" s="352" t="s">
        <v>2126</v>
      </c>
      <c r="H459" s="176" t="s">
        <v>1085</v>
      </c>
      <c r="I459" s="176" t="s">
        <v>1086</v>
      </c>
      <c r="J459" s="352" t="s">
        <v>3580</v>
      </c>
      <c r="K459" s="352">
        <v>75</v>
      </c>
      <c r="L459" s="352" t="s">
        <v>3581</v>
      </c>
      <c r="M459" s="352"/>
      <c r="N459" s="352"/>
      <c r="O459" s="351">
        <v>75</v>
      </c>
      <c r="P459" s="349" t="s">
        <v>1836</v>
      </c>
      <c r="R459" s="349">
        <f t="shared" si="7"/>
        <v>17</v>
      </c>
      <c r="S459" s="352"/>
      <c r="T459" s="352"/>
      <c r="U459" s="352"/>
      <c r="V459" s="353"/>
      <c r="W459" s="352"/>
      <c r="X459" s="176"/>
      <c r="Y459" s="176"/>
      <c r="Z459" s="352"/>
      <c r="AA459" s="352"/>
      <c r="AB459" s="352"/>
      <c r="AC459" s="352"/>
      <c r="AD459" s="352"/>
    </row>
    <row r="460" spans="1:30" ht="25.65" hidden="1" x14ac:dyDescent="0.35">
      <c r="A460" s="349">
        <v>459</v>
      </c>
      <c r="B460" s="352" t="s">
        <v>3090</v>
      </c>
      <c r="C460" s="351" t="s">
        <v>538</v>
      </c>
      <c r="D460" s="352" t="s">
        <v>538</v>
      </c>
      <c r="E460" s="352" t="s">
        <v>1995</v>
      </c>
      <c r="F460" s="353">
        <v>2.75</v>
      </c>
      <c r="G460" s="352" t="s">
        <v>2126</v>
      </c>
      <c r="H460" s="176" t="s">
        <v>1085</v>
      </c>
      <c r="I460" s="176" t="s">
        <v>1086</v>
      </c>
      <c r="J460" s="352" t="s">
        <v>3580</v>
      </c>
      <c r="K460" s="352">
        <v>200</v>
      </c>
      <c r="L460" s="352" t="s">
        <v>3581</v>
      </c>
      <c r="M460" s="352"/>
      <c r="N460" s="352"/>
      <c r="O460" s="351">
        <v>200</v>
      </c>
      <c r="P460" s="349" t="s">
        <v>1836</v>
      </c>
      <c r="R460" s="349">
        <f t="shared" si="7"/>
        <v>17</v>
      </c>
      <c r="S460" s="352"/>
      <c r="T460" s="352"/>
      <c r="U460" s="352"/>
      <c r="V460" s="353"/>
      <c r="W460" s="352"/>
      <c r="X460" s="176"/>
      <c r="Y460" s="176"/>
      <c r="Z460" s="352"/>
      <c r="AA460" s="352"/>
      <c r="AB460" s="352"/>
      <c r="AC460" s="352"/>
      <c r="AD460" s="352"/>
    </row>
    <row r="461" spans="1:30" ht="166.65" hidden="1" x14ac:dyDescent="0.35">
      <c r="A461" s="349">
        <v>460</v>
      </c>
      <c r="B461" s="352" t="s">
        <v>761</v>
      </c>
      <c r="C461" s="351" t="s">
        <v>4706</v>
      </c>
      <c r="D461" s="352" t="s">
        <v>3401</v>
      </c>
      <c r="E461" s="352" t="s">
        <v>1991</v>
      </c>
      <c r="F461" s="353">
        <v>3.3</v>
      </c>
      <c r="G461" s="352" t="s">
        <v>1107</v>
      </c>
      <c r="H461" s="176" t="s">
        <v>2297</v>
      </c>
      <c r="I461" s="176" t="s">
        <v>4482</v>
      </c>
      <c r="J461" s="352" t="s">
        <v>828</v>
      </c>
      <c r="K461" s="351">
        <v>50</v>
      </c>
      <c r="L461" s="351" t="s">
        <v>1116</v>
      </c>
      <c r="M461" s="352">
        <v>3</v>
      </c>
      <c r="N461" s="352" t="s">
        <v>1109</v>
      </c>
      <c r="O461" s="351">
        <v>50</v>
      </c>
      <c r="P461" s="349" t="s">
        <v>1836</v>
      </c>
      <c r="R461" s="349">
        <f t="shared" si="7"/>
        <v>9</v>
      </c>
      <c r="S461" s="352"/>
      <c r="T461" s="352"/>
      <c r="U461" s="352"/>
      <c r="V461" s="353"/>
      <c r="W461" s="352"/>
      <c r="X461" s="176"/>
      <c r="Y461" s="176"/>
      <c r="Z461" s="352"/>
      <c r="AA461" s="352"/>
      <c r="AB461" s="352"/>
      <c r="AC461" s="352"/>
      <c r="AD461" s="352"/>
    </row>
    <row r="462" spans="1:30" ht="166.65" hidden="1" x14ac:dyDescent="0.35">
      <c r="A462" s="349">
        <v>461</v>
      </c>
      <c r="B462" s="352" t="s">
        <v>761</v>
      </c>
      <c r="C462" s="351" t="s">
        <v>4706</v>
      </c>
      <c r="D462" s="352" t="s">
        <v>3401</v>
      </c>
      <c r="E462" s="352" t="s">
        <v>1995</v>
      </c>
      <c r="F462" s="353">
        <v>0.7</v>
      </c>
      <c r="G462" s="352" t="s">
        <v>2126</v>
      </c>
      <c r="H462" s="176" t="s">
        <v>1440</v>
      </c>
      <c r="I462" s="176" t="s">
        <v>4482</v>
      </c>
      <c r="J462" s="352" t="s">
        <v>3580</v>
      </c>
      <c r="K462" s="351">
        <v>200</v>
      </c>
      <c r="L462" s="351" t="s">
        <v>3581</v>
      </c>
      <c r="M462" s="352"/>
      <c r="N462" s="352"/>
      <c r="O462" s="351">
        <v>200</v>
      </c>
      <c r="P462" s="349" t="s">
        <v>1836</v>
      </c>
      <c r="R462" s="349">
        <f t="shared" si="7"/>
        <v>9</v>
      </c>
      <c r="S462" s="352"/>
      <c r="T462" s="352"/>
      <c r="U462" s="352"/>
      <c r="V462" s="353"/>
      <c r="W462" s="352"/>
      <c r="X462" s="176"/>
      <c r="Y462" s="176"/>
      <c r="Z462" s="352"/>
      <c r="AA462" s="352"/>
      <c r="AB462" s="352"/>
      <c r="AC462" s="352"/>
      <c r="AD462" s="352"/>
    </row>
    <row r="463" spans="1:30" ht="64.099999999999994" hidden="1" x14ac:dyDescent="0.35">
      <c r="A463" s="349">
        <v>462</v>
      </c>
      <c r="B463" s="352" t="s">
        <v>2059</v>
      </c>
      <c r="C463" s="351" t="s">
        <v>4709</v>
      </c>
      <c r="D463" s="352" t="s">
        <v>3155</v>
      </c>
      <c r="E463" s="352" t="s">
        <v>2857</v>
      </c>
      <c r="F463" s="353">
        <v>53.572200000000002</v>
      </c>
      <c r="G463" s="352" t="s">
        <v>1107</v>
      </c>
      <c r="H463" s="176" t="s">
        <v>754</v>
      </c>
      <c r="I463" s="176" t="s">
        <v>2681</v>
      </c>
      <c r="J463" s="352" t="s">
        <v>828</v>
      </c>
      <c r="K463" s="351">
        <v>1</v>
      </c>
      <c r="L463" s="351" t="s">
        <v>1116</v>
      </c>
      <c r="M463" s="351">
        <v>10</v>
      </c>
      <c r="N463" s="351" t="s">
        <v>1109</v>
      </c>
      <c r="O463" s="351">
        <v>1</v>
      </c>
      <c r="P463" s="349" t="s">
        <v>1836</v>
      </c>
      <c r="R463" s="349">
        <f t="shared" si="7"/>
        <v>8</v>
      </c>
      <c r="S463" s="352"/>
      <c r="T463" s="352"/>
      <c r="U463" s="352"/>
      <c r="V463" s="353"/>
      <c r="W463" s="352"/>
      <c r="X463" s="176"/>
      <c r="Y463" s="176"/>
      <c r="Z463" s="352"/>
      <c r="AA463" s="352"/>
      <c r="AB463" s="352"/>
      <c r="AC463" s="351"/>
      <c r="AD463" s="351"/>
    </row>
    <row r="464" spans="1:30" ht="205.1" hidden="1" x14ac:dyDescent="0.35">
      <c r="A464" s="349">
        <v>463</v>
      </c>
      <c r="B464" s="352" t="s">
        <v>2128</v>
      </c>
      <c r="C464" s="351" t="s">
        <v>3441</v>
      </c>
      <c r="D464" s="352" t="s">
        <v>3441</v>
      </c>
      <c r="E464" s="352" t="s">
        <v>1114</v>
      </c>
      <c r="F464" s="353">
        <v>3.5259</v>
      </c>
      <c r="G464" s="352" t="s">
        <v>1107</v>
      </c>
      <c r="H464" s="176" t="s">
        <v>3575</v>
      </c>
      <c r="I464" s="176" t="s">
        <v>4923</v>
      </c>
      <c r="J464" s="352" t="s">
        <v>1115</v>
      </c>
      <c r="K464" s="351"/>
      <c r="L464" s="351"/>
      <c r="M464" s="352">
        <v>5</v>
      </c>
      <c r="N464" s="352" t="s">
        <v>1109</v>
      </c>
      <c r="O464" s="351">
        <v>0</v>
      </c>
      <c r="P464" s="349" t="s">
        <v>1837</v>
      </c>
      <c r="R464" s="349">
        <f t="shared" si="7"/>
        <v>13</v>
      </c>
      <c r="S464" s="352"/>
      <c r="T464" s="352"/>
      <c r="U464" s="352"/>
      <c r="V464" s="353"/>
      <c r="W464" s="352"/>
      <c r="X464" s="176"/>
      <c r="Y464" s="176"/>
      <c r="Z464" s="352"/>
      <c r="AA464" s="352"/>
      <c r="AB464" s="352"/>
      <c r="AC464" s="352"/>
      <c r="AD464" s="352"/>
    </row>
    <row r="465" spans="1:30" ht="205.1" hidden="1" x14ac:dyDescent="0.35">
      <c r="A465" s="349">
        <v>464</v>
      </c>
      <c r="B465" s="352" t="s">
        <v>2128</v>
      </c>
      <c r="C465" s="351" t="s">
        <v>3441</v>
      </c>
      <c r="D465" s="352" t="s">
        <v>3441</v>
      </c>
      <c r="E465" s="352" t="s">
        <v>2129</v>
      </c>
      <c r="F465" s="353">
        <v>4.8701999999999996</v>
      </c>
      <c r="G465" s="352" t="s">
        <v>2126</v>
      </c>
      <c r="H465" s="176" t="s">
        <v>3222</v>
      </c>
      <c r="I465" s="176" t="s">
        <v>4923</v>
      </c>
      <c r="J465" s="352" t="s">
        <v>3579</v>
      </c>
      <c r="K465" s="352"/>
      <c r="L465" s="352"/>
      <c r="M465" s="351">
        <v>100</v>
      </c>
      <c r="N465" s="351" t="s">
        <v>1109</v>
      </c>
      <c r="O465" s="351">
        <v>0</v>
      </c>
      <c r="P465" s="349" t="s">
        <v>1837</v>
      </c>
      <c r="R465" s="349">
        <f t="shared" si="7"/>
        <v>13</v>
      </c>
      <c r="S465" s="352"/>
      <c r="T465" s="352"/>
      <c r="U465" s="352"/>
      <c r="V465" s="353"/>
      <c r="W465" s="352"/>
      <c r="X465" s="176"/>
      <c r="Y465" s="176"/>
      <c r="Z465" s="352"/>
      <c r="AA465" s="352"/>
      <c r="AB465" s="352"/>
      <c r="AC465" s="351"/>
      <c r="AD465" s="351"/>
    </row>
    <row r="466" spans="1:30" ht="205.1" hidden="1" x14ac:dyDescent="0.35">
      <c r="A466" s="349">
        <v>465</v>
      </c>
      <c r="B466" s="352" t="s">
        <v>2128</v>
      </c>
      <c r="C466" s="351" t="s">
        <v>3441</v>
      </c>
      <c r="D466" s="352" t="s">
        <v>3441</v>
      </c>
      <c r="E466" s="352" t="s">
        <v>1995</v>
      </c>
      <c r="F466" s="351">
        <v>0.1</v>
      </c>
      <c r="G466" s="352" t="s">
        <v>2126</v>
      </c>
      <c r="H466" s="176" t="s">
        <v>3222</v>
      </c>
      <c r="I466" s="176" t="s">
        <v>4923</v>
      </c>
      <c r="J466" s="352" t="s">
        <v>3580</v>
      </c>
      <c r="K466" s="351"/>
      <c r="L466" s="351"/>
      <c r="M466" s="351"/>
      <c r="N466" s="351"/>
      <c r="O466" s="351">
        <v>0</v>
      </c>
      <c r="P466" s="349" t="s">
        <v>2313</v>
      </c>
      <c r="R466" s="349">
        <f t="shared" si="7"/>
        <v>13</v>
      </c>
      <c r="S466" s="352"/>
      <c r="T466" s="352"/>
      <c r="U466" s="352"/>
      <c r="V466" s="353"/>
      <c r="W466" s="352"/>
      <c r="X466" s="176"/>
      <c r="Y466" s="176"/>
      <c r="Z466" s="352"/>
      <c r="AA466" s="352"/>
      <c r="AB466" s="352"/>
      <c r="AC466" s="352"/>
      <c r="AD466" s="352"/>
    </row>
    <row r="467" spans="1:30" ht="205.1" hidden="1" x14ac:dyDescent="0.35">
      <c r="A467" s="349">
        <v>466</v>
      </c>
      <c r="B467" s="352" t="s">
        <v>2128</v>
      </c>
      <c r="C467" s="351" t="s">
        <v>3441</v>
      </c>
      <c r="D467" s="352" t="s">
        <v>3441</v>
      </c>
      <c r="E467" s="352" t="s">
        <v>1995</v>
      </c>
      <c r="F467" s="351">
        <v>0.25</v>
      </c>
      <c r="G467" s="352" t="s">
        <v>2126</v>
      </c>
      <c r="H467" s="176" t="s">
        <v>3222</v>
      </c>
      <c r="I467" s="176" t="s">
        <v>4923</v>
      </c>
      <c r="J467" s="352" t="s">
        <v>3580</v>
      </c>
      <c r="K467" s="351"/>
      <c r="L467" s="351"/>
      <c r="M467" s="351"/>
      <c r="N467" s="351"/>
      <c r="O467" s="351">
        <v>0</v>
      </c>
      <c r="P467" s="349" t="s">
        <v>2313</v>
      </c>
      <c r="R467" s="349">
        <f t="shared" si="7"/>
        <v>13</v>
      </c>
      <c r="S467" s="352"/>
      <c r="T467" s="352"/>
      <c r="U467" s="352"/>
      <c r="V467" s="353"/>
      <c r="W467" s="352"/>
      <c r="X467" s="176"/>
      <c r="Y467" s="176"/>
      <c r="Z467" s="352"/>
      <c r="AA467" s="352"/>
      <c r="AB467" s="352"/>
      <c r="AC467" s="352"/>
      <c r="AD467" s="352"/>
    </row>
    <row r="468" spans="1:30" ht="38.450000000000003" hidden="1" x14ac:dyDescent="0.35">
      <c r="A468" s="349">
        <v>467</v>
      </c>
      <c r="B468" s="352" t="s">
        <v>2694</v>
      </c>
      <c r="C468" s="351" t="s">
        <v>4710</v>
      </c>
      <c r="D468" s="352" t="s">
        <v>1786</v>
      </c>
      <c r="E468" s="352" t="s">
        <v>1995</v>
      </c>
      <c r="F468" s="353">
        <v>1.25</v>
      </c>
      <c r="G468" s="352" t="s">
        <v>2126</v>
      </c>
      <c r="H468" s="176" t="s">
        <v>1461</v>
      </c>
      <c r="I468" s="176" t="s">
        <v>2829</v>
      </c>
      <c r="J468" s="352" t="s">
        <v>3580</v>
      </c>
      <c r="K468" s="352">
        <v>50</v>
      </c>
      <c r="L468" s="352" t="s">
        <v>3581</v>
      </c>
      <c r="M468" s="351"/>
      <c r="N468" s="351"/>
      <c r="O468" s="351">
        <v>50</v>
      </c>
      <c r="P468" s="349" t="s">
        <v>1836</v>
      </c>
      <c r="R468" s="349">
        <f t="shared" si="7"/>
        <v>8</v>
      </c>
      <c r="S468" s="352"/>
      <c r="T468" s="352"/>
      <c r="U468" s="352"/>
      <c r="V468" s="353"/>
      <c r="W468" s="352"/>
      <c r="X468" s="176"/>
      <c r="Y468" s="176"/>
      <c r="Z468" s="352"/>
      <c r="AA468" s="352"/>
      <c r="AB468" s="352"/>
      <c r="AC468" s="352"/>
      <c r="AD468" s="352"/>
    </row>
    <row r="469" spans="1:30" ht="25.65" hidden="1" x14ac:dyDescent="0.35">
      <c r="A469" s="349">
        <v>468</v>
      </c>
      <c r="B469" s="352" t="s">
        <v>2284</v>
      </c>
      <c r="C469" s="351" t="s">
        <v>3835</v>
      </c>
      <c r="D469" s="352" t="s">
        <v>3835</v>
      </c>
      <c r="E469" s="352" t="s">
        <v>2004</v>
      </c>
      <c r="F469" s="353"/>
      <c r="G469" s="352" t="s">
        <v>2126</v>
      </c>
      <c r="H469" s="176" t="s">
        <v>3836</v>
      </c>
      <c r="I469" s="176"/>
      <c r="J469" s="352" t="s">
        <v>3577</v>
      </c>
      <c r="K469" s="352"/>
      <c r="L469" s="352"/>
      <c r="M469" s="351"/>
      <c r="N469" s="351"/>
      <c r="O469" s="351">
        <v>0</v>
      </c>
      <c r="P469" s="349" t="s">
        <v>2313</v>
      </c>
      <c r="R469" s="349">
        <f t="shared" si="7"/>
        <v>20</v>
      </c>
      <c r="S469" s="352"/>
      <c r="T469" s="352"/>
      <c r="U469" s="352"/>
      <c r="V469" s="353"/>
      <c r="W469" s="352"/>
      <c r="X469" s="176"/>
      <c r="Y469" s="176"/>
      <c r="Z469" s="352"/>
      <c r="AA469" s="352"/>
      <c r="AB469" s="352"/>
      <c r="AC469" s="352"/>
      <c r="AD469" s="352"/>
    </row>
    <row r="470" spans="1:30" ht="25.65" hidden="1" x14ac:dyDescent="0.35">
      <c r="A470" s="349">
        <v>469</v>
      </c>
      <c r="B470" s="352" t="s">
        <v>2284</v>
      </c>
      <c r="C470" s="351" t="s">
        <v>3835</v>
      </c>
      <c r="D470" s="352" t="s">
        <v>3835</v>
      </c>
      <c r="E470" s="352" t="s">
        <v>2004</v>
      </c>
      <c r="F470" s="353"/>
      <c r="G470" s="352" t="s">
        <v>2126</v>
      </c>
      <c r="H470" s="176" t="s">
        <v>3836</v>
      </c>
      <c r="I470" s="176"/>
      <c r="J470" s="352" t="s">
        <v>3577</v>
      </c>
      <c r="K470" s="352"/>
      <c r="L470" s="352"/>
      <c r="M470" s="351"/>
      <c r="N470" s="351"/>
      <c r="O470" s="351">
        <v>0</v>
      </c>
      <c r="P470" s="349" t="s">
        <v>2313</v>
      </c>
      <c r="R470" s="349">
        <f t="shared" si="7"/>
        <v>20</v>
      </c>
      <c r="S470" s="352"/>
      <c r="T470" s="352"/>
      <c r="U470" s="352"/>
      <c r="V470" s="353"/>
      <c r="W470" s="352"/>
      <c r="X470" s="176"/>
      <c r="Y470" s="176"/>
      <c r="Z470" s="352"/>
      <c r="AA470" s="352"/>
      <c r="AB470" s="352"/>
      <c r="AC470" s="352"/>
      <c r="AD470" s="352"/>
    </row>
    <row r="471" spans="1:30" ht="76.900000000000006" hidden="1" x14ac:dyDescent="0.35">
      <c r="A471" s="349">
        <v>470</v>
      </c>
      <c r="B471" s="352" t="s">
        <v>2285</v>
      </c>
      <c r="C471" s="351" t="s">
        <v>4711</v>
      </c>
      <c r="D471" s="352" t="s">
        <v>1391</v>
      </c>
      <c r="E471" s="352" t="s">
        <v>2024</v>
      </c>
      <c r="F471" s="353">
        <v>0.8</v>
      </c>
      <c r="G471" s="352" t="s">
        <v>2126</v>
      </c>
      <c r="H471" s="176" t="s">
        <v>3449</v>
      </c>
      <c r="I471" s="176" t="s">
        <v>4228</v>
      </c>
      <c r="J471" s="352" t="s">
        <v>2286</v>
      </c>
      <c r="K471" s="352">
        <v>150</v>
      </c>
      <c r="L471" s="352" t="s">
        <v>23</v>
      </c>
      <c r="M471" s="351"/>
      <c r="N471" s="351"/>
      <c r="O471" s="351">
        <v>150</v>
      </c>
      <c r="P471" s="349" t="s">
        <v>1836</v>
      </c>
      <c r="R471" s="349">
        <f t="shared" si="7"/>
        <v>24</v>
      </c>
      <c r="S471" s="352"/>
      <c r="T471" s="352"/>
      <c r="U471" s="352"/>
      <c r="V471" s="353"/>
      <c r="W471" s="352"/>
      <c r="X471" s="176"/>
      <c r="Y471" s="176"/>
      <c r="Z471" s="352"/>
      <c r="AA471" s="352"/>
      <c r="AB471" s="352"/>
      <c r="AC471" s="352"/>
      <c r="AD471" s="352"/>
    </row>
    <row r="472" spans="1:30" ht="76.900000000000006" hidden="1" x14ac:dyDescent="0.35">
      <c r="A472" s="349">
        <v>471</v>
      </c>
      <c r="B472" s="352" t="s">
        <v>2285</v>
      </c>
      <c r="C472" s="351" t="s">
        <v>4712</v>
      </c>
      <c r="D472" s="352" t="s">
        <v>1391</v>
      </c>
      <c r="E472" s="352" t="s">
        <v>2024</v>
      </c>
      <c r="F472" s="353">
        <v>2.2000000000000002</v>
      </c>
      <c r="G472" s="352" t="s">
        <v>2126</v>
      </c>
      <c r="H472" s="176" t="s">
        <v>4229</v>
      </c>
      <c r="I472" s="176" t="s">
        <v>4230</v>
      </c>
      <c r="J472" s="352" t="s">
        <v>2286</v>
      </c>
      <c r="K472" s="352">
        <v>300</v>
      </c>
      <c r="L472" s="352" t="s">
        <v>23</v>
      </c>
      <c r="M472" s="352"/>
      <c r="N472" s="352"/>
      <c r="O472" s="351">
        <v>300</v>
      </c>
      <c r="P472" s="349" t="s">
        <v>1836</v>
      </c>
      <c r="R472" s="349">
        <f t="shared" si="7"/>
        <v>24</v>
      </c>
      <c r="S472" s="352"/>
      <c r="T472" s="352"/>
      <c r="U472" s="352"/>
      <c r="V472" s="353"/>
      <c r="W472" s="352"/>
      <c r="X472" s="176"/>
      <c r="Y472" s="176"/>
      <c r="Z472" s="352"/>
      <c r="AA472" s="352"/>
      <c r="AB472" s="352"/>
      <c r="AC472" s="352"/>
      <c r="AD472" s="352"/>
    </row>
    <row r="473" spans="1:30" ht="25.65" hidden="1" x14ac:dyDescent="0.35">
      <c r="A473" s="349">
        <v>472</v>
      </c>
      <c r="B473" s="352" t="s">
        <v>4100</v>
      </c>
      <c r="C473" s="351" t="s">
        <v>4713</v>
      </c>
      <c r="D473" s="352" t="s">
        <v>945</v>
      </c>
      <c r="E473" s="352" t="s">
        <v>1998</v>
      </c>
      <c r="F473" s="353">
        <v>1.9613</v>
      </c>
      <c r="G473" s="352" t="s">
        <v>2126</v>
      </c>
      <c r="H473" s="176" t="s">
        <v>1579</v>
      </c>
      <c r="I473" s="176" t="s">
        <v>3884</v>
      </c>
      <c r="J473" s="352" t="s">
        <v>22</v>
      </c>
      <c r="K473" s="352">
        <v>200</v>
      </c>
      <c r="L473" s="352" t="s">
        <v>23</v>
      </c>
      <c r="M473" s="352"/>
      <c r="N473" s="352"/>
      <c r="O473" s="351">
        <v>200</v>
      </c>
      <c r="P473" s="349" t="s">
        <v>1836</v>
      </c>
      <c r="R473" s="349">
        <f t="shared" si="7"/>
        <v>9</v>
      </c>
      <c r="S473" s="352"/>
      <c r="T473" s="352"/>
      <c r="U473" s="352"/>
      <c r="V473" s="353"/>
      <c r="W473" s="352"/>
      <c r="X473" s="176"/>
      <c r="Y473" s="176"/>
      <c r="Z473" s="352"/>
      <c r="AA473" s="352"/>
      <c r="AB473" s="352"/>
      <c r="AC473" s="352"/>
      <c r="AD473" s="352"/>
    </row>
    <row r="474" spans="1:30" ht="25.65" hidden="1" x14ac:dyDescent="0.35">
      <c r="A474" s="349">
        <v>473</v>
      </c>
      <c r="B474" s="352" t="s">
        <v>4100</v>
      </c>
      <c r="C474" s="351" t="s">
        <v>4713</v>
      </c>
      <c r="D474" s="352" t="s">
        <v>945</v>
      </c>
      <c r="E474" s="352" t="s">
        <v>1998</v>
      </c>
      <c r="F474" s="353">
        <v>3.9</v>
      </c>
      <c r="G474" s="352" t="s">
        <v>2126</v>
      </c>
      <c r="H474" s="176" t="s">
        <v>1579</v>
      </c>
      <c r="I474" s="176" t="s">
        <v>3884</v>
      </c>
      <c r="J474" s="352" t="s">
        <v>22</v>
      </c>
      <c r="K474" s="352">
        <v>400</v>
      </c>
      <c r="L474" s="352" t="s">
        <v>23</v>
      </c>
      <c r="M474" s="352"/>
      <c r="N474" s="352"/>
      <c r="O474" s="351">
        <v>400</v>
      </c>
      <c r="P474" s="349" t="s">
        <v>1836</v>
      </c>
      <c r="R474" s="349">
        <f t="shared" si="7"/>
        <v>9</v>
      </c>
      <c r="S474" s="352"/>
      <c r="T474" s="352"/>
      <c r="U474" s="352"/>
      <c r="V474" s="353"/>
      <c r="W474" s="352"/>
      <c r="X474" s="176"/>
      <c r="Y474" s="176"/>
      <c r="Z474" s="352"/>
      <c r="AA474" s="352"/>
      <c r="AB474" s="352"/>
      <c r="AC474" s="352"/>
      <c r="AD474" s="352"/>
    </row>
    <row r="475" spans="1:30" ht="38.450000000000003" hidden="1" x14ac:dyDescent="0.35">
      <c r="A475" s="349">
        <v>474</v>
      </c>
      <c r="B475" s="352" t="s">
        <v>3101</v>
      </c>
      <c r="C475" s="351" t="s">
        <v>791</v>
      </c>
      <c r="D475" s="352" t="s">
        <v>791</v>
      </c>
      <c r="E475" s="352" t="s">
        <v>2458</v>
      </c>
      <c r="F475" s="353">
        <v>0.70520000000000005</v>
      </c>
      <c r="G475" s="352" t="s">
        <v>3034</v>
      </c>
      <c r="H475" s="176" t="s">
        <v>790</v>
      </c>
      <c r="I475" s="176" t="s">
        <v>435</v>
      </c>
      <c r="J475" s="352" t="s">
        <v>3035</v>
      </c>
      <c r="K475" s="352">
        <v>10</v>
      </c>
      <c r="L475" s="352" t="s">
        <v>1116</v>
      </c>
      <c r="M475" s="352">
        <v>2</v>
      </c>
      <c r="N475" s="352" t="s">
        <v>1109</v>
      </c>
      <c r="O475" s="351">
        <v>10</v>
      </c>
      <c r="P475" s="349" t="s">
        <v>1836</v>
      </c>
      <c r="R475" s="349">
        <f t="shared" si="7"/>
        <v>12</v>
      </c>
      <c r="S475" s="352"/>
      <c r="T475" s="352"/>
      <c r="U475" s="352"/>
      <c r="V475" s="353"/>
      <c r="W475" s="352"/>
      <c r="X475" s="176"/>
      <c r="Y475" s="176"/>
      <c r="Z475" s="352"/>
      <c r="AA475" s="352"/>
      <c r="AB475" s="352"/>
      <c r="AC475" s="352"/>
      <c r="AD475" s="352"/>
    </row>
    <row r="476" spans="1:30" ht="51.3" hidden="1" x14ac:dyDescent="0.35">
      <c r="A476" s="349">
        <v>475</v>
      </c>
      <c r="B476" s="352" t="s">
        <v>3101</v>
      </c>
      <c r="C476" s="351" t="s">
        <v>791</v>
      </c>
      <c r="D476" s="352" t="s">
        <v>791</v>
      </c>
      <c r="E476" s="352" t="s">
        <v>3102</v>
      </c>
      <c r="F476" s="353">
        <v>24.747699999999998</v>
      </c>
      <c r="G476" s="352" t="s">
        <v>3034</v>
      </c>
      <c r="H476" s="176" t="s">
        <v>211</v>
      </c>
      <c r="I476" s="176" t="s">
        <v>434</v>
      </c>
      <c r="J476" s="352" t="s">
        <v>3215</v>
      </c>
      <c r="K476" s="352">
        <v>5</v>
      </c>
      <c r="L476" s="352" t="s">
        <v>3103</v>
      </c>
      <c r="M476" s="352">
        <v>112</v>
      </c>
      <c r="N476" s="352" t="s">
        <v>1656</v>
      </c>
      <c r="O476" s="351">
        <v>5</v>
      </c>
      <c r="P476" s="349" t="s">
        <v>1836</v>
      </c>
      <c r="R476" s="349">
        <f t="shared" si="7"/>
        <v>12</v>
      </c>
      <c r="S476" s="352"/>
      <c r="T476" s="352"/>
      <c r="U476" s="352"/>
      <c r="V476" s="353"/>
      <c r="W476" s="352"/>
      <c r="X476" s="176"/>
      <c r="Y476" s="176"/>
      <c r="Z476" s="352"/>
      <c r="AA476" s="352"/>
      <c r="AB476" s="352"/>
      <c r="AC476" s="352"/>
      <c r="AD476" s="352"/>
    </row>
    <row r="477" spans="1:30" ht="51.3" hidden="1" x14ac:dyDescent="0.35">
      <c r="A477" s="349">
        <v>476</v>
      </c>
      <c r="B477" s="352" t="s">
        <v>3101</v>
      </c>
      <c r="C477" s="351" t="s">
        <v>791</v>
      </c>
      <c r="D477" s="352" t="s">
        <v>791</v>
      </c>
      <c r="E477" s="352" t="s">
        <v>3102</v>
      </c>
      <c r="F477" s="353">
        <v>24.747699999999998</v>
      </c>
      <c r="G477" s="352" t="s">
        <v>3034</v>
      </c>
      <c r="H477" s="176" t="s">
        <v>211</v>
      </c>
      <c r="I477" s="176" t="s">
        <v>434</v>
      </c>
      <c r="J477" s="352" t="s">
        <v>3215</v>
      </c>
      <c r="K477" s="352">
        <v>5</v>
      </c>
      <c r="L477" s="352" t="s">
        <v>3103</v>
      </c>
      <c r="M477" s="352">
        <v>112</v>
      </c>
      <c r="N477" s="352" t="s">
        <v>1656</v>
      </c>
      <c r="O477" s="351">
        <v>5</v>
      </c>
      <c r="P477" s="349" t="s">
        <v>1836</v>
      </c>
      <c r="R477" s="349">
        <f t="shared" si="7"/>
        <v>12</v>
      </c>
      <c r="S477" s="352"/>
      <c r="T477" s="352"/>
      <c r="U477" s="352"/>
      <c r="V477" s="353"/>
      <c r="W477" s="352"/>
      <c r="X477" s="176"/>
      <c r="Y477" s="176"/>
      <c r="Z477" s="352"/>
      <c r="AA477" s="352"/>
      <c r="AB477" s="352"/>
      <c r="AC477" s="352"/>
      <c r="AD477" s="352"/>
    </row>
    <row r="478" spans="1:30" ht="64.099999999999994" hidden="1" x14ac:dyDescent="0.35">
      <c r="A478" s="349">
        <v>477</v>
      </c>
      <c r="B478" s="352" t="s">
        <v>3587</v>
      </c>
      <c r="C478" s="351" t="s">
        <v>4714</v>
      </c>
      <c r="D478" s="352" t="s">
        <v>2425</v>
      </c>
      <c r="E478" s="352" t="s">
        <v>827</v>
      </c>
      <c r="F478" s="353">
        <v>4.7820999999999998</v>
      </c>
      <c r="G478" s="352" t="s">
        <v>1107</v>
      </c>
      <c r="H478" s="37" t="s">
        <v>2426</v>
      </c>
      <c r="I478" s="176" t="s">
        <v>2729</v>
      </c>
      <c r="J478" s="352" t="s">
        <v>828</v>
      </c>
      <c r="K478" s="352">
        <v>20</v>
      </c>
      <c r="L478" s="352" t="s">
        <v>1116</v>
      </c>
      <c r="M478" s="351">
        <v>5</v>
      </c>
      <c r="N478" s="351" t="s">
        <v>1109</v>
      </c>
      <c r="O478" s="351">
        <v>20</v>
      </c>
      <c r="P478" s="349" t="s">
        <v>1836</v>
      </c>
      <c r="R478" s="349">
        <f t="shared" si="7"/>
        <v>13</v>
      </c>
      <c r="S478" s="352"/>
      <c r="T478" s="352"/>
      <c r="U478" s="352"/>
      <c r="V478" s="353"/>
      <c r="W478" s="352"/>
      <c r="X478" s="176"/>
      <c r="Y478" s="176"/>
      <c r="Z478" s="352"/>
      <c r="AA478" s="352"/>
      <c r="AB478" s="352"/>
      <c r="AC478" s="352"/>
      <c r="AD478" s="352"/>
    </row>
    <row r="479" spans="1:30" ht="64.099999999999994" hidden="1" x14ac:dyDescent="0.35">
      <c r="A479" s="349">
        <v>478</v>
      </c>
      <c r="B479" s="352" t="s">
        <v>1792</v>
      </c>
      <c r="C479" s="351" t="s">
        <v>4715</v>
      </c>
      <c r="D479" s="352" t="s">
        <v>1286</v>
      </c>
      <c r="E479" s="352" t="s">
        <v>1793</v>
      </c>
      <c r="F479" s="353">
        <v>12.85</v>
      </c>
      <c r="G479" s="352" t="s">
        <v>34</v>
      </c>
      <c r="H479" s="37" t="s">
        <v>738</v>
      </c>
      <c r="I479" s="176" t="s">
        <v>4729</v>
      </c>
      <c r="J479" s="352" t="s">
        <v>29</v>
      </c>
      <c r="K479" s="352">
        <v>0.5</v>
      </c>
      <c r="L479" s="352" t="s">
        <v>1311</v>
      </c>
      <c r="M479" s="351">
        <v>30</v>
      </c>
      <c r="N479" s="351" t="s">
        <v>31</v>
      </c>
      <c r="O479" s="351">
        <v>0.5</v>
      </c>
      <c r="P479" s="349" t="s">
        <v>1836</v>
      </c>
      <c r="R479" s="349">
        <f t="shared" si="7"/>
        <v>10</v>
      </c>
      <c r="S479" s="352"/>
      <c r="T479" s="352"/>
      <c r="U479" s="352"/>
      <c r="V479" s="353"/>
      <c r="W479" s="352"/>
      <c r="X479" s="176"/>
      <c r="Y479" s="176"/>
      <c r="Z479" s="352"/>
      <c r="AA479" s="352"/>
      <c r="AB479" s="352"/>
      <c r="AC479" s="352"/>
      <c r="AD479" s="352"/>
    </row>
    <row r="480" spans="1:30" ht="64.099999999999994" hidden="1" x14ac:dyDescent="0.35">
      <c r="A480" s="349">
        <v>479</v>
      </c>
      <c r="B480" s="352" t="s">
        <v>1792</v>
      </c>
      <c r="C480" s="351" t="s">
        <v>4715</v>
      </c>
      <c r="D480" s="352" t="s">
        <v>1286</v>
      </c>
      <c r="E480" s="352" t="s">
        <v>1134</v>
      </c>
      <c r="F480" s="353">
        <v>33.937100000000001</v>
      </c>
      <c r="G480" s="352" t="s">
        <v>34</v>
      </c>
      <c r="H480" s="37" t="s">
        <v>738</v>
      </c>
      <c r="I480" s="176" t="s">
        <v>4729</v>
      </c>
      <c r="J480" s="352" t="s">
        <v>2131</v>
      </c>
      <c r="K480" s="352">
        <v>0.05</v>
      </c>
      <c r="L480" s="352" t="s">
        <v>1311</v>
      </c>
      <c r="M480" s="351">
        <v>100</v>
      </c>
      <c r="N480" s="351" t="s">
        <v>31</v>
      </c>
      <c r="O480" s="351">
        <v>0.05</v>
      </c>
      <c r="P480" s="349" t="s">
        <v>1836</v>
      </c>
      <c r="R480" s="349">
        <f t="shared" si="7"/>
        <v>10</v>
      </c>
      <c r="S480" s="352"/>
      <c r="T480" s="352"/>
      <c r="U480" s="352"/>
      <c r="V480" s="353"/>
      <c r="W480" s="352"/>
      <c r="X480" s="176"/>
      <c r="Y480" s="176"/>
      <c r="Z480" s="352"/>
      <c r="AA480" s="352"/>
      <c r="AB480" s="352"/>
      <c r="AC480" s="351"/>
      <c r="AD480" s="351"/>
    </row>
    <row r="481" spans="1:30" ht="64.099999999999994" hidden="1" x14ac:dyDescent="0.35">
      <c r="A481" s="349">
        <v>480</v>
      </c>
      <c r="B481" s="352" t="s">
        <v>1080</v>
      </c>
      <c r="C481" s="351" t="s">
        <v>1667</v>
      </c>
      <c r="D481" s="352" t="s">
        <v>1667</v>
      </c>
      <c r="E481" s="352" t="s">
        <v>1997</v>
      </c>
      <c r="F481" s="353">
        <v>4.1429999999999998</v>
      </c>
      <c r="G481" s="352" t="s">
        <v>1107</v>
      </c>
      <c r="H481" s="37"/>
      <c r="I481" s="176" t="s">
        <v>3970</v>
      </c>
      <c r="J481" s="352" t="s">
        <v>1115</v>
      </c>
      <c r="K481" s="352">
        <v>200</v>
      </c>
      <c r="L481" s="352" t="s">
        <v>1464</v>
      </c>
      <c r="M481" s="351"/>
      <c r="N481" s="351"/>
      <c r="O481" s="351">
        <v>200</v>
      </c>
      <c r="P481" s="349" t="s">
        <v>1836</v>
      </c>
      <c r="R481" s="349">
        <f t="shared" si="7"/>
        <v>14</v>
      </c>
      <c r="S481" s="352"/>
      <c r="T481" s="352"/>
      <c r="U481" s="352"/>
      <c r="V481" s="353"/>
      <c r="W481" s="352"/>
      <c r="X481" s="176"/>
      <c r="Y481" s="176"/>
      <c r="Z481" s="352"/>
      <c r="AA481" s="352"/>
      <c r="AB481" s="352"/>
      <c r="AC481" s="352"/>
      <c r="AD481" s="352"/>
    </row>
    <row r="482" spans="1:30" ht="64.099999999999994" hidden="1" x14ac:dyDescent="0.35">
      <c r="A482" s="349">
        <v>481</v>
      </c>
      <c r="B482" s="352" t="s">
        <v>1080</v>
      </c>
      <c r="C482" s="351" t="s">
        <v>1667</v>
      </c>
      <c r="D482" s="352" t="s">
        <v>1667</v>
      </c>
      <c r="E482" s="352" t="s">
        <v>1997</v>
      </c>
      <c r="F482" s="353">
        <v>9.3437000000000001</v>
      </c>
      <c r="G482" s="352" t="s">
        <v>1107</v>
      </c>
      <c r="H482" s="176"/>
      <c r="I482" s="176" t="s">
        <v>3970</v>
      </c>
      <c r="J482" s="352" t="s">
        <v>1115</v>
      </c>
      <c r="K482" s="352">
        <v>500</v>
      </c>
      <c r="L482" s="352" t="s">
        <v>1464</v>
      </c>
      <c r="M482" s="352"/>
      <c r="N482" s="352"/>
      <c r="O482" s="351">
        <v>500</v>
      </c>
      <c r="P482" s="349" t="s">
        <v>1836</v>
      </c>
      <c r="R482" s="349">
        <f t="shared" si="7"/>
        <v>14</v>
      </c>
      <c r="S482" s="352"/>
      <c r="T482" s="352"/>
      <c r="U482" s="352"/>
      <c r="V482" s="353"/>
      <c r="W482" s="352"/>
      <c r="X482" s="176"/>
      <c r="Y482" s="176"/>
      <c r="Z482" s="352"/>
      <c r="AA482" s="352"/>
      <c r="AB482" s="352"/>
      <c r="AC482" s="351"/>
      <c r="AD482" s="351"/>
    </row>
    <row r="483" spans="1:30" ht="64.099999999999994" hidden="1" x14ac:dyDescent="0.35">
      <c r="A483" s="349">
        <v>482</v>
      </c>
      <c r="B483" s="352" t="s">
        <v>1080</v>
      </c>
      <c r="C483" s="351" t="s">
        <v>1667</v>
      </c>
      <c r="D483" s="352" t="s">
        <v>1667</v>
      </c>
      <c r="E483" s="352" t="s">
        <v>1997</v>
      </c>
      <c r="F483" s="353">
        <v>18.951899999999998</v>
      </c>
      <c r="G483" s="352" t="s">
        <v>1107</v>
      </c>
      <c r="H483" s="176"/>
      <c r="I483" s="176" t="s">
        <v>3970</v>
      </c>
      <c r="J483" s="352" t="s">
        <v>1115</v>
      </c>
      <c r="K483" s="352">
        <v>1000</v>
      </c>
      <c r="L483" s="352" t="s">
        <v>1464</v>
      </c>
      <c r="M483" s="352"/>
      <c r="N483" s="352"/>
      <c r="O483" s="351">
        <v>1000</v>
      </c>
      <c r="P483" s="349" t="s">
        <v>1836</v>
      </c>
      <c r="R483" s="349">
        <f t="shared" si="7"/>
        <v>14</v>
      </c>
      <c r="S483" s="352"/>
      <c r="T483" s="352"/>
      <c r="U483" s="352"/>
      <c r="V483" s="353"/>
      <c r="W483" s="352"/>
      <c r="X483" s="176"/>
      <c r="Y483" s="176"/>
      <c r="Z483" s="352"/>
      <c r="AA483" s="352"/>
      <c r="AB483" s="352"/>
      <c r="AC483" s="352"/>
      <c r="AD483" s="352"/>
    </row>
    <row r="484" spans="1:30" ht="64.099999999999994" hidden="1" x14ac:dyDescent="0.35">
      <c r="A484" s="349">
        <v>483</v>
      </c>
      <c r="B484" s="352" t="s">
        <v>1080</v>
      </c>
      <c r="C484" s="351" t="s">
        <v>1667</v>
      </c>
      <c r="D484" s="352" t="s">
        <v>1667</v>
      </c>
      <c r="E484" s="352" t="s">
        <v>2002</v>
      </c>
      <c r="F484" s="353">
        <v>0.26</v>
      </c>
      <c r="G484" s="352" t="s">
        <v>2126</v>
      </c>
      <c r="H484" s="176"/>
      <c r="I484" s="176" t="s">
        <v>3970</v>
      </c>
      <c r="J484" s="352" t="s">
        <v>1502</v>
      </c>
      <c r="K484" s="352">
        <v>50</v>
      </c>
      <c r="L484" s="352" t="s">
        <v>1503</v>
      </c>
      <c r="M484" s="351"/>
      <c r="N484" s="351"/>
      <c r="O484" s="351">
        <v>50</v>
      </c>
      <c r="P484" s="349" t="s">
        <v>1836</v>
      </c>
      <c r="R484" s="349">
        <f t="shared" si="7"/>
        <v>14</v>
      </c>
      <c r="S484" s="352"/>
      <c r="T484" s="352"/>
      <c r="U484" s="352"/>
      <c r="V484" s="353"/>
      <c r="W484" s="352"/>
      <c r="X484" s="176"/>
      <c r="Y484" s="176"/>
      <c r="Z484" s="352"/>
      <c r="AA484" s="352"/>
      <c r="AB484" s="352"/>
      <c r="AC484" s="351"/>
      <c r="AD484" s="351"/>
    </row>
    <row r="485" spans="1:30" ht="38.450000000000003" hidden="1" x14ac:dyDescent="0.35">
      <c r="A485" s="349">
        <v>484</v>
      </c>
      <c r="B485" s="352" t="s">
        <v>3208</v>
      </c>
      <c r="C485" s="351" t="s">
        <v>4716</v>
      </c>
      <c r="D485" s="352" t="s">
        <v>1668</v>
      </c>
      <c r="E485" s="352" t="s">
        <v>3104</v>
      </c>
      <c r="F485" s="353">
        <v>1.0578000000000001</v>
      </c>
      <c r="G485" s="352" t="s">
        <v>34</v>
      </c>
      <c r="H485" s="176" t="s">
        <v>2917</v>
      </c>
      <c r="I485" s="176" t="s">
        <v>1669</v>
      </c>
      <c r="J485" s="352" t="s">
        <v>3105</v>
      </c>
      <c r="K485" s="352">
        <v>5</v>
      </c>
      <c r="L485" s="352" t="s">
        <v>1116</v>
      </c>
      <c r="M485" s="352">
        <v>0.5</v>
      </c>
      <c r="N485" s="352" t="s">
        <v>1109</v>
      </c>
      <c r="O485" s="351">
        <v>5</v>
      </c>
      <c r="P485" s="349" t="s">
        <v>1836</v>
      </c>
      <c r="R485" s="349">
        <f t="shared" si="7"/>
        <v>14</v>
      </c>
      <c r="S485" s="352"/>
      <c r="T485" s="352"/>
      <c r="U485" s="352"/>
      <c r="V485" s="353"/>
      <c r="W485" s="352"/>
      <c r="X485" s="176"/>
      <c r="Y485" s="176"/>
      <c r="Z485" s="352"/>
      <c r="AA485" s="352"/>
      <c r="AB485" s="352"/>
      <c r="AC485" s="351"/>
      <c r="AD485" s="351"/>
    </row>
    <row r="486" spans="1:30" ht="38.450000000000003" hidden="1" x14ac:dyDescent="0.35">
      <c r="A486" s="349">
        <v>485</v>
      </c>
      <c r="B486" s="352" t="s">
        <v>3208</v>
      </c>
      <c r="C486" s="351" t="s">
        <v>1668</v>
      </c>
      <c r="D486" s="352" t="s">
        <v>1668</v>
      </c>
      <c r="E486" s="352" t="s">
        <v>3104</v>
      </c>
      <c r="F486" s="353">
        <v>1.0578000000000001</v>
      </c>
      <c r="G486" s="352" t="s">
        <v>34</v>
      </c>
      <c r="H486" s="176" t="s">
        <v>2917</v>
      </c>
      <c r="I486" s="176" t="s">
        <v>1669</v>
      </c>
      <c r="J486" s="352" t="s">
        <v>3105</v>
      </c>
      <c r="K486" s="352">
        <v>5</v>
      </c>
      <c r="L486" s="352" t="s">
        <v>1116</v>
      </c>
      <c r="M486" s="351">
        <v>0.5</v>
      </c>
      <c r="N486" s="351" t="s">
        <v>1109</v>
      </c>
      <c r="O486" s="351">
        <v>5</v>
      </c>
      <c r="P486" s="349" t="s">
        <v>1836</v>
      </c>
      <c r="R486" s="349">
        <f t="shared" si="7"/>
        <v>14</v>
      </c>
      <c r="S486" s="352"/>
      <c r="T486" s="352"/>
      <c r="U486" s="352"/>
      <c r="V486" s="353"/>
      <c r="W486" s="352"/>
      <c r="X486" s="176"/>
      <c r="Y486" s="176"/>
      <c r="Z486" s="352"/>
      <c r="AA486" s="352"/>
      <c r="AB486" s="352"/>
      <c r="AC486" s="352"/>
      <c r="AD486" s="352"/>
    </row>
    <row r="487" spans="1:30" ht="102.55" hidden="1" x14ac:dyDescent="0.35">
      <c r="A487" s="349">
        <v>486</v>
      </c>
      <c r="B487" s="352" t="s">
        <v>4044</v>
      </c>
      <c r="C487" s="351" t="s">
        <v>4717</v>
      </c>
      <c r="D487" s="352" t="s">
        <v>946</v>
      </c>
      <c r="E487" s="352" t="s">
        <v>827</v>
      </c>
      <c r="F487" s="353">
        <v>8.0434999999999999</v>
      </c>
      <c r="G487" s="352" t="s">
        <v>1107</v>
      </c>
      <c r="H487" s="176" t="s">
        <v>1863</v>
      </c>
      <c r="I487" s="176" t="s">
        <v>4600</v>
      </c>
      <c r="J487" s="352" t="s">
        <v>828</v>
      </c>
      <c r="K487" s="352">
        <v>100</v>
      </c>
      <c r="L487" s="352" t="s">
        <v>1116</v>
      </c>
      <c r="M487" s="351">
        <v>5</v>
      </c>
      <c r="N487" s="351" t="s">
        <v>1109</v>
      </c>
      <c r="O487" s="351">
        <v>100</v>
      </c>
      <c r="P487" s="349" t="s">
        <v>1836</v>
      </c>
      <c r="R487" s="349">
        <f t="shared" si="7"/>
        <v>15</v>
      </c>
      <c r="S487" s="352"/>
      <c r="T487" s="352"/>
      <c r="U487" s="352"/>
      <c r="V487" s="353"/>
      <c r="W487" s="352"/>
      <c r="X487" s="176"/>
      <c r="Y487" s="176"/>
      <c r="Z487" s="352"/>
      <c r="AA487" s="352"/>
      <c r="AB487" s="352"/>
      <c r="AC487" s="352"/>
      <c r="AD487" s="352"/>
    </row>
    <row r="488" spans="1:30" ht="102.55" hidden="1" x14ac:dyDescent="0.35">
      <c r="A488" s="349">
        <v>487</v>
      </c>
      <c r="B488" s="352" t="s">
        <v>4044</v>
      </c>
      <c r="C488" s="351" t="s">
        <v>4717</v>
      </c>
      <c r="D488" s="352" t="s">
        <v>946</v>
      </c>
      <c r="E488" s="352" t="s">
        <v>1995</v>
      </c>
      <c r="F488" s="353">
        <v>0.9476</v>
      </c>
      <c r="G488" s="352" t="s">
        <v>2126</v>
      </c>
      <c r="H488" s="176" t="s">
        <v>1864</v>
      </c>
      <c r="I488" s="176" t="s">
        <v>4600</v>
      </c>
      <c r="J488" s="352" t="s">
        <v>3580</v>
      </c>
      <c r="K488" s="352">
        <v>500</v>
      </c>
      <c r="L488" s="352" t="s">
        <v>3581</v>
      </c>
      <c r="M488" s="351"/>
      <c r="N488" s="351"/>
      <c r="O488" s="351">
        <v>500</v>
      </c>
      <c r="P488" s="349" t="s">
        <v>1836</v>
      </c>
      <c r="R488" s="349">
        <f t="shared" si="7"/>
        <v>15</v>
      </c>
      <c r="S488" s="352"/>
      <c r="T488" s="352"/>
      <c r="U488" s="352"/>
      <c r="V488" s="353"/>
      <c r="W488" s="352"/>
      <c r="X488" s="176"/>
      <c r="Y488" s="176"/>
      <c r="Z488" s="352"/>
      <c r="AA488" s="352"/>
      <c r="AB488" s="352"/>
      <c r="AC488" s="351"/>
      <c r="AD488" s="351"/>
    </row>
    <row r="489" spans="1:30" ht="102.55" hidden="1" x14ac:dyDescent="0.35">
      <c r="A489" s="349">
        <v>488</v>
      </c>
      <c r="B489" s="352" t="s">
        <v>4100</v>
      </c>
      <c r="C489" s="351" t="s">
        <v>4718</v>
      </c>
      <c r="D489" s="352" t="s">
        <v>1704</v>
      </c>
      <c r="E489" s="352" t="s">
        <v>1997</v>
      </c>
      <c r="F489" s="353">
        <v>57.208300000000001</v>
      </c>
      <c r="G489" s="352" t="s">
        <v>1107</v>
      </c>
      <c r="H489" s="176" t="s">
        <v>1580</v>
      </c>
      <c r="I489" s="176" t="s">
        <v>4474</v>
      </c>
      <c r="J489" s="352" t="s">
        <v>1115</v>
      </c>
      <c r="K489" s="352">
        <v>500</v>
      </c>
      <c r="L489" s="352" t="s">
        <v>1464</v>
      </c>
      <c r="M489" s="351"/>
      <c r="N489" s="351"/>
      <c r="O489" s="351">
        <v>500</v>
      </c>
      <c r="P489" s="349" t="s">
        <v>1836</v>
      </c>
      <c r="R489" s="349">
        <f t="shared" si="7"/>
        <v>11</v>
      </c>
      <c r="S489" s="352"/>
      <c r="T489" s="352"/>
      <c r="U489" s="352"/>
      <c r="V489" s="353"/>
      <c r="W489" s="352"/>
      <c r="X489" s="176"/>
      <c r="Y489" s="37"/>
      <c r="Z489" s="352"/>
      <c r="AA489" s="352"/>
      <c r="AB489" s="352"/>
      <c r="AC489" s="351"/>
      <c r="AD489" s="351"/>
    </row>
    <row r="490" spans="1:30" ht="102.55" hidden="1" x14ac:dyDescent="0.35">
      <c r="A490" s="349">
        <v>489</v>
      </c>
      <c r="B490" s="352" t="s">
        <v>4100</v>
      </c>
      <c r="C490" s="351" t="s">
        <v>4718</v>
      </c>
      <c r="D490" s="352" t="s">
        <v>1704</v>
      </c>
      <c r="E490" s="352" t="s">
        <v>1998</v>
      </c>
      <c r="F490" s="353">
        <v>8.4621999999999993</v>
      </c>
      <c r="G490" s="352" t="s">
        <v>2126</v>
      </c>
      <c r="H490" s="176" t="s">
        <v>3742</v>
      </c>
      <c r="I490" s="176" t="s">
        <v>4474</v>
      </c>
      <c r="J490" s="352" t="s">
        <v>22</v>
      </c>
      <c r="K490" s="352">
        <v>250</v>
      </c>
      <c r="L490" s="352" t="s">
        <v>23</v>
      </c>
      <c r="M490" s="352"/>
      <c r="N490" s="352"/>
      <c r="O490" s="351">
        <v>250</v>
      </c>
      <c r="P490" s="349" t="s">
        <v>1836</v>
      </c>
      <c r="R490" s="349">
        <f t="shared" si="7"/>
        <v>11</v>
      </c>
      <c r="S490" s="352"/>
      <c r="T490" s="352"/>
      <c r="U490" s="352"/>
      <c r="V490" s="353"/>
      <c r="W490" s="352"/>
      <c r="X490" s="176"/>
      <c r="Y490" s="176"/>
      <c r="Z490" s="352"/>
      <c r="AA490" s="352"/>
      <c r="AB490" s="352"/>
      <c r="AC490" s="351"/>
      <c r="AD490" s="351"/>
    </row>
    <row r="491" spans="1:30" ht="51.3" hidden="1" x14ac:dyDescent="0.35">
      <c r="A491" s="349">
        <v>490</v>
      </c>
      <c r="B491" s="352" t="s">
        <v>755</v>
      </c>
      <c r="C491" s="351" t="s">
        <v>4719</v>
      </c>
      <c r="D491" s="352" t="s">
        <v>3840</v>
      </c>
      <c r="E491" s="352" t="s">
        <v>1998</v>
      </c>
      <c r="F491" s="353">
        <v>1.35</v>
      </c>
      <c r="G491" s="352" t="s">
        <v>2126</v>
      </c>
      <c r="H491" s="176" t="s">
        <v>3841</v>
      </c>
      <c r="I491" s="176" t="s">
        <v>954</v>
      </c>
      <c r="J491" s="352" t="s">
        <v>22</v>
      </c>
      <c r="K491" s="352">
        <v>50</v>
      </c>
      <c r="L491" s="352" t="s">
        <v>23</v>
      </c>
      <c r="M491" s="352"/>
      <c r="N491" s="352"/>
      <c r="O491" s="351">
        <v>50</v>
      </c>
      <c r="P491" s="349" t="s">
        <v>1836</v>
      </c>
      <c r="R491" s="349">
        <f t="shared" si="7"/>
        <v>21</v>
      </c>
      <c r="S491" s="352"/>
      <c r="T491" s="352"/>
      <c r="U491" s="352"/>
      <c r="V491" s="353"/>
      <c r="W491" s="352"/>
      <c r="X491" s="176"/>
      <c r="Y491" s="176"/>
      <c r="Z491" s="352"/>
      <c r="AA491" s="352"/>
      <c r="AB491" s="352"/>
      <c r="AC491" s="352"/>
      <c r="AD491" s="352"/>
    </row>
    <row r="492" spans="1:30" ht="51.3" hidden="1" x14ac:dyDescent="0.35">
      <c r="A492" s="349">
        <v>491</v>
      </c>
      <c r="B492" s="352" t="s">
        <v>755</v>
      </c>
      <c r="C492" s="351" t="s">
        <v>4719</v>
      </c>
      <c r="D492" s="352" t="s">
        <v>3840</v>
      </c>
      <c r="E492" s="352" t="s">
        <v>1998</v>
      </c>
      <c r="F492" s="353">
        <v>4</v>
      </c>
      <c r="G492" s="352" t="s">
        <v>2126</v>
      </c>
      <c r="H492" s="176" t="s">
        <v>3841</v>
      </c>
      <c r="I492" s="176" t="s">
        <v>954</v>
      </c>
      <c r="J492" s="352" t="s">
        <v>22</v>
      </c>
      <c r="K492" s="352">
        <v>150</v>
      </c>
      <c r="L492" s="352" t="s">
        <v>23</v>
      </c>
      <c r="M492" s="351"/>
      <c r="N492" s="351"/>
      <c r="O492" s="351">
        <v>150</v>
      </c>
      <c r="P492" s="349" t="s">
        <v>1836</v>
      </c>
      <c r="R492" s="349">
        <f t="shared" si="7"/>
        <v>21</v>
      </c>
      <c r="S492" s="352"/>
      <c r="T492" s="352"/>
      <c r="U492" s="352"/>
      <c r="V492" s="353"/>
      <c r="W492" s="352"/>
      <c r="X492" s="176"/>
      <c r="Y492" s="176"/>
      <c r="Z492" s="352"/>
      <c r="AA492" s="352"/>
      <c r="AB492" s="352"/>
      <c r="AC492" s="351"/>
      <c r="AD492" s="351"/>
    </row>
    <row r="493" spans="1:30" hidden="1" x14ac:dyDescent="0.35">
      <c r="A493" s="349">
        <v>492</v>
      </c>
      <c r="B493" s="352" t="s">
        <v>3057</v>
      </c>
      <c r="C493" s="351" t="s">
        <v>3058</v>
      </c>
      <c r="D493" s="352" t="s">
        <v>3058</v>
      </c>
      <c r="E493" s="352" t="s">
        <v>3209</v>
      </c>
      <c r="F493" s="353">
        <v>6.7873999999999999</v>
      </c>
      <c r="G493" s="352" t="s">
        <v>34</v>
      </c>
      <c r="H493" s="176" t="s">
        <v>3059</v>
      </c>
      <c r="I493" s="176" t="s">
        <v>3263</v>
      </c>
      <c r="J493" s="352" t="s">
        <v>4025</v>
      </c>
      <c r="K493" s="352">
        <v>3</v>
      </c>
      <c r="L493" s="352" t="s">
        <v>1116</v>
      </c>
      <c r="M493" s="351">
        <v>5</v>
      </c>
      <c r="N493" s="351" t="s">
        <v>1109</v>
      </c>
      <c r="O493" s="351">
        <v>3</v>
      </c>
      <c r="P493" s="349" t="s">
        <v>1836</v>
      </c>
      <c r="R493" s="349">
        <f t="shared" si="7"/>
        <v>10</v>
      </c>
      <c r="S493" s="352"/>
      <c r="T493" s="352"/>
      <c r="U493" s="352"/>
      <c r="V493" s="353"/>
      <c r="W493" s="352"/>
      <c r="X493" s="176"/>
      <c r="Y493" s="176"/>
      <c r="Z493" s="352"/>
      <c r="AA493" s="352"/>
      <c r="AB493" s="352"/>
      <c r="AC493" s="351"/>
      <c r="AD493" s="351"/>
    </row>
    <row r="494" spans="1:30" hidden="1" x14ac:dyDescent="0.35">
      <c r="A494" s="349">
        <v>493</v>
      </c>
      <c r="B494" s="352" t="s">
        <v>3057</v>
      </c>
      <c r="C494" s="351" t="s">
        <v>4720</v>
      </c>
      <c r="D494" s="352" t="s">
        <v>3058</v>
      </c>
      <c r="E494" s="352" t="s">
        <v>3209</v>
      </c>
      <c r="F494" s="353">
        <v>6.7873999999999999</v>
      </c>
      <c r="G494" s="352" t="s">
        <v>34</v>
      </c>
      <c r="H494" s="37" t="s">
        <v>3059</v>
      </c>
      <c r="I494" s="176" t="s">
        <v>3263</v>
      </c>
      <c r="J494" s="352" t="s">
        <v>4025</v>
      </c>
      <c r="K494" s="352">
        <v>3</v>
      </c>
      <c r="L494" s="352" t="s">
        <v>1116</v>
      </c>
      <c r="M494" s="351">
        <v>5</v>
      </c>
      <c r="N494" s="351" t="s">
        <v>1109</v>
      </c>
      <c r="O494" s="351">
        <v>3</v>
      </c>
      <c r="P494" s="349" t="s">
        <v>1836</v>
      </c>
      <c r="R494" s="349">
        <f t="shared" si="7"/>
        <v>10</v>
      </c>
      <c r="S494" s="352"/>
      <c r="T494" s="352"/>
      <c r="U494" s="352"/>
      <c r="V494" s="353"/>
      <c r="W494" s="352"/>
      <c r="X494" s="176"/>
      <c r="Y494" s="176"/>
      <c r="Z494" s="352"/>
      <c r="AA494" s="352"/>
      <c r="AB494" s="352"/>
      <c r="AC494" s="352"/>
      <c r="AD494" s="352"/>
    </row>
    <row r="495" spans="1:30" ht="51.3" hidden="1" x14ac:dyDescent="0.35">
      <c r="A495" s="349">
        <v>494</v>
      </c>
      <c r="B495" s="352" t="s">
        <v>755</v>
      </c>
      <c r="C495" s="351" t="s">
        <v>3840</v>
      </c>
      <c r="D495" s="352" t="s">
        <v>3840</v>
      </c>
      <c r="E495" s="352" t="s">
        <v>1998</v>
      </c>
      <c r="F495" s="353">
        <v>1.35</v>
      </c>
      <c r="G495" s="352" t="s">
        <v>2126</v>
      </c>
      <c r="H495" s="37" t="s">
        <v>3841</v>
      </c>
      <c r="I495" s="176" t="s">
        <v>954</v>
      </c>
      <c r="J495" s="352" t="s">
        <v>22</v>
      </c>
      <c r="K495" s="352">
        <v>50</v>
      </c>
      <c r="L495" s="352" t="s">
        <v>23</v>
      </c>
      <c r="M495" s="351"/>
      <c r="N495" s="351"/>
      <c r="O495" s="351">
        <v>50</v>
      </c>
      <c r="P495" s="349" t="s">
        <v>1836</v>
      </c>
      <c r="R495" s="349">
        <f t="shared" si="7"/>
        <v>21</v>
      </c>
      <c r="S495" s="352"/>
      <c r="T495" s="352"/>
      <c r="U495" s="352"/>
      <c r="V495" s="353"/>
      <c r="W495" s="352"/>
      <c r="X495" s="176"/>
      <c r="Y495" s="176"/>
      <c r="Z495" s="352"/>
      <c r="AA495" s="352"/>
      <c r="AB495" s="352"/>
      <c r="AC495" s="352"/>
      <c r="AD495" s="352"/>
    </row>
    <row r="496" spans="1:30" ht="51.3" hidden="1" x14ac:dyDescent="0.35">
      <c r="A496" s="349">
        <v>495</v>
      </c>
      <c r="B496" s="352" t="s">
        <v>755</v>
      </c>
      <c r="C496" s="351" t="s">
        <v>3840</v>
      </c>
      <c r="D496" s="352" t="s">
        <v>3840</v>
      </c>
      <c r="E496" s="352" t="s">
        <v>1998</v>
      </c>
      <c r="F496" s="353">
        <v>4</v>
      </c>
      <c r="G496" s="352" t="s">
        <v>2126</v>
      </c>
      <c r="H496" s="37" t="s">
        <v>3841</v>
      </c>
      <c r="I496" s="176" t="s">
        <v>954</v>
      </c>
      <c r="J496" s="352" t="s">
        <v>22</v>
      </c>
      <c r="K496" s="352">
        <v>150</v>
      </c>
      <c r="L496" s="352" t="s">
        <v>23</v>
      </c>
      <c r="M496" s="351"/>
      <c r="N496" s="351"/>
      <c r="O496" s="351">
        <v>150</v>
      </c>
      <c r="P496" s="349" t="s">
        <v>1836</v>
      </c>
      <c r="R496" s="349">
        <f t="shared" si="7"/>
        <v>21</v>
      </c>
      <c r="S496" s="352"/>
      <c r="T496" s="352"/>
      <c r="U496" s="352"/>
      <c r="V496" s="353"/>
      <c r="W496" s="352"/>
      <c r="X496" s="176"/>
      <c r="Y496" s="176"/>
      <c r="Z496" s="352"/>
      <c r="AA496" s="352"/>
      <c r="AB496" s="352"/>
      <c r="AC496" s="351"/>
      <c r="AD496" s="351"/>
    </row>
    <row r="497" spans="1:30" ht="25.65" hidden="1" x14ac:dyDescent="0.35">
      <c r="A497" s="349">
        <v>496</v>
      </c>
      <c r="B497" s="352" t="s">
        <v>1080</v>
      </c>
      <c r="C497" s="351" t="s">
        <v>955</v>
      </c>
      <c r="D497" s="352" t="s">
        <v>955</v>
      </c>
      <c r="E497" s="352" t="s">
        <v>1997</v>
      </c>
      <c r="F497" s="353">
        <v>8.7927999999999997</v>
      </c>
      <c r="G497" s="352" t="s">
        <v>756</v>
      </c>
      <c r="H497" s="37"/>
      <c r="I497" s="176" t="s">
        <v>3272</v>
      </c>
      <c r="J497" s="352" t="s">
        <v>1115</v>
      </c>
      <c r="K497" s="352">
        <v>100</v>
      </c>
      <c r="L497" s="352" t="s">
        <v>1464</v>
      </c>
      <c r="M497" s="351"/>
      <c r="N497" s="351"/>
      <c r="O497" s="351">
        <v>100</v>
      </c>
      <c r="P497" s="349" t="s">
        <v>1836</v>
      </c>
      <c r="R497" s="349">
        <f t="shared" si="7"/>
        <v>10</v>
      </c>
      <c r="S497" s="352"/>
      <c r="T497" s="352"/>
      <c r="U497" s="352"/>
      <c r="V497" s="353"/>
      <c r="W497" s="352"/>
      <c r="X497" s="176"/>
      <c r="Y497" s="176"/>
      <c r="Z497" s="352"/>
      <c r="AA497" s="352"/>
      <c r="AB497" s="352"/>
      <c r="AC497" s="351"/>
      <c r="AD497" s="351"/>
    </row>
    <row r="498" spans="1:30" ht="25.65" hidden="1" x14ac:dyDescent="0.35">
      <c r="A498" s="349">
        <v>497</v>
      </c>
      <c r="B498" s="352" t="s">
        <v>1080</v>
      </c>
      <c r="C498" s="351" t="s">
        <v>955</v>
      </c>
      <c r="D498" s="352" t="s">
        <v>955</v>
      </c>
      <c r="E498" s="352" t="s">
        <v>1997</v>
      </c>
      <c r="F498" s="353">
        <v>54.982599999999998</v>
      </c>
      <c r="G498" s="352" t="s">
        <v>756</v>
      </c>
      <c r="H498" s="37"/>
      <c r="I498" s="176" t="s">
        <v>3272</v>
      </c>
      <c r="J498" s="352" t="s">
        <v>1115</v>
      </c>
      <c r="K498" s="352">
        <v>1000</v>
      </c>
      <c r="L498" s="352" t="s">
        <v>1464</v>
      </c>
      <c r="M498" s="351"/>
      <c r="N498" s="351"/>
      <c r="O498" s="351">
        <v>1000</v>
      </c>
      <c r="P498" s="349" t="s">
        <v>1836</v>
      </c>
      <c r="R498" s="349">
        <f t="shared" si="7"/>
        <v>10</v>
      </c>
      <c r="S498" s="352"/>
      <c r="T498" s="352"/>
      <c r="U498" s="352"/>
      <c r="V498" s="353"/>
      <c r="W498" s="352"/>
      <c r="X498" s="176"/>
      <c r="Y498" s="176"/>
      <c r="Z498" s="352"/>
      <c r="AA498" s="352"/>
      <c r="AB498" s="352"/>
      <c r="AC498" s="351"/>
      <c r="AD498" s="351"/>
    </row>
    <row r="499" spans="1:30" ht="25.65" hidden="1" x14ac:dyDescent="0.35">
      <c r="A499" s="349">
        <v>498</v>
      </c>
      <c r="B499" s="352" t="s">
        <v>1080</v>
      </c>
      <c r="C499" s="351" t="s">
        <v>955</v>
      </c>
      <c r="D499" s="352" t="s">
        <v>955</v>
      </c>
      <c r="E499" s="352" t="s">
        <v>1997</v>
      </c>
      <c r="F499" s="353">
        <v>99.056799999999996</v>
      </c>
      <c r="G499" s="352" t="s">
        <v>756</v>
      </c>
      <c r="H499" s="37"/>
      <c r="I499" s="176" t="s">
        <v>3272</v>
      </c>
      <c r="J499" s="352" t="s">
        <v>1115</v>
      </c>
      <c r="K499" s="352">
        <v>2000</v>
      </c>
      <c r="L499" s="352" t="s">
        <v>1464</v>
      </c>
      <c r="M499" s="351"/>
      <c r="N499" s="351"/>
      <c r="O499" s="351">
        <v>2000</v>
      </c>
      <c r="P499" s="349" t="s">
        <v>1836</v>
      </c>
      <c r="R499" s="349">
        <f t="shared" si="7"/>
        <v>10</v>
      </c>
      <c r="S499" s="352"/>
      <c r="T499" s="352"/>
      <c r="U499" s="352"/>
      <c r="V499" s="353"/>
      <c r="W499" s="352"/>
      <c r="X499" s="176"/>
      <c r="Y499" s="176"/>
      <c r="Z499" s="352"/>
      <c r="AA499" s="351"/>
      <c r="AB499" s="351"/>
      <c r="AC499" s="351"/>
      <c r="AD499" s="351"/>
    </row>
    <row r="500" spans="1:30" ht="25.65" hidden="1" x14ac:dyDescent="0.35">
      <c r="A500" s="349">
        <v>499</v>
      </c>
      <c r="B500" s="352" t="s">
        <v>1080</v>
      </c>
      <c r="C500" s="351" t="s">
        <v>955</v>
      </c>
      <c r="D500" s="352" t="s">
        <v>955</v>
      </c>
      <c r="E500" s="352" t="s">
        <v>1997</v>
      </c>
      <c r="F500" s="353">
        <v>8.7927999999999997</v>
      </c>
      <c r="G500" s="352" t="s">
        <v>756</v>
      </c>
      <c r="H500" s="176"/>
      <c r="I500" s="176" t="s">
        <v>3272</v>
      </c>
      <c r="J500" s="352" t="s">
        <v>1115</v>
      </c>
      <c r="K500" s="351">
        <v>100</v>
      </c>
      <c r="L500" s="351" t="s">
        <v>1464</v>
      </c>
      <c r="M500" s="351"/>
      <c r="N500" s="351"/>
      <c r="O500" s="351">
        <v>100</v>
      </c>
      <c r="P500" s="349" t="s">
        <v>1836</v>
      </c>
      <c r="R500" s="349">
        <f t="shared" si="7"/>
        <v>10</v>
      </c>
      <c r="S500" s="352"/>
      <c r="T500" s="352"/>
      <c r="U500" s="352"/>
      <c r="V500" s="353"/>
      <c r="W500" s="352"/>
      <c r="X500" s="176"/>
      <c r="Y500" s="176"/>
      <c r="Z500" s="352"/>
      <c r="AA500" s="352"/>
      <c r="AB500" s="352"/>
      <c r="AC500" s="352"/>
      <c r="AD500" s="352"/>
    </row>
    <row r="501" spans="1:30" ht="25.65" hidden="1" x14ac:dyDescent="0.35">
      <c r="A501" s="349">
        <v>500</v>
      </c>
      <c r="B501" s="352" t="s">
        <v>1080</v>
      </c>
      <c r="C501" s="351" t="s">
        <v>955</v>
      </c>
      <c r="D501" s="352" t="s">
        <v>955</v>
      </c>
      <c r="E501" s="352" t="s">
        <v>1997</v>
      </c>
      <c r="F501" s="353">
        <v>54.982599999999998</v>
      </c>
      <c r="G501" s="352" t="s">
        <v>756</v>
      </c>
      <c r="H501" s="176"/>
      <c r="I501" s="176" t="s">
        <v>3272</v>
      </c>
      <c r="J501" s="352" t="s">
        <v>1115</v>
      </c>
      <c r="K501" s="351">
        <v>1000</v>
      </c>
      <c r="L501" s="351" t="s">
        <v>1464</v>
      </c>
      <c r="M501" s="352"/>
      <c r="N501" s="352"/>
      <c r="O501" s="351">
        <v>1000</v>
      </c>
      <c r="P501" s="349" t="s">
        <v>1836</v>
      </c>
      <c r="R501" s="349">
        <f t="shared" si="7"/>
        <v>10</v>
      </c>
      <c r="S501" s="352"/>
      <c r="T501" s="352"/>
      <c r="U501" s="352"/>
      <c r="V501" s="353"/>
      <c r="W501" s="352"/>
      <c r="X501" s="176"/>
      <c r="Y501" s="176"/>
      <c r="Z501" s="352"/>
      <c r="AA501" s="352"/>
      <c r="AB501" s="352"/>
      <c r="AC501" s="352"/>
      <c r="AD501" s="352"/>
    </row>
    <row r="502" spans="1:30" ht="25.65" hidden="1" x14ac:dyDescent="0.35">
      <c r="A502" s="349">
        <v>501</v>
      </c>
      <c r="B502" s="352" t="s">
        <v>1080</v>
      </c>
      <c r="C502" s="351" t="s">
        <v>955</v>
      </c>
      <c r="D502" s="352" t="s">
        <v>955</v>
      </c>
      <c r="E502" s="352" t="s">
        <v>1997</v>
      </c>
      <c r="F502" s="353">
        <v>99.056799999999996</v>
      </c>
      <c r="G502" s="352" t="s">
        <v>756</v>
      </c>
      <c r="H502" s="176"/>
      <c r="I502" s="176" t="s">
        <v>3272</v>
      </c>
      <c r="J502" s="352" t="s">
        <v>1115</v>
      </c>
      <c r="K502" s="352">
        <v>2000</v>
      </c>
      <c r="L502" s="352" t="s">
        <v>1464</v>
      </c>
      <c r="M502" s="352"/>
      <c r="N502" s="352"/>
      <c r="O502" s="351">
        <v>2000</v>
      </c>
      <c r="P502" s="349" t="s">
        <v>1836</v>
      </c>
      <c r="R502" s="349">
        <f t="shared" si="7"/>
        <v>10</v>
      </c>
      <c r="S502" s="352"/>
      <c r="T502" s="352"/>
      <c r="U502" s="352"/>
      <c r="V502" s="353"/>
      <c r="W502" s="352"/>
      <c r="X502" s="176"/>
      <c r="Y502" s="176"/>
      <c r="Z502" s="352"/>
      <c r="AA502" s="352"/>
      <c r="AB502" s="352"/>
      <c r="AC502" s="352"/>
      <c r="AD502" s="352"/>
    </row>
    <row r="503" spans="1:30" ht="51.3" hidden="1" x14ac:dyDescent="0.35">
      <c r="A503" s="349">
        <v>502</v>
      </c>
      <c r="B503" s="352" t="s">
        <v>757</v>
      </c>
      <c r="C503" s="351" t="s">
        <v>4721</v>
      </c>
      <c r="D503" s="352" t="s">
        <v>1383</v>
      </c>
      <c r="E503" s="352" t="s">
        <v>2002</v>
      </c>
      <c r="F503" s="353">
        <v>0.11020000000000001</v>
      </c>
      <c r="G503" s="352" t="s">
        <v>2126</v>
      </c>
      <c r="H503" s="176" t="s">
        <v>4048</v>
      </c>
      <c r="I503" s="176" t="s">
        <v>4049</v>
      </c>
      <c r="J503" s="352" t="s">
        <v>1502</v>
      </c>
      <c r="K503" s="352"/>
      <c r="L503" s="352"/>
      <c r="M503" s="352"/>
      <c r="N503" s="352"/>
      <c r="O503" s="351">
        <v>0</v>
      </c>
      <c r="P503" s="349" t="s">
        <v>2313</v>
      </c>
      <c r="R503" s="349">
        <f t="shared" si="7"/>
        <v>24</v>
      </c>
      <c r="S503" s="352"/>
      <c r="T503" s="352"/>
      <c r="U503" s="352"/>
      <c r="V503" s="353"/>
      <c r="W503" s="352"/>
      <c r="X503" s="176"/>
      <c r="Y503" s="176"/>
      <c r="Z503" s="352"/>
      <c r="AA503" s="352"/>
      <c r="AB503" s="352"/>
      <c r="AC503" s="351"/>
      <c r="AD503" s="351"/>
    </row>
    <row r="504" spans="1:30" ht="51.3" hidden="1" x14ac:dyDescent="0.35">
      <c r="A504" s="349">
        <v>503</v>
      </c>
      <c r="B504" s="352" t="s">
        <v>757</v>
      </c>
      <c r="C504" s="351" t="s">
        <v>4722</v>
      </c>
      <c r="D504" s="352" t="s">
        <v>1383</v>
      </c>
      <c r="E504" s="352" t="s">
        <v>4030</v>
      </c>
      <c r="F504" s="353">
        <v>8.0214999999999996</v>
      </c>
      <c r="G504" s="352" t="s">
        <v>2126</v>
      </c>
      <c r="H504" s="37" t="s">
        <v>4050</v>
      </c>
      <c r="I504" s="176" t="s">
        <v>1534</v>
      </c>
      <c r="J504" s="352" t="s">
        <v>4031</v>
      </c>
      <c r="K504" s="352"/>
      <c r="L504" s="352"/>
      <c r="M504" s="351">
        <v>30</v>
      </c>
      <c r="N504" s="351" t="s">
        <v>1109</v>
      </c>
      <c r="O504" s="351">
        <v>0</v>
      </c>
      <c r="P504" s="349" t="s">
        <v>1837</v>
      </c>
      <c r="R504" s="349">
        <f t="shared" si="7"/>
        <v>24</v>
      </c>
      <c r="S504" s="352"/>
      <c r="T504" s="352"/>
      <c r="U504" s="352"/>
      <c r="V504" s="353"/>
      <c r="W504" s="352"/>
      <c r="X504" s="176"/>
      <c r="Y504" s="176"/>
      <c r="Z504" s="352"/>
      <c r="AA504" s="352"/>
      <c r="AB504" s="352"/>
      <c r="AC504" s="351"/>
      <c r="AD504" s="351"/>
    </row>
    <row r="505" spans="1:30" ht="64.099999999999994" hidden="1" x14ac:dyDescent="0.35">
      <c r="A505" s="349">
        <v>504</v>
      </c>
      <c r="B505" s="352" t="s">
        <v>1133</v>
      </c>
      <c r="C505" s="351" t="s">
        <v>4723</v>
      </c>
      <c r="D505" s="352" t="s">
        <v>1260</v>
      </c>
      <c r="E505" s="352" t="s">
        <v>1793</v>
      </c>
      <c r="F505" s="353">
        <v>24.5</v>
      </c>
      <c r="G505" s="352" t="s">
        <v>34</v>
      </c>
      <c r="H505" s="176" t="s">
        <v>1261</v>
      </c>
      <c r="I505" s="176" t="s">
        <v>734</v>
      </c>
      <c r="J505" s="352" t="s">
        <v>29</v>
      </c>
      <c r="K505" s="352">
        <v>5.0000000000000001E-3</v>
      </c>
      <c r="L505" s="352" t="s">
        <v>470</v>
      </c>
      <c r="M505" s="352">
        <v>30</v>
      </c>
      <c r="N505" s="352" t="s">
        <v>31</v>
      </c>
      <c r="O505" s="351">
        <v>5.0000000000000001E-3</v>
      </c>
      <c r="P505" s="349" t="s">
        <v>1838</v>
      </c>
      <c r="R505" s="349">
        <f t="shared" si="7"/>
        <v>12</v>
      </c>
      <c r="S505" s="352"/>
      <c r="T505" s="352"/>
      <c r="U505" s="352"/>
      <c r="V505" s="353"/>
      <c r="W505" s="352"/>
      <c r="X505" s="176"/>
      <c r="Y505" s="37"/>
      <c r="Z505" s="352"/>
      <c r="AA505" s="352"/>
      <c r="AB505" s="352"/>
      <c r="AC505" s="351"/>
      <c r="AD505" s="351"/>
    </row>
    <row r="506" spans="1:30" ht="64.099999999999994" hidden="1" x14ac:dyDescent="0.35">
      <c r="A506" s="349">
        <v>505</v>
      </c>
      <c r="B506" s="352" t="s">
        <v>1133</v>
      </c>
      <c r="C506" s="351" t="s">
        <v>4723</v>
      </c>
      <c r="D506" s="352" t="s">
        <v>1260</v>
      </c>
      <c r="E506" s="352" t="s">
        <v>1134</v>
      </c>
      <c r="F506" s="353">
        <v>97.844700000000003</v>
      </c>
      <c r="G506" s="352" t="s">
        <v>34</v>
      </c>
      <c r="H506" s="176" t="s">
        <v>1261</v>
      </c>
      <c r="I506" s="176" t="s">
        <v>734</v>
      </c>
      <c r="J506" s="352" t="s">
        <v>2131</v>
      </c>
      <c r="K506" s="352">
        <v>5.0000000000000001E-3</v>
      </c>
      <c r="L506" s="352" t="s">
        <v>470</v>
      </c>
      <c r="M506" s="352">
        <v>100</v>
      </c>
      <c r="N506" s="352" t="s">
        <v>31</v>
      </c>
      <c r="O506" s="351">
        <v>5.0000000000000001E-3</v>
      </c>
      <c r="P506" s="349" t="s">
        <v>1838</v>
      </c>
      <c r="R506" s="349">
        <f t="shared" si="7"/>
        <v>12</v>
      </c>
      <c r="S506" s="352"/>
      <c r="T506" s="352"/>
      <c r="U506" s="352"/>
      <c r="V506" s="353"/>
      <c r="W506" s="352"/>
      <c r="X506" s="176"/>
      <c r="Y506" s="176"/>
      <c r="Z506" s="352"/>
      <c r="AA506" s="352"/>
      <c r="AB506" s="352"/>
      <c r="AC506" s="351"/>
      <c r="AD506" s="351"/>
    </row>
    <row r="507" spans="1:30" ht="51.3" hidden="1" x14ac:dyDescent="0.35">
      <c r="A507" s="349">
        <v>506</v>
      </c>
      <c r="B507" s="352" t="s">
        <v>1322</v>
      </c>
      <c r="C507" s="351" t="s">
        <v>4744</v>
      </c>
      <c r="D507" s="352" t="s">
        <v>988</v>
      </c>
      <c r="E507" s="352" t="s">
        <v>2018</v>
      </c>
      <c r="F507" s="353">
        <v>2.1999999999999999E-2</v>
      </c>
      <c r="G507" s="352" t="s">
        <v>34</v>
      </c>
      <c r="H507" s="176"/>
      <c r="I507" s="176" t="s">
        <v>1764</v>
      </c>
      <c r="J507" s="352" t="s">
        <v>469</v>
      </c>
      <c r="K507" s="352">
        <v>1</v>
      </c>
      <c r="L507" s="352" t="s">
        <v>30</v>
      </c>
      <c r="M507" s="352"/>
      <c r="N507" s="352"/>
      <c r="O507" s="351">
        <v>1</v>
      </c>
      <c r="P507" s="349" t="s">
        <v>1836</v>
      </c>
      <c r="R507" s="349">
        <f t="shared" si="7"/>
        <v>12</v>
      </c>
      <c r="S507" s="352"/>
      <c r="T507" s="352"/>
      <c r="U507" s="352"/>
      <c r="V507" s="353"/>
      <c r="W507" s="352"/>
      <c r="X507" s="176"/>
      <c r="Y507" s="176"/>
      <c r="Z507" s="352"/>
      <c r="AA507" s="351"/>
      <c r="AB507" s="351"/>
      <c r="AC507" s="351"/>
      <c r="AD507" s="351"/>
    </row>
    <row r="508" spans="1:30" hidden="1" x14ac:dyDescent="0.35">
      <c r="A508" s="349">
        <v>507</v>
      </c>
      <c r="B508" s="352" t="s">
        <v>1792</v>
      </c>
      <c r="C508" s="351" t="s">
        <v>4724</v>
      </c>
      <c r="D508" s="352" t="s">
        <v>3170</v>
      </c>
      <c r="E508" s="352" t="s">
        <v>758</v>
      </c>
      <c r="F508" s="353">
        <v>4.6939000000000002</v>
      </c>
      <c r="G508" s="352" t="s">
        <v>34</v>
      </c>
      <c r="H508" s="176" t="s">
        <v>1336</v>
      </c>
      <c r="I508" s="176" t="s">
        <v>1337</v>
      </c>
      <c r="J508" s="352" t="s">
        <v>29</v>
      </c>
      <c r="K508" s="352">
        <v>1</v>
      </c>
      <c r="L508" s="352" t="s">
        <v>470</v>
      </c>
      <c r="M508" s="352">
        <v>15</v>
      </c>
      <c r="N508" s="352" t="s">
        <v>31</v>
      </c>
      <c r="O508" s="351">
        <v>1</v>
      </c>
      <c r="P508" s="349" t="s">
        <v>1838</v>
      </c>
      <c r="R508" s="349">
        <f t="shared" si="7"/>
        <v>13</v>
      </c>
      <c r="S508" s="352"/>
      <c r="T508" s="352"/>
      <c r="U508" s="352"/>
      <c r="V508" s="353"/>
      <c r="W508" s="352"/>
      <c r="X508" s="176"/>
      <c r="Y508" s="176"/>
      <c r="Z508" s="352"/>
      <c r="AA508" s="352"/>
      <c r="AB508" s="352"/>
      <c r="AC508" s="352"/>
      <c r="AD508" s="352"/>
    </row>
    <row r="509" spans="1:30" hidden="1" x14ac:dyDescent="0.35">
      <c r="A509" s="349">
        <v>508</v>
      </c>
      <c r="B509" s="352" t="s">
        <v>1792</v>
      </c>
      <c r="C509" s="351" t="s">
        <v>4724</v>
      </c>
      <c r="D509" s="352" t="s">
        <v>3170</v>
      </c>
      <c r="E509" s="352" t="s">
        <v>2130</v>
      </c>
      <c r="F509" s="353">
        <v>4.6939000000000002</v>
      </c>
      <c r="G509" s="352" t="s">
        <v>34</v>
      </c>
      <c r="H509" s="176" t="s">
        <v>1336</v>
      </c>
      <c r="I509" s="176" t="s">
        <v>1337</v>
      </c>
      <c r="J509" s="352" t="s">
        <v>2131</v>
      </c>
      <c r="K509" s="352">
        <v>1</v>
      </c>
      <c r="L509" s="352" t="s">
        <v>470</v>
      </c>
      <c r="M509" s="352">
        <v>15</v>
      </c>
      <c r="N509" s="352" t="s">
        <v>31</v>
      </c>
      <c r="O509" s="351">
        <v>1</v>
      </c>
      <c r="P509" s="349" t="s">
        <v>1838</v>
      </c>
      <c r="R509" s="349">
        <f t="shared" si="7"/>
        <v>13</v>
      </c>
      <c r="S509" s="352"/>
      <c r="T509" s="352"/>
      <c r="U509" s="352"/>
      <c r="V509" s="353"/>
      <c r="W509" s="352"/>
      <c r="X509" s="176"/>
      <c r="Y509" s="176"/>
      <c r="Z509" s="352"/>
      <c r="AA509" s="352"/>
      <c r="AB509" s="352"/>
      <c r="AC509" s="352"/>
      <c r="AD509" s="352"/>
    </row>
    <row r="510" spans="1:30" ht="38.450000000000003" hidden="1" x14ac:dyDescent="0.35">
      <c r="A510" s="349">
        <v>509</v>
      </c>
      <c r="B510" s="352" t="s">
        <v>3582</v>
      </c>
      <c r="C510" s="351" t="s">
        <v>4955</v>
      </c>
      <c r="D510" s="352" t="s">
        <v>1163</v>
      </c>
      <c r="E510" s="352" t="s">
        <v>1793</v>
      </c>
      <c r="F510" s="353">
        <v>6.5</v>
      </c>
      <c r="G510" s="352" t="s">
        <v>28</v>
      </c>
      <c r="H510" s="176" t="s">
        <v>3814</v>
      </c>
      <c r="I510" s="176" t="s">
        <v>1458</v>
      </c>
      <c r="J510" s="352" t="s">
        <v>29</v>
      </c>
      <c r="K510" s="352">
        <v>20</v>
      </c>
      <c r="L510" s="352" t="s">
        <v>1311</v>
      </c>
      <c r="M510" s="352">
        <v>30</v>
      </c>
      <c r="N510" s="352" t="s">
        <v>31</v>
      </c>
      <c r="O510" s="351">
        <v>20</v>
      </c>
      <c r="P510" s="349" t="s">
        <v>1836</v>
      </c>
      <c r="R510" s="349">
        <f t="shared" si="7"/>
        <v>9</v>
      </c>
      <c r="S510" s="352"/>
      <c r="T510" s="352"/>
      <c r="U510" s="352"/>
      <c r="V510" s="353"/>
      <c r="W510" s="352"/>
      <c r="X510" s="37"/>
      <c r="Y510" s="176"/>
      <c r="Z510" s="352"/>
      <c r="AA510" s="352"/>
      <c r="AB510" s="352"/>
      <c r="AC510" s="352"/>
      <c r="AD510" s="352"/>
    </row>
    <row r="511" spans="1:30" ht="25.65" hidden="1" x14ac:dyDescent="0.35">
      <c r="A511" s="349">
        <v>510</v>
      </c>
      <c r="B511" s="352" t="s">
        <v>2132</v>
      </c>
      <c r="C511" s="351" t="s">
        <v>4955</v>
      </c>
      <c r="D511" s="352" t="s">
        <v>1163</v>
      </c>
      <c r="E511" s="352" t="s">
        <v>1793</v>
      </c>
      <c r="F511" s="353">
        <v>6.5008999999999997</v>
      </c>
      <c r="G511" s="352" t="s">
        <v>34</v>
      </c>
      <c r="H511" s="176" t="s">
        <v>3509</v>
      </c>
      <c r="I511" s="176" t="s">
        <v>4677</v>
      </c>
      <c r="J511" s="352" t="s">
        <v>29</v>
      </c>
      <c r="K511" s="352">
        <v>2</v>
      </c>
      <c r="L511" s="352" t="s">
        <v>470</v>
      </c>
      <c r="M511" s="352">
        <v>30</v>
      </c>
      <c r="N511" s="352" t="s">
        <v>31</v>
      </c>
      <c r="O511" s="351">
        <v>2</v>
      </c>
      <c r="P511" s="349" t="s">
        <v>1838</v>
      </c>
      <c r="R511" s="349">
        <f t="shared" si="7"/>
        <v>9</v>
      </c>
      <c r="S511" s="352"/>
      <c r="T511" s="352"/>
      <c r="U511" s="352"/>
      <c r="V511" s="353"/>
      <c r="W511" s="352"/>
      <c r="X511" s="176"/>
      <c r="Y511" s="176"/>
      <c r="Z511" s="352"/>
      <c r="AA511" s="352"/>
      <c r="AB511" s="352"/>
      <c r="AC511" s="352"/>
      <c r="AD511" s="352"/>
    </row>
    <row r="512" spans="1:30" ht="64.099999999999994" hidden="1" x14ac:dyDescent="0.35">
      <c r="A512" s="349">
        <v>511</v>
      </c>
      <c r="B512" s="352" t="s">
        <v>3090</v>
      </c>
      <c r="C512" s="351" t="s">
        <v>4956</v>
      </c>
      <c r="D512" s="352" t="s">
        <v>3440</v>
      </c>
      <c r="E512" s="352" t="s">
        <v>1498</v>
      </c>
      <c r="F512" s="353">
        <v>5.84</v>
      </c>
      <c r="G512" s="352" t="s">
        <v>1107</v>
      </c>
      <c r="H512" s="176" t="s">
        <v>1087</v>
      </c>
      <c r="I512" s="176" t="s">
        <v>133</v>
      </c>
      <c r="J512" s="352" t="s">
        <v>1115</v>
      </c>
      <c r="K512" s="352">
        <v>150</v>
      </c>
      <c r="L512" s="352" t="s">
        <v>1116</v>
      </c>
      <c r="M512" s="352">
        <v>4</v>
      </c>
      <c r="N512" s="352" t="s">
        <v>1109</v>
      </c>
      <c r="O512" s="351">
        <v>150</v>
      </c>
      <c r="P512" s="349" t="s">
        <v>1836</v>
      </c>
      <c r="R512" s="349">
        <f t="shared" si="7"/>
        <v>12</v>
      </c>
      <c r="S512" s="352"/>
      <c r="T512" s="352"/>
      <c r="U512" s="352"/>
      <c r="V512" s="353"/>
      <c r="W512" s="352"/>
      <c r="X512" s="176"/>
      <c r="Y512" s="176"/>
      <c r="Z512" s="352"/>
      <c r="AA512" s="352"/>
      <c r="AB512" s="352"/>
      <c r="AC512" s="352"/>
      <c r="AD512" s="352"/>
    </row>
    <row r="513" spans="1:30" ht="64.099999999999994" hidden="1" x14ac:dyDescent="0.35">
      <c r="A513" s="349">
        <v>512</v>
      </c>
      <c r="B513" s="352" t="s">
        <v>3090</v>
      </c>
      <c r="C513" s="351" t="s">
        <v>4956</v>
      </c>
      <c r="D513" s="352" t="s">
        <v>3440</v>
      </c>
      <c r="E513" s="352" t="s">
        <v>1998</v>
      </c>
      <c r="F513" s="353">
        <v>1.35</v>
      </c>
      <c r="G513" s="352" t="s">
        <v>2126</v>
      </c>
      <c r="H513" s="176" t="s">
        <v>134</v>
      </c>
      <c r="I513" s="176" t="s">
        <v>133</v>
      </c>
      <c r="J513" s="352" t="s">
        <v>22</v>
      </c>
      <c r="K513" s="352">
        <v>150</v>
      </c>
      <c r="L513" s="352" t="s">
        <v>23</v>
      </c>
      <c r="M513" s="352"/>
      <c r="N513" s="352"/>
      <c r="O513" s="351">
        <v>150</v>
      </c>
      <c r="P513" s="349" t="s">
        <v>1836</v>
      </c>
      <c r="R513" s="349">
        <f t="shared" si="7"/>
        <v>12</v>
      </c>
      <c r="S513" s="352"/>
      <c r="T513" s="352"/>
      <c r="U513" s="352"/>
      <c r="V513" s="353"/>
      <c r="W513" s="352"/>
      <c r="X513" s="176"/>
      <c r="Y513" s="176"/>
      <c r="Z513" s="352"/>
      <c r="AA513" s="352"/>
      <c r="AB513" s="352"/>
      <c r="AC513" s="352"/>
      <c r="AD513" s="352"/>
    </row>
    <row r="514" spans="1:30" ht="64.099999999999994" hidden="1" x14ac:dyDescent="0.35">
      <c r="A514" s="349">
        <v>513</v>
      </c>
      <c r="B514" s="352" t="s">
        <v>3090</v>
      </c>
      <c r="C514" s="351" t="s">
        <v>4956</v>
      </c>
      <c r="D514" s="352" t="s">
        <v>3440</v>
      </c>
      <c r="E514" s="352" t="s">
        <v>1755</v>
      </c>
      <c r="F514" s="353">
        <v>15.58</v>
      </c>
      <c r="G514" s="352" t="s">
        <v>2126</v>
      </c>
      <c r="H514" s="176" t="s">
        <v>134</v>
      </c>
      <c r="I514" s="176" t="s">
        <v>133</v>
      </c>
      <c r="J514" s="352" t="s">
        <v>3579</v>
      </c>
      <c r="K514" s="352">
        <v>15</v>
      </c>
      <c r="L514" s="352" t="s">
        <v>1116</v>
      </c>
      <c r="M514" s="352">
        <v>80</v>
      </c>
      <c r="N514" s="352" t="s">
        <v>1109</v>
      </c>
      <c r="O514" s="351">
        <v>15</v>
      </c>
      <c r="P514" s="349" t="s">
        <v>1836</v>
      </c>
      <c r="R514" s="349">
        <f t="shared" si="7"/>
        <v>12</v>
      </c>
      <c r="S514" s="352"/>
      <c r="T514" s="352"/>
      <c r="U514" s="352"/>
      <c r="V514" s="353"/>
      <c r="W514" s="352"/>
      <c r="X514" s="176"/>
      <c r="Y514" s="176"/>
      <c r="Z514" s="352"/>
      <c r="AA514" s="352"/>
      <c r="AB514" s="352"/>
      <c r="AC514" s="352"/>
      <c r="AD514" s="352"/>
    </row>
    <row r="515" spans="1:30" ht="128.19999999999999" hidden="1" x14ac:dyDescent="0.35">
      <c r="A515" s="349">
        <v>514</v>
      </c>
      <c r="B515" s="352" t="s">
        <v>698</v>
      </c>
      <c r="C515" s="351" t="s">
        <v>3439</v>
      </c>
      <c r="D515" s="352" t="s">
        <v>3439</v>
      </c>
      <c r="E515" s="352" t="s">
        <v>2855</v>
      </c>
      <c r="F515" s="353">
        <v>6.3246000000000002</v>
      </c>
      <c r="G515" s="352" t="s">
        <v>699</v>
      </c>
      <c r="H515" s="176" t="s">
        <v>2558</v>
      </c>
      <c r="I515" s="176" t="s">
        <v>4595</v>
      </c>
      <c r="J515" s="352" t="s">
        <v>828</v>
      </c>
      <c r="K515" s="352">
        <v>10000</v>
      </c>
      <c r="L515" s="352" t="s">
        <v>732</v>
      </c>
      <c r="M515" s="351">
        <v>1</v>
      </c>
      <c r="N515" s="351" t="s">
        <v>1109</v>
      </c>
      <c r="O515" s="351">
        <v>10000</v>
      </c>
      <c r="P515" s="349" t="s">
        <v>2030</v>
      </c>
      <c r="R515" s="349">
        <f t="shared" ref="R515:R578" si="8">LEN(D515)</f>
        <v>11</v>
      </c>
      <c r="S515" s="352"/>
      <c r="T515" s="352"/>
      <c r="U515" s="352"/>
      <c r="V515" s="353"/>
      <c r="W515" s="352"/>
      <c r="X515" s="176"/>
      <c r="Y515" s="176"/>
      <c r="Z515" s="352"/>
      <c r="AA515" s="352"/>
      <c r="AB515" s="352"/>
      <c r="AC515" s="352"/>
      <c r="AD515" s="352"/>
    </row>
    <row r="516" spans="1:30" ht="128.19999999999999" hidden="1" x14ac:dyDescent="0.35">
      <c r="A516" s="349">
        <v>515</v>
      </c>
      <c r="B516" s="352" t="s">
        <v>698</v>
      </c>
      <c r="C516" s="351" t="s">
        <v>3439</v>
      </c>
      <c r="D516" s="352" t="s">
        <v>3439</v>
      </c>
      <c r="E516" s="352" t="s">
        <v>700</v>
      </c>
      <c r="F516" s="353">
        <v>1.4104000000000001</v>
      </c>
      <c r="G516" s="352" t="s">
        <v>699</v>
      </c>
      <c r="H516" s="176" t="s">
        <v>2558</v>
      </c>
      <c r="I516" s="176" t="s">
        <v>4595</v>
      </c>
      <c r="J516" s="352" t="s">
        <v>964</v>
      </c>
      <c r="K516" s="352">
        <v>2500</v>
      </c>
      <c r="L516" s="352" t="s">
        <v>701</v>
      </c>
      <c r="M516" s="351">
        <v>0.2</v>
      </c>
      <c r="N516" s="351" t="s">
        <v>1109</v>
      </c>
      <c r="O516" s="351">
        <v>2500</v>
      </c>
      <c r="P516" s="349" t="s">
        <v>2030</v>
      </c>
      <c r="R516" s="349">
        <f t="shared" si="8"/>
        <v>11</v>
      </c>
      <c r="S516" s="352"/>
      <c r="T516" s="352"/>
      <c r="U516" s="352"/>
      <c r="V516" s="353"/>
      <c r="W516" s="352"/>
      <c r="X516" s="176"/>
      <c r="Y516" s="176"/>
      <c r="Z516" s="352"/>
      <c r="AA516" s="352"/>
      <c r="AB516" s="352"/>
      <c r="AC516" s="352"/>
      <c r="AD516" s="352"/>
    </row>
    <row r="517" spans="1:30" ht="128.19999999999999" hidden="1" x14ac:dyDescent="0.35">
      <c r="A517" s="349">
        <v>516</v>
      </c>
      <c r="B517" s="352" t="s">
        <v>698</v>
      </c>
      <c r="C517" s="351" t="s">
        <v>3439</v>
      </c>
      <c r="D517" s="352" t="s">
        <v>3439</v>
      </c>
      <c r="E517" s="352" t="s">
        <v>700</v>
      </c>
      <c r="F517" s="353">
        <v>2.6665000000000001</v>
      </c>
      <c r="G517" s="352" t="s">
        <v>699</v>
      </c>
      <c r="H517" s="176" t="s">
        <v>2558</v>
      </c>
      <c r="I517" s="176" t="s">
        <v>4595</v>
      </c>
      <c r="J517" s="352" t="s">
        <v>964</v>
      </c>
      <c r="K517" s="352">
        <v>5000</v>
      </c>
      <c r="L517" s="352" t="s">
        <v>701</v>
      </c>
      <c r="M517" s="351">
        <v>0.2</v>
      </c>
      <c r="N517" s="351" t="s">
        <v>1109</v>
      </c>
      <c r="O517" s="351">
        <v>5000</v>
      </c>
      <c r="P517" s="349" t="s">
        <v>2030</v>
      </c>
      <c r="R517" s="349">
        <f t="shared" si="8"/>
        <v>11</v>
      </c>
      <c r="S517" s="352"/>
      <c r="T517" s="352"/>
      <c r="U517" s="352"/>
      <c r="V517" s="353"/>
      <c r="W517" s="352"/>
      <c r="X517" s="176"/>
      <c r="Y517" s="176"/>
      <c r="Z517" s="352"/>
      <c r="AA517" s="352"/>
      <c r="AB517" s="352"/>
      <c r="AC517" s="352"/>
      <c r="AD517" s="352"/>
    </row>
    <row r="518" spans="1:30" ht="141" hidden="1" x14ac:dyDescent="0.35">
      <c r="A518" s="349">
        <v>517</v>
      </c>
      <c r="B518" s="352" t="s">
        <v>3257</v>
      </c>
      <c r="C518" s="351" t="s">
        <v>4957</v>
      </c>
      <c r="D518" s="352" t="s">
        <v>3258</v>
      </c>
      <c r="E518" s="352" t="s">
        <v>1997</v>
      </c>
      <c r="F518" s="353">
        <v>334.58929999999998</v>
      </c>
      <c r="G518" s="352" t="s">
        <v>1107</v>
      </c>
      <c r="H518" s="176" t="s">
        <v>2727</v>
      </c>
      <c r="I518" s="176" t="s">
        <v>4756</v>
      </c>
      <c r="J518" s="352" t="s">
        <v>1115</v>
      </c>
      <c r="K518" s="352">
        <v>20</v>
      </c>
      <c r="L518" s="352" t="s">
        <v>1464</v>
      </c>
      <c r="M518" s="351"/>
      <c r="N518" s="351"/>
      <c r="O518" s="351">
        <v>20</v>
      </c>
      <c r="P518" s="349" t="s">
        <v>1836</v>
      </c>
      <c r="R518" s="349">
        <f t="shared" si="8"/>
        <v>10</v>
      </c>
      <c r="S518" s="352"/>
      <c r="T518" s="352"/>
      <c r="U518" s="352"/>
      <c r="V518" s="353"/>
      <c r="W518" s="352"/>
      <c r="X518" s="176"/>
      <c r="Y518" s="176"/>
      <c r="Z518" s="352"/>
      <c r="AA518" s="352"/>
      <c r="AB518" s="352"/>
      <c r="AC518" s="351"/>
      <c r="AD518" s="351"/>
    </row>
    <row r="519" spans="1:30" ht="141" hidden="1" x14ac:dyDescent="0.35">
      <c r="A519" s="349">
        <v>518</v>
      </c>
      <c r="B519" s="352" t="s">
        <v>3257</v>
      </c>
      <c r="C519" s="351" t="s">
        <v>4957</v>
      </c>
      <c r="D519" s="352" t="s">
        <v>3258</v>
      </c>
      <c r="E519" s="352" t="s">
        <v>1998</v>
      </c>
      <c r="F519" s="353">
        <v>0.56999999999999995</v>
      </c>
      <c r="G519" s="352" t="s">
        <v>2126</v>
      </c>
      <c r="H519" s="176" t="s">
        <v>2728</v>
      </c>
      <c r="I519" s="176" t="s">
        <v>4756</v>
      </c>
      <c r="J519" s="352" t="s">
        <v>22</v>
      </c>
      <c r="K519" s="352">
        <v>25</v>
      </c>
      <c r="L519" s="352" t="s">
        <v>23</v>
      </c>
      <c r="M519" s="351"/>
      <c r="N519" s="351"/>
      <c r="O519" s="351">
        <v>25</v>
      </c>
      <c r="P519" s="349" t="s">
        <v>1836</v>
      </c>
      <c r="R519" s="349">
        <f t="shared" si="8"/>
        <v>10</v>
      </c>
      <c r="S519" s="352"/>
      <c r="T519" s="352"/>
      <c r="U519" s="352"/>
      <c r="V519" s="353"/>
      <c r="W519" s="352"/>
      <c r="X519" s="176"/>
      <c r="Y519" s="176"/>
      <c r="Z519" s="352"/>
      <c r="AA519" s="352"/>
      <c r="AB519" s="352"/>
      <c r="AC519" s="352"/>
      <c r="AD519" s="352"/>
    </row>
    <row r="520" spans="1:30" ht="141" hidden="1" x14ac:dyDescent="0.35">
      <c r="A520" s="349">
        <v>519</v>
      </c>
      <c r="B520" s="352" t="s">
        <v>3257</v>
      </c>
      <c r="C520" s="351" t="s">
        <v>3258</v>
      </c>
      <c r="D520" s="352" t="s">
        <v>3258</v>
      </c>
      <c r="E520" s="352" t="s">
        <v>1997</v>
      </c>
      <c r="F520" s="353">
        <v>334.58929999999998</v>
      </c>
      <c r="G520" s="352" t="s">
        <v>1107</v>
      </c>
      <c r="H520" s="176" t="s">
        <v>2727</v>
      </c>
      <c r="I520" s="176" t="s">
        <v>4756</v>
      </c>
      <c r="J520" s="352" t="s">
        <v>1115</v>
      </c>
      <c r="K520" s="352">
        <v>20</v>
      </c>
      <c r="L520" s="352" t="s">
        <v>1464</v>
      </c>
      <c r="M520" s="352"/>
      <c r="N520" s="352"/>
      <c r="O520" s="351">
        <v>20</v>
      </c>
      <c r="P520" s="349" t="s">
        <v>1836</v>
      </c>
      <c r="R520" s="349">
        <f t="shared" si="8"/>
        <v>10</v>
      </c>
      <c r="S520" s="352"/>
      <c r="T520" s="352"/>
      <c r="U520" s="352"/>
      <c r="V520" s="353"/>
      <c r="W520" s="352"/>
      <c r="X520" s="176"/>
      <c r="Y520" s="176"/>
      <c r="Z520" s="352"/>
      <c r="AA520" s="352"/>
      <c r="AB520" s="352"/>
      <c r="AC520" s="351"/>
      <c r="AD520" s="351"/>
    </row>
    <row r="521" spans="1:30" ht="141" hidden="1" x14ac:dyDescent="0.35">
      <c r="A521" s="349">
        <v>520</v>
      </c>
      <c r="B521" s="352" t="s">
        <v>3257</v>
      </c>
      <c r="C521" s="351" t="s">
        <v>3258</v>
      </c>
      <c r="D521" s="352" t="s">
        <v>3258</v>
      </c>
      <c r="E521" s="352" t="s">
        <v>1998</v>
      </c>
      <c r="F521" s="353">
        <v>0.56999999999999995</v>
      </c>
      <c r="G521" s="352" t="s">
        <v>2126</v>
      </c>
      <c r="H521" s="176" t="s">
        <v>2728</v>
      </c>
      <c r="I521" s="176" t="s">
        <v>4756</v>
      </c>
      <c r="J521" s="352" t="s">
        <v>22</v>
      </c>
      <c r="K521" s="352">
        <v>25</v>
      </c>
      <c r="L521" s="352" t="s">
        <v>23</v>
      </c>
      <c r="M521" s="352"/>
      <c r="N521" s="352"/>
      <c r="O521" s="351">
        <v>25</v>
      </c>
      <c r="P521" s="349" t="s">
        <v>1836</v>
      </c>
      <c r="R521" s="349">
        <f t="shared" si="8"/>
        <v>10</v>
      </c>
      <c r="S521" s="352"/>
      <c r="T521" s="352"/>
      <c r="U521" s="352"/>
      <c r="V521" s="353"/>
      <c r="W521" s="352"/>
      <c r="X521" s="176"/>
      <c r="Y521" s="176"/>
      <c r="Z521" s="352"/>
      <c r="AA521" s="352"/>
      <c r="AB521" s="352"/>
      <c r="AC521" s="352"/>
      <c r="AD521" s="352"/>
    </row>
    <row r="522" spans="1:30" ht="64.099999999999994" hidden="1" x14ac:dyDescent="0.35">
      <c r="A522" s="349">
        <v>521</v>
      </c>
      <c r="B522" s="352" t="s">
        <v>3205</v>
      </c>
      <c r="C522" s="351" t="s">
        <v>4958</v>
      </c>
      <c r="D522" s="352" t="s">
        <v>2437</v>
      </c>
      <c r="E522" s="352" t="s">
        <v>1995</v>
      </c>
      <c r="F522" s="353">
        <v>0.28999999999999998</v>
      </c>
      <c r="G522" s="352" t="s">
        <v>2126</v>
      </c>
      <c r="H522" s="176" t="s">
        <v>1023</v>
      </c>
      <c r="I522" s="176" t="s">
        <v>925</v>
      </c>
      <c r="J522" s="352" t="s">
        <v>3580</v>
      </c>
      <c r="K522" s="352">
        <v>25</v>
      </c>
      <c r="L522" s="352" t="s">
        <v>3581</v>
      </c>
      <c r="M522" s="352"/>
      <c r="N522" s="352"/>
      <c r="O522" s="351">
        <v>25</v>
      </c>
      <c r="P522" s="349" t="s">
        <v>1836</v>
      </c>
      <c r="R522" s="349">
        <f t="shared" si="8"/>
        <v>13</v>
      </c>
      <c r="S522" s="352"/>
      <c r="T522" s="352"/>
      <c r="U522" s="352"/>
      <c r="V522" s="353"/>
      <c r="W522" s="352"/>
      <c r="X522" s="176"/>
      <c r="Y522" s="176"/>
      <c r="Z522" s="352"/>
      <c r="AA522" s="352"/>
      <c r="AB522" s="352"/>
      <c r="AC522" s="351"/>
      <c r="AD522" s="351"/>
    </row>
    <row r="523" spans="1:30" ht="243.55" hidden="1" x14ac:dyDescent="0.35">
      <c r="A523" s="349">
        <v>522</v>
      </c>
      <c r="B523" s="352" t="s">
        <v>962</v>
      </c>
      <c r="C523" s="351" t="s">
        <v>3855</v>
      </c>
      <c r="D523" s="352" t="s">
        <v>3855</v>
      </c>
      <c r="E523" s="352" t="s">
        <v>963</v>
      </c>
      <c r="F523" s="353">
        <v>78.650000000000006</v>
      </c>
      <c r="G523" s="352" t="s">
        <v>731</v>
      </c>
      <c r="H523" s="37" t="s">
        <v>3023</v>
      </c>
      <c r="I523" s="176" t="s">
        <v>4598</v>
      </c>
      <c r="J523" s="352" t="s">
        <v>964</v>
      </c>
      <c r="K523" s="352">
        <v>15</v>
      </c>
      <c r="L523" s="352" t="s">
        <v>2448</v>
      </c>
      <c r="M523" s="351">
        <v>0.375</v>
      </c>
      <c r="N523" s="351" t="s">
        <v>1109</v>
      </c>
      <c r="O523" s="351">
        <v>15</v>
      </c>
      <c r="P523" s="349" t="s">
        <v>1850</v>
      </c>
      <c r="R523" s="349">
        <f t="shared" si="8"/>
        <v>12</v>
      </c>
      <c r="S523" s="352"/>
      <c r="T523" s="352"/>
      <c r="U523" s="352"/>
      <c r="V523" s="353"/>
      <c r="W523" s="352"/>
      <c r="X523" s="176"/>
      <c r="Y523" s="176"/>
      <c r="Z523" s="352"/>
      <c r="AA523" s="352"/>
      <c r="AB523" s="352"/>
      <c r="AC523" s="352"/>
      <c r="AD523" s="352"/>
    </row>
    <row r="524" spans="1:30" ht="243.55" hidden="1" x14ac:dyDescent="0.35">
      <c r="A524" s="349">
        <v>523</v>
      </c>
      <c r="B524" s="352" t="s">
        <v>962</v>
      </c>
      <c r="C524" s="351" t="s">
        <v>3855</v>
      </c>
      <c r="D524" s="352" t="s">
        <v>3855</v>
      </c>
      <c r="E524" s="352" t="s">
        <v>1572</v>
      </c>
      <c r="F524" s="353">
        <v>52.426299999999998</v>
      </c>
      <c r="G524" s="352" t="s">
        <v>731</v>
      </c>
      <c r="H524" s="176" t="s">
        <v>3023</v>
      </c>
      <c r="I524" s="176" t="s">
        <v>4598</v>
      </c>
      <c r="J524" s="352" t="s">
        <v>964</v>
      </c>
      <c r="K524" s="351">
        <v>10</v>
      </c>
      <c r="L524" s="351" t="s">
        <v>1573</v>
      </c>
      <c r="M524" s="352">
        <v>0.4</v>
      </c>
      <c r="N524" s="352" t="s">
        <v>1109</v>
      </c>
      <c r="O524" s="351">
        <v>10</v>
      </c>
      <c r="P524" s="349" t="s">
        <v>1850</v>
      </c>
      <c r="R524" s="349">
        <f t="shared" si="8"/>
        <v>12</v>
      </c>
      <c r="S524" s="352"/>
      <c r="T524" s="352"/>
      <c r="U524" s="352"/>
      <c r="V524" s="353"/>
      <c r="W524" s="352"/>
      <c r="X524" s="176"/>
      <c r="Y524" s="176"/>
      <c r="Z524" s="352"/>
      <c r="AA524" s="352"/>
      <c r="AB524" s="352"/>
      <c r="AC524" s="351"/>
      <c r="AD524" s="351"/>
    </row>
    <row r="525" spans="1:30" ht="243.55" hidden="1" x14ac:dyDescent="0.35">
      <c r="A525" s="349">
        <v>524</v>
      </c>
      <c r="B525" s="352" t="s">
        <v>962</v>
      </c>
      <c r="C525" s="351" t="s">
        <v>3855</v>
      </c>
      <c r="D525" s="352" t="s">
        <v>3855</v>
      </c>
      <c r="E525" s="352" t="s">
        <v>1574</v>
      </c>
      <c r="F525" s="353">
        <v>104.85</v>
      </c>
      <c r="G525" s="352" t="s">
        <v>731</v>
      </c>
      <c r="H525" s="176" t="s">
        <v>3023</v>
      </c>
      <c r="I525" s="176" t="s">
        <v>4598</v>
      </c>
      <c r="J525" s="352" t="s">
        <v>964</v>
      </c>
      <c r="K525" s="351">
        <v>20</v>
      </c>
      <c r="L525" s="351" t="s">
        <v>1575</v>
      </c>
      <c r="M525" s="351">
        <v>0.5</v>
      </c>
      <c r="N525" s="351" t="s">
        <v>1109</v>
      </c>
      <c r="O525" s="351">
        <v>20</v>
      </c>
      <c r="P525" s="349" t="s">
        <v>1850</v>
      </c>
      <c r="R525" s="349">
        <f t="shared" si="8"/>
        <v>12</v>
      </c>
      <c r="S525" s="352"/>
      <c r="T525" s="352"/>
      <c r="U525" s="352"/>
      <c r="V525" s="353"/>
      <c r="W525" s="352"/>
      <c r="X525" s="176"/>
      <c r="Y525" s="176"/>
      <c r="Z525" s="352"/>
      <c r="AA525" s="352"/>
      <c r="AB525" s="352"/>
      <c r="AC525" s="351"/>
      <c r="AD525" s="351"/>
    </row>
    <row r="526" spans="1:30" ht="64.099999999999994" hidden="1" x14ac:dyDescent="0.35">
      <c r="A526" s="349">
        <v>525</v>
      </c>
      <c r="B526" s="352" t="s">
        <v>1080</v>
      </c>
      <c r="C526" s="351" t="s">
        <v>1213</v>
      </c>
      <c r="D526" s="352" t="s">
        <v>1213</v>
      </c>
      <c r="E526" s="352" t="s">
        <v>1997</v>
      </c>
      <c r="F526" s="353">
        <v>29.15</v>
      </c>
      <c r="G526" s="352" t="s">
        <v>1107</v>
      </c>
      <c r="H526" s="176"/>
      <c r="I526" s="176" t="s">
        <v>4097</v>
      </c>
      <c r="J526" s="352" t="s">
        <v>1115</v>
      </c>
      <c r="K526" s="352">
        <v>20</v>
      </c>
      <c r="L526" s="352" t="s">
        <v>1464</v>
      </c>
      <c r="M526" s="352"/>
      <c r="N526" s="352"/>
      <c r="O526" s="351">
        <v>20</v>
      </c>
      <c r="P526" s="349" t="s">
        <v>1836</v>
      </c>
      <c r="R526" s="349">
        <f t="shared" si="8"/>
        <v>13</v>
      </c>
      <c r="S526" s="352"/>
      <c r="T526" s="352"/>
      <c r="U526" s="352"/>
      <c r="V526" s="353"/>
      <c r="W526" s="352"/>
      <c r="X526" s="176"/>
      <c r="Y526" s="176"/>
      <c r="Z526" s="352"/>
      <c r="AA526" s="352"/>
      <c r="AB526" s="352"/>
      <c r="AC526" s="352"/>
      <c r="AD526" s="352"/>
    </row>
    <row r="527" spans="1:30" ht="89.75" hidden="1" x14ac:dyDescent="0.35">
      <c r="A527" s="349">
        <v>526</v>
      </c>
      <c r="B527" s="352" t="s">
        <v>757</v>
      </c>
      <c r="C527" s="351" t="s">
        <v>4959</v>
      </c>
      <c r="D527" s="352" t="s">
        <v>1384</v>
      </c>
      <c r="E527" s="352" t="s">
        <v>702</v>
      </c>
      <c r="F527" s="353">
        <v>7.7130000000000001</v>
      </c>
      <c r="G527" s="352" t="s">
        <v>2126</v>
      </c>
      <c r="H527" s="176" t="s">
        <v>1535</v>
      </c>
      <c r="I527" s="176" t="s">
        <v>1138</v>
      </c>
      <c r="J527" s="352" t="s">
        <v>4031</v>
      </c>
      <c r="K527" s="352"/>
      <c r="L527" s="352"/>
      <c r="M527" s="351">
        <v>25</v>
      </c>
      <c r="N527" s="351" t="s">
        <v>1109</v>
      </c>
      <c r="O527" s="351">
        <v>0</v>
      </c>
      <c r="P527" s="349" t="s">
        <v>1837</v>
      </c>
      <c r="R527" s="349">
        <f t="shared" si="8"/>
        <v>12</v>
      </c>
      <c r="S527" s="352"/>
      <c r="T527" s="352"/>
      <c r="U527" s="352"/>
      <c r="V527" s="353"/>
      <c r="W527" s="352"/>
      <c r="X527" s="176"/>
      <c r="Y527" s="176"/>
      <c r="Z527" s="352"/>
      <c r="AA527" s="352"/>
      <c r="AB527" s="352"/>
      <c r="AC527" s="352"/>
      <c r="AD527" s="352"/>
    </row>
    <row r="528" spans="1:30" ht="89.75" hidden="1" x14ac:dyDescent="0.35">
      <c r="A528" s="349">
        <v>527</v>
      </c>
      <c r="B528" s="352" t="s">
        <v>757</v>
      </c>
      <c r="C528" s="351" t="s">
        <v>4959</v>
      </c>
      <c r="D528" s="352" t="s">
        <v>1384</v>
      </c>
      <c r="E528" s="352" t="s">
        <v>1995</v>
      </c>
      <c r="F528" s="353">
        <v>4.41E-2</v>
      </c>
      <c r="G528" s="352" t="s">
        <v>2126</v>
      </c>
      <c r="H528" s="176" t="s">
        <v>1535</v>
      </c>
      <c r="I528" s="176" t="s">
        <v>1138</v>
      </c>
      <c r="J528" s="352" t="s">
        <v>3580</v>
      </c>
      <c r="K528" s="352"/>
      <c r="L528" s="352"/>
      <c r="M528" s="351"/>
      <c r="N528" s="351"/>
      <c r="O528" s="351">
        <v>0</v>
      </c>
      <c r="P528" s="349" t="s">
        <v>2313</v>
      </c>
      <c r="R528" s="349">
        <f t="shared" si="8"/>
        <v>12</v>
      </c>
      <c r="S528" s="352"/>
      <c r="T528" s="352"/>
      <c r="U528" s="352"/>
      <c r="V528" s="353"/>
      <c r="W528" s="352"/>
      <c r="X528" s="176"/>
      <c r="Y528" s="176"/>
      <c r="Z528" s="352"/>
      <c r="AA528" s="352"/>
      <c r="AB528" s="352"/>
      <c r="AC528" s="352"/>
      <c r="AD528" s="352"/>
    </row>
    <row r="529" spans="1:30" ht="179.45" hidden="1" x14ac:dyDescent="0.35">
      <c r="A529" s="349">
        <v>528</v>
      </c>
      <c r="B529" s="352" t="s">
        <v>2560</v>
      </c>
      <c r="C529" s="351" t="s">
        <v>4960</v>
      </c>
      <c r="D529" s="352" t="s">
        <v>4125</v>
      </c>
      <c r="E529" s="352" t="s">
        <v>2493</v>
      </c>
      <c r="F529" s="353">
        <v>8.1978000000000009</v>
      </c>
      <c r="G529" s="352" t="s">
        <v>2126</v>
      </c>
      <c r="H529" s="176" t="s">
        <v>4666</v>
      </c>
      <c r="I529" s="176" t="s">
        <v>4946</v>
      </c>
      <c r="J529" s="352" t="s">
        <v>4025</v>
      </c>
      <c r="K529" s="352">
        <v>40</v>
      </c>
      <c r="L529" s="352" t="s">
        <v>1518</v>
      </c>
      <c r="M529" s="352">
        <v>25</v>
      </c>
      <c r="N529" s="352" t="s">
        <v>1109</v>
      </c>
      <c r="O529" s="351">
        <v>40</v>
      </c>
      <c r="P529" s="349" t="s">
        <v>2030</v>
      </c>
      <c r="R529" s="349">
        <f t="shared" si="8"/>
        <v>14</v>
      </c>
      <c r="S529" s="352"/>
      <c r="T529" s="352"/>
      <c r="U529" s="352"/>
      <c r="V529" s="353"/>
      <c r="W529" s="352"/>
      <c r="X529" s="176"/>
      <c r="Y529" s="176"/>
      <c r="Z529" s="352"/>
      <c r="AA529" s="352"/>
      <c r="AB529" s="352"/>
      <c r="AC529" s="351"/>
      <c r="AD529" s="351"/>
    </row>
    <row r="530" spans="1:30" ht="179.45" hidden="1" x14ac:dyDescent="0.35">
      <c r="A530" s="349">
        <v>529</v>
      </c>
      <c r="B530" s="352" t="s">
        <v>2560</v>
      </c>
      <c r="C530" s="351" t="s">
        <v>4960</v>
      </c>
      <c r="D530" s="352" t="s">
        <v>4125</v>
      </c>
      <c r="E530" s="352" t="s">
        <v>1995</v>
      </c>
      <c r="F530" s="353">
        <v>0.05</v>
      </c>
      <c r="G530" s="352" t="s">
        <v>2126</v>
      </c>
      <c r="H530" s="176" t="s">
        <v>4666</v>
      </c>
      <c r="I530" s="176" t="s">
        <v>4946</v>
      </c>
      <c r="J530" s="352" t="s">
        <v>3580</v>
      </c>
      <c r="K530" s="352">
        <v>100</v>
      </c>
      <c r="L530" s="352" t="s">
        <v>1519</v>
      </c>
      <c r="M530" s="352"/>
      <c r="N530" s="352"/>
      <c r="O530" s="351">
        <v>100</v>
      </c>
      <c r="P530" s="349" t="s">
        <v>2030</v>
      </c>
      <c r="R530" s="349">
        <f t="shared" si="8"/>
        <v>14</v>
      </c>
      <c r="S530" s="352"/>
      <c r="T530" s="352"/>
      <c r="U530" s="352"/>
      <c r="V530" s="353"/>
      <c r="W530" s="352"/>
      <c r="X530" s="176"/>
      <c r="Y530" s="176"/>
      <c r="Z530" s="352"/>
      <c r="AA530" s="352"/>
      <c r="AB530" s="352"/>
      <c r="AC530" s="351"/>
      <c r="AD530" s="351"/>
    </row>
    <row r="531" spans="1:30" ht="102.55" hidden="1" x14ac:dyDescent="0.35">
      <c r="A531" s="349">
        <v>530</v>
      </c>
      <c r="B531" s="352" t="s">
        <v>703</v>
      </c>
      <c r="C531" s="351" t="s">
        <v>4961</v>
      </c>
      <c r="D531" s="352" t="s">
        <v>5038</v>
      </c>
      <c r="E531" s="352" t="s">
        <v>1995</v>
      </c>
      <c r="F531" s="353">
        <v>0.17630000000000001</v>
      </c>
      <c r="G531" s="352" t="s">
        <v>2126</v>
      </c>
      <c r="H531" s="176" t="s">
        <v>808</v>
      </c>
      <c r="I531" s="176" t="s">
        <v>1785</v>
      </c>
      <c r="J531" s="352" t="s">
        <v>3580</v>
      </c>
      <c r="K531" s="352">
        <v>50</v>
      </c>
      <c r="L531" s="352" t="s">
        <v>3581</v>
      </c>
      <c r="M531" s="351"/>
      <c r="N531" s="351"/>
      <c r="O531" s="351">
        <v>50</v>
      </c>
      <c r="P531" s="349" t="s">
        <v>1836</v>
      </c>
      <c r="R531" s="349">
        <f t="shared" si="8"/>
        <v>26</v>
      </c>
      <c r="S531" s="352"/>
      <c r="T531" s="352"/>
      <c r="U531" s="352"/>
      <c r="V531" s="353"/>
      <c r="W531" s="352"/>
      <c r="X531" s="176"/>
      <c r="Y531" s="176"/>
      <c r="Z531" s="352"/>
      <c r="AA531" s="352"/>
      <c r="AB531" s="352"/>
      <c r="AC531" s="351"/>
      <c r="AD531" s="351"/>
    </row>
    <row r="532" spans="1:30" ht="64.099999999999994" hidden="1" x14ac:dyDescent="0.35">
      <c r="A532" s="349">
        <v>531</v>
      </c>
      <c r="B532" s="352" t="s">
        <v>2127</v>
      </c>
      <c r="C532" s="351" t="s">
        <v>4962</v>
      </c>
      <c r="D532" s="352" t="s">
        <v>416</v>
      </c>
      <c r="E532" s="352" t="s">
        <v>702</v>
      </c>
      <c r="F532" s="353">
        <v>10.269299999999999</v>
      </c>
      <c r="G532" s="352" t="s">
        <v>2126</v>
      </c>
      <c r="H532" s="176" t="s">
        <v>1746</v>
      </c>
      <c r="I532" s="176" t="s">
        <v>1747</v>
      </c>
      <c r="J532" s="352" t="s">
        <v>4031</v>
      </c>
      <c r="K532" s="352">
        <v>5</v>
      </c>
      <c r="L532" s="352" t="s">
        <v>4026</v>
      </c>
      <c r="M532" s="351">
        <v>25</v>
      </c>
      <c r="N532" s="351" t="s">
        <v>1109</v>
      </c>
      <c r="O532" s="351">
        <v>5</v>
      </c>
      <c r="P532" s="349" t="s">
        <v>1850</v>
      </c>
      <c r="R532" s="349">
        <f t="shared" si="8"/>
        <v>12</v>
      </c>
      <c r="S532" s="352"/>
      <c r="T532" s="352"/>
      <c r="U532" s="352"/>
      <c r="V532" s="353"/>
      <c r="W532" s="352"/>
      <c r="X532" s="176"/>
      <c r="Y532" s="176"/>
      <c r="Z532" s="352"/>
      <c r="AA532" s="352"/>
      <c r="AB532" s="352"/>
      <c r="AC532" s="351"/>
      <c r="AD532" s="351"/>
    </row>
    <row r="533" spans="1:30" hidden="1" x14ac:dyDescent="0.35">
      <c r="A533" s="349">
        <v>532</v>
      </c>
      <c r="B533" s="352" t="s">
        <v>760</v>
      </c>
      <c r="C533" s="351" t="s">
        <v>4963</v>
      </c>
      <c r="D533" s="352" t="s">
        <v>2646</v>
      </c>
      <c r="E533" s="352" t="s">
        <v>3209</v>
      </c>
      <c r="F533" s="353">
        <v>11.2</v>
      </c>
      <c r="G533" s="352" t="s">
        <v>34</v>
      </c>
      <c r="H533" s="176" t="s">
        <v>2647</v>
      </c>
      <c r="I533" s="176" t="s">
        <v>3819</v>
      </c>
      <c r="J533" s="352" t="s">
        <v>4025</v>
      </c>
      <c r="K533" s="352">
        <v>1</v>
      </c>
      <c r="L533" s="352" t="s">
        <v>1116</v>
      </c>
      <c r="M533" s="351">
        <v>5</v>
      </c>
      <c r="N533" s="351" t="s">
        <v>1109</v>
      </c>
      <c r="O533" s="351">
        <v>1</v>
      </c>
      <c r="P533" s="349" t="s">
        <v>1836</v>
      </c>
      <c r="R533" s="349">
        <f t="shared" si="8"/>
        <v>12</v>
      </c>
      <c r="S533" s="352"/>
      <c r="T533" s="352"/>
      <c r="U533" s="352"/>
      <c r="V533" s="353"/>
      <c r="W533" s="352"/>
      <c r="X533" s="176"/>
      <c r="Y533" s="176"/>
      <c r="Z533" s="352"/>
      <c r="AA533" s="352"/>
      <c r="AB533" s="352"/>
      <c r="AC533" s="351"/>
      <c r="AD533" s="351"/>
    </row>
    <row r="534" spans="1:30" ht="128.19999999999999" hidden="1" x14ac:dyDescent="0.35">
      <c r="A534" s="349">
        <v>533</v>
      </c>
      <c r="B534" s="352" t="s">
        <v>1113</v>
      </c>
      <c r="C534" s="351" t="s">
        <v>3885</v>
      </c>
      <c r="D534" s="352" t="s">
        <v>3885</v>
      </c>
      <c r="E534" s="352" t="s">
        <v>1997</v>
      </c>
      <c r="F534" s="353">
        <v>15.43</v>
      </c>
      <c r="G534" s="352" t="s">
        <v>731</v>
      </c>
      <c r="H534" s="176" t="s">
        <v>1354</v>
      </c>
      <c r="I534" s="176" t="s">
        <v>4844</v>
      </c>
      <c r="J534" s="352" t="s">
        <v>1115</v>
      </c>
      <c r="K534" s="352">
        <v>500</v>
      </c>
      <c r="L534" s="352" t="s">
        <v>1464</v>
      </c>
      <c r="M534" s="352"/>
      <c r="N534" s="352"/>
      <c r="O534" s="351">
        <v>500</v>
      </c>
      <c r="P534" s="349" t="s">
        <v>1836</v>
      </c>
      <c r="R534" s="349">
        <f t="shared" si="8"/>
        <v>12</v>
      </c>
      <c r="S534" s="352"/>
      <c r="T534" s="352"/>
      <c r="U534" s="352"/>
      <c r="V534" s="353"/>
      <c r="W534" s="352"/>
      <c r="X534" s="176"/>
      <c r="Y534" s="176"/>
      <c r="Z534" s="352"/>
      <c r="AA534" s="352"/>
      <c r="AB534" s="352"/>
      <c r="AC534" s="352"/>
      <c r="AD534" s="352"/>
    </row>
    <row r="535" spans="1:30" ht="205.1" hidden="1" x14ac:dyDescent="0.35">
      <c r="A535" s="349">
        <v>534</v>
      </c>
      <c r="B535" s="352" t="s">
        <v>1787</v>
      </c>
      <c r="C535" s="351" t="s">
        <v>4964</v>
      </c>
      <c r="D535" s="352" t="s">
        <v>3902</v>
      </c>
      <c r="E535" s="352" t="s">
        <v>1997</v>
      </c>
      <c r="F535" s="353">
        <v>23.29</v>
      </c>
      <c r="G535" s="352" t="s">
        <v>1107</v>
      </c>
      <c r="H535" s="176" t="s">
        <v>4137</v>
      </c>
      <c r="I535" s="176" t="s">
        <v>4350</v>
      </c>
      <c r="J535" s="352" t="s">
        <v>1115</v>
      </c>
      <c r="K535" s="352">
        <v>400</v>
      </c>
      <c r="L535" s="352" t="s">
        <v>1464</v>
      </c>
      <c r="M535" s="352"/>
      <c r="N535" s="352"/>
      <c r="O535" s="351">
        <v>400</v>
      </c>
      <c r="P535" s="349" t="s">
        <v>1836</v>
      </c>
      <c r="R535" s="349">
        <f t="shared" si="8"/>
        <v>17</v>
      </c>
      <c r="S535" s="352"/>
      <c r="T535" s="352"/>
      <c r="U535" s="352"/>
      <c r="V535" s="353"/>
      <c r="W535" s="352"/>
      <c r="X535" s="176"/>
      <c r="Y535" s="176"/>
      <c r="Z535" s="352"/>
      <c r="AA535" s="352"/>
      <c r="AB535" s="352"/>
      <c r="AC535" s="351"/>
      <c r="AD535" s="351"/>
    </row>
    <row r="536" spans="1:30" ht="205.1" hidden="1" x14ac:dyDescent="0.35">
      <c r="A536" s="349">
        <v>535</v>
      </c>
      <c r="B536" s="352" t="s">
        <v>1787</v>
      </c>
      <c r="C536" s="351" t="s">
        <v>4964</v>
      </c>
      <c r="D536" s="352" t="s">
        <v>3902</v>
      </c>
      <c r="E536" s="352" t="s">
        <v>92</v>
      </c>
      <c r="F536" s="353">
        <v>20.14</v>
      </c>
      <c r="G536" s="352" t="s">
        <v>2126</v>
      </c>
      <c r="H536" s="176" t="s">
        <v>2225</v>
      </c>
      <c r="I536" s="176" t="s">
        <v>4350</v>
      </c>
      <c r="J536" s="352" t="s">
        <v>3579</v>
      </c>
      <c r="K536" s="352">
        <v>40</v>
      </c>
      <c r="L536" s="352" t="s">
        <v>1116</v>
      </c>
      <c r="M536" s="351">
        <v>300</v>
      </c>
      <c r="N536" s="351" t="s">
        <v>1109</v>
      </c>
      <c r="O536" s="351">
        <v>40</v>
      </c>
      <c r="P536" s="349" t="s">
        <v>1836</v>
      </c>
      <c r="R536" s="349">
        <f t="shared" si="8"/>
        <v>17</v>
      </c>
      <c r="S536" s="352"/>
      <c r="T536" s="352"/>
      <c r="U536" s="352"/>
      <c r="V536" s="353"/>
      <c r="W536" s="352"/>
      <c r="X536" s="176"/>
      <c r="Y536" s="176"/>
      <c r="Z536" s="352"/>
      <c r="AA536" s="352"/>
      <c r="AB536" s="352"/>
      <c r="AC536" s="352"/>
      <c r="AD536" s="352"/>
    </row>
    <row r="537" spans="1:30" ht="205.1" hidden="1" x14ac:dyDescent="0.35">
      <c r="A537" s="349">
        <v>536</v>
      </c>
      <c r="B537" s="352" t="s">
        <v>1787</v>
      </c>
      <c r="C537" s="351" t="s">
        <v>4964</v>
      </c>
      <c r="D537" s="352" t="s">
        <v>3902</v>
      </c>
      <c r="E537" s="352" t="s">
        <v>93</v>
      </c>
      <c r="F537" s="353">
        <v>23.29</v>
      </c>
      <c r="G537" s="352" t="s">
        <v>2126</v>
      </c>
      <c r="H537" s="176" t="s">
        <v>2225</v>
      </c>
      <c r="I537" s="176" t="s">
        <v>4350</v>
      </c>
      <c r="J537" s="352" t="s">
        <v>4031</v>
      </c>
      <c r="K537" s="352">
        <v>300</v>
      </c>
      <c r="L537" s="352" t="s">
        <v>1116</v>
      </c>
      <c r="M537" s="351">
        <v>60</v>
      </c>
      <c r="N537" s="351" t="s">
        <v>1109</v>
      </c>
      <c r="O537" s="351">
        <v>300</v>
      </c>
      <c r="P537" s="349" t="s">
        <v>1836</v>
      </c>
      <c r="R537" s="349">
        <f t="shared" si="8"/>
        <v>17</v>
      </c>
      <c r="S537" s="352"/>
      <c r="T537" s="352"/>
      <c r="U537" s="352"/>
      <c r="V537" s="353"/>
      <c r="W537" s="352"/>
      <c r="X537" s="176"/>
      <c r="Y537" s="176"/>
      <c r="Z537" s="352"/>
      <c r="AA537" s="352"/>
      <c r="AB537" s="352"/>
      <c r="AC537" s="352"/>
      <c r="AD537" s="352"/>
    </row>
    <row r="538" spans="1:30" ht="205.1" hidden="1" x14ac:dyDescent="0.35">
      <c r="A538" s="349">
        <v>537</v>
      </c>
      <c r="B538" s="352" t="s">
        <v>1787</v>
      </c>
      <c r="C538" s="351" t="s">
        <v>4964</v>
      </c>
      <c r="D538" s="352" t="s">
        <v>3902</v>
      </c>
      <c r="E538" s="352" t="s">
        <v>2009</v>
      </c>
      <c r="F538" s="353">
        <v>0.4</v>
      </c>
      <c r="G538" s="352" t="s">
        <v>2126</v>
      </c>
      <c r="H538" s="176" t="s">
        <v>2225</v>
      </c>
      <c r="I538" s="176" t="s">
        <v>4350</v>
      </c>
      <c r="J538" s="352" t="s">
        <v>94</v>
      </c>
      <c r="K538" s="352">
        <v>300</v>
      </c>
      <c r="L538" s="352" t="s">
        <v>3581</v>
      </c>
      <c r="M538" s="351"/>
      <c r="N538" s="351"/>
      <c r="O538" s="351">
        <v>300</v>
      </c>
      <c r="P538" s="349" t="s">
        <v>1836</v>
      </c>
      <c r="R538" s="349">
        <f t="shared" si="8"/>
        <v>17</v>
      </c>
      <c r="S538" s="352"/>
      <c r="T538" s="352"/>
      <c r="U538" s="352"/>
      <c r="V538" s="353"/>
      <c r="W538" s="352"/>
      <c r="X538" s="176"/>
      <c r="Y538" s="176"/>
      <c r="Z538" s="352"/>
      <c r="AA538" s="352"/>
      <c r="AB538" s="352"/>
      <c r="AC538" s="352"/>
      <c r="AD538" s="352"/>
    </row>
    <row r="539" spans="1:30" ht="205.1" hidden="1" x14ac:dyDescent="0.35">
      <c r="A539" s="349">
        <v>538</v>
      </c>
      <c r="B539" s="352" t="s">
        <v>1787</v>
      </c>
      <c r="C539" s="351" t="s">
        <v>4964</v>
      </c>
      <c r="D539" s="352" t="s">
        <v>3902</v>
      </c>
      <c r="E539" s="352" t="s">
        <v>2009</v>
      </c>
      <c r="F539" s="353">
        <v>0.71</v>
      </c>
      <c r="G539" s="352" t="s">
        <v>2126</v>
      </c>
      <c r="H539" s="176" t="s">
        <v>2225</v>
      </c>
      <c r="I539" s="176" t="s">
        <v>4350</v>
      </c>
      <c r="J539" s="352" t="s">
        <v>94</v>
      </c>
      <c r="K539" s="352">
        <v>500</v>
      </c>
      <c r="L539" s="352" t="s">
        <v>3581</v>
      </c>
      <c r="M539" s="351"/>
      <c r="N539" s="351"/>
      <c r="O539" s="351">
        <v>500</v>
      </c>
      <c r="P539" s="349" t="s">
        <v>1836</v>
      </c>
      <c r="R539" s="349">
        <f t="shared" si="8"/>
        <v>17</v>
      </c>
      <c r="S539" s="352"/>
      <c r="T539" s="352"/>
      <c r="U539" s="352"/>
      <c r="V539" s="353"/>
      <c r="W539" s="352"/>
      <c r="X539" s="176"/>
      <c r="Y539" s="176"/>
      <c r="Z539" s="352"/>
      <c r="AA539" s="352"/>
      <c r="AB539" s="352"/>
      <c r="AC539" s="352"/>
      <c r="AD539" s="352"/>
    </row>
    <row r="540" spans="1:30" ht="205.1" hidden="1" x14ac:dyDescent="0.35">
      <c r="A540" s="349">
        <v>539</v>
      </c>
      <c r="B540" s="352" t="s">
        <v>1787</v>
      </c>
      <c r="C540" s="351" t="s">
        <v>4964</v>
      </c>
      <c r="D540" s="352" t="s">
        <v>3902</v>
      </c>
      <c r="E540" s="352" t="s">
        <v>2003</v>
      </c>
      <c r="F540" s="353">
        <v>0.2</v>
      </c>
      <c r="G540" s="352" t="s">
        <v>2126</v>
      </c>
      <c r="H540" s="176" t="s">
        <v>2225</v>
      </c>
      <c r="I540" s="176" t="s">
        <v>4350</v>
      </c>
      <c r="J540" s="352" t="s">
        <v>966</v>
      </c>
      <c r="K540" s="352">
        <v>150</v>
      </c>
      <c r="L540" s="352" t="s">
        <v>3581</v>
      </c>
      <c r="M540" s="351"/>
      <c r="N540" s="351"/>
      <c r="O540" s="351">
        <v>150</v>
      </c>
      <c r="P540" s="349" t="s">
        <v>1836</v>
      </c>
      <c r="R540" s="349">
        <f t="shared" si="8"/>
        <v>17</v>
      </c>
      <c r="S540" s="352"/>
      <c r="T540" s="352"/>
      <c r="U540" s="352"/>
      <c r="V540" s="353"/>
      <c r="W540" s="352"/>
      <c r="X540" s="176"/>
      <c r="Y540" s="176"/>
      <c r="Z540" s="352"/>
      <c r="AA540" s="352"/>
      <c r="AB540" s="352"/>
      <c r="AC540" s="352"/>
      <c r="AD540" s="352"/>
    </row>
    <row r="541" spans="1:30" ht="205.1" hidden="1" x14ac:dyDescent="0.35">
      <c r="A541" s="349">
        <v>540</v>
      </c>
      <c r="B541" s="352" t="s">
        <v>1787</v>
      </c>
      <c r="C541" s="351" t="s">
        <v>4964</v>
      </c>
      <c r="D541" s="352" t="s">
        <v>3902</v>
      </c>
      <c r="E541" s="352" t="s">
        <v>2003</v>
      </c>
      <c r="F541" s="353">
        <v>0.35</v>
      </c>
      <c r="G541" s="352" t="s">
        <v>2126</v>
      </c>
      <c r="H541" s="176" t="s">
        <v>2225</v>
      </c>
      <c r="I541" s="176" t="s">
        <v>4350</v>
      </c>
      <c r="J541" s="352" t="s">
        <v>966</v>
      </c>
      <c r="K541" s="352">
        <v>300</v>
      </c>
      <c r="L541" s="352" t="s">
        <v>3581</v>
      </c>
      <c r="M541" s="352"/>
      <c r="N541" s="352"/>
      <c r="O541" s="351">
        <v>300</v>
      </c>
      <c r="P541" s="349" t="s">
        <v>1836</v>
      </c>
      <c r="R541" s="349">
        <f t="shared" si="8"/>
        <v>17</v>
      </c>
      <c r="S541" s="352"/>
      <c r="T541" s="352"/>
      <c r="U541" s="352"/>
      <c r="V541" s="353"/>
      <c r="W541" s="352"/>
      <c r="X541" s="176"/>
      <c r="Y541" s="176"/>
      <c r="Z541" s="352"/>
      <c r="AA541" s="352"/>
      <c r="AB541" s="352"/>
      <c r="AC541" s="352"/>
      <c r="AD541" s="352"/>
    </row>
    <row r="542" spans="1:30" ht="205.1" hidden="1" x14ac:dyDescent="0.35">
      <c r="A542" s="349">
        <v>541</v>
      </c>
      <c r="B542" s="352" t="s">
        <v>1787</v>
      </c>
      <c r="C542" s="351" t="s">
        <v>4964</v>
      </c>
      <c r="D542" s="352" t="s">
        <v>3902</v>
      </c>
      <c r="E542" s="352" t="s">
        <v>2003</v>
      </c>
      <c r="F542" s="353">
        <v>0.6</v>
      </c>
      <c r="G542" s="352" t="s">
        <v>2126</v>
      </c>
      <c r="H542" s="176" t="s">
        <v>2225</v>
      </c>
      <c r="I542" s="176" t="s">
        <v>4350</v>
      </c>
      <c r="J542" s="352" t="s">
        <v>966</v>
      </c>
      <c r="K542" s="352">
        <v>500</v>
      </c>
      <c r="L542" s="352" t="s">
        <v>3581</v>
      </c>
      <c r="M542" s="351"/>
      <c r="N542" s="351"/>
      <c r="O542" s="351">
        <v>500</v>
      </c>
      <c r="P542" s="349" t="s">
        <v>1836</v>
      </c>
      <c r="R542" s="349">
        <f t="shared" si="8"/>
        <v>17</v>
      </c>
      <c r="S542" s="352"/>
      <c r="T542" s="352"/>
      <c r="U542" s="352"/>
      <c r="V542" s="353"/>
      <c r="W542" s="352"/>
      <c r="X542" s="176"/>
      <c r="Y542" s="176"/>
      <c r="Z542" s="352"/>
      <c r="AA542" s="352"/>
      <c r="AB542" s="352"/>
      <c r="AC542" s="352"/>
      <c r="AD542" s="352"/>
    </row>
    <row r="543" spans="1:30" ht="205.1" hidden="1" x14ac:dyDescent="0.35">
      <c r="A543" s="349">
        <v>542</v>
      </c>
      <c r="B543" s="352" t="s">
        <v>1787</v>
      </c>
      <c r="C543" s="351" t="s">
        <v>4964</v>
      </c>
      <c r="D543" s="352" t="s">
        <v>3902</v>
      </c>
      <c r="E543" s="352" t="s">
        <v>1999</v>
      </c>
      <c r="F543" s="353">
        <v>1</v>
      </c>
      <c r="G543" s="352" t="s">
        <v>967</v>
      </c>
      <c r="H543" s="37" t="s">
        <v>4138</v>
      </c>
      <c r="I543" s="176" t="s">
        <v>4350</v>
      </c>
      <c r="J543" s="352" t="s">
        <v>968</v>
      </c>
      <c r="K543" s="352">
        <v>300</v>
      </c>
      <c r="L543" s="352" t="s">
        <v>969</v>
      </c>
      <c r="M543" s="351"/>
      <c r="N543" s="351"/>
      <c r="O543" s="351">
        <v>300</v>
      </c>
      <c r="P543" s="349" t="s">
        <v>1836</v>
      </c>
      <c r="R543" s="349">
        <f t="shared" si="8"/>
        <v>17</v>
      </c>
      <c r="S543" s="352"/>
      <c r="T543" s="352"/>
      <c r="U543" s="352"/>
      <c r="V543" s="353"/>
      <c r="W543" s="352"/>
      <c r="X543" s="176"/>
      <c r="Y543" s="176"/>
      <c r="Z543" s="352"/>
      <c r="AA543" s="352"/>
      <c r="AB543" s="352"/>
      <c r="AC543" s="352"/>
      <c r="AD543" s="352"/>
    </row>
    <row r="544" spans="1:30" ht="205.1" hidden="1" x14ac:dyDescent="0.35">
      <c r="A544" s="349">
        <v>543</v>
      </c>
      <c r="B544" s="352" t="s">
        <v>1787</v>
      </c>
      <c r="C544" s="351" t="s">
        <v>4964</v>
      </c>
      <c r="D544" s="352" t="s">
        <v>3902</v>
      </c>
      <c r="E544" s="352" t="s">
        <v>1999</v>
      </c>
      <c r="F544" s="353">
        <v>1.45</v>
      </c>
      <c r="G544" s="352" t="s">
        <v>967</v>
      </c>
      <c r="H544" s="176" t="s">
        <v>4138</v>
      </c>
      <c r="I544" s="176" t="s">
        <v>4350</v>
      </c>
      <c r="J544" s="352" t="s">
        <v>968</v>
      </c>
      <c r="K544" s="352">
        <v>500</v>
      </c>
      <c r="L544" s="352" t="s">
        <v>969</v>
      </c>
      <c r="M544" s="351"/>
      <c r="N544" s="351"/>
      <c r="O544" s="351">
        <v>500</v>
      </c>
      <c r="P544" s="349" t="s">
        <v>1836</v>
      </c>
      <c r="R544" s="349">
        <f t="shared" si="8"/>
        <v>17</v>
      </c>
      <c r="S544" s="352"/>
      <c r="T544" s="352"/>
      <c r="U544" s="352"/>
      <c r="V544" s="353"/>
      <c r="W544" s="352"/>
      <c r="X544" s="176"/>
      <c r="Y544" s="176"/>
      <c r="Z544" s="352"/>
      <c r="AA544" s="352"/>
      <c r="AB544" s="352"/>
      <c r="AC544" s="351"/>
      <c r="AD544" s="351"/>
    </row>
    <row r="545" spans="1:30" ht="128.19999999999999" hidden="1" x14ac:dyDescent="0.35">
      <c r="A545" s="349">
        <v>544</v>
      </c>
      <c r="B545" s="352" t="s">
        <v>1113</v>
      </c>
      <c r="C545" s="351" t="s">
        <v>4965</v>
      </c>
      <c r="D545" s="352" t="s">
        <v>3885</v>
      </c>
      <c r="E545" s="352" t="s">
        <v>1997</v>
      </c>
      <c r="F545" s="353">
        <v>15.43</v>
      </c>
      <c r="G545" s="352" t="s">
        <v>731</v>
      </c>
      <c r="H545" s="176" t="s">
        <v>1354</v>
      </c>
      <c r="I545" s="176" t="s">
        <v>4844</v>
      </c>
      <c r="J545" s="352" t="s">
        <v>1115</v>
      </c>
      <c r="K545" s="352">
        <v>500</v>
      </c>
      <c r="L545" s="352" t="s">
        <v>1464</v>
      </c>
      <c r="M545" s="352"/>
      <c r="N545" s="352"/>
      <c r="O545" s="351">
        <v>500</v>
      </c>
      <c r="P545" s="349" t="s">
        <v>1836</v>
      </c>
      <c r="R545" s="349">
        <f t="shared" si="8"/>
        <v>12</v>
      </c>
      <c r="S545" s="352"/>
      <c r="T545" s="352"/>
      <c r="U545" s="352"/>
      <c r="V545" s="353"/>
      <c r="W545" s="352"/>
      <c r="X545" s="176"/>
      <c r="Y545" s="176"/>
      <c r="Z545" s="352"/>
      <c r="AA545" s="352"/>
      <c r="AB545" s="352"/>
      <c r="AC545" s="352"/>
      <c r="AD545" s="352"/>
    </row>
    <row r="546" spans="1:30" ht="76.900000000000006" hidden="1" x14ac:dyDescent="0.35">
      <c r="A546" s="349">
        <v>545</v>
      </c>
      <c r="B546" s="352" t="s">
        <v>2891</v>
      </c>
      <c r="C546" s="351" t="s">
        <v>2675</v>
      </c>
      <c r="D546" s="352" t="s">
        <v>2675</v>
      </c>
      <c r="E546" s="352" t="s">
        <v>95</v>
      </c>
      <c r="F546" s="353">
        <v>41.694200000000002</v>
      </c>
      <c r="G546" s="352" t="s">
        <v>96</v>
      </c>
      <c r="H546" s="176" t="s">
        <v>1089</v>
      </c>
      <c r="I546" s="176" t="s">
        <v>2888</v>
      </c>
      <c r="J546" s="352" t="s">
        <v>4025</v>
      </c>
      <c r="K546" s="352">
        <v>100</v>
      </c>
      <c r="L546" s="352" t="s">
        <v>4022</v>
      </c>
      <c r="M546" s="352">
        <v>2.5</v>
      </c>
      <c r="N546" s="352" t="s">
        <v>1109</v>
      </c>
      <c r="O546" s="351">
        <v>100</v>
      </c>
      <c r="P546" s="349" t="s">
        <v>1850</v>
      </c>
      <c r="R546" s="349">
        <f t="shared" si="8"/>
        <v>13</v>
      </c>
      <c r="S546" s="352"/>
      <c r="T546" s="352"/>
      <c r="U546" s="352"/>
      <c r="V546" s="353"/>
      <c r="W546" s="352"/>
      <c r="X546" s="176"/>
      <c r="Y546" s="176"/>
      <c r="Z546" s="352"/>
      <c r="AA546" s="352"/>
      <c r="AB546" s="352"/>
      <c r="AC546" s="352"/>
      <c r="AD546" s="352"/>
    </row>
    <row r="547" spans="1:30" ht="76.900000000000006" hidden="1" x14ac:dyDescent="0.35">
      <c r="A547" s="349">
        <v>546</v>
      </c>
      <c r="B547" s="352" t="s">
        <v>2891</v>
      </c>
      <c r="C547" s="351" t="s">
        <v>2675</v>
      </c>
      <c r="D547" s="352" t="s">
        <v>2675</v>
      </c>
      <c r="E547" s="352" t="s">
        <v>97</v>
      </c>
      <c r="F547" s="353">
        <v>95.8</v>
      </c>
      <c r="G547" s="352" t="s">
        <v>96</v>
      </c>
      <c r="H547" s="176" t="s">
        <v>1089</v>
      </c>
      <c r="I547" s="176" t="s">
        <v>2888</v>
      </c>
      <c r="J547" s="352" t="s">
        <v>98</v>
      </c>
      <c r="K547" s="352">
        <v>2.5</v>
      </c>
      <c r="L547" s="352" t="s">
        <v>2902</v>
      </c>
      <c r="M547" s="352">
        <v>50</v>
      </c>
      <c r="N547" s="352" t="s">
        <v>1656</v>
      </c>
      <c r="O547" s="351">
        <v>2.5</v>
      </c>
      <c r="P547" s="349" t="s">
        <v>1850</v>
      </c>
      <c r="R547" s="349">
        <f t="shared" si="8"/>
        <v>13</v>
      </c>
      <c r="S547" s="352"/>
      <c r="T547" s="352"/>
      <c r="U547" s="352"/>
      <c r="V547" s="353"/>
      <c r="W547" s="352"/>
      <c r="X547" s="176"/>
      <c r="Y547" s="176"/>
      <c r="Z547" s="352"/>
      <c r="AA547" s="352"/>
      <c r="AB547" s="352"/>
      <c r="AC547" s="352"/>
      <c r="AD547" s="352"/>
    </row>
    <row r="548" spans="1:30" ht="76.900000000000006" hidden="1" x14ac:dyDescent="0.35">
      <c r="A548" s="349">
        <v>547</v>
      </c>
      <c r="B548" s="352" t="s">
        <v>2891</v>
      </c>
      <c r="C548" s="351" t="s">
        <v>2675</v>
      </c>
      <c r="D548" s="352" t="s">
        <v>2675</v>
      </c>
      <c r="E548" s="352" t="s">
        <v>97</v>
      </c>
      <c r="F548" s="353">
        <v>80.83</v>
      </c>
      <c r="G548" s="352" t="s">
        <v>96</v>
      </c>
      <c r="H548" s="176" t="s">
        <v>1089</v>
      </c>
      <c r="I548" s="176" t="s">
        <v>2888</v>
      </c>
      <c r="J548" s="352" t="s">
        <v>98</v>
      </c>
      <c r="K548" s="352">
        <v>10</v>
      </c>
      <c r="L548" s="352" t="s">
        <v>2902</v>
      </c>
      <c r="M548" s="352">
        <v>50</v>
      </c>
      <c r="N548" s="352" t="s">
        <v>1656</v>
      </c>
      <c r="O548" s="351">
        <v>10</v>
      </c>
      <c r="P548" s="349" t="s">
        <v>1850</v>
      </c>
      <c r="R548" s="349">
        <f t="shared" si="8"/>
        <v>13</v>
      </c>
      <c r="S548" s="352"/>
      <c r="T548" s="352"/>
      <c r="U548" s="352"/>
      <c r="V548" s="353"/>
      <c r="W548" s="352"/>
      <c r="X548" s="176"/>
      <c r="Y548" s="176"/>
      <c r="Z548" s="352"/>
      <c r="AA548" s="352"/>
      <c r="AB548" s="352"/>
      <c r="AC548" s="351"/>
      <c r="AD548" s="351"/>
    </row>
    <row r="549" spans="1:30" ht="102.55" hidden="1" x14ac:dyDescent="0.35">
      <c r="A549" s="349">
        <v>548</v>
      </c>
      <c r="B549" s="352" t="s">
        <v>4044</v>
      </c>
      <c r="C549" s="351" t="s">
        <v>2675</v>
      </c>
      <c r="D549" s="352" t="s">
        <v>2675</v>
      </c>
      <c r="E549" s="352" t="s">
        <v>2855</v>
      </c>
      <c r="F549" s="353">
        <v>15.7125</v>
      </c>
      <c r="G549" s="352" t="s">
        <v>1107</v>
      </c>
      <c r="H549" s="176" t="s">
        <v>3188</v>
      </c>
      <c r="I549" s="176" t="s">
        <v>3189</v>
      </c>
      <c r="J549" s="352" t="s">
        <v>828</v>
      </c>
      <c r="K549" s="352">
        <v>4</v>
      </c>
      <c r="L549" s="352" t="s">
        <v>4022</v>
      </c>
      <c r="M549" s="352">
        <v>1</v>
      </c>
      <c r="N549" s="352" t="s">
        <v>1109</v>
      </c>
      <c r="O549" s="351">
        <v>4</v>
      </c>
      <c r="P549" s="349" t="s">
        <v>1850</v>
      </c>
      <c r="R549" s="349">
        <f t="shared" si="8"/>
        <v>13</v>
      </c>
      <c r="S549" s="352"/>
      <c r="T549" s="352"/>
      <c r="U549" s="352"/>
      <c r="V549" s="353"/>
      <c r="W549" s="352"/>
      <c r="X549" s="176"/>
      <c r="Y549" s="176"/>
      <c r="Z549" s="352"/>
      <c r="AA549" s="352"/>
      <c r="AB549" s="352"/>
      <c r="AC549" s="351"/>
      <c r="AD549" s="351"/>
    </row>
    <row r="550" spans="1:30" ht="38.450000000000003" hidden="1" x14ac:dyDescent="0.35">
      <c r="A550" s="349">
        <v>549</v>
      </c>
      <c r="B550" s="352" t="s">
        <v>2891</v>
      </c>
      <c r="C550" s="351" t="s">
        <v>2675</v>
      </c>
      <c r="D550" s="352" t="s">
        <v>2675</v>
      </c>
      <c r="E550" s="352" t="s">
        <v>2855</v>
      </c>
      <c r="F550" s="353">
        <v>15.71</v>
      </c>
      <c r="G550" s="352" t="s">
        <v>1107</v>
      </c>
      <c r="H550" s="176"/>
      <c r="I550" s="176" t="s">
        <v>2888</v>
      </c>
      <c r="J550" s="352" t="s">
        <v>828</v>
      </c>
      <c r="K550" s="352">
        <v>4</v>
      </c>
      <c r="L550" s="352" t="s">
        <v>4022</v>
      </c>
      <c r="M550" s="352">
        <v>1</v>
      </c>
      <c r="N550" s="352" t="s">
        <v>1109</v>
      </c>
      <c r="O550" s="351">
        <v>4</v>
      </c>
      <c r="P550" s="349" t="s">
        <v>1850</v>
      </c>
      <c r="R550" s="349">
        <f t="shared" si="8"/>
        <v>13</v>
      </c>
      <c r="S550" s="352"/>
      <c r="T550" s="352"/>
      <c r="U550" s="352"/>
      <c r="V550" s="353"/>
      <c r="W550" s="352"/>
      <c r="X550" s="176"/>
      <c r="Y550" s="176"/>
      <c r="Z550" s="352"/>
      <c r="AA550" s="351"/>
      <c r="AB550" s="351"/>
      <c r="AC550" s="352"/>
      <c r="AD550" s="352"/>
    </row>
    <row r="551" spans="1:30" ht="38.450000000000003" hidden="1" x14ac:dyDescent="0.35">
      <c r="A551" s="349">
        <v>550</v>
      </c>
      <c r="B551" s="352" t="s">
        <v>2891</v>
      </c>
      <c r="C551" s="351" t="s">
        <v>2675</v>
      </c>
      <c r="D551" s="352" t="s">
        <v>2675</v>
      </c>
      <c r="E551" s="352" t="s">
        <v>1995</v>
      </c>
      <c r="F551" s="353">
        <v>2.56</v>
      </c>
      <c r="G551" s="352" t="s">
        <v>2126</v>
      </c>
      <c r="H551" s="176"/>
      <c r="I551" s="176" t="s">
        <v>2888</v>
      </c>
      <c r="J551" s="352" t="s">
        <v>3580</v>
      </c>
      <c r="K551" s="352">
        <v>100</v>
      </c>
      <c r="L551" s="352" t="s">
        <v>1757</v>
      </c>
      <c r="M551" s="351"/>
      <c r="N551" s="351"/>
      <c r="O551" s="351">
        <v>100</v>
      </c>
      <c r="P551" s="349" t="s">
        <v>1850</v>
      </c>
      <c r="R551" s="349">
        <f t="shared" si="8"/>
        <v>13</v>
      </c>
      <c r="S551" s="352"/>
      <c r="T551" s="352"/>
      <c r="U551" s="352"/>
      <c r="V551" s="353"/>
      <c r="W551" s="352"/>
      <c r="X551" s="176"/>
      <c r="Y551" s="176"/>
      <c r="Z551" s="352"/>
      <c r="AA551" s="352"/>
      <c r="AB551" s="352"/>
      <c r="AC551" s="352"/>
      <c r="AD551" s="352"/>
    </row>
    <row r="552" spans="1:30" ht="64.099999999999994" hidden="1" x14ac:dyDescent="0.35">
      <c r="A552" s="349">
        <v>551</v>
      </c>
      <c r="B552" s="352" t="s">
        <v>2372</v>
      </c>
      <c r="C552" s="351" t="s">
        <v>2675</v>
      </c>
      <c r="D552" s="352" t="s">
        <v>2675</v>
      </c>
      <c r="E552" s="352" t="s">
        <v>1995</v>
      </c>
      <c r="F552" s="353">
        <v>3.8784999999999998</v>
      </c>
      <c r="G552" s="352" t="s">
        <v>2126</v>
      </c>
      <c r="H552" s="176" t="s">
        <v>365</v>
      </c>
      <c r="I552" s="176" t="s">
        <v>1513</v>
      </c>
      <c r="J552" s="352" t="s">
        <v>3580</v>
      </c>
      <c r="K552" s="352">
        <v>0.2</v>
      </c>
      <c r="L552" s="352" t="s">
        <v>3581</v>
      </c>
      <c r="M552" s="351"/>
      <c r="N552" s="351"/>
      <c r="O552" s="351">
        <v>0.2</v>
      </c>
      <c r="P552" s="349" t="s">
        <v>1836</v>
      </c>
      <c r="R552" s="349">
        <f t="shared" si="8"/>
        <v>13</v>
      </c>
      <c r="S552" s="352"/>
      <c r="T552" s="352"/>
      <c r="U552" s="352"/>
      <c r="V552" s="353"/>
      <c r="W552" s="352"/>
      <c r="X552" s="176"/>
      <c r="Y552" s="176"/>
      <c r="Z552" s="352"/>
      <c r="AA552" s="352"/>
      <c r="AB552" s="352"/>
      <c r="AC552" s="351"/>
      <c r="AD552" s="351"/>
    </row>
    <row r="553" spans="1:30" ht="25.65" hidden="1" x14ac:dyDescent="0.35">
      <c r="A553" s="349">
        <v>552</v>
      </c>
      <c r="B553" s="352" t="s">
        <v>1792</v>
      </c>
      <c r="C553" s="351" t="s">
        <v>2407</v>
      </c>
      <c r="D553" s="352" t="s">
        <v>2407</v>
      </c>
      <c r="E553" s="352" t="s">
        <v>2894</v>
      </c>
      <c r="F553" s="353">
        <v>44.735300000000002</v>
      </c>
      <c r="G553" s="352" t="s">
        <v>34</v>
      </c>
      <c r="H553" s="176" t="s">
        <v>2408</v>
      </c>
      <c r="I553" s="176" t="s">
        <v>4734</v>
      </c>
      <c r="J553" s="352" t="s">
        <v>2895</v>
      </c>
      <c r="K553" s="352">
        <v>2.5</v>
      </c>
      <c r="L553" s="352" t="s">
        <v>1311</v>
      </c>
      <c r="M553" s="351">
        <v>120</v>
      </c>
      <c r="N553" s="351" t="s">
        <v>31</v>
      </c>
      <c r="O553" s="351">
        <v>2.5</v>
      </c>
      <c r="P553" s="349" t="s">
        <v>1836</v>
      </c>
      <c r="R553" s="349">
        <f t="shared" si="8"/>
        <v>13</v>
      </c>
      <c r="S553" s="352"/>
      <c r="T553" s="352"/>
      <c r="U553" s="352"/>
      <c r="V553" s="353"/>
      <c r="W553" s="352"/>
      <c r="X553" s="176"/>
      <c r="Y553" s="176"/>
      <c r="Z553" s="352"/>
      <c r="AA553" s="351"/>
      <c r="AB553" s="351"/>
      <c r="AC553" s="352"/>
      <c r="AD553" s="352"/>
    </row>
    <row r="554" spans="1:30" ht="25.65" hidden="1" x14ac:dyDescent="0.35">
      <c r="A554" s="349">
        <v>553</v>
      </c>
      <c r="B554" s="352" t="s">
        <v>1500</v>
      </c>
      <c r="C554" s="351" t="s">
        <v>4966</v>
      </c>
      <c r="D554" s="352" t="s">
        <v>509</v>
      </c>
      <c r="E554" s="352" t="s">
        <v>1995</v>
      </c>
      <c r="F554" s="353">
        <v>1.54</v>
      </c>
      <c r="G554" s="352" t="s">
        <v>2126</v>
      </c>
      <c r="H554" s="176" t="s">
        <v>510</v>
      </c>
      <c r="I554" s="176" t="s">
        <v>511</v>
      </c>
      <c r="J554" s="352" t="s">
        <v>3580</v>
      </c>
      <c r="K554" s="352">
        <v>1</v>
      </c>
      <c r="L554" s="352" t="s">
        <v>3581</v>
      </c>
      <c r="M554" s="351"/>
      <c r="N554" s="351"/>
      <c r="O554" s="351">
        <v>1</v>
      </c>
      <c r="P554" s="349" t="s">
        <v>1836</v>
      </c>
      <c r="R554" s="349">
        <f t="shared" si="8"/>
        <v>11</v>
      </c>
      <c r="S554" s="352"/>
      <c r="T554" s="352"/>
      <c r="U554" s="352"/>
      <c r="V554" s="353"/>
      <c r="W554" s="352"/>
      <c r="X554" s="176"/>
      <c r="Y554" s="176"/>
      <c r="Z554" s="352"/>
      <c r="AA554" s="352"/>
      <c r="AB554" s="352"/>
      <c r="AC554" s="351"/>
      <c r="AD554" s="351"/>
    </row>
    <row r="555" spans="1:30" ht="115.35" hidden="1" x14ac:dyDescent="0.35">
      <c r="A555" s="349">
        <v>554</v>
      </c>
      <c r="B555" s="352" t="s">
        <v>2560</v>
      </c>
      <c r="C555" s="351" t="s">
        <v>4967</v>
      </c>
      <c r="D555" s="352" t="s">
        <v>4125</v>
      </c>
      <c r="E555" s="352" t="s">
        <v>1995</v>
      </c>
      <c r="F555" s="353">
        <v>0.15429999999999999</v>
      </c>
      <c r="G555" s="352" t="s">
        <v>2126</v>
      </c>
      <c r="H555" s="176" t="s">
        <v>803</v>
      </c>
      <c r="I555" s="176" t="s">
        <v>4947</v>
      </c>
      <c r="J555" s="352" t="s">
        <v>3580</v>
      </c>
      <c r="K555" s="352">
        <v>400</v>
      </c>
      <c r="L555" s="352" t="s">
        <v>1519</v>
      </c>
      <c r="M555" s="351"/>
      <c r="N555" s="351"/>
      <c r="O555" s="351">
        <v>400</v>
      </c>
      <c r="P555" s="349" t="s">
        <v>2030</v>
      </c>
      <c r="R555" s="349">
        <f t="shared" si="8"/>
        <v>14</v>
      </c>
      <c r="S555" s="352"/>
      <c r="T555" s="352"/>
      <c r="U555" s="352"/>
      <c r="V555" s="353"/>
      <c r="W555" s="352"/>
      <c r="X555" s="176"/>
      <c r="Y555" s="176"/>
      <c r="Z555" s="352"/>
      <c r="AA555" s="352"/>
      <c r="AB555" s="352"/>
      <c r="AC555" s="351"/>
      <c r="AD555" s="351"/>
    </row>
    <row r="556" spans="1:30" ht="256.35000000000002" hidden="1" x14ac:dyDescent="0.35">
      <c r="A556" s="349">
        <v>555</v>
      </c>
      <c r="B556" s="352" t="s">
        <v>778</v>
      </c>
      <c r="C556" s="351" t="s">
        <v>2646</v>
      </c>
      <c r="D556" s="352" t="s">
        <v>2646</v>
      </c>
      <c r="E556" s="352" t="s">
        <v>2855</v>
      </c>
      <c r="F556" s="353">
        <v>0.75</v>
      </c>
      <c r="G556" s="352" t="s">
        <v>1107</v>
      </c>
      <c r="H556" s="176" t="s">
        <v>4842</v>
      </c>
      <c r="I556" s="176" t="s">
        <v>4735</v>
      </c>
      <c r="J556" s="352" t="s">
        <v>828</v>
      </c>
      <c r="K556" s="352">
        <v>4</v>
      </c>
      <c r="L556" s="352" t="s">
        <v>1116</v>
      </c>
      <c r="M556" s="351">
        <v>1</v>
      </c>
      <c r="N556" s="351" t="s">
        <v>1109</v>
      </c>
      <c r="O556" s="351">
        <v>4</v>
      </c>
      <c r="P556" s="349" t="s">
        <v>1836</v>
      </c>
      <c r="R556" s="349">
        <f t="shared" si="8"/>
        <v>12</v>
      </c>
      <c r="S556" s="352"/>
      <c r="T556" s="352"/>
      <c r="U556" s="352"/>
      <c r="V556" s="353"/>
      <c r="W556" s="352"/>
      <c r="X556" s="176"/>
      <c r="Y556" s="176"/>
      <c r="Z556" s="352"/>
      <c r="AA556" s="352"/>
      <c r="AB556" s="352"/>
      <c r="AC556" s="351"/>
      <c r="AD556" s="351"/>
    </row>
    <row r="557" spans="1:30" ht="256.35000000000002" hidden="1" x14ac:dyDescent="0.35">
      <c r="A557" s="349">
        <v>556</v>
      </c>
      <c r="B557" s="352" t="s">
        <v>778</v>
      </c>
      <c r="C557" s="351" t="s">
        <v>2646</v>
      </c>
      <c r="D557" s="352" t="s">
        <v>2646</v>
      </c>
      <c r="E557" s="352" t="s">
        <v>827</v>
      </c>
      <c r="F557" s="353">
        <v>3.75</v>
      </c>
      <c r="G557" s="352" t="s">
        <v>1107</v>
      </c>
      <c r="H557" s="176" t="s">
        <v>4842</v>
      </c>
      <c r="I557" s="176" t="s">
        <v>4735</v>
      </c>
      <c r="J557" s="352" t="s">
        <v>828</v>
      </c>
      <c r="K557" s="352">
        <v>20</v>
      </c>
      <c r="L557" s="352" t="s">
        <v>1116</v>
      </c>
      <c r="M557" s="351">
        <v>5</v>
      </c>
      <c r="N557" s="351" t="s">
        <v>1109</v>
      </c>
      <c r="O557" s="351">
        <v>20</v>
      </c>
      <c r="P557" s="349" t="s">
        <v>1836</v>
      </c>
      <c r="R557" s="349">
        <f t="shared" si="8"/>
        <v>12</v>
      </c>
      <c r="S557" s="352"/>
      <c r="T557" s="352"/>
      <c r="U557" s="352"/>
      <c r="V557" s="353"/>
      <c r="W557" s="352"/>
      <c r="X557" s="176"/>
      <c r="Y557" s="176"/>
      <c r="Z557" s="352"/>
      <c r="AA557" s="352"/>
      <c r="AB557" s="352"/>
      <c r="AC557" s="351"/>
      <c r="AD557" s="351"/>
    </row>
    <row r="558" spans="1:30" hidden="1" x14ac:dyDescent="0.35">
      <c r="A558" s="349">
        <v>557</v>
      </c>
      <c r="B558" s="352" t="s">
        <v>760</v>
      </c>
      <c r="C558" s="351" t="s">
        <v>2646</v>
      </c>
      <c r="D558" s="352" t="s">
        <v>2646</v>
      </c>
      <c r="E558" s="352" t="s">
        <v>3209</v>
      </c>
      <c r="F558" s="353">
        <v>11.2</v>
      </c>
      <c r="G558" s="352" t="s">
        <v>34</v>
      </c>
      <c r="H558" s="176" t="s">
        <v>2647</v>
      </c>
      <c r="I558" s="176" t="s">
        <v>3819</v>
      </c>
      <c r="J558" s="352" t="s">
        <v>4025</v>
      </c>
      <c r="K558" s="352">
        <v>1</v>
      </c>
      <c r="L558" s="352" t="s">
        <v>1116</v>
      </c>
      <c r="M558" s="351">
        <v>5</v>
      </c>
      <c r="N558" s="351" t="s">
        <v>1109</v>
      </c>
      <c r="O558" s="351">
        <v>1</v>
      </c>
      <c r="P558" s="349" t="s">
        <v>1836</v>
      </c>
      <c r="R558" s="349">
        <f t="shared" si="8"/>
        <v>12</v>
      </c>
      <c r="S558" s="352"/>
      <c r="T558" s="352"/>
      <c r="U558" s="352"/>
      <c r="V558" s="353"/>
      <c r="W558" s="352"/>
      <c r="X558" s="176"/>
      <c r="Y558" s="176"/>
      <c r="Z558" s="352"/>
      <c r="AA558" s="352"/>
      <c r="AB558" s="352"/>
      <c r="AC558" s="352"/>
      <c r="AD558" s="352"/>
    </row>
    <row r="559" spans="1:30" ht="192.25" hidden="1" x14ac:dyDescent="0.35">
      <c r="A559" s="349">
        <v>558</v>
      </c>
      <c r="B559" s="352" t="s">
        <v>778</v>
      </c>
      <c r="C559" s="351" t="s">
        <v>2646</v>
      </c>
      <c r="D559" s="352" t="s">
        <v>2646</v>
      </c>
      <c r="E559" s="352" t="s">
        <v>1995</v>
      </c>
      <c r="F559" s="353">
        <v>0.1</v>
      </c>
      <c r="G559" s="352" t="s">
        <v>2126</v>
      </c>
      <c r="H559" s="176" t="s">
        <v>4516</v>
      </c>
      <c r="I559" s="176" t="s">
        <v>4735</v>
      </c>
      <c r="J559" s="352" t="s">
        <v>3580</v>
      </c>
      <c r="K559" s="352">
        <v>0.5</v>
      </c>
      <c r="L559" s="352" t="s">
        <v>3581</v>
      </c>
      <c r="M559" s="352"/>
      <c r="N559" s="352"/>
      <c r="O559" s="351">
        <v>0.5</v>
      </c>
      <c r="P559" s="349" t="s">
        <v>1836</v>
      </c>
      <c r="R559" s="349">
        <f t="shared" si="8"/>
        <v>12</v>
      </c>
      <c r="S559" s="352"/>
      <c r="T559" s="352"/>
      <c r="U559" s="352"/>
      <c r="V559" s="353"/>
      <c r="W559" s="352"/>
      <c r="X559" s="176"/>
      <c r="Y559" s="176"/>
      <c r="Z559" s="352"/>
      <c r="AA559" s="352"/>
      <c r="AB559" s="352"/>
      <c r="AC559" s="352"/>
      <c r="AD559" s="352"/>
    </row>
    <row r="560" spans="1:30" ht="192.25" hidden="1" x14ac:dyDescent="0.35">
      <c r="A560" s="349">
        <v>559</v>
      </c>
      <c r="B560" s="352" t="s">
        <v>778</v>
      </c>
      <c r="C560" s="351" t="s">
        <v>2646</v>
      </c>
      <c r="D560" s="352" t="s">
        <v>2646</v>
      </c>
      <c r="E560" s="352" t="s">
        <v>1995</v>
      </c>
      <c r="F560" s="353">
        <v>0.3306</v>
      </c>
      <c r="G560" s="352" t="s">
        <v>2126</v>
      </c>
      <c r="H560" s="176" t="s">
        <v>4516</v>
      </c>
      <c r="I560" s="176" t="s">
        <v>4735</v>
      </c>
      <c r="J560" s="352" t="s">
        <v>3580</v>
      </c>
      <c r="K560" s="352">
        <v>1.5</v>
      </c>
      <c r="L560" s="352" t="s">
        <v>3581</v>
      </c>
      <c r="M560" s="352"/>
      <c r="N560" s="352"/>
      <c r="O560" s="351">
        <v>1.5</v>
      </c>
      <c r="P560" s="349" t="s">
        <v>1836</v>
      </c>
      <c r="R560" s="349">
        <f t="shared" si="8"/>
        <v>12</v>
      </c>
      <c r="S560" s="352"/>
      <c r="T560" s="352"/>
      <c r="U560" s="352"/>
      <c r="V560" s="353"/>
      <c r="W560" s="352"/>
      <c r="X560" s="176"/>
      <c r="Y560" s="176"/>
      <c r="Z560" s="352"/>
      <c r="AA560" s="352"/>
      <c r="AB560" s="352"/>
      <c r="AC560" s="352"/>
      <c r="AD560" s="352"/>
    </row>
    <row r="561" spans="1:30" ht="192.25" hidden="1" x14ac:dyDescent="0.35">
      <c r="A561" s="349">
        <v>560</v>
      </c>
      <c r="B561" s="352" t="s">
        <v>778</v>
      </c>
      <c r="C561" s="351" t="s">
        <v>2646</v>
      </c>
      <c r="D561" s="352" t="s">
        <v>2646</v>
      </c>
      <c r="E561" s="352" t="s">
        <v>1995</v>
      </c>
      <c r="F561" s="353">
        <v>0.45</v>
      </c>
      <c r="G561" s="352" t="s">
        <v>2126</v>
      </c>
      <c r="H561" s="176" t="s">
        <v>4516</v>
      </c>
      <c r="I561" s="176" t="s">
        <v>4735</v>
      </c>
      <c r="J561" s="352" t="s">
        <v>3580</v>
      </c>
      <c r="K561" s="352">
        <v>4</v>
      </c>
      <c r="L561" s="352" t="s">
        <v>3581</v>
      </c>
      <c r="M561" s="352"/>
      <c r="N561" s="352"/>
      <c r="O561" s="351">
        <v>4</v>
      </c>
      <c r="P561" s="349" t="s">
        <v>1836</v>
      </c>
      <c r="R561" s="349">
        <f t="shared" si="8"/>
        <v>12</v>
      </c>
      <c r="S561" s="352"/>
      <c r="T561" s="352"/>
      <c r="U561" s="352"/>
      <c r="V561" s="353"/>
      <c r="W561" s="352"/>
      <c r="X561" s="176"/>
      <c r="Y561" s="176"/>
      <c r="Z561" s="352"/>
      <c r="AA561" s="352"/>
      <c r="AB561" s="352"/>
      <c r="AC561" s="351"/>
      <c r="AD561" s="351"/>
    </row>
    <row r="562" spans="1:30" ht="256.35000000000002" hidden="1" x14ac:dyDescent="0.35">
      <c r="A562" s="349">
        <v>561</v>
      </c>
      <c r="B562" s="352" t="s">
        <v>778</v>
      </c>
      <c r="C562" s="351" t="s">
        <v>2646</v>
      </c>
      <c r="D562" s="352" t="s">
        <v>2646</v>
      </c>
      <c r="E562" s="352" t="s">
        <v>2855</v>
      </c>
      <c r="F562" s="353">
        <v>0.75</v>
      </c>
      <c r="G562" s="352" t="s">
        <v>1107</v>
      </c>
      <c r="H562" s="176" t="s">
        <v>4842</v>
      </c>
      <c r="I562" s="176" t="s">
        <v>4735</v>
      </c>
      <c r="J562" s="352" t="s">
        <v>828</v>
      </c>
      <c r="K562" s="352">
        <v>4</v>
      </c>
      <c r="L562" s="352" t="s">
        <v>1116</v>
      </c>
      <c r="M562" s="352">
        <v>1</v>
      </c>
      <c r="N562" s="352" t="s">
        <v>1109</v>
      </c>
      <c r="O562" s="351">
        <v>4</v>
      </c>
      <c r="P562" s="349" t="s">
        <v>1836</v>
      </c>
      <c r="R562" s="349">
        <f t="shared" si="8"/>
        <v>12</v>
      </c>
      <c r="S562" s="352"/>
      <c r="T562" s="352"/>
      <c r="U562" s="352"/>
      <c r="V562" s="353"/>
      <c r="W562" s="352"/>
      <c r="X562" s="176"/>
      <c r="Y562" s="176"/>
      <c r="Z562" s="352"/>
      <c r="AA562" s="352"/>
      <c r="AB562" s="352"/>
      <c r="AC562" s="351"/>
      <c r="AD562" s="351"/>
    </row>
    <row r="563" spans="1:30" ht="256.35000000000002" hidden="1" x14ac:dyDescent="0.35">
      <c r="A563" s="349">
        <v>562</v>
      </c>
      <c r="B563" s="352" t="s">
        <v>778</v>
      </c>
      <c r="C563" s="351" t="s">
        <v>2646</v>
      </c>
      <c r="D563" s="352" t="s">
        <v>2646</v>
      </c>
      <c r="E563" s="352" t="s">
        <v>827</v>
      </c>
      <c r="F563" s="353">
        <v>3.75</v>
      </c>
      <c r="G563" s="352" t="s">
        <v>1107</v>
      </c>
      <c r="H563" s="176" t="s">
        <v>4842</v>
      </c>
      <c r="I563" s="176" t="s">
        <v>4735</v>
      </c>
      <c r="J563" s="352" t="s">
        <v>828</v>
      </c>
      <c r="K563" s="352">
        <v>20</v>
      </c>
      <c r="L563" s="352" t="s">
        <v>1116</v>
      </c>
      <c r="M563" s="352">
        <v>5</v>
      </c>
      <c r="N563" s="352" t="s">
        <v>1109</v>
      </c>
      <c r="O563" s="351">
        <v>20</v>
      </c>
      <c r="P563" s="349" t="s">
        <v>1836</v>
      </c>
      <c r="R563" s="349">
        <f t="shared" si="8"/>
        <v>12</v>
      </c>
      <c r="S563" s="352"/>
      <c r="T563" s="352"/>
      <c r="U563" s="352"/>
      <c r="V563" s="353"/>
      <c r="W563" s="352"/>
      <c r="X563" s="176"/>
      <c r="Y563" s="176"/>
      <c r="Z563" s="352"/>
      <c r="AA563" s="352"/>
      <c r="AB563" s="352"/>
      <c r="AC563" s="351"/>
      <c r="AD563" s="351"/>
    </row>
    <row r="564" spans="1:30" ht="192.25" hidden="1" x14ac:dyDescent="0.35">
      <c r="A564" s="349">
        <v>563</v>
      </c>
      <c r="B564" s="352" t="s">
        <v>778</v>
      </c>
      <c r="C564" s="351" t="s">
        <v>2646</v>
      </c>
      <c r="D564" s="352" t="s">
        <v>2646</v>
      </c>
      <c r="E564" s="352" t="s">
        <v>1995</v>
      </c>
      <c r="F564" s="353">
        <v>0.1</v>
      </c>
      <c r="G564" s="352" t="s">
        <v>2126</v>
      </c>
      <c r="H564" s="176" t="s">
        <v>4516</v>
      </c>
      <c r="I564" s="176" t="s">
        <v>4735</v>
      </c>
      <c r="J564" s="352" t="s">
        <v>3580</v>
      </c>
      <c r="K564" s="351">
        <v>0.5</v>
      </c>
      <c r="L564" s="351" t="s">
        <v>3581</v>
      </c>
      <c r="M564" s="352"/>
      <c r="N564" s="352"/>
      <c r="O564" s="351">
        <v>0.5</v>
      </c>
      <c r="P564" s="349" t="s">
        <v>1836</v>
      </c>
      <c r="R564" s="349">
        <f t="shared" si="8"/>
        <v>12</v>
      </c>
      <c r="S564" s="352"/>
      <c r="T564" s="352"/>
      <c r="U564" s="352"/>
      <c r="V564" s="353"/>
      <c r="W564" s="352"/>
      <c r="X564" s="176"/>
      <c r="Y564" s="176"/>
      <c r="Z564" s="352"/>
      <c r="AA564" s="352"/>
      <c r="AB564" s="352"/>
      <c r="AC564" s="351"/>
      <c r="AD564" s="351"/>
    </row>
    <row r="565" spans="1:30" ht="192.25" hidden="1" x14ac:dyDescent="0.35">
      <c r="A565" s="349">
        <v>564</v>
      </c>
      <c r="B565" s="352" t="s">
        <v>778</v>
      </c>
      <c r="C565" s="351" t="s">
        <v>2646</v>
      </c>
      <c r="D565" s="352" t="s">
        <v>2646</v>
      </c>
      <c r="E565" s="352" t="s">
        <v>1995</v>
      </c>
      <c r="F565" s="353">
        <v>0.3306</v>
      </c>
      <c r="G565" s="352" t="s">
        <v>2126</v>
      </c>
      <c r="H565" s="176" t="s">
        <v>4516</v>
      </c>
      <c r="I565" s="176" t="s">
        <v>4735</v>
      </c>
      <c r="J565" s="352" t="s">
        <v>3580</v>
      </c>
      <c r="K565" s="351">
        <v>1.5</v>
      </c>
      <c r="L565" s="351" t="s">
        <v>3581</v>
      </c>
      <c r="M565" s="352"/>
      <c r="N565" s="352"/>
      <c r="O565" s="351">
        <v>1.5</v>
      </c>
      <c r="P565" s="349" t="s">
        <v>1836</v>
      </c>
      <c r="R565" s="349">
        <f t="shared" si="8"/>
        <v>12</v>
      </c>
      <c r="S565" s="352"/>
      <c r="T565" s="352"/>
      <c r="U565" s="352"/>
      <c r="V565" s="353"/>
      <c r="W565" s="352"/>
      <c r="X565" s="176"/>
      <c r="Y565" s="176"/>
      <c r="Z565" s="352"/>
      <c r="AA565" s="352"/>
      <c r="AB565" s="352"/>
      <c r="AC565" s="351"/>
      <c r="AD565" s="351"/>
    </row>
    <row r="566" spans="1:30" ht="192.25" hidden="1" x14ac:dyDescent="0.35">
      <c r="A566" s="349">
        <v>565</v>
      </c>
      <c r="B566" s="352" t="s">
        <v>778</v>
      </c>
      <c r="C566" s="351" t="s">
        <v>2646</v>
      </c>
      <c r="D566" s="352" t="s">
        <v>2646</v>
      </c>
      <c r="E566" s="352" t="s">
        <v>1995</v>
      </c>
      <c r="F566" s="353">
        <v>0.45</v>
      </c>
      <c r="G566" s="352" t="s">
        <v>2126</v>
      </c>
      <c r="H566" s="176" t="s">
        <v>4516</v>
      </c>
      <c r="I566" s="176" t="s">
        <v>4735</v>
      </c>
      <c r="J566" s="352" t="s">
        <v>3580</v>
      </c>
      <c r="K566" s="352">
        <v>4</v>
      </c>
      <c r="L566" s="352" t="s">
        <v>3581</v>
      </c>
      <c r="M566" s="352"/>
      <c r="N566" s="352"/>
      <c r="O566" s="351">
        <v>4</v>
      </c>
      <c r="P566" s="349" t="s">
        <v>1836</v>
      </c>
      <c r="R566" s="349">
        <f t="shared" si="8"/>
        <v>12</v>
      </c>
      <c r="S566" s="352"/>
      <c r="T566" s="352"/>
      <c r="U566" s="352"/>
      <c r="V566" s="353"/>
      <c r="W566" s="352"/>
      <c r="X566" s="176"/>
      <c r="Y566" s="176"/>
      <c r="Z566" s="352"/>
      <c r="AA566" s="352"/>
      <c r="AB566" s="352"/>
      <c r="AC566" s="351"/>
      <c r="AD566" s="351"/>
    </row>
    <row r="567" spans="1:30" ht="89.75" hidden="1" x14ac:dyDescent="0.35">
      <c r="A567" s="349">
        <v>566</v>
      </c>
      <c r="B567" s="352" t="s">
        <v>694</v>
      </c>
      <c r="C567" s="351" t="s">
        <v>508</v>
      </c>
      <c r="D567" s="352" t="s">
        <v>5036</v>
      </c>
      <c r="E567" s="352" t="s">
        <v>779</v>
      </c>
      <c r="F567" s="353">
        <v>16.109100000000002</v>
      </c>
      <c r="G567" s="352" t="s">
        <v>34</v>
      </c>
      <c r="H567" s="176" t="s">
        <v>3907</v>
      </c>
      <c r="I567" s="176" t="s">
        <v>3331</v>
      </c>
      <c r="J567" s="352" t="s">
        <v>4025</v>
      </c>
      <c r="K567" s="352"/>
      <c r="L567" s="352"/>
      <c r="M567" s="352">
        <v>8</v>
      </c>
      <c r="N567" s="352" t="s">
        <v>1109</v>
      </c>
      <c r="O567" s="351">
        <v>0</v>
      </c>
      <c r="P567" s="349" t="s">
        <v>1837</v>
      </c>
      <c r="R567" s="349">
        <f t="shared" si="8"/>
        <v>28</v>
      </c>
      <c r="S567" s="352"/>
      <c r="T567" s="352"/>
      <c r="U567" s="352"/>
      <c r="V567" s="353"/>
      <c r="W567" s="352"/>
      <c r="X567" s="176"/>
      <c r="Y567" s="176"/>
      <c r="Z567" s="352"/>
      <c r="AA567" s="352"/>
      <c r="AB567" s="352"/>
      <c r="AC567" s="352"/>
      <c r="AD567" s="352"/>
    </row>
    <row r="568" spans="1:30" ht="102.55" hidden="1" x14ac:dyDescent="0.35">
      <c r="A568" s="349">
        <v>567</v>
      </c>
      <c r="B568" s="352" t="s">
        <v>32</v>
      </c>
      <c r="C568" s="351" t="s">
        <v>4968</v>
      </c>
      <c r="D568" s="352" t="s">
        <v>5041</v>
      </c>
      <c r="E568" s="352" t="s">
        <v>3209</v>
      </c>
      <c r="F568" s="353">
        <v>13.22</v>
      </c>
      <c r="G568" s="352" t="s">
        <v>34</v>
      </c>
      <c r="H568" s="176" t="s">
        <v>1980</v>
      </c>
      <c r="I568" s="176" t="s">
        <v>4749</v>
      </c>
      <c r="J568" s="352" t="s">
        <v>4025</v>
      </c>
      <c r="K568" s="352"/>
      <c r="L568" s="352"/>
      <c r="M568" s="351">
        <v>5</v>
      </c>
      <c r="N568" s="351" t="s">
        <v>1109</v>
      </c>
      <c r="O568" s="351">
        <v>0</v>
      </c>
      <c r="P568" s="349" t="s">
        <v>1837</v>
      </c>
      <c r="R568" s="349">
        <f t="shared" si="8"/>
        <v>24</v>
      </c>
      <c r="S568" s="352"/>
      <c r="T568" s="352"/>
      <c r="U568" s="352"/>
      <c r="V568" s="353"/>
      <c r="W568" s="352"/>
      <c r="X568" s="176"/>
      <c r="Y568" s="176"/>
      <c r="Z568" s="352"/>
      <c r="AA568" s="352"/>
      <c r="AB568" s="352"/>
      <c r="AC568" s="352"/>
      <c r="AD568" s="352"/>
    </row>
    <row r="569" spans="1:30" ht="38.450000000000003" hidden="1" x14ac:dyDescent="0.35">
      <c r="A569" s="349">
        <v>568</v>
      </c>
      <c r="B569" s="352" t="s">
        <v>3032</v>
      </c>
      <c r="C569" s="351" t="s">
        <v>979</v>
      </c>
      <c r="D569" s="352" t="s">
        <v>979</v>
      </c>
      <c r="E569" s="352" t="s">
        <v>553</v>
      </c>
      <c r="F569" s="353">
        <v>7.2061000000000002</v>
      </c>
      <c r="G569" s="352" t="s">
        <v>2126</v>
      </c>
      <c r="H569" s="176" t="s">
        <v>1748</v>
      </c>
      <c r="I569" s="176" t="s">
        <v>3228</v>
      </c>
      <c r="J569" s="352" t="s">
        <v>3579</v>
      </c>
      <c r="K569" s="352">
        <v>2.2000000000000002</v>
      </c>
      <c r="L569" s="352" t="s">
        <v>1116</v>
      </c>
      <c r="M569" s="351">
        <v>200</v>
      </c>
      <c r="N569" s="351" t="s">
        <v>1109</v>
      </c>
      <c r="O569" s="351">
        <v>2.2000000000000002</v>
      </c>
      <c r="P569" s="349" t="s">
        <v>1836</v>
      </c>
      <c r="R569" s="349">
        <f t="shared" si="8"/>
        <v>15</v>
      </c>
      <c r="S569" s="352"/>
      <c r="T569" s="352"/>
      <c r="U569" s="352"/>
      <c r="V569" s="353"/>
      <c r="W569" s="352"/>
      <c r="X569" s="176"/>
      <c r="Y569" s="176"/>
      <c r="Z569" s="352"/>
      <c r="AA569" s="352"/>
      <c r="AB569" s="352"/>
      <c r="AC569" s="351"/>
      <c r="AD569" s="351"/>
    </row>
    <row r="570" spans="1:30" ht="38.450000000000003" hidden="1" x14ac:dyDescent="0.35">
      <c r="A570" s="349">
        <v>569</v>
      </c>
      <c r="B570" s="352" t="s">
        <v>3032</v>
      </c>
      <c r="C570" s="351" t="s">
        <v>4969</v>
      </c>
      <c r="D570" s="352" t="s">
        <v>979</v>
      </c>
      <c r="E570" s="352" t="s">
        <v>553</v>
      </c>
      <c r="F570" s="353">
        <v>7.2061000000000002</v>
      </c>
      <c r="G570" s="352" t="s">
        <v>2126</v>
      </c>
      <c r="H570" s="176" t="s">
        <v>1748</v>
      </c>
      <c r="I570" s="176" t="s">
        <v>3228</v>
      </c>
      <c r="J570" s="352" t="s">
        <v>3579</v>
      </c>
      <c r="K570" s="352">
        <v>2.2000000000000002</v>
      </c>
      <c r="L570" s="352" t="s">
        <v>1116</v>
      </c>
      <c r="M570" s="351">
        <v>200</v>
      </c>
      <c r="N570" s="351" t="s">
        <v>1109</v>
      </c>
      <c r="O570" s="351">
        <v>2.2000000000000002</v>
      </c>
      <c r="P570" s="349" t="s">
        <v>1836</v>
      </c>
      <c r="R570" s="349">
        <f t="shared" si="8"/>
        <v>15</v>
      </c>
      <c r="S570" s="352"/>
      <c r="T570" s="352"/>
      <c r="U570" s="352"/>
      <c r="V570" s="353"/>
      <c r="W570" s="352"/>
      <c r="X570" s="176"/>
      <c r="Y570" s="176"/>
      <c r="Z570" s="352"/>
      <c r="AA570" s="352"/>
      <c r="AB570" s="352"/>
      <c r="AC570" s="351"/>
      <c r="AD570" s="351"/>
    </row>
    <row r="571" spans="1:30" ht="179.45" hidden="1" x14ac:dyDescent="0.35">
      <c r="A571" s="349">
        <v>570</v>
      </c>
      <c r="B571" s="352" t="s">
        <v>778</v>
      </c>
      <c r="C571" s="351" t="s">
        <v>4970</v>
      </c>
      <c r="D571" s="352" t="s">
        <v>4099</v>
      </c>
      <c r="E571" s="352" t="s">
        <v>1997</v>
      </c>
      <c r="F571" s="353">
        <v>5.8398000000000003</v>
      </c>
      <c r="G571" s="352" t="s">
        <v>1107</v>
      </c>
      <c r="H571" s="176" t="s">
        <v>4517</v>
      </c>
      <c r="I571" s="176" t="s">
        <v>4736</v>
      </c>
      <c r="J571" s="352" t="s">
        <v>1115</v>
      </c>
      <c r="K571" s="352">
        <v>25</v>
      </c>
      <c r="L571" s="352" t="s">
        <v>1464</v>
      </c>
      <c r="M571" s="352"/>
      <c r="N571" s="352"/>
      <c r="O571" s="351">
        <v>25</v>
      </c>
      <c r="P571" s="349" t="s">
        <v>1836</v>
      </c>
      <c r="R571" s="349">
        <f t="shared" si="8"/>
        <v>11</v>
      </c>
      <c r="S571" s="352"/>
      <c r="T571" s="352"/>
      <c r="U571" s="352"/>
      <c r="V571" s="353"/>
      <c r="W571" s="352"/>
      <c r="X571" s="176"/>
      <c r="Y571" s="176"/>
      <c r="Z571" s="352"/>
      <c r="AA571" s="352"/>
      <c r="AB571" s="352"/>
      <c r="AC571" s="352"/>
      <c r="AD571" s="352"/>
    </row>
    <row r="572" spans="1:30" ht="76.900000000000006" hidden="1" x14ac:dyDescent="0.35">
      <c r="A572" s="349">
        <v>571</v>
      </c>
      <c r="B572" s="352" t="s">
        <v>1463</v>
      </c>
      <c r="C572" s="351" t="s">
        <v>4971</v>
      </c>
      <c r="D572" s="352" t="s">
        <v>3227</v>
      </c>
      <c r="E572" s="352" t="s">
        <v>1997</v>
      </c>
      <c r="F572" s="353">
        <v>25.915600000000001</v>
      </c>
      <c r="G572" s="352" t="s">
        <v>1107</v>
      </c>
      <c r="H572" s="176" t="s">
        <v>2682</v>
      </c>
      <c r="I572" s="176" t="s">
        <v>3038</v>
      </c>
      <c r="J572" s="352" t="s">
        <v>1115</v>
      </c>
      <c r="K572" s="352">
        <v>500</v>
      </c>
      <c r="L572" s="352" t="s">
        <v>1464</v>
      </c>
      <c r="M572" s="352"/>
      <c r="N572" s="352"/>
      <c r="O572" s="351">
        <v>500</v>
      </c>
      <c r="P572" s="349" t="s">
        <v>1836</v>
      </c>
      <c r="R572" s="349">
        <f t="shared" si="8"/>
        <v>13</v>
      </c>
      <c r="S572" s="352"/>
      <c r="T572" s="352"/>
      <c r="U572" s="352"/>
      <c r="V572" s="353"/>
      <c r="W572" s="352"/>
      <c r="X572" s="37"/>
      <c r="Y572" s="176"/>
      <c r="Z572" s="352"/>
      <c r="AA572" s="352"/>
      <c r="AB572" s="352"/>
      <c r="AC572" s="352"/>
      <c r="AD572" s="352"/>
    </row>
    <row r="573" spans="1:30" ht="76.900000000000006" hidden="1" x14ac:dyDescent="0.35">
      <c r="A573" s="349">
        <v>572</v>
      </c>
      <c r="B573" s="352" t="s">
        <v>1463</v>
      </c>
      <c r="C573" s="351" t="s">
        <v>4971</v>
      </c>
      <c r="D573" s="352" t="s">
        <v>3227</v>
      </c>
      <c r="E573" s="352" t="s">
        <v>1995</v>
      </c>
      <c r="F573" s="353">
        <v>0.55000000000000004</v>
      </c>
      <c r="G573" s="352" t="s">
        <v>2126</v>
      </c>
      <c r="H573" s="176" t="s">
        <v>2683</v>
      </c>
      <c r="I573" s="176" t="s">
        <v>3038</v>
      </c>
      <c r="J573" s="352" t="s">
        <v>3580</v>
      </c>
      <c r="K573" s="352">
        <v>250</v>
      </c>
      <c r="L573" s="352" t="s">
        <v>3581</v>
      </c>
      <c r="M573" s="352"/>
      <c r="N573" s="352"/>
      <c r="O573" s="351">
        <v>250</v>
      </c>
      <c r="P573" s="349" t="s">
        <v>1836</v>
      </c>
      <c r="R573" s="349">
        <f t="shared" si="8"/>
        <v>13</v>
      </c>
      <c r="S573" s="352"/>
      <c r="T573" s="352"/>
      <c r="U573" s="352"/>
      <c r="V573" s="353"/>
      <c r="W573" s="352"/>
      <c r="X573" s="176"/>
      <c r="Y573" s="176"/>
      <c r="Z573" s="352"/>
      <c r="AA573" s="352"/>
      <c r="AB573" s="352"/>
      <c r="AC573" s="352"/>
      <c r="AD573" s="352"/>
    </row>
    <row r="574" spans="1:30" ht="102.55" hidden="1" x14ac:dyDescent="0.35">
      <c r="A574" s="349">
        <v>573</v>
      </c>
      <c r="B574" s="352" t="s">
        <v>1787</v>
      </c>
      <c r="C574" s="351" t="s">
        <v>4972</v>
      </c>
      <c r="D574" s="352" t="s">
        <v>3886</v>
      </c>
      <c r="E574" s="352" t="s">
        <v>762</v>
      </c>
      <c r="F574" s="353">
        <v>2.2000000000000002</v>
      </c>
      <c r="G574" s="352" t="s">
        <v>1107</v>
      </c>
      <c r="H574" s="176" t="s">
        <v>4139</v>
      </c>
      <c r="I574" s="176" t="s">
        <v>2328</v>
      </c>
      <c r="J574" s="352" t="s">
        <v>828</v>
      </c>
      <c r="K574" s="352">
        <v>5</v>
      </c>
      <c r="L574" s="352" t="s">
        <v>1116</v>
      </c>
      <c r="M574" s="352">
        <v>2</v>
      </c>
      <c r="N574" s="352" t="s">
        <v>1109</v>
      </c>
      <c r="O574" s="351">
        <v>5</v>
      </c>
      <c r="P574" s="349" t="s">
        <v>1836</v>
      </c>
      <c r="R574" s="349">
        <f t="shared" si="8"/>
        <v>8</v>
      </c>
      <c r="S574" s="352"/>
      <c r="T574" s="352"/>
      <c r="U574" s="352"/>
      <c r="V574" s="353"/>
      <c r="W574" s="352"/>
      <c r="X574" s="176"/>
      <c r="Y574" s="176"/>
      <c r="Z574" s="352"/>
      <c r="AA574" s="352"/>
      <c r="AB574" s="352"/>
      <c r="AC574" s="352"/>
      <c r="AD574" s="352"/>
    </row>
    <row r="575" spans="1:30" ht="76.900000000000006" hidden="1" x14ac:dyDescent="0.35">
      <c r="A575" s="349">
        <v>574</v>
      </c>
      <c r="B575" s="352" t="s">
        <v>2047</v>
      </c>
      <c r="C575" s="351" t="s">
        <v>4972</v>
      </c>
      <c r="D575" s="352" t="s">
        <v>3886</v>
      </c>
      <c r="E575" s="352" t="s">
        <v>762</v>
      </c>
      <c r="F575" s="353">
        <v>2.2256999999999998</v>
      </c>
      <c r="G575" s="352" t="s">
        <v>1107</v>
      </c>
      <c r="H575" s="176" t="s">
        <v>3852</v>
      </c>
      <c r="I575" s="176" t="s">
        <v>3853</v>
      </c>
      <c r="J575" s="352" t="s">
        <v>828</v>
      </c>
      <c r="K575" s="352">
        <v>5</v>
      </c>
      <c r="L575" s="352" t="s">
        <v>1116</v>
      </c>
      <c r="M575" s="351">
        <v>2</v>
      </c>
      <c r="N575" s="351" t="s">
        <v>1109</v>
      </c>
      <c r="O575" s="351">
        <v>5</v>
      </c>
      <c r="P575" s="349" t="s">
        <v>1836</v>
      </c>
      <c r="R575" s="349">
        <f t="shared" si="8"/>
        <v>8</v>
      </c>
      <c r="S575" s="352"/>
      <c r="T575" s="352"/>
      <c r="U575" s="352"/>
      <c r="V575" s="353"/>
      <c r="W575" s="352"/>
      <c r="X575" s="176"/>
      <c r="Y575" s="176"/>
      <c r="Z575" s="352"/>
      <c r="AA575" s="352"/>
      <c r="AB575" s="352"/>
      <c r="AC575" s="351"/>
      <c r="AD575" s="351"/>
    </row>
    <row r="576" spans="1:30" ht="102.55" hidden="1" x14ac:dyDescent="0.35">
      <c r="A576" s="349">
        <v>575</v>
      </c>
      <c r="B576" s="352" t="s">
        <v>1787</v>
      </c>
      <c r="C576" s="351" t="s">
        <v>3886</v>
      </c>
      <c r="D576" s="352" t="s">
        <v>3886</v>
      </c>
      <c r="E576" s="352" t="s">
        <v>762</v>
      </c>
      <c r="F576" s="353">
        <v>2.2000000000000002</v>
      </c>
      <c r="G576" s="352" t="s">
        <v>1107</v>
      </c>
      <c r="H576" s="176" t="s">
        <v>4139</v>
      </c>
      <c r="I576" s="176" t="s">
        <v>2328</v>
      </c>
      <c r="J576" s="352" t="s">
        <v>828</v>
      </c>
      <c r="K576" s="352">
        <v>5</v>
      </c>
      <c r="L576" s="352" t="s">
        <v>1116</v>
      </c>
      <c r="M576" s="351">
        <v>2</v>
      </c>
      <c r="N576" s="351" t="s">
        <v>1109</v>
      </c>
      <c r="O576" s="351">
        <v>5</v>
      </c>
      <c r="P576" s="349" t="s">
        <v>1836</v>
      </c>
      <c r="R576" s="349">
        <f t="shared" si="8"/>
        <v>8</v>
      </c>
      <c r="S576" s="352"/>
      <c r="T576" s="352"/>
      <c r="U576" s="352"/>
      <c r="V576" s="353"/>
      <c r="W576" s="352"/>
      <c r="X576" s="176"/>
      <c r="Y576" s="176"/>
      <c r="Z576" s="352"/>
      <c r="AA576" s="352"/>
      <c r="AB576" s="352"/>
      <c r="AC576" s="352"/>
      <c r="AD576" s="352"/>
    </row>
    <row r="577" spans="1:30" ht="166.65" hidden="1" x14ac:dyDescent="0.35">
      <c r="A577" s="349">
        <v>576</v>
      </c>
      <c r="B577" s="352" t="s">
        <v>1787</v>
      </c>
      <c r="C577" s="351" t="s">
        <v>3886</v>
      </c>
      <c r="D577" s="352" t="s">
        <v>3886</v>
      </c>
      <c r="E577" s="352" t="s">
        <v>762</v>
      </c>
      <c r="F577" s="353">
        <v>0.6</v>
      </c>
      <c r="G577" s="352" t="s">
        <v>1107</v>
      </c>
      <c r="H577" s="176" t="s">
        <v>349</v>
      </c>
      <c r="I577" s="176" t="s">
        <v>4351</v>
      </c>
      <c r="J577" s="352" t="s">
        <v>828</v>
      </c>
      <c r="K577" s="352">
        <v>5</v>
      </c>
      <c r="L577" s="352" t="s">
        <v>1116</v>
      </c>
      <c r="M577" s="351">
        <v>2</v>
      </c>
      <c r="N577" s="351" t="s">
        <v>1109</v>
      </c>
      <c r="O577" s="351">
        <v>5</v>
      </c>
      <c r="P577" s="349" t="s">
        <v>1836</v>
      </c>
      <c r="R577" s="349">
        <f t="shared" si="8"/>
        <v>8</v>
      </c>
      <c r="S577" s="352"/>
      <c r="T577" s="352"/>
      <c r="U577" s="352"/>
      <c r="V577" s="353"/>
      <c r="W577" s="352"/>
      <c r="X577" s="176"/>
      <c r="Y577" s="176"/>
      <c r="Z577" s="352"/>
      <c r="AA577" s="352"/>
      <c r="AB577" s="352"/>
      <c r="AC577" s="352"/>
      <c r="AD577" s="352"/>
    </row>
    <row r="578" spans="1:30" ht="76.900000000000006" hidden="1" x14ac:dyDescent="0.35">
      <c r="A578" s="349">
        <v>577</v>
      </c>
      <c r="B578" s="352" t="s">
        <v>2047</v>
      </c>
      <c r="C578" s="351" t="s">
        <v>3886</v>
      </c>
      <c r="D578" s="352" t="s">
        <v>3886</v>
      </c>
      <c r="E578" s="352" t="s">
        <v>762</v>
      </c>
      <c r="F578" s="353">
        <v>2.2256999999999998</v>
      </c>
      <c r="G578" s="352" t="s">
        <v>1107</v>
      </c>
      <c r="H578" s="176" t="s">
        <v>3852</v>
      </c>
      <c r="I578" s="176" t="s">
        <v>3853</v>
      </c>
      <c r="J578" s="352" t="s">
        <v>828</v>
      </c>
      <c r="K578" s="352">
        <v>5</v>
      </c>
      <c r="L578" s="352" t="s">
        <v>1116</v>
      </c>
      <c r="M578" s="352">
        <v>2</v>
      </c>
      <c r="N578" s="352" t="s">
        <v>1109</v>
      </c>
      <c r="O578" s="351">
        <v>5</v>
      </c>
      <c r="P578" s="349" t="s">
        <v>1836</v>
      </c>
      <c r="R578" s="349">
        <f t="shared" si="8"/>
        <v>8</v>
      </c>
      <c r="S578" s="352"/>
      <c r="T578" s="352"/>
      <c r="U578" s="352"/>
      <c r="V578" s="353"/>
      <c r="W578" s="352"/>
      <c r="X578" s="176"/>
      <c r="Y578" s="176"/>
      <c r="Z578" s="352"/>
      <c r="AA578" s="352"/>
      <c r="AB578" s="352"/>
      <c r="AC578" s="351"/>
      <c r="AD578" s="351"/>
    </row>
    <row r="579" spans="1:30" ht="128.19999999999999" hidden="1" x14ac:dyDescent="0.35">
      <c r="A579" s="349">
        <v>578</v>
      </c>
      <c r="B579" s="352" t="s">
        <v>2047</v>
      </c>
      <c r="C579" s="351" t="s">
        <v>3886</v>
      </c>
      <c r="D579" s="352" t="s">
        <v>3886</v>
      </c>
      <c r="E579" s="352" t="s">
        <v>762</v>
      </c>
      <c r="F579" s="353">
        <v>0.52890000000000004</v>
      </c>
      <c r="G579" s="352" t="s">
        <v>1107</v>
      </c>
      <c r="H579" s="176" t="s">
        <v>3852</v>
      </c>
      <c r="I579" s="176" t="s">
        <v>4755</v>
      </c>
      <c r="J579" s="352" t="s">
        <v>828</v>
      </c>
      <c r="K579" s="352">
        <v>5</v>
      </c>
      <c r="L579" s="352" t="s">
        <v>1116</v>
      </c>
      <c r="M579" s="352">
        <v>2</v>
      </c>
      <c r="N579" s="352" t="s">
        <v>1109</v>
      </c>
      <c r="O579" s="351">
        <v>5</v>
      </c>
      <c r="P579" s="349" t="s">
        <v>1836</v>
      </c>
      <c r="R579" s="349">
        <f t="shared" ref="R579:R642" si="9">LEN(D579)</f>
        <v>8</v>
      </c>
      <c r="S579" s="352"/>
      <c r="T579" s="352"/>
      <c r="U579" s="352"/>
      <c r="V579" s="353"/>
      <c r="W579" s="352"/>
      <c r="X579" s="176"/>
      <c r="Y579" s="176"/>
      <c r="Z579" s="352"/>
      <c r="AA579" s="352"/>
      <c r="AB579" s="352"/>
      <c r="AC579" s="352"/>
      <c r="AD579" s="352"/>
    </row>
    <row r="580" spans="1:30" ht="128.19999999999999" hidden="1" x14ac:dyDescent="0.35">
      <c r="A580" s="349">
        <v>579</v>
      </c>
      <c r="B580" s="352" t="s">
        <v>2047</v>
      </c>
      <c r="C580" s="351" t="s">
        <v>3886</v>
      </c>
      <c r="D580" s="352" t="s">
        <v>3886</v>
      </c>
      <c r="E580" s="352" t="s">
        <v>1995</v>
      </c>
      <c r="F580" s="353">
        <v>6.6100000000000006E-2</v>
      </c>
      <c r="G580" s="352" t="s">
        <v>2126</v>
      </c>
      <c r="H580" s="176" t="s">
        <v>1140</v>
      </c>
      <c r="I580" s="176" t="s">
        <v>4755</v>
      </c>
      <c r="J580" s="352" t="s">
        <v>3580</v>
      </c>
      <c r="K580" s="352">
        <v>2</v>
      </c>
      <c r="L580" s="352" t="s">
        <v>3581</v>
      </c>
      <c r="M580" s="352"/>
      <c r="N580" s="352"/>
      <c r="O580" s="351">
        <v>2</v>
      </c>
      <c r="P580" s="349" t="s">
        <v>1836</v>
      </c>
      <c r="R580" s="349">
        <f t="shared" si="9"/>
        <v>8</v>
      </c>
      <c r="S580" s="352"/>
      <c r="T580" s="352"/>
      <c r="U580" s="352"/>
      <c r="V580" s="353"/>
      <c r="W580" s="352"/>
      <c r="X580" s="176"/>
      <c r="Y580" s="176"/>
      <c r="Z580" s="352"/>
      <c r="AA580" s="352"/>
      <c r="AB580" s="352"/>
      <c r="AC580" s="351"/>
      <c r="AD580" s="351"/>
    </row>
    <row r="581" spans="1:30" ht="128.19999999999999" hidden="1" x14ac:dyDescent="0.35">
      <c r="A581" s="349">
        <v>580</v>
      </c>
      <c r="B581" s="352" t="s">
        <v>2047</v>
      </c>
      <c r="C581" s="351" t="s">
        <v>3886</v>
      </c>
      <c r="D581" s="352" t="s">
        <v>3886</v>
      </c>
      <c r="E581" s="352" t="s">
        <v>1995</v>
      </c>
      <c r="F581" s="353">
        <v>6.6100000000000006E-2</v>
      </c>
      <c r="G581" s="352" t="s">
        <v>2126</v>
      </c>
      <c r="H581" s="176" t="s">
        <v>1140</v>
      </c>
      <c r="I581" s="176" t="s">
        <v>4755</v>
      </c>
      <c r="J581" s="352" t="s">
        <v>3580</v>
      </c>
      <c r="K581" s="352">
        <v>5</v>
      </c>
      <c r="L581" s="352" t="s">
        <v>3581</v>
      </c>
      <c r="M581" s="352"/>
      <c r="N581" s="352"/>
      <c r="O581" s="351">
        <v>5</v>
      </c>
      <c r="P581" s="349" t="s">
        <v>1836</v>
      </c>
      <c r="R581" s="349">
        <f t="shared" si="9"/>
        <v>8</v>
      </c>
      <c r="S581" s="352"/>
      <c r="T581" s="352"/>
      <c r="U581" s="352"/>
      <c r="V581" s="353"/>
      <c r="W581" s="352"/>
      <c r="X581" s="176"/>
      <c r="Y581" s="176"/>
      <c r="Z581" s="352"/>
      <c r="AA581" s="352"/>
      <c r="AB581" s="352"/>
      <c r="AC581" s="352"/>
      <c r="AD581" s="352"/>
    </row>
    <row r="582" spans="1:30" ht="128.19999999999999" hidden="1" x14ac:dyDescent="0.35">
      <c r="A582" s="349">
        <v>581</v>
      </c>
      <c r="B582" s="352" t="s">
        <v>2047</v>
      </c>
      <c r="C582" s="351" t="s">
        <v>3886</v>
      </c>
      <c r="D582" s="352" t="s">
        <v>3886</v>
      </c>
      <c r="E582" s="352" t="s">
        <v>1995</v>
      </c>
      <c r="F582" s="353">
        <v>8.8099999999999998E-2</v>
      </c>
      <c r="G582" s="352" t="s">
        <v>2126</v>
      </c>
      <c r="H582" s="176" t="s">
        <v>1140</v>
      </c>
      <c r="I582" s="176" t="s">
        <v>4755</v>
      </c>
      <c r="J582" s="352" t="s">
        <v>3580</v>
      </c>
      <c r="K582" s="352">
        <v>10</v>
      </c>
      <c r="L582" s="352" t="s">
        <v>3581</v>
      </c>
      <c r="M582" s="352"/>
      <c r="N582" s="352"/>
      <c r="O582" s="351">
        <v>10</v>
      </c>
      <c r="P582" s="349" t="s">
        <v>1836</v>
      </c>
      <c r="R582" s="349">
        <f t="shared" si="9"/>
        <v>8</v>
      </c>
      <c r="S582" s="352"/>
      <c r="T582" s="352"/>
      <c r="U582" s="352"/>
      <c r="V582" s="353"/>
      <c r="W582" s="352"/>
      <c r="X582" s="176"/>
      <c r="Y582" s="176"/>
      <c r="Z582" s="352"/>
      <c r="AA582" s="352"/>
      <c r="AB582" s="352"/>
      <c r="AC582" s="351"/>
      <c r="AD582" s="351"/>
    </row>
    <row r="583" spans="1:30" ht="64.099999999999994" hidden="1" x14ac:dyDescent="0.35">
      <c r="A583" s="349">
        <v>582</v>
      </c>
      <c r="B583" s="352" t="s">
        <v>1787</v>
      </c>
      <c r="C583" s="351" t="s">
        <v>3886</v>
      </c>
      <c r="D583" s="352" t="s">
        <v>3886</v>
      </c>
      <c r="E583" s="352" t="s">
        <v>1744</v>
      </c>
      <c r="F583" s="353">
        <v>2.12</v>
      </c>
      <c r="G583" s="352" t="s">
        <v>967</v>
      </c>
      <c r="H583" s="176" t="s">
        <v>292</v>
      </c>
      <c r="I583" s="176" t="s">
        <v>4949</v>
      </c>
      <c r="J583" s="352" t="s">
        <v>806</v>
      </c>
      <c r="K583" s="352">
        <v>2</v>
      </c>
      <c r="L583" s="352" t="s">
        <v>1116</v>
      </c>
      <c r="M583" s="351">
        <v>2.5</v>
      </c>
      <c r="N583" s="351" t="s">
        <v>1109</v>
      </c>
      <c r="O583" s="351">
        <v>2</v>
      </c>
      <c r="P583" s="349" t="s">
        <v>1836</v>
      </c>
      <c r="R583" s="349">
        <f t="shared" si="9"/>
        <v>8</v>
      </c>
      <c r="S583" s="352"/>
      <c r="T583" s="352"/>
      <c r="U583" s="352"/>
      <c r="V583" s="353"/>
      <c r="W583" s="352"/>
      <c r="X583" s="176"/>
      <c r="Y583" s="176"/>
      <c r="Z583" s="352"/>
      <c r="AA583" s="352"/>
      <c r="AB583" s="352"/>
      <c r="AC583" s="351"/>
      <c r="AD583" s="351"/>
    </row>
    <row r="584" spans="1:30" ht="64.099999999999994" hidden="1" x14ac:dyDescent="0.35">
      <c r="A584" s="349">
        <v>583</v>
      </c>
      <c r="B584" s="352" t="s">
        <v>1787</v>
      </c>
      <c r="C584" s="351" t="s">
        <v>3886</v>
      </c>
      <c r="D584" s="352" t="s">
        <v>3886</v>
      </c>
      <c r="E584" s="352" t="s">
        <v>1744</v>
      </c>
      <c r="F584" s="353">
        <v>2.58</v>
      </c>
      <c r="G584" s="352" t="s">
        <v>967</v>
      </c>
      <c r="H584" s="176" t="s">
        <v>292</v>
      </c>
      <c r="I584" s="176" t="s">
        <v>4949</v>
      </c>
      <c r="J584" s="352" t="s">
        <v>806</v>
      </c>
      <c r="K584" s="352">
        <v>4</v>
      </c>
      <c r="L584" s="352" t="s">
        <v>1116</v>
      </c>
      <c r="M584" s="352">
        <v>2.5</v>
      </c>
      <c r="N584" s="352" t="s">
        <v>1109</v>
      </c>
      <c r="O584" s="351">
        <v>4</v>
      </c>
      <c r="P584" s="349" t="s">
        <v>1836</v>
      </c>
      <c r="R584" s="349">
        <f t="shared" si="9"/>
        <v>8</v>
      </c>
      <c r="S584" s="352"/>
      <c r="T584" s="352"/>
      <c r="U584" s="352"/>
      <c r="V584" s="353"/>
      <c r="W584" s="352"/>
      <c r="X584" s="176"/>
      <c r="Y584" s="176"/>
      <c r="Z584" s="352"/>
      <c r="AA584" s="352"/>
      <c r="AB584" s="352"/>
      <c r="AC584" s="351"/>
      <c r="AD584" s="351"/>
    </row>
    <row r="585" spans="1:30" ht="166.65" hidden="1" x14ac:dyDescent="0.35">
      <c r="A585" s="349">
        <v>584</v>
      </c>
      <c r="B585" s="352" t="s">
        <v>1787</v>
      </c>
      <c r="C585" s="351" t="s">
        <v>3886</v>
      </c>
      <c r="D585" s="352" t="s">
        <v>3886</v>
      </c>
      <c r="E585" s="352" t="s">
        <v>762</v>
      </c>
      <c r="F585" s="353">
        <v>0.6</v>
      </c>
      <c r="G585" s="352" t="s">
        <v>1107</v>
      </c>
      <c r="H585" s="176" t="s">
        <v>349</v>
      </c>
      <c r="I585" s="176" t="s">
        <v>4351</v>
      </c>
      <c r="J585" s="352" t="s">
        <v>828</v>
      </c>
      <c r="K585" s="352">
        <v>5</v>
      </c>
      <c r="L585" s="352" t="s">
        <v>1116</v>
      </c>
      <c r="M585" s="351">
        <v>2</v>
      </c>
      <c r="N585" s="351" t="s">
        <v>1109</v>
      </c>
      <c r="O585" s="351">
        <v>5</v>
      </c>
      <c r="P585" s="349" t="s">
        <v>1836</v>
      </c>
      <c r="R585" s="349">
        <f t="shared" si="9"/>
        <v>8</v>
      </c>
      <c r="S585" s="352"/>
      <c r="T585" s="352"/>
      <c r="U585" s="352"/>
      <c r="V585" s="353"/>
      <c r="W585" s="352"/>
      <c r="X585" s="176"/>
      <c r="Y585" s="176"/>
      <c r="Z585" s="352"/>
      <c r="AA585" s="352"/>
      <c r="AB585" s="352"/>
      <c r="AC585" s="351"/>
      <c r="AD585" s="351"/>
    </row>
    <row r="586" spans="1:30" ht="102.55" hidden="1" x14ac:dyDescent="0.35">
      <c r="A586" s="349">
        <v>585</v>
      </c>
      <c r="B586" s="352" t="s">
        <v>2694</v>
      </c>
      <c r="C586" s="351" t="s">
        <v>3402</v>
      </c>
      <c r="D586" s="352" t="s">
        <v>3402</v>
      </c>
      <c r="E586" s="352" t="s">
        <v>780</v>
      </c>
      <c r="F586" s="353">
        <v>59.25</v>
      </c>
      <c r="G586" s="352" t="s">
        <v>1107</v>
      </c>
      <c r="H586" s="176" t="s">
        <v>397</v>
      </c>
      <c r="I586" s="176" t="s">
        <v>4487</v>
      </c>
      <c r="J586" s="352" t="s">
        <v>828</v>
      </c>
      <c r="K586" s="352">
        <v>15</v>
      </c>
      <c r="L586" s="352" t="s">
        <v>1116</v>
      </c>
      <c r="M586" s="351">
        <v>20</v>
      </c>
      <c r="N586" s="351" t="s">
        <v>1109</v>
      </c>
      <c r="O586" s="351">
        <v>15</v>
      </c>
      <c r="P586" s="349" t="s">
        <v>1836</v>
      </c>
      <c r="R586" s="349">
        <f t="shared" si="9"/>
        <v>9</v>
      </c>
      <c r="S586" s="352"/>
      <c r="T586" s="352"/>
      <c r="U586" s="352"/>
      <c r="V586" s="353"/>
      <c r="W586" s="352"/>
      <c r="X586" s="176"/>
      <c r="Y586" s="176"/>
      <c r="Z586" s="352"/>
      <c r="AA586" s="352"/>
      <c r="AB586" s="352"/>
      <c r="AC586" s="351"/>
      <c r="AD586" s="351"/>
    </row>
    <row r="587" spans="1:30" ht="51.3" hidden="1" x14ac:dyDescent="0.35">
      <c r="A587" s="349">
        <v>586</v>
      </c>
      <c r="B587" s="352" t="s">
        <v>1308</v>
      </c>
      <c r="C587" s="351" t="s">
        <v>3402</v>
      </c>
      <c r="D587" s="352" t="s">
        <v>3402</v>
      </c>
      <c r="E587" s="352" t="s">
        <v>1998</v>
      </c>
      <c r="F587" s="353">
        <v>1.3443000000000001</v>
      </c>
      <c r="G587" s="352" t="s">
        <v>2126</v>
      </c>
      <c r="H587" s="176" t="s">
        <v>3791</v>
      </c>
      <c r="I587" s="176" t="s">
        <v>1019</v>
      </c>
      <c r="J587" s="352" t="s">
        <v>22</v>
      </c>
      <c r="K587" s="352">
        <v>100</v>
      </c>
      <c r="L587" s="352" t="s">
        <v>23</v>
      </c>
      <c r="M587" s="351"/>
      <c r="N587" s="351"/>
      <c r="O587" s="351">
        <v>100</v>
      </c>
      <c r="P587" s="349" t="s">
        <v>1836</v>
      </c>
      <c r="R587" s="349">
        <f t="shared" si="9"/>
        <v>9</v>
      </c>
      <c r="S587" s="352"/>
      <c r="T587" s="352"/>
      <c r="U587" s="352"/>
      <c r="V587" s="353"/>
      <c r="W587" s="352"/>
      <c r="X587" s="176"/>
      <c r="Y587" s="176"/>
      <c r="Z587" s="352"/>
      <c r="AA587" s="352"/>
      <c r="AB587" s="352"/>
      <c r="AC587" s="351"/>
      <c r="AD587" s="351"/>
    </row>
    <row r="588" spans="1:30" ht="115.35" hidden="1" x14ac:dyDescent="0.35">
      <c r="A588" s="349">
        <v>587</v>
      </c>
      <c r="B588" s="352" t="s">
        <v>1463</v>
      </c>
      <c r="C588" s="351" t="s">
        <v>4973</v>
      </c>
      <c r="D588" s="352" t="s">
        <v>1710</v>
      </c>
      <c r="E588" s="352" t="s">
        <v>1995</v>
      </c>
      <c r="F588" s="353">
        <v>0.1</v>
      </c>
      <c r="G588" s="352" t="s">
        <v>2126</v>
      </c>
      <c r="H588" s="176" t="s">
        <v>2684</v>
      </c>
      <c r="I588" s="176" t="s">
        <v>2685</v>
      </c>
      <c r="J588" s="352" t="s">
        <v>3580</v>
      </c>
      <c r="K588" s="352">
        <v>25</v>
      </c>
      <c r="L588" s="352" t="s">
        <v>3581</v>
      </c>
      <c r="M588" s="351"/>
      <c r="N588" s="351"/>
      <c r="O588" s="351">
        <v>25</v>
      </c>
      <c r="P588" s="349" t="s">
        <v>1836</v>
      </c>
      <c r="R588" s="349">
        <f t="shared" si="9"/>
        <v>19</v>
      </c>
      <c r="S588" s="352"/>
      <c r="T588" s="352"/>
      <c r="U588" s="352"/>
      <c r="V588" s="353"/>
      <c r="W588" s="352"/>
      <c r="X588" s="176"/>
      <c r="Y588" s="176"/>
      <c r="Z588" s="352"/>
      <c r="AA588" s="352"/>
      <c r="AB588" s="352"/>
      <c r="AC588" s="351"/>
      <c r="AD588" s="351"/>
    </row>
    <row r="589" spans="1:30" ht="38.450000000000003" hidden="1" x14ac:dyDescent="0.35">
      <c r="A589" s="349">
        <v>588</v>
      </c>
      <c r="B589" s="352" t="s">
        <v>2067</v>
      </c>
      <c r="C589" s="351" t="s">
        <v>1283</v>
      </c>
      <c r="D589" s="352" t="s">
        <v>1283</v>
      </c>
      <c r="E589" s="352" t="s">
        <v>1991</v>
      </c>
      <c r="F589" s="353">
        <v>1.83</v>
      </c>
      <c r="G589" s="352" t="s">
        <v>1501</v>
      </c>
      <c r="H589" s="176" t="s">
        <v>949</v>
      </c>
      <c r="I589" s="176" t="s">
        <v>145</v>
      </c>
      <c r="J589" s="352" t="s">
        <v>828</v>
      </c>
      <c r="K589" s="352">
        <v>25</v>
      </c>
      <c r="L589" s="352" t="s">
        <v>1116</v>
      </c>
      <c r="M589" s="351">
        <v>3</v>
      </c>
      <c r="N589" s="351" t="s">
        <v>1109</v>
      </c>
      <c r="O589" s="351">
        <v>25</v>
      </c>
      <c r="P589" s="349" t="s">
        <v>1836</v>
      </c>
      <c r="R589" s="349">
        <f t="shared" si="9"/>
        <v>10</v>
      </c>
      <c r="S589" s="352"/>
      <c r="T589" s="352"/>
      <c r="U589" s="352"/>
      <c r="V589" s="353"/>
      <c r="W589" s="352"/>
      <c r="X589" s="176"/>
      <c r="Y589" s="176"/>
      <c r="Z589" s="352"/>
      <c r="AA589" s="352"/>
      <c r="AB589" s="352"/>
      <c r="AC589" s="351"/>
      <c r="AD589" s="351"/>
    </row>
    <row r="590" spans="1:30" ht="89.75" hidden="1" x14ac:dyDescent="0.35">
      <c r="A590" s="349">
        <v>589</v>
      </c>
      <c r="B590" s="352" t="s">
        <v>2067</v>
      </c>
      <c r="C590" s="351" t="s">
        <v>1283</v>
      </c>
      <c r="D590" s="352" t="s">
        <v>1283</v>
      </c>
      <c r="E590" s="352" t="s">
        <v>2003</v>
      </c>
      <c r="F590" s="353">
        <v>0.09</v>
      </c>
      <c r="G590" s="352" t="s">
        <v>2126</v>
      </c>
      <c r="H590" s="176" t="s">
        <v>2967</v>
      </c>
      <c r="I590" s="176" t="s">
        <v>2968</v>
      </c>
      <c r="J590" s="352" t="s">
        <v>966</v>
      </c>
      <c r="K590" s="352">
        <v>25</v>
      </c>
      <c r="L590" s="352" t="s">
        <v>3581</v>
      </c>
      <c r="M590" s="351"/>
      <c r="N590" s="351"/>
      <c r="O590" s="351">
        <v>25</v>
      </c>
      <c r="P590" s="349" t="s">
        <v>1836</v>
      </c>
      <c r="R590" s="349">
        <f t="shared" si="9"/>
        <v>10</v>
      </c>
      <c r="S590" s="352"/>
      <c r="T590" s="352"/>
      <c r="U590" s="352"/>
      <c r="V590" s="353"/>
      <c r="W590" s="352"/>
      <c r="X590" s="176"/>
      <c r="Y590" s="176"/>
      <c r="Z590" s="352"/>
      <c r="AA590" s="352"/>
      <c r="AB590" s="352"/>
      <c r="AC590" s="352"/>
      <c r="AD590" s="352"/>
    </row>
    <row r="591" spans="1:30" ht="89.75" hidden="1" x14ac:dyDescent="0.35">
      <c r="A591" s="349">
        <v>590</v>
      </c>
      <c r="B591" s="352" t="s">
        <v>2067</v>
      </c>
      <c r="C591" s="351" t="s">
        <v>1283</v>
      </c>
      <c r="D591" s="352" t="s">
        <v>1283</v>
      </c>
      <c r="E591" s="352" t="s">
        <v>2003</v>
      </c>
      <c r="F591" s="353">
        <v>0.09</v>
      </c>
      <c r="G591" s="352" t="s">
        <v>2126</v>
      </c>
      <c r="H591" s="176" t="s">
        <v>2967</v>
      </c>
      <c r="I591" s="176" t="s">
        <v>2968</v>
      </c>
      <c r="J591" s="352" t="s">
        <v>966</v>
      </c>
      <c r="K591" s="352">
        <v>50</v>
      </c>
      <c r="L591" s="352" t="s">
        <v>3581</v>
      </c>
      <c r="M591" s="351"/>
      <c r="N591" s="351"/>
      <c r="O591" s="351">
        <v>50</v>
      </c>
      <c r="P591" s="349" t="s">
        <v>1836</v>
      </c>
      <c r="R591" s="349">
        <f t="shared" si="9"/>
        <v>10</v>
      </c>
      <c r="S591" s="352"/>
      <c r="T591" s="352"/>
      <c r="U591" s="352"/>
      <c r="V591" s="353"/>
      <c r="W591" s="352"/>
      <c r="X591" s="176"/>
      <c r="Y591" s="176"/>
      <c r="Z591" s="352"/>
      <c r="AA591" s="352"/>
      <c r="AB591" s="352"/>
      <c r="AC591" s="352"/>
      <c r="AD591" s="352"/>
    </row>
    <row r="592" spans="1:30" ht="89.75" hidden="1" x14ac:dyDescent="0.35">
      <c r="A592" s="349">
        <v>591</v>
      </c>
      <c r="B592" s="352" t="s">
        <v>2067</v>
      </c>
      <c r="C592" s="351" t="s">
        <v>1283</v>
      </c>
      <c r="D592" s="352" t="s">
        <v>1283</v>
      </c>
      <c r="E592" s="352" t="s">
        <v>1999</v>
      </c>
      <c r="F592" s="353">
        <v>0.4</v>
      </c>
      <c r="G592" s="352" t="s">
        <v>967</v>
      </c>
      <c r="H592" s="176" t="s">
        <v>4190</v>
      </c>
      <c r="I592" s="176" t="s">
        <v>2968</v>
      </c>
      <c r="J592" s="352" t="s">
        <v>968</v>
      </c>
      <c r="K592" s="352">
        <v>12.5</v>
      </c>
      <c r="L592" s="352" t="s">
        <v>969</v>
      </c>
      <c r="M592" s="351"/>
      <c r="N592" s="351"/>
      <c r="O592" s="351">
        <v>12.5</v>
      </c>
      <c r="P592" s="349" t="s">
        <v>1836</v>
      </c>
      <c r="R592" s="349">
        <f t="shared" si="9"/>
        <v>10</v>
      </c>
      <c r="S592" s="352"/>
      <c r="T592" s="352"/>
      <c r="U592" s="352"/>
      <c r="V592" s="353"/>
      <c r="W592" s="352"/>
      <c r="X592" s="176"/>
      <c r="Y592" s="176"/>
      <c r="Z592" s="352"/>
      <c r="AA592" s="352"/>
      <c r="AB592" s="352"/>
      <c r="AC592" s="352"/>
      <c r="AD592" s="352"/>
    </row>
    <row r="593" spans="1:30" ht="89.75" hidden="1" x14ac:dyDescent="0.35">
      <c r="A593" s="349">
        <v>592</v>
      </c>
      <c r="B593" s="352" t="s">
        <v>2067</v>
      </c>
      <c r="C593" s="351" t="s">
        <v>1283</v>
      </c>
      <c r="D593" s="352" t="s">
        <v>1283</v>
      </c>
      <c r="E593" s="352" t="s">
        <v>1999</v>
      </c>
      <c r="F593" s="353">
        <v>0.28999999999999998</v>
      </c>
      <c r="G593" s="352" t="s">
        <v>967</v>
      </c>
      <c r="H593" s="176" t="s">
        <v>4190</v>
      </c>
      <c r="I593" s="176" t="s">
        <v>2968</v>
      </c>
      <c r="J593" s="352" t="s">
        <v>968</v>
      </c>
      <c r="K593" s="352">
        <v>25</v>
      </c>
      <c r="L593" s="352" t="s">
        <v>969</v>
      </c>
      <c r="M593" s="351"/>
      <c r="N593" s="351"/>
      <c r="O593" s="351">
        <v>25</v>
      </c>
      <c r="P593" s="349" t="s">
        <v>1836</v>
      </c>
      <c r="R593" s="349">
        <f t="shared" si="9"/>
        <v>10</v>
      </c>
      <c r="S593" s="352"/>
      <c r="T593" s="352"/>
      <c r="U593" s="352"/>
      <c r="V593" s="353"/>
      <c r="W593" s="352"/>
      <c r="X593" s="176"/>
      <c r="Y593" s="176"/>
      <c r="Z593" s="352"/>
      <c r="AA593" s="352"/>
      <c r="AB593" s="352"/>
      <c r="AC593" s="351"/>
      <c r="AD593" s="351"/>
    </row>
    <row r="594" spans="1:30" ht="89.75" hidden="1" x14ac:dyDescent="0.35">
      <c r="A594" s="349">
        <v>593</v>
      </c>
      <c r="B594" s="352" t="s">
        <v>2067</v>
      </c>
      <c r="C594" s="351" t="s">
        <v>1283</v>
      </c>
      <c r="D594" s="352" t="s">
        <v>1283</v>
      </c>
      <c r="E594" s="352" t="s">
        <v>1999</v>
      </c>
      <c r="F594" s="353">
        <v>0.18</v>
      </c>
      <c r="G594" s="352" t="s">
        <v>967</v>
      </c>
      <c r="H594" s="176" t="s">
        <v>4190</v>
      </c>
      <c r="I594" s="176" t="s">
        <v>2968</v>
      </c>
      <c r="J594" s="352" t="s">
        <v>968</v>
      </c>
      <c r="K594" s="352">
        <v>50</v>
      </c>
      <c r="L594" s="352" t="s">
        <v>969</v>
      </c>
      <c r="M594" s="351"/>
      <c r="N594" s="351"/>
      <c r="O594" s="351">
        <v>50</v>
      </c>
      <c r="P594" s="349" t="s">
        <v>1836</v>
      </c>
      <c r="R594" s="349">
        <f t="shared" si="9"/>
        <v>10</v>
      </c>
      <c r="S594" s="352"/>
      <c r="T594" s="352"/>
      <c r="U594" s="352"/>
      <c r="V594" s="353"/>
      <c r="W594" s="352"/>
      <c r="X594" s="176"/>
      <c r="Y594" s="176"/>
      <c r="Z594" s="352"/>
      <c r="AA594" s="352"/>
      <c r="AB594" s="352"/>
      <c r="AC594" s="351"/>
      <c r="AD594" s="351"/>
    </row>
    <row r="595" spans="1:30" ht="89.75" hidden="1" x14ac:dyDescent="0.35">
      <c r="A595" s="349">
        <v>594</v>
      </c>
      <c r="B595" s="352" t="s">
        <v>2067</v>
      </c>
      <c r="C595" s="351" t="s">
        <v>1283</v>
      </c>
      <c r="D595" s="352" t="s">
        <v>1283</v>
      </c>
      <c r="E595" s="352" t="s">
        <v>2003</v>
      </c>
      <c r="F595" s="353">
        <v>0.09</v>
      </c>
      <c r="G595" s="352" t="s">
        <v>2126</v>
      </c>
      <c r="H595" s="176" t="s">
        <v>2967</v>
      </c>
      <c r="I595" s="176" t="s">
        <v>2968</v>
      </c>
      <c r="J595" s="352" t="s">
        <v>966</v>
      </c>
      <c r="K595" s="352">
        <v>25</v>
      </c>
      <c r="L595" s="352" t="s">
        <v>3581</v>
      </c>
      <c r="M595" s="351"/>
      <c r="N595" s="351"/>
      <c r="O595" s="351">
        <v>25</v>
      </c>
      <c r="P595" s="349" t="s">
        <v>1836</v>
      </c>
      <c r="R595" s="349">
        <f t="shared" si="9"/>
        <v>10</v>
      </c>
      <c r="S595" s="352"/>
      <c r="T595" s="352"/>
      <c r="U595" s="352"/>
      <c r="V595" s="353"/>
      <c r="W595" s="352"/>
      <c r="X595" s="176"/>
      <c r="Y595" s="176"/>
      <c r="Z595" s="352"/>
      <c r="AA595" s="352"/>
      <c r="AB595" s="352"/>
      <c r="AC595" s="351"/>
      <c r="AD595" s="351"/>
    </row>
    <row r="596" spans="1:30" ht="89.75" hidden="1" x14ac:dyDescent="0.35">
      <c r="A596" s="349">
        <v>595</v>
      </c>
      <c r="B596" s="352" t="s">
        <v>2067</v>
      </c>
      <c r="C596" s="351" t="s">
        <v>1283</v>
      </c>
      <c r="D596" s="352" t="s">
        <v>1283</v>
      </c>
      <c r="E596" s="352" t="s">
        <v>2003</v>
      </c>
      <c r="F596" s="353">
        <v>0.09</v>
      </c>
      <c r="G596" s="352" t="s">
        <v>2126</v>
      </c>
      <c r="H596" s="176" t="s">
        <v>2967</v>
      </c>
      <c r="I596" s="176" t="s">
        <v>2968</v>
      </c>
      <c r="J596" s="352" t="s">
        <v>966</v>
      </c>
      <c r="K596" s="352">
        <v>50</v>
      </c>
      <c r="L596" s="352" t="s">
        <v>3581</v>
      </c>
      <c r="M596" s="352"/>
      <c r="N596" s="352"/>
      <c r="O596" s="351">
        <v>50</v>
      </c>
      <c r="P596" s="349" t="s">
        <v>1836</v>
      </c>
      <c r="R596" s="349">
        <f t="shared" si="9"/>
        <v>10</v>
      </c>
      <c r="S596" s="352"/>
      <c r="T596" s="352"/>
      <c r="U596" s="352"/>
      <c r="V596" s="353"/>
      <c r="W596" s="352"/>
      <c r="X596" s="176"/>
      <c r="Y596" s="176"/>
      <c r="Z596" s="352"/>
      <c r="AA596" s="352"/>
      <c r="AB596" s="352"/>
      <c r="AC596" s="351"/>
      <c r="AD596" s="351"/>
    </row>
    <row r="597" spans="1:30" ht="89.75" hidden="1" x14ac:dyDescent="0.35">
      <c r="A597" s="349">
        <v>596</v>
      </c>
      <c r="B597" s="352" t="s">
        <v>2067</v>
      </c>
      <c r="C597" s="351" t="s">
        <v>1283</v>
      </c>
      <c r="D597" s="352" t="s">
        <v>1283</v>
      </c>
      <c r="E597" s="352" t="s">
        <v>1999</v>
      </c>
      <c r="F597" s="353">
        <v>0.4</v>
      </c>
      <c r="G597" s="352" t="s">
        <v>967</v>
      </c>
      <c r="H597" s="176" t="s">
        <v>4190</v>
      </c>
      <c r="I597" s="176" t="s">
        <v>2968</v>
      </c>
      <c r="J597" s="352" t="s">
        <v>968</v>
      </c>
      <c r="K597" s="352">
        <v>12.5</v>
      </c>
      <c r="L597" s="352" t="s">
        <v>969</v>
      </c>
      <c r="M597" s="351"/>
      <c r="N597" s="351"/>
      <c r="O597" s="351">
        <v>12.5</v>
      </c>
      <c r="P597" s="349" t="s">
        <v>1836</v>
      </c>
      <c r="R597" s="349">
        <f t="shared" si="9"/>
        <v>10</v>
      </c>
      <c r="S597" s="352"/>
      <c r="T597" s="352"/>
      <c r="U597" s="352"/>
      <c r="V597" s="353"/>
      <c r="W597" s="352"/>
      <c r="X597" s="176"/>
      <c r="Y597" s="176"/>
      <c r="Z597" s="352"/>
      <c r="AA597" s="352"/>
      <c r="AB597" s="352"/>
      <c r="AC597" s="351"/>
      <c r="AD597" s="351"/>
    </row>
    <row r="598" spans="1:30" ht="89.75" hidden="1" x14ac:dyDescent="0.35">
      <c r="A598" s="349">
        <v>597</v>
      </c>
      <c r="B598" s="352" t="s">
        <v>2067</v>
      </c>
      <c r="C598" s="351" t="s">
        <v>1283</v>
      </c>
      <c r="D598" s="352" t="s">
        <v>1283</v>
      </c>
      <c r="E598" s="352" t="s">
        <v>1999</v>
      </c>
      <c r="F598" s="353">
        <v>0.28999999999999998</v>
      </c>
      <c r="G598" s="352" t="s">
        <v>967</v>
      </c>
      <c r="H598" s="176" t="s">
        <v>4190</v>
      </c>
      <c r="I598" s="176" t="s">
        <v>2968</v>
      </c>
      <c r="J598" s="352" t="s">
        <v>968</v>
      </c>
      <c r="K598" s="352">
        <v>25</v>
      </c>
      <c r="L598" s="352" t="s">
        <v>969</v>
      </c>
      <c r="M598" s="352"/>
      <c r="N598" s="352"/>
      <c r="O598" s="351">
        <v>25</v>
      </c>
      <c r="P598" s="349" t="s">
        <v>1836</v>
      </c>
      <c r="R598" s="349">
        <f t="shared" si="9"/>
        <v>10</v>
      </c>
      <c r="S598" s="352"/>
      <c r="T598" s="352"/>
      <c r="U598" s="352"/>
      <c r="V598" s="353"/>
      <c r="W598" s="352"/>
      <c r="X598" s="176"/>
      <c r="Y598" s="176"/>
      <c r="Z598" s="352"/>
      <c r="AA598" s="352"/>
      <c r="AB598" s="352"/>
      <c r="AC598" s="351"/>
      <c r="AD598" s="351"/>
    </row>
    <row r="599" spans="1:30" ht="89.75" hidden="1" x14ac:dyDescent="0.35">
      <c r="A599" s="349">
        <v>598</v>
      </c>
      <c r="B599" s="352" t="s">
        <v>2067</v>
      </c>
      <c r="C599" s="351" t="s">
        <v>1283</v>
      </c>
      <c r="D599" s="352" t="s">
        <v>1283</v>
      </c>
      <c r="E599" s="352" t="s">
        <v>1999</v>
      </c>
      <c r="F599" s="353">
        <v>0.18</v>
      </c>
      <c r="G599" s="352" t="s">
        <v>967</v>
      </c>
      <c r="H599" s="176" t="s">
        <v>4190</v>
      </c>
      <c r="I599" s="176" t="s">
        <v>2968</v>
      </c>
      <c r="J599" s="352" t="s">
        <v>968</v>
      </c>
      <c r="K599" s="352">
        <v>50</v>
      </c>
      <c r="L599" s="352" t="s">
        <v>969</v>
      </c>
      <c r="M599" s="352"/>
      <c r="N599" s="352"/>
      <c r="O599" s="351">
        <v>50</v>
      </c>
      <c r="P599" s="349" t="s">
        <v>1836</v>
      </c>
      <c r="R599" s="349">
        <f t="shared" si="9"/>
        <v>10</v>
      </c>
      <c r="S599" s="352"/>
      <c r="T599" s="352"/>
      <c r="U599" s="352"/>
      <c r="V599" s="353"/>
      <c r="W599" s="352"/>
      <c r="X599" s="176"/>
      <c r="Y599" s="176"/>
      <c r="Z599" s="352"/>
      <c r="AA599" s="352"/>
      <c r="AB599" s="352"/>
      <c r="AC599" s="351"/>
      <c r="AD599" s="351"/>
    </row>
    <row r="600" spans="1:30" ht="76.900000000000006" hidden="1" x14ac:dyDescent="0.35">
      <c r="A600" s="349">
        <v>599</v>
      </c>
      <c r="B600" s="352" t="s">
        <v>4100</v>
      </c>
      <c r="C600" s="351" t="s">
        <v>950</v>
      </c>
      <c r="D600" s="352" t="s">
        <v>950</v>
      </c>
      <c r="E600" s="352" t="s">
        <v>2013</v>
      </c>
      <c r="F600" s="353">
        <v>5.73</v>
      </c>
      <c r="G600" s="352" t="s">
        <v>2126</v>
      </c>
      <c r="H600" s="176" t="s">
        <v>3865</v>
      </c>
      <c r="I600" s="176" t="s">
        <v>728</v>
      </c>
      <c r="J600" s="352" t="s">
        <v>2896</v>
      </c>
      <c r="K600" s="352">
        <v>125</v>
      </c>
      <c r="L600" s="352" t="s">
        <v>23</v>
      </c>
      <c r="M600" s="352"/>
      <c r="N600" s="352"/>
      <c r="O600" s="351">
        <v>125</v>
      </c>
      <c r="P600" s="349" t="s">
        <v>1836</v>
      </c>
      <c r="R600" s="349">
        <f t="shared" si="9"/>
        <v>10</v>
      </c>
      <c r="S600" s="352"/>
      <c r="T600" s="352"/>
      <c r="U600" s="352"/>
      <c r="V600" s="353"/>
      <c r="W600" s="352"/>
      <c r="X600" s="176"/>
      <c r="Y600" s="176"/>
      <c r="Z600" s="352"/>
      <c r="AA600" s="352"/>
      <c r="AB600" s="352"/>
      <c r="AC600" s="351"/>
      <c r="AD600" s="351"/>
    </row>
    <row r="601" spans="1:30" ht="89.75" hidden="1" x14ac:dyDescent="0.35">
      <c r="A601" s="349">
        <v>600</v>
      </c>
      <c r="B601" s="352" t="s">
        <v>3582</v>
      </c>
      <c r="C601" s="351" t="s">
        <v>4974</v>
      </c>
      <c r="D601" s="352" t="s">
        <v>1218</v>
      </c>
      <c r="E601" s="352" t="s">
        <v>1754</v>
      </c>
      <c r="F601" s="353">
        <v>32.840000000000003</v>
      </c>
      <c r="G601" s="352" t="s">
        <v>1107</v>
      </c>
      <c r="H601" s="176" t="s">
        <v>1459</v>
      </c>
      <c r="I601" s="176" t="s">
        <v>56</v>
      </c>
      <c r="J601" s="352" t="s">
        <v>1115</v>
      </c>
      <c r="K601" s="352">
        <v>2</v>
      </c>
      <c r="L601" s="352" t="s">
        <v>1116</v>
      </c>
      <c r="M601" s="352">
        <v>50</v>
      </c>
      <c r="N601" s="352" t="s">
        <v>1109</v>
      </c>
      <c r="O601" s="351">
        <v>2</v>
      </c>
      <c r="P601" s="349" t="s">
        <v>1836</v>
      </c>
      <c r="R601" s="349">
        <f t="shared" si="9"/>
        <v>10</v>
      </c>
      <c r="S601" s="352"/>
      <c r="T601" s="352"/>
      <c r="U601" s="352"/>
      <c r="V601" s="353"/>
      <c r="W601" s="352"/>
      <c r="X601" s="176"/>
      <c r="Y601" s="176"/>
      <c r="Z601" s="352"/>
      <c r="AA601" s="352"/>
      <c r="AB601" s="352"/>
      <c r="AC601" s="351"/>
      <c r="AD601" s="351"/>
    </row>
    <row r="602" spans="1:30" ht="89.75" hidden="1" x14ac:dyDescent="0.35">
      <c r="A602" s="349">
        <v>601</v>
      </c>
      <c r="B602" s="352" t="s">
        <v>3582</v>
      </c>
      <c r="C602" s="351" t="s">
        <v>4974</v>
      </c>
      <c r="D602" s="352" t="s">
        <v>1218</v>
      </c>
      <c r="E602" s="352" t="s">
        <v>1998</v>
      </c>
      <c r="F602" s="353">
        <v>6.3</v>
      </c>
      <c r="G602" s="352" t="s">
        <v>2126</v>
      </c>
      <c r="H602" s="176" t="s">
        <v>57</v>
      </c>
      <c r="I602" s="176" t="s">
        <v>56</v>
      </c>
      <c r="J602" s="352" t="s">
        <v>22</v>
      </c>
      <c r="K602" s="352">
        <v>50</v>
      </c>
      <c r="L602" s="352" t="s">
        <v>23</v>
      </c>
      <c r="M602" s="352"/>
      <c r="N602" s="352"/>
      <c r="O602" s="351">
        <v>50</v>
      </c>
      <c r="P602" s="349" t="s">
        <v>1836</v>
      </c>
      <c r="R602" s="349">
        <f t="shared" si="9"/>
        <v>10</v>
      </c>
      <c r="S602" s="352"/>
      <c r="T602" s="352"/>
      <c r="U602" s="352"/>
      <c r="V602" s="353"/>
      <c r="W602" s="352"/>
      <c r="X602" s="176"/>
      <c r="Y602" s="176"/>
      <c r="Z602" s="352"/>
      <c r="AA602" s="352"/>
      <c r="AB602" s="352"/>
      <c r="AC602" s="351"/>
      <c r="AD602" s="351"/>
    </row>
    <row r="603" spans="1:30" ht="89.75" hidden="1" x14ac:dyDescent="0.35">
      <c r="A603" s="349">
        <v>602</v>
      </c>
      <c r="B603" s="352" t="s">
        <v>3582</v>
      </c>
      <c r="C603" s="351" t="s">
        <v>4974</v>
      </c>
      <c r="D603" s="352" t="s">
        <v>1218</v>
      </c>
      <c r="E603" s="352" t="s">
        <v>1998</v>
      </c>
      <c r="F603" s="351">
        <v>20.34</v>
      </c>
      <c r="G603" s="352" t="s">
        <v>2126</v>
      </c>
      <c r="H603" s="176" t="s">
        <v>57</v>
      </c>
      <c r="I603" s="176" t="s">
        <v>56</v>
      </c>
      <c r="J603" s="352" t="s">
        <v>22</v>
      </c>
      <c r="K603" s="351">
        <v>150</v>
      </c>
      <c r="L603" s="351" t="s">
        <v>23</v>
      </c>
      <c r="M603" s="352"/>
      <c r="N603" s="352"/>
      <c r="O603" s="351">
        <v>150</v>
      </c>
      <c r="P603" s="349" t="s">
        <v>1836</v>
      </c>
      <c r="R603" s="349">
        <f t="shared" si="9"/>
        <v>10</v>
      </c>
      <c r="S603" s="352"/>
      <c r="T603" s="352"/>
      <c r="U603" s="352"/>
      <c r="V603" s="353"/>
      <c r="W603" s="352"/>
      <c r="X603" s="176"/>
      <c r="Y603" s="176"/>
      <c r="Z603" s="352"/>
      <c r="AA603" s="352"/>
      <c r="AB603" s="352"/>
      <c r="AC603" s="351"/>
      <c r="AD603" s="351"/>
    </row>
    <row r="604" spans="1:30" ht="89.75" hidden="1" x14ac:dyDescent="0.35">
      <c r="A604" s="349">
        <v>603</v>
      </c>
      <c r="B604" s="352" t="s">
        <v>3582</v>
      </c>
      <c r="C604" s="351" t="s">
        <v>4974</v>
      </c>
      <c r="D604" s="352" t="s">
        <v>1218</v>
      </c>
      <c r="E604" s="352" t="s">
        <v>2897</v>
      </c>
      <c r="F604" s="351">
        <v>51.15</v>
      </c>
      <c r="G604" s="352" t="s">
        <v>2126</v>
      </c>
      <c r="H604" s="176" t="s">
        <v>57</v>
      </c>
      <c r="I604" s="37" t="s">
        <v>56</v>
      </c>
      <c r="J604" s="352" t="s">
        <v>3579</v>
      </c>
      <c r="K604" s="351">
        <v>10</v>
      </c>
      <c r="L604" s="351" t="s">
        <v>1116</v>
      </c>
      <c r="M604" s="351">
        <v>35</v>
      </c>
      <c r="N604" s="351" t="s">
        <v>1109</v>
      </c>
      <c r="O604" s="351">
        <v>10</v>
      </c>
      <c r="P604" s="349" t="s">
        <v>1836</v>
      </c>
      <c r="R604" s="349">
        <f t="shared" si="9"/>
        <v>10</v>
      </c>
      <c r="S604" s="352"/>
      <c r="T604" s="352"/>
      <c r="U604" s="352"/>
      <c r="V604" s="353"/>
      <c r="W604" s="352"/>
      <c r="X604" s="176"/>
      <c r="Y604" s="176"/>
      <c r="Z604" s="352"/>
      <c r="AA604" s="352"/>
      <c r="AB604" s="352"/>
      <c r="AC604" s="351"/>
      <c r="AD604" s="351"/>
    </row>
    <row r="605" spans="1:30" ht="89.75" hidden="1" x14ac:dyDescent="0.35">
      <c r="A605" s="349">
        <v>604</v>
      </c>
      <c r="B605" s="352" t="s">
        <v>3582</v>
      </c>
      <c r="C605" s="351" t="s">
        <v>4974</v>
      </c>
      <c r="D605" s="352" t="s">
        <v>1218</v>
      </c>
      <c r="E605" s="352" t="s">
        <v>2897</v>
      </c>
      <c r="F605" s="353">
        <v>182.95</v>
      </c>
      <c r="G605" s="352" t="s">
        <v>2126</v>
      </c>
      <c r="H605" s="176" t="s">
        <v>57</v>
      </c>
      <c r="I605" s="176" t="s">
        <v>56</v>
      </c>
      <c r="J605" s="352" t="s">
        <v>3579</v>
      </c>
      <c r="K605" s="352">
        <v>40</v>
      </c>
      <c r="L605" s="352" t="s">
        <v>1116</v>
      </c>
      <c r="M605" s="351">
        <v>35</v>
      </c>
      <c r="N605" s="351" t="s">
        <v>1109</v>
      </c>
      <c r="O605" s="351">
        <v>40</v>
      </c>
      <c r="P605" s="349" t="s">
        <v>1836</v>
      </c>
      <c r="R605" s="349">
        <f t="shared" si="9"/>
        <v>10</v>
      </c>
      <c r="S605" s="352"/>
      <c r="T605" s="352"/>
      <c r="U605" s="352"/>
      <c r="V605" s="353"/>
      <c r="W605" s="352"/>
      <c r="X605" s="176"/>
      <c r="Y605" s="176"/>
      <c r="Z605" s="352"/>
      <c r="AA605" s="352"/>
      <c r="AB605" s="352"/>
      <c r="AC605" s="351"/>
      <c r="AD605" s="351"/>
    </row>
    <row r="606" spans="1:30" ht="102.55" hidden="1" x14ac:dyDescent="0.35">
      <c r="A606" s="349">
        <v>605</v>
      </c>
      <c r="B606" s="352" t="s">
        <v>314</v>
      </c>
      <c r="C606" s="351" t="s">
        <v>4975</v>
      </c>
      <c r="D606" s="352" t="s">
        <v>1407</v>
      </c>
      <c r="E606" s="352" t="s">
        <v>2855</v>
      </c>
      <c r="F606" s="353"/>
      <c r="G606" s="352" t="s">
        <v>2384</v>
      </c>
      <c r="H606" s="176" t="s">
        <v>2334</v>
      </c>
      <c r="I606" s="176" t="s">
        <v>2335</v>
      </c>
      <c r="J606" s="352" t="s">
        <v>828</v>
      </c>
      <c r="K606" s="352"/>
      <c r="L606" s="352"/>
      <c r="M606" s="352">
        <v>1</v>
      </c>
      <c r="N606" s="352" t="s">
        <v>1109</v>
      </c>
      <c r="O606" s="351">
        <v>0</v>
      </c>
      <c r="P606" s="349" t="s">
        <v>1837</v>
      </c>
      <c r="R606" s="349">
        <f t="shared" si="9"/>
        <v>11</v>
      </c>
      <c r="S606" s="352"/>
      <c r="T606" s="352"/>
      <c r="U606" s="352"/>
      <c r="V606" s="353"/>
      <c r="W606" s="352"/>
      <c r="X606" s="176"/>
      <c r="Y606" s="176"/>
      <c r="Z606" s="352"/>
      <c r="AA606" s="352"/>
      <c r="AB606" s="352"/>
      <c r="AC606" s="352"/>
      <c r="AD606" s="352"/>
    </row>
    <row r="607" spans="1:30" ht="38.450000000000003" hidden="1" x14ac:dyDescent="0.35">
      <c r="A607" s="349">
        <v>606</v>
      </c>
      <c r="B607" s="352" t="s">
        <v>314</v>
      </c>
      <c r="C607" s="351" t="s">
        <v>4976</v>
      </c>
      <c r="D607" s="352" t="s">
        <v>1409</v>
      </c>
      <c r="E607" s="352" t="s">
        <v>2026</v>
      </c>
      <c r="F607" s="353"/>
      <c r="G607" s="352" t="s">
        <v>2384</v>
      </c>
      <c r="H607" s="176" t="s">
        <v>821</v>
      </c>
      <c r="I607" s="176"/>
      <c r="J607" s="352" t="s">
        <v>828</v>
      </c>
      <c r="K607" s="352"/>
      <c r="L607" s="352"/>
      <c r="M607" s="352"/>
      <c r="N607" s="352"/>
      <c r="O607" s="351">
        <v>0</v>
      </c>
      <c r="P607" s="349" t="s">
        <v>2313</v>
      </c>
      <c r="R607" s="349">
        <f t="shared" si="9"/>
        <v>10</v>
      </c>
      <c r="S607" s="352"/>
      <c r="T607" s="352"/>
      <c r="U607" s="352"/>
      <c r="V607" s="353"/>
      <c r="W607" s="352"/>
      <c r="X607" s="176"/>
      <c r="Y607" s="176"/>
      <c r="Z607" s="352"/>
      <c r="AA607" s="352"/>
      <c r="AB607" s="352"/>
      <c r="AC607" s="352"/>
      <c r="AD607" s="352"/>
    </row>
    <row r="608" spans="1:30" ht="128.19999999999999" hidden="1" x14ac:dyDescent="0.35">
      <c r="A608" s="349">
        <v>607</v>
      </c>
      <c r="B608" s="352" t="s">
        <v>1113</v>
      </c>
      <c r="C608" s="351" t="s">
        <v>4977</v>
      </c>
      <c r="D608" s="352" t="s">
        <v>1406</v>
      </c>
      <c r="E608" s="352" t="s">
        <v>1997</v>
      </c>
      <c r="F608" s="353">
        <v>1700</v>
      </c>
      <c r="G608" s="352" t="s">
        <v>1107</v>
      </c>
      <c r="H608" s="176" t="s">
        <v>1355</v>
      </c>
      <c r="I608" s="176" t="s">
        <v>4845</v>
      </c>
      <c r="J608" s="352" t="s">
        <v>1115</v>
      </c>
      <c r="K608" s="352">
        <v>80</v>
      </c>
      <c r="L608" s="352" t="s">
        <v>1464</v>
      </c>
      <c r="M608" s="351"/>
      <c r="N608" s="351"/>
      <c r="O608" s="351">
        <v>80</v>
      </c>
      <c r="P608" s="349" t="s">
        <v>1836</v>
      </c>
      <c r="R608" s="349">
        <f t="shared" si="9"/>
        <v>23</v>
      </c>
      <c r="S608" s="352"/>
      <c r="T608" s="352"/>
      <c r="U608" s="352"/>
      <c r="V608" s="353"/>
      <c r="W608" s="352"/>
      <c r="X608" s="176"/>
      <c r="Y608" s="176"/>
      <c r="Z608" s="352"/>
      <c r="AA608" s="352"/>
      <c r="AB608" s="352"/>
      <c r="AC608" s="351"/>
      <c r="AD608" s="351"/>
    </row>
    <row r="609" spans="1:30" ht="269.14999999999998" hidden="1" x14ac:dyDescent="0.35">
      <c r="A609" s="349">
        <v>608</v>
      </c>
      <c r="B609" s="352" t="s">
        <v>2059</v>
      </c>
      <c r="C609" s="351" t="s">
        <v>2832</v>
      </c>
      <c r="D609" s="352" t="s">
        <v>2832</v>
      </c>
      <c r="E609" s="352" t="s">
        <v>762</v>
      </c>
      <c r="F609" s="353">
        <v>2.2698</v>
      </c>
      <c r="G609" s="352" t="s">
        <v>1107</v>
      </c>
      <c r="H609" s="176" t="s">
        <v>4459</v>
      </c>
      <c r="I609" s="176" t="s">
        <v>4774</v>
      </c>
      <c r="J609" s="352" t="s">
        <v>828</v>
      </c>
      <c r="K609" s="352">
        <v>250</v>
      </c>
      <c r="L609" s="352" t="s">
        <v>4022</v>
      </c>
      <c r="M609" s="351">
        <v>2</v>
      </c>
      <c r="N609" s="351" t="s">
        <v>1109</v>
      </c>
      <c r="O609" s="351">
        <v>250</v>
      </c>
      <c r="P609" s="349" t="s">
        <v>1850</v>
      </c>
      <c r="R609" s="349">
        <f t="shared" si="9"/>
        <v>8</v>
      </c>
      <c r="S609" s="352"/>
      <c r="T609" s="352"/>
      <c r="U609" s="352"/>
      <c r="V609" s="353"/>
      <c r="W609" s="352"/>
      <c r="X609" s="176"/>
      <c r="Y609" s="176"/>
      <c r="Z609" s="352"/>
      <c r="AA609" s="352"/>
      <c r="AB609" s="352"/>
      <c r="AC609" s="351"/>
      <c r="AD609" s="351"/>
    </row>
    <row r="610" spans="1:30" ht="269.14999999999998" hidden="1" x14ac:dyDescent="0.35">
      <c r="A610" s="349">
        <v>609</v>
      </c>
      <c r="B610" s="352" t="s">
        <v>2059</v>
      </c>
      <c r="C610" s="351" t="s">
        <v>2832</v>
      </c>
      <c r="D610" s="352" t="s">
        <v>2832</v>
      </c>
      <c r="E610" s="352" t="s">
        <v>3211</v>
      </c>
      <c r="F610" s="353">
        <v>10.666</v>
      </c>
      <c r="G610" s="352" t="s">
        <v>2126</v>
      </c>
      <c r="H610" s="176" t="s">
        <v>4460</v>
      </c>
      <c r="I610" s="176" t="s">
        <v>4774</v>
      </c>
      <c r="J610" s="352" t="s">
        <v>3579</v>
      </c>
      <c r="K610" s="352">
        <v>50</v>
      </c>
      <c r="L610" s="352" t="s">
        <v>4022</v>
      </c>
      <c r="M610" s="351">
        <v>60</v>
      </c>
      <c r="N610" s="351" t="s">
        <v>1109</v>
      </c>
      <c r="O610" s="351">
        <v>50</v>
      </c>
      <c r="P610" s="349" t="s">
        <v>1850</v>
      </c>
      <c r="R610" s="349">
        <f t="shared" si="9"/>
        <v>8</v>
      </c>
      <c r="S610" s="352"/>
      <c r="T610" s="352"/>
      <c r="U610" s="352"/>
      <c r="V610" s="353"/>
      <c r="W610" s="352"/>
      <c r="X610" s="176"/>
      <c r="Y610" s="176"/>
      <c r="Z610" s="352"/>
      <c r="AA610" s="352"/>
      <c r="AB610" s="352"/>
      <c r="AC610" s="351"/>
      <c r="AD610" s="351"/>
    </row>
    <row r="611" spans="1:30" ht="269.14999999999998" hidden="1" x14ac:dyDescent="0.35">
      <c r="A611" s="349">
        <v>610</v>
      </c>
      <c r="B611" s="352" t="s">
        <v>2059</v>
      </c>
      <c r="C611" s="351" t="s">
        <v>2832</v>
      </c>
      <c r="D611" s="352" t="s">
        <v>2832</v>
      </c>
      <c r="E611" s="352" t="s">
        <v>1995</v>
      </c>
      <c r="F611" s="353">
        <v>0.15429999999999999</v>
      </c>
      <c r="G611" s="352" t="s">
        <v>2126</v>
      </c>
      <c r="H611" s="176" t="s">
        <v>4460</v>
      </c>
      <c r="I611" s="176" t="s">
        <v>4774</v>
      </c>
      <c r="J611" s="352" t="s">
        <v>3580</v>
      </c>
      <c r="K611" s="352">
        <v>62.5</v>
      </c>
      <c r="L611" s="352" t="s">
        <v>1757</v>
      </c>
      <c r="M611" s="351"/>
      <c r="N611" s="351"/>
      <c r="O611" s="351">
        <v>62.5</v>
      </c>
      <c r="P611" s="349" t="s">
        <v>1850</v>
      </c>
      <c r="R611" s="349">
        <f t="shared" si="9"/>
        <v>8</v>
      </c>
      <c r="S611" s="352"/>
      <c r="T611" s="352"/>
      <c r="U611" s="352"/>
      <c r="V611" s="353"/>
      <c r="W611" s="352"/>
      <c r="X611" s="176"/>
      <c r="Y611" s="176"/>
      <c r="Z611" s="352"/>
      <c r="AA611" s="352"/>
      <c r="AB611" s="352"/>
      <c r="AC611" s="351"/>
      <c r="AD611" s="351"/>
    </row>
    <row r="612" spans="1:30" ht="269.14999999999998" hidden="1" x14ac:dyDescent="0.35">
      <c r="A612" s="349">
        <v>611</v>
      </c>
      <c r="B612" s="352" t="s">
        <v>2059</v>
      </c>
      <c r="C612" s="351" t="s">
        <v>2832</v>
      </c>
      <c r="D612" s="352" t="s">
        <v>2832</v>
      </c>
      <c r="E612" s="352" t="s">
        <v>1995</v>
      </c>
      <c r="F612" s="353">
        <v>0.15429999999999999</v>
      </c>
      <c r="G612" s="352" t="s">
        <v>2126</v>
      </c>
      <c r="H612" s="176" t="s">
        <v>4460</v>
      </c>
      <c r="I612" s="176" t="s">
        <v>4774</v>
      </c>
      <c r="J612" s="352" t="s">
        <v>3580</v>
      </c>
      <c r="K612" s="352">
        <v>125</v>
      </c>
      <c r="L612" s="352" t="s">
        <v>1757</v>
      </c>
      <c r="M612" s="351"/>
      <c r="N612" s="351"/>
      <c r="O612" s="351">
        <v>125</v>
      </c>
      <c r="P612" s="349" t="s">
        <v>1850</v>
      </c>
      <c r="R612" s="349">
        <f t="shared" si="9"/>
        <v>8</v>
      </c>
      <c r="S612" s="352"/>
      <c r="T612" s="352"/>
      <c r="U612" s="352"/>
      <c r="V612" s="353"/>
      <c r="W612" s="352"/>
      <c r="X612" s="176"/>
      <c r="Y612" s="176"/>
      <c r="Z612" s="352"/>
      <c r="AA612" s="352"/>
      <c r="AB612" s="352"/>
      <c r="AC612" s="351"/>
      <c r="AD612" s="351"/>
    </row>
    <row r="613" spans="1:30" ht="269.14999999999998" hidden="1" x14ac:dyDescent="0.35">
      <c r="A613" s="349">
        <v>612</v>
      </c>
      <c r="B613" s="352" t="s">
        <v>2059</v>
      </c>
      <c r="C613" s="351" t="s">
        <v>2832</v>
      </c>
      <c r="D613" s="352" t="s">
        <v>2832</v>
      </c>
      <c r="E613" s="352" t="s">
        <v>1995</v>
      </c>
      <c r="F613" s="353">
        <v>0.13220000000000001</v>
      </c>
      <c r="G613" s="352" t="s">
        <v>2126</v>
      </c>
      <c r="H613" s="176" t="s">
        <v>4460</v>
      </c>
      <c r="I613" s="176" t="s">
        <v>4774</v>
      </c>
      <c r="J613" s="352" t="s">
        <v>3580</v>
      </c>
      <c r="K613" s="352">
        <v>250</v>
      </c>
      <c r="L613" s="352" t="s">
        <v>1757</v>
      </c>
      <c r="M613" s="351"/>
      <c r="N613" s="351"/>
      <c r="O613" s="351">
        <v>250</v>
      </c>
      <c r="P613" s="349" t="s">
        <v>1850</v>
      </c>
      <c r="R613" s="349">
        <f t="shared" si="9"/>
        <v>8</v>
      </c>
      <c r="S613" s="352"/>
      <c r="T613" s="352"/>
      <c r="U613" s="352"/>
      <c r="V613" s="353"/>
      <c r="W613" s="352"/>
      <c r="X613" s="176"/>
      <c r="Y613" s="176"/>
      <c r="Z613" s="352"/>
      <c r="AA613" s="352"/>
      <c r="AB613" s="352"/>
      <c r="AC613" s="352"/>
      <c r="AD613" s="352"/>
    </row>
    <row r="614" spans="1:30" ht="269.14999999999998" hidden="1" x14ac:dyDescent="0.35">
      <c r="A614" s="349">
        <v>613</v>
      </c>
      <c r="B614" s="352" t="s">
        <v>2059</v>
      </c>
      <c r="C614" s="351" t="s">
        <v>2832</v>
      </c>
      <c r="D614" s="352" t="s">
        <v>2832</v>
      </c>
      <c r="E614" s="352" t="s">
        <v>762</v>
      </c>
      <c r="F614" s="353">
        <v>2.2698</v>
      </c>
      <c r="G614" s="352" t="s">
        <v>1107</v>
      </c>
      <c r="H614" s="176" t="s">
        <v>4459</v>
      </c>
      <c r="I614" s="176" t="s">
        <v>4774</v>
      </c>
      <c r="J614" s="352" t="s">
        <v>828</v>
      </c>
      <c r="K614" s="352">
        <v>250</v>
      </c>
      <c r="L614" s="352" t="s">
        <v>4022</v>
      </c>
      <c r="M614" s="352">
        <v>2</v>
      </c>
      <c r="N614" s="352" t="s">
        <v>1109</v>
      </c>
      <c r="O614" s="351">
        <v>250</v>
      </c>
      <c r="P614" s="349" t="s">
        <v>1850</v>
      </c>
      <c r="R614" s="349">
        <f t="shared" si="9"/>
        <v>8</v>
      </c>
      <c r="S614" s="352"/>
      <c r="T614" s="352"/>
      <c r="U614" s="352"/>
      <c r="V614" s="353"/>
      <c r="W614" s="352"/>
      <c r="X614" s="176"/>
      <c r="Y614" s="176"/>
      <c r="Z614" s="352"/>
      <c r="AA614" s="352"/>
      <c r="AB614" s="352"/>
      <c r="AC614" s="352"/>
      <c r="AD614" s="352"/>
    </row>
    <row r="615" spans="1:30" ht="269.14999999999998" hidden="1" x14ac:dyDescent="0.35">
      <c r="A615" s="349">
        <v>614</v>
      </c>
      <c r="B615" s="352" t="s">
        <v>2059</v>
      </c>
      <c r="C615" s="351" t="s">
        <v>2832</v>
      </c>
      <c r="D615" s="352" t="s">
        <v>2832</v>
      </c>
      <c r="E615" s="352" t="s">
        <v>3211</v>
      </c>
      <c r="F615" s="353">
        <v>10.666</v>
      </c>
      <c r="G615" s="352" t="s">
        <v>2126</v>
      </c>
      <c r="H615" s="176" t="s">
        <v>4460</v>
      </c>
      <c r="I615" s="176" t="s">
        <v>4774</v>
      </c>
      <c r="J615" s="352" t="s">
        <v>3579</v>
      </c>
      <c r="K615" s="352">
        <v>50</v>
      </c>
      <c r="L615" s="352" t="s">
        <v>4022</v>
      </c>
      <c r="M615" s="352">
        <v>60</v>
      </c>
      <c r="N615" s="352" t="s">
        <v>1109</v>
      </c>
      <c r="O615" s="351">
        <v>50</v>
      </c>
      <c r="P615" s="349" t="s">
        <v>1850</v>
      </c>
      <c r="R615" s="349">
        <f t="shared" si="9"/>
        <v>8</v>
      </c>
      <c r="S615" s="352"/>
      <c r="T615" s="352"/>
      <c r="U615" s="352"/>
      <c r="V615" s="353"/>
      <c r="W615" s="352"/>
      <c r="X615" s="176"/>
      <c r="Y615" s="176"/>
      <c r="Z615" s="352"/>
      <c r="AA615" s="352"/>
      <c r="AB615" s="352"/>
      <c r="AC615" s="352"/>
      <c r="AD615" s="352"/>
    </row>
    <row r="616" spans="1:30" ht="269.14999999999998" hidden="1" x14ac:dyDescent="0.35">
      <c r="A616" s="349">
        <v>615</v>
      </c>
      <c r="B616" s="352" t="s">
        <v>2059</v>
      </c>
      <c r="C616" s="351" t="s">
        <v>2832</v>
      </c>
      <c r="D616" s="352" t="s">
        <v>2832</v>
      </c>
      <c r="E616" s="352" t="s">
        <v>1995</v>
      </c>
      <c r="F616" s="353">
        <v>0.15429999999999999</v>
      </c>
      <c r="G616" s="352" t="s">
        <v>2126</v>
      </c>
      <c r="H616" s="176" t="s">
        <v>4460</v>
      </c>
      <c r="I616" s="176" t="s">
        <v>4774</v>
      </c>
      <c r="J616" s="352" t="s">
        <v>3580</v>
      </c>
      <c r="K616" s="352">
        <v>62.5</v>
      </c>
      <c r="L616" s="352" t="s">
        <v>1757</v>
      </c>
      <c r="M616" s="351"/>
      <c r="N616" s="351"/>
      <c r="O616" s="351">
        <v>62.5</v>
      </c>
      <c r="P616" s="349" t="s">
        <v>1850</v>
      </c>
      <c r="R616" s="349">
        <f t="shared" si="9"/>
        <v>8</v>
      </c>
      <c r="S616" s="352"/>
      <c r="T616" s="352"/>
      <c r="U616" s="352"/>
      <c r="V616" s="353"/>
      <c r="W616" s="352"/>
      <c r="X616" s="176"/>
      <c r="Y616" s="176"/>
      <c r="Z616" s="352"/>
      <c r="AA616" s="352"/>
      <c r="AB616" s="352"/>
      <c r="AC616" s="352"/>
      <c r="AD616" s="352"/>
    </row>
    <row r="617" spans="1:30" ht="269.14999999999998" hidden="1" x14ac:dyDescent="0.35">
      <c r="A617" s="349">
        <v>616</v>
      </c>
      <c r="B617" s="352" t="s">
        <v>2059</v>
      </c>
      <c r="C617" s="351" t="s">
        <v>2832</v>
      </c>
      <c r="D617" s="352" t="s">
        <v>2832</v>
      </c>
      <c r="E617" s="352" t="s">
        <v>1995</v>
      </c>
      <c r="F617" s="353">
        <v>0.15429999999999999</v>
      </c>
      <c r="G617" s="352" t="s">
        <v>2126</v>
      </c>
      <c r="H617" s="176" t="s">
        <v>4460</v>
      </c>
      <c r="I617" s="176" t="s">
        <v>4774</v>
      </c>
      <c r="J617" s="352" t="s">
        <v>3580</v>
      </c>
      <c r="K617" s="352">
        <v>125</v>
      </c>
      <c r="L617" s="352" t="s">
        <v>1757</v>
      </c>
      <c r="M617" s="352"/>
      <c r="N617" s="352"/>
      <c r="O617" s="351">
        <v>125</v>
      </c>
      <c r="P617" s="349" t="s">
        <v>1850</v>
      </c>
      <c r="R617" s="349">
        <f t="shared" si="9"/>
        <v>8</v>
      </c>
      <c r="S617" s="352"/>
      <c r="T617" s="352"/>
      <c r="U617" s="352"/>
      <c r="V617" s="353"/>
      <c r="W617" s="352"/>
      <c r="X617" s="176"/>
      <c r="Y617" s="176"/>
      <c r="Z617" s="352"/>
      <c r="AA617" s="352"/>
      <c r="AB617" s="352"/>
      <c r="AC617" s="351"/>
      <c r="AD617" s="351"/>
    </row>
    <row r="618" spans="1:30" ht="269.14999999999998" hidden="1" x14ac:dyDescent="0.35">
      <c r="A618" s="349">
        <v>617</v>
      </c>
      <c r="B618" s="352" t="s">
        <v>2059</v>
      </c>
      <c r="C618" s="351" t="s">
        <v>2832</v>
      </c>
      <c r="D618" s="352" t="s">
        <v>2832</v>
      </c>
      <c r="E618" s="352" t="s">
        <v>1995</v>
      </c>
      <c r="F618" s="351">
        <v>0.13220000000000001</v>
      </c>
      <c r="G618" s="352" t="s">
        <v>2126</v>
      </c>
      <c r="H618" s="176" t="s">
        <v>4460</v>
      </c>
      <c r="I618" s="176" t="s">
        <v>4774</v>
      </c>
      <c r="J618" s="352" t="s">
        <v>3580</v>
      </c>
      <c r="K618" s="351">
        <v>250</v>
      </c>
      <c r="L618" s="351" t="s">
        <v>1757</v>
      </c>
      <c r="M618" s="352"/>
      <c r="N618" s="352"/>
      <c r="O618" s="351">
        <v>250</v>
      </c>
      <c r="P618" s="349" t="s">
        <v>1850</v>
      </c>
      <c r="R618" s="349">
        <f t="shared" si="9"/>
        <v>8</v>
      </c>
      <c r="S618" s="352"/>
      <c r="T618" s="352"/>
      <c r="U618" s="352"/>
      <c r="V618" s="353"/>
      <c r="W618" s="352"/>
      <c r="X618" s="176"/>
      <c r="Y618" s="176"/>
      <c r="Z618" s="352"/>
      <c r="AA618" s="352"/>
      <c r="AB618" s="352"/>
      <c r="AC618" s="351"/>
      <c r="AD618" s="351"/>
    </row>
    <row r="619" spans="1:30" ht="128.19999999999999" hidden="1" x14ac:dyDescent="0.35">
      <c r="A619" s="349">
        <v>618</v>
      </c>
      <c r="B619" s="352" t="s">
        <v>1113</v>
      </c>
      <c r="C619" s="351" t="s">
        <v>4978</v>
      </c>
      <c r="D619" s="352" t="s">
        <v>1406</v>
      </c>
      <c r="E619" s="352" t="s">
        <v>1997</v>
      </c>
      <c r="F619" s="353">
        <v>1700</v>
      </c>
      <c r="G619" s="352" t="s">
        <v>1107</v>
      </c>
      <c r="H619" s="176" t="s">
        <v>1355</v>
      </c>
      <c r="I619" s="176" t="s">
        <v>4845</v>
      </c>
      <c r="J619" s="352" t="s">
        <v>1115</v>
      </c>
      <c r="K619" s="352">
        <v>80</v>
      </c>
      <c r="L619" s="352" t="s">
        <v>1464</v>
      </c>
      <c r="M619" s="352"/>
      <c r="N619" s="352"/>
      <c r="O619" s="351">
        <v>80</v>
      </c>
      <c r="P619" s="349" t="s">
        <v>1836</v>
      </c>
      <c r="R619" s="349">
        <f t="shared" si="9"/>
        <v>23</v>
      </c>
      <c r="S619" s="352"/>
      <c r="T619" s="352"/>
      <c r="U619" s="352"/>
      <c r="V619" s="353"/>
      <c r="W619" s="352"/>
      <c r="X619" s="176"/>
      <c r="Y619" s="176"/>
      <c r="Z619" s="352"/>
      <c r="AA619" s="352"/>
      <c r="AB619" s="352"/>
      <c r="AC619" s="352"/>
      <c r="AD619" s="352"/>
    </row>
    <row r="620" spans="1:30" ht="128.19999999999999" hidden="1" x14ac:dyDescent="0.35">
      <c r="A620" s="349">
        <v>619</v>
      </c>
      <c r="B620" s="352" t="s">
        <v>2694</v>
      </c>
      <c r="C620" s="351" t="s">
        <v>3533</v>
      </c>
      <c r="D620" s="352" t="s">
        <v>3533</v>
      </c>
      <c r="E620" s="352" t="s">
        <v>762</v>
      </c>
      <c r="F620" s="353">
        <v>17.497499999999999</v>
      </c>
      <c r="G620" s="352" t="s">
        <v>1107</v>
      </c>
      <c r="H620" s="176" t="s">
        <v>1823</v>
      </c>
      <c r="I620" s="176" t="s">
        <v>922</v>
      </c>
      <c r="J620" s="352" t="s">
        <v>828</v>
      </c>
      <c r="K620" s="352">
        <v>12.5</v>
      </c>
      <c r="L620" s="352" t="s">
        <v>1116</v>
      </c>
      <c r="M620" s="352">
        <v>2</v>
      </c>
      <c r="N620" s="352" t="s">
        <v>1109</v>
      </c>
      <c r="O620" s="351">
        <v>12.5</v>
      </c>
      <c r="P620" s="349" t="s">
        <v>1836</v>
      </c>
      <c r="R620" s="349">
        <f t="shared" si="9"/>
        <v>13</v>
      </c>
      <c r="S620" s="352"/>
      <c r="T620" s="352"/>
      <c r="U620" s="352"/>
      <c r="V620" s="353"/>
      <c r="W620" s="352"/>
      <c r="X620" s="176"/>
      <c r="Y620" s="176"/>
      <c r="Z620" s="352"/>
      <c r="AA620" s="352"/>
      <c r="AB620" s="352"/>
      <c r="AC620" s="352"/>
      <c r="AD620" s="352"/>
    </row>
    <row r="621" spans="1:30" hidden="1" x14ac:dyDescent="0.35">
      <c r="A621" s="349">
        <v>620</v>
      </c>
      <c r="B621" s="352" t="s">
        <v>1113</v>
      </c>
      <c r="C621" s="351" t="s">
        <v>3279</v>
      </c>
      <c r="D621" s="352" t="s">
        <v>3279</v>
      </c>
      <c r="E621" s="352" t="s">
        <v>2703</v>
      </c>
      <c r="F621" s="353"/>
      <c r="G621" s="352" t="s">
        <v>34</v>
      </c>
      <c r="H621" s="176" t="s">
        <v>3280</v>
      </c>
      <c r="I621" s="176" t="s">
        <v>3281</v>
      </c>
      <c r="J621" s="352" t="s">
        <v>2704</v>
      </c>
      <c r="K621" s="352"/>
      <c r="L621" s="352"/>
      <c r="M621" s="352">
        <v>100</v>
      </c>
      <c r="N621" s="352" t="s">
        <v>1109</v>
      </c>
      <c r="O621" s="351">
        <v>0</v>
      </c>
      <c r="P621" s="349" t="s">
        <v>1837</v>
      </c>
      <c r="R621" s="349">
        <f t="shared" si="9"/>
        <v>17</v>
      </c>
      <c r="S621" s="352"/>
      <c r="T621" s="352"/>
      <c r="U621" s="352"/>
      <c r="V621" s="353"/>
      <c r="W621" s="352"/>
      <c r="X621" s="176"/>
      <c r="Y621" s="176"/>
      <c r="Z621" s="352"/>
      <c r="AA621" s="352"/>
      <c r="AB621" s="352"/>
      <c r="AC621" s="352"/>
      <c r="AD621" s="352"/>
    </row>
    <row r="622" spans="1:30" ht="89.75" hidden="1" x14ac:dyDescent="0.35">
      <c r="A622" s="349">
        <v>621</v>
      </c>
      <c r="B622" s="352" t="s">
        <v>4029</v>
      </c>
      <c r="C622" s="351" t="s">
        <v>3282</v>
      </c>
      <c r="D622" s="352" t="s">
        <v>3282</v>
      </c>
      <c r="E622" s="352" t="s">
        <v>695</v>
      </c>
      <c r="F622" s="353">
        <v>4.41</v>
      </c>
      <c r="G622" s="352" t="s">
        <v>2126</v>
      </c>
      <c r="H622" s="176" t="s">
        <v>3550</v>
      </c>
      <c r="I622" s="176" t="s">
        <v>514</v>
      </c>
      <c r="J622" s="352" t="s">
        <v>4031</v>
      </c>
      <c r="K622" s="352">
        <v>50</v>
      </c>
      <c r="L622" s="352" t="s">
        <v>4026</v>
      </c>
      <c r="M622" s="352">
        <v>10</v>
      </c>
      <c r="N622" s="352" t="s">
        <v>1109</v>
      </c>
      <c r="O622" s="351">
        <v>50</v>
      </c>
      <c r="P622" s="349" t="s">
        <v>1850</v>
      </c>
      <c r="R622" s="349">
        <f t="shared" si="9"/>
        <v>11</v>
      </c>
      <c r="S622" s="352"/>
      <c r="T622" s="352"/>
      <c r="U622" s="352"/>
      <c r="V622" s="353"/>
      <c r="W622" s="352"/>
      <c r="X622" s="176"/>
      <c r="Y622" s="176"/>
      <c r="Z622" s="352"/>
      <c r="AA622" s="352"/>
      <c r="AB622" s="352"/>
      <c r="AC622" s="352"/>
      <c r="AD622" s="352"/>
    </row>
    <row r="623" spans="1:30" ht="38.450000000000003" hidden="1" x14ac:dyDescent="0.35">
      <c r="A623" s="349">
        <v>622</v>
      </c>
      <c r="B623" s="352" t="s">
        <v>3057</v>
      </c>
      <c r="C623" s="351" t="s">
        <v>4979</v>
      </c>
      <c r="D623" s="352" t="s">
        <v>3283</v>
      </c>
      <c r="E623" s="352" t="s">
        <v>3209</v>
      </c>
      <c r="F623" s="353">
        <v>9.7403999999999993</v>
      </c>
      <c r="G623" s="352" t="s">
        <v>34</v>
      </c>
      <c r="H623" s="176" t="s">
        <v>3284</v>
      </c>
      <c r="I623" s="176" t="s">
        <v>3308</v>
      </c>
      <c r="J623" s="352" t="s">
        <v>4025</v>
      </c>
      <c r="K623" s="352">
        <v>1</v>
      </c>
      <c r="L623" s="352" t="s">
        <v>1116</v>
      </c>
      <c r="M623" s="351">
        <v>5</v>
      </c>
      <c r="N623" s="351" t="s">
        <v>1109</v>
      </c>
      <c r="O623" s="351">
        <v>1</v>
      </c>
      <c r="P623" s="349" t="s">
        <v>1836</v>
      </c>
      <c r="R623" s="349">
        <f t="shared" si="9"/>
        <v>11</v>
      </c>
      <c r="S623" s="352"/>
      <c r="T623" s="352"/>
      <c r="U623" s="352"/>
      <c r="V623" s="353"/>
      <c r="W623" s="352"/>
      <c r="X623" s="176"/>
      <c r="Y623" s="176"/>
      <c r="Z623" s="352"/>
      <c r="AA623" s="352"/>
      <c r="AB623" s="352"/>
      <c r="AC623" s="351"/>
      <c r="AD623" s="351"/>
    </row>
    <row r="624" spans="1:30" ht="192.25" hidden="1" x14ac:dyDescent="0.35">
      <c r="A624" s="349">
        <v>623</v>
      </c>
      <c r="B624" s="352" t="s">
        <v>1787</v>
      </c>
      <c r="C624" s="351" t="s">
        <v>4980</v>
      </c>
      <c r="D624" s="352" t="s">
        <v>4184</v>
      </c>
      <c r="E624" s="352" t="s">
        <v>2151</v>
      </c>
      <c r="F624" s="353">
        <v>2.84</v>
      </c>
      <c r="G624" s="352" t="s">
        <v>2126</v>
      </c>
      <c r="H624" s="176" t="s">
        <v>2332</v>
      </c>
      <c r="I624" s="176" t="s">
        <v>4352</v>
      </c>
      <c r="J624" s="352" t="s">
        <v>3579</v>
      </c>
      <c r="K624" s="352">
        <v>10</v>
      </c>
      <c r="L624" s="352" t="s">
        <v>1116</v>
      </c>
      <c r="M624" s="351">
        <v>30</v>
      </c>
      <c r="N624" s="351" t="s">
        <v>1109</v>
      </c>
      <c r="O624" s="351">
        <v>10</v>
      </c>
      <c r="P624" s="349" t="s">
        <v>1836</v>
      </c>
      <c r="R624" s="349">
        <f t="shared" si="9"/>
        <v>9</v>
      </c>
      <c r="S624" s="352"/>
      <c r="T624" s="352"/>
      <c r="U624" s="352"/>
      <c r="V624" s="353"/>
      <c r="W624" s="352"/>
      <c r="X624" s="176"/>
      <c r="Y624" s="176"/>
      <c r="Z624" s="352"/>
      <c r="AA624" s="352"/>
      <c r="AB624" s="352"/>
      <c r="AC624" s="351"/>
      <c r="AD624" s="351"/>
    </row>
    <row r="625" spans="1:30" ht="128.19999999999999" hidden="1" x14ac:dyDescent="0.35">
      <c r="A625" s="349">
        <v>624</v>
      </c>
      <c r="B625" s="352" t="s">
        <v>761</v>
      </c>
      <c r="C625" s="351" t="s">
        <v>4980</v>
      </c>
      <c r="D625" s="352" t="s">
        <v>4184</v>
      </c>
      <c r="E625" s="352" t="s">
        <v>2151</v>
      </c>
      <c r="F625" s="353">
        <v>2.85</v>
      </c>
      <c r="G625" s="352" t="s">
        <v>2126</v>
      </c>
      <c r="H625" s="176" t="s">
        <v>2706</v>
      </c>
      <c r="I625" s="176" t="s">
        <v>4483</v>
      </c>
      <c r="J625" s="352" t="s">
        <v>3579</v>
      </c>
      <c r="K625" s="352">
        <v>10</v>
      </c>
      <c r="L625" s="352" t="s">
        <v>1116</v>
      </c>
      <c r="M625" s="351">
        <v>30</v>
      </c>
      <c r="N625" s="351" t="s">
        <v>1109</v>
      </c>
      <c r="O625" s="351">
        <v>10</v>
      </c>
      <c r="P625" s="349" t="s">
        <v>1836</v>
      </c>
      <c r="R625" s="349">
        <f t="shared" si="9"/>
        <v>9</v>
      </c>
      <c r="S625" s="352"/>
      <c r="T625" s="352"/>
      <c r="U625" s="352"/>
      <c r="V625" s="353"/>
      <c r="W625" s="352"/>
      <c r="X625" s="176"/>
      <c r="Y625" s="176"/>
      <c r="Z625" s="352"/>
      <c r="AA625" s="352"/>
      <c r="AB625" s="352"/>
      <c r="AC625" s="351"/>
      <c r="AD625" s="351"/>
    </row>
    <row r="626" spans="1:30" ht="192.25" hidden="1" x14ac:dyDescent="0.35">
      <c r="A626" s="349">
        <v>625</v>
      </c>
      <c r="B626" s="352" t="s">
        <v>1787</v>
      </c>
      <c r="C626" s="351" t="s">
        <v>4980</v>
      </c>
      <c r="D626" s="352" t="s">
        <v>4184</v>
      </c>
      <c r="E626" s="352" t="s">
        <v>1995</v>
      </c>
      <c r="F626" s="353">
        <v>0.11</v>
      </c>
      <c r="G626" s="352" t="s">
        <v>2126</v>
      </c>
      <c r="H626" s="176" t="s">
        <v>2332</v>
      </c>
      <c r="I626" s="176" t="s">
        <v>4352</v>
      </c>
      <c r="J626" s="352" t="s">
        <v>3580</v>
      </c>
      <c r="K626" s="352">
        <v>25</v>
      </c>
      <c r="L626" s="352" t="s">
        <v>3581</v>
      </c>
      <c r="M626" s="351"/>
      <c r="N626" s="351"/>
      <c r="O626" s="351">
        <v>25</v>
      </c>
      <c r="P626" s="349" t="s">
        <v>1836</v>
      </c>
      <c r="R626" s="349">
        <f t="shared" si="9"/>
        <v>9</v>
      </c>
      <c r="S626" s="352"/>
      <c r="T626" s="352"/>
      <c r="U626" s="352"/>
      <c r="V626" s="353"/>
      <c r="W626" s="352"/>
      <c r="X626" s="176"/>
      <c r="Y626" s="176"/>
      <c r="Z626" s="352"/>
      <c r="AA626" s="352"/>
      <c r="AB626" s="352"/>
      <c r="AC626" s="351"/>
      <c r="AD626" s="351"/>
    </row>
    <row r="627" spans="1:30" ht="192.25" hidden="1" x14ac:dyDescent="0.35">
      <c r="A627" s="349">
        <v>626</v>
      </c>
      <c r="B627" s="352" t="s">
        <v>1787</v>
      </c>
      <c r="C627" s="351" t="s">
        <v>4980</v>
      </c>
      <c r="D627" s="352" t="s">
        <v>4184</v>
      </c>
      <c r="E627" s="352" t="s">
        <v>1995</v>
      </c>
      <c r="F627" s="353">
        <v>0.11</v>
      </c>
      <c r="G627" s="352" t="s">
        <v>2126</v>
      </c>
      <c r="H627" s="176" t="s">
        <v>2332</v>
      </c>
      <c r="I627" s="176" t="s">
        <v>4352</v>
      </c>
      <c r="J627" s="352" t="s">
        <v>3580</v>
      </c>
      <c r="K627" s="352">
        <v>50</v>
      </c>
      <c r="L627" s="352" t="s">
        <v>3581</v>
      </c>
      <c r="M627" s="351"/>
      <c r="N627" s="351"/>
      <c r="O627" s="351">
        <v>50</v>
      </c>
      <c r="P627" s="349" t="s">
        <v>1836</v>
      </c>
      <c r="R627" s="349">
        <f t="shared" si="9"/>
        <v>9</v>
      </c>
      <c r="S627" s="352"/>
      <c r="T627" s="352"/>
      <c r="U627" s="352"/>
      <c r="V627" s="353"/>
      <c r="W627" s="352"/>
      <c r="X627" s="176"/>
      <c r="Y627" s="176"/>
      <c r="Z627" s="352"/>
      <c r="AA627" s="352"/>
      <c r="AB627" s="352"/>
      <c r="AC627" s="351"/>
      <c r="AD627" s="351"/>
    </row>
    <row r="628" spans="1:30" ht="192.25" hidden="1" x14ac:dyDescent="0.35">
      <c r="A628" s="349">
        <v>627</v>
      </c>
      <c r="B628" s="352" t="s">
        <v>1787</v>
      </c>
      <c r="C628" s="351" t="s">
        <v>4980</v>
      </c>
      <c r="D628" s="352" t="s">
        <v>4184</v>
      </c>
      <c r="E628" s="352" t="s">
        <v>1995</v>
      </c>
      <c r="F628" s="353">
        <v>0.11</v>
      </c>
      <c r="G628" s="352" t="s">
        <v>2126</v>
      </c>
      <c r="H628" s="176" t="s">
        <v>2332</v>
      </c>
      <c r="I628" s="176" t="s">
        <v>4352</v>
      </c>
      <c r="J628" s="352" t="s">
        <v>3580</v>
      </c>
      <c r="K628" s="352">
        <v>75</v>
      </c>
      <c r="L628" s="352" t="s">
        <v>3581</v>
      </c>
      <c r="M628" s="351"/>
      <c r="N628" s="351"/>
      <c r="O628" s="351">
        <v>75</v>
      </c>
      <c r="P628" s="349" t="s">
        <v>1836</v>
      </c>
      <c r="R628" s="349">
        <f t="shared" si="9"/>
        <v>9</v>
      </c>
      <c r="S628" s="352"/>
      <c r="T628" s="352"/>
      <c r="U628" s="352"/>
      <c r="V628" s="353"/>
      <c r="W628" s="352"/>
      <c r="X628" s="176"/>
      <c r="Y628" s="176"/>
      <c r="Z628" s="352"/>
      <c r="AA628" s="352"/>
      <c r="AB628" s="352"/>
      <c r="AC628" s="351"/>
      <c r="AD628" s="351"/>
    </row>
    <row r="629" spans="1:30" ht="192.25" hidden="1" x14ac:dyDescent="0.35">
      <c r="A629" s="349">
        <v>628</v>
      </c>
      <c r="B629" s="352" t="s">
        <v>1787</v>
      </c>
      <c r="C629" s="351" t="s">
        <v>4980</v>
      </c>
      <c r="D629" s="352" t="s">
        <v>4184</v>
      </c>
      <c r="E629" s="352" t="s">
        <v>1995</v>
      </c>
      <c r="F629" s="353">
        <v>0.11</v>
      </c>
      <c r="G629" s="352" t="s">
        <v>2126</v>
      </c>
      <c r="H629" s="176" t="s">
        <v>2332</v>
      </c>
      <c r="I629" s="176" t="s">
        <v>4352</v>
      </c>
      <c r="J629" s="352" t="s">
        <v>3580</v>
      </c>
      <c r="K629" s="352">
        <v>100</v>
      </c>
      <c r="L629" s="352" t="s">
        <v>3581</v>
      </c>
      <c r="M629" s="351"/>
      <c r="N629" s="351"/>
      <c r="O629" s="351">
        <v>100</v>
      </c>
      <c r="P629" s="349" t="s">
        <v>1836</v>
      </c>
      <c r="R629" s="349">
        <f t="shared" si="9"/>
        <v>9</v>
      </c>
      <c r="S629" s="352"/>
      <c r="T629" s="352"/>
      <c r="U629" s="352"/>
      <c r="V629" s="353"/>
      <c r="W629" s="352"/>
      <c r="X629" s="176"/>
      <c r="Y629" s="176"/>
      <c r="Z629" s="352"/>
      <c r="AA629" s="352"/>
      <c r="AB629" s="352"/>
      <c r="AC629" s="351"/>
      <c r="AD629" s="351"/>
    </row>
    <row r="630" spans="1:30" ht="128.19999999999999" hidden="1" x14ac:dyDescent="0.35">
      <c r="A630" s="349">
        <v>629</v>
      </c>
      <c r="B630" s="352" t="s">
        <v>761</v>
      </c>
      <c r="C630" s="351" t="s">
        <v>4980</v>
      </c>
      <c r="D630" s="352" t="s">
        <v>4184</v>
      </c>
      <c r="E630" s="352" t="s">
        <v>1995</v>
      </c>
      <c r="F630" s="353">
        <v>8.8099999999999998E-2</v>
      </c>
      <c r="G630" s="352" t="s">
        <v>2126</v>
      </c>
      <c r="H630" s="176" t="s">
        <v>2706</v>
      </c>
      <c r="I630" s="176" t="s">
        <v>4483</v>
      </c>
      <c r="J630" s="352" t="s">
        <v>3580</v>
      </c>
      <c r="K630" s="352">
        <v>25</v>
      </c>
      <c r="L630" s="352" t="s">
        <v>3581</v>
      </c>
      <c r="M630" s="351"/>
      <c r="N630" s="351"/>
      <c r="O630" s="351">
        <v>25</v>
      </c>
      <c r="P630" s="349" t="s">
        <v>1836</v>
      </c>
      <c r="R630" s="349">
        <f t="shared" si="9"/>
        <v>9</v>
      </c>
      <c r="S630" s="352"/>
      <c r="T630" s="352"/>
      <c r="U630" s="352"/>
      <c r="V630" s="353"/>
      <c r="W630" s="352"/>
      <c r="X630" s="176"/>
      <c r="Y630" s="176"/>
      <c r="Z630" s="352"/>
      <c r="AA630" s="352"/>
      <c r="AB630" s="352"/>
      <c r="AC630" s="351"/>
      <c r="AD630" s="351"/>
    </row>
    <row r="631" spans="1:30" ht="128.19999999999999" hidden="1" x14ac:dyDescent="0.35">
      <c r="A631" s="349">
        <v>630</v>
      </c>
      <c r="B631" s="352" t="s">
        <v>761</v>
      </c>
      <c r="C631" s="351" t="s">
        <v>4980</v>
      </c>
      <c r="D631" s="352" t="s">
        <v>4184</v>
      </c>
      <c r="E631" s="352" t="s">
        <v>1995</v>
      </c>
      <c r="F631" s="353">
        <v>8.8099999999999998E-2</v>
      </c>
      <c r="G631" s="352" t="s">
        <v>2126</v>
      </c>
      <c r="H631" s="176" t="s">
        <v>2706</v>
      </c>
      <c r="I631" s="176" t="s">
        <v>4483</v>
      </c>
      <c r="J631" s="352" t="s">
        <v>3580</v>
      </c>
      <c r="K631" s="352">
        <v>50</v>
      </c>
      <c r="L631" s="352" t="s">
        <v>3581</v>
      </c>
      <c r="M631" s="352"/>
      <c r="N631" s="352"/>
      <c r="O631" s="351">
        <v>50</v>
      </c>
      <c r="P631" s="349" t="s">
        <v>1836</v>
      </c>
      <c r="R631" s="349">
        <f t="shared" si="9"/>
        <v>9</v>
      </c>
      <c r="S631" s="352"/>
      <c r="T631" s="352"/>
      <c r="U631" s="352"/>
      <c r="V631" s="353"/>
      <c r="W631" s="352"/>
      <c r="X631" s="176"/>
      <c r="Y631" s="176"/>
      <c r="Z631" s="352"/>
      <c r="AA631" s="352"/>
      <c r="AB631" s="352"/>
      <c r="AC631" s="352"/>
      <c r="AD631" s="352"/>
    </row>
    <row r="632" spans="1:30" ht="128.19999999999999" hidden="1" x14ac:dyDescent="0.35">
      <c r="A632" s="349">
        <v>631</v>
      </c>
      <c r="B632" s="352" t="s">
        <v>761</v>
      </c>
      <c r="C632" s="351" t="s">
        <v>4980</v>
      </c>
      <c r="D632" s="352" t="s">
        <v>4184</v>
      </c>
      <c r="E632" s="352" t="s">
        <v>1995</v>
      </c>
      <c r="F632" s="353">
        <v>0.1</v>
      </c>
      <c r="G632" s="352" t="s">
        <v>2126</v>
      </c>
      <c r="H632" s="176" t="s">
        <v>2706</v>
      </c>
      <c r="I632" s="176" t="s">
        <v>4483</v>
      </c>
      <c r="J632" s="352" t="s">
        <v>3580</v>
      </c>
      <c r="K632" s="352">
        <v>75</v>
      </c>
      <c r="L632" s="352" t="s">
        <v>3581</v>
      </c>
      <c r="M632" s="351"/>
      <c r="N632" s="351"/>
      <c r="O632" s="351">
        <v>75</v>
      </c>
      <c r="P632" s="349" t="s">
        <v>1836</v>
      </c>
      <c r="R632" s="349">
        <f t="shared" si="9"/>
        <v>9</v>
      </c>
      <c r="S632" s="352"/>
      <c r="T632" s="352"/>
      <c r="U632" s="352"/>
      <c r="V632" s="353"/>
      <c r="W632" s="352"/>
      <c r="X632" s="176"/>
      <c r="Y632" s="176"/>
      <c r="Z632" s="352"/>
      <c r="AA632" s="352"/>
      <c r="AB632" s="352"/>
      <c r="AC632" s="351"/>
      <c r="AD632" s="351"/>
    </row>
    <row r="633" spans="1:30" ht="128.19999999999999" hidden="1" x14ac:dyDescent="0.35">
      <c r="A633" s="349">
        <v>632</v>
      </c>
      <c r="B633" s="352" t="s">
        <v>761</v>
      </c>
      <c r="C633" s="351" t="s">
        <v>4980</v>
      </c>
      <c r="D633" s="352" t="s">
        <v>4184</v>
      </c>
      <c r="E633" s="352" t="s">
        <v>1995</v>
      </c>
      <c r="F633" s="353">
        <v>6.6100000000000006E-2</v>
      </c>
      <c r="G633" s="352" t="s">
        <v>2126</v>
      </c>
      <c r="H633" s="176" t="s">
        <v>2706</v>
      </c>
      <c r="I633" s="176" t="s">
        <v>4483</v>
      </c>
      <c r="J633" s="352" t="s">
        <v>3580</v>
      </c>
      <c r="K633" s="352">
        <v>100</v>
      </c>
      <c r="L633" s="352" t="s">
        <v>3581</v>
      </c>
      <c r="M633" s="352"/>
      <c r="N633" s="352"/>
      <c r="O633" s="351">
        <v>100</v>
      </c>
      <c r="P633" s="349" t="s">
        <v>1836</v>
      </c>
      <c r="R633" s="349">
        <f t="shared" si="9"/>
        <v>9</v>
      </c>
      <c r="S633" s="352"/>
      <c r="T633" s="352"/>
      <c r="U633" s="352"/>
      <c r="V633" s="353"/>
      <c r="W633" s="352"/>
      <c r="X633" s="176"/>
      <c r="Y633" s="176"/>
      <c r="Z633" s="352"/>
      <c r="AA633" s="352"/>
      <c r="AB633" s="352"/>
      <c r="AC633" s="351"/>
      <c r="AD633" s="351"/>
    </row>
    <row r="634" spans="1:30" ht="51.3" hidden="1" x14ac:dyDescent="0.35">
      <c r="A634" s="349">
        <v>633</v>
      </c>
      <c r="B634" s="352" t="s">
        <v>1006</v>
      </c>
      <c r="C634" s="351" t="s">
        <v>4981</v>
      </c>
      <c r="D634" s="352" t="s">
        <v>3899</v>
      </c>
      <c r="E634" s="352" t="s">
        <v>93</v>
      </c>
      <c r="F634" s="353">
        <v>8.9910999999999994</v>
      </c>
      <c r="G634" s="352" t="s">
        <v>2126</v>
      </c>
      <c r="H634" s="176" t="s">
        <v>947</v>
      </c>
      <c r="I634" s="176" t="s">
        <v>976</v>
      </c>
      <c r="J634" s="352" t="s">
        <v>4031</v>
      </c>
      <c r="K634" s="352">
        <v>2</v>
      </c>
      <c r="L634" s="352" t="s">
        <v>4032</v>
      </c>
      <c r="M634" s="352">
        <v>60</v>
      </c>
      <c r="N634" s="352" t="s">
        <v>1109</v>
      </c>
      <c r="O634" s="351">
        <v>2</v>
      </c>
      <c r="P634" s="349" t="s">
        <v>1836</v>
      </c>
      <c r="R634" s="349">
        <f t="shared" si="9"/>
        <v>10</v>
      </c>
      <c r="S634" s="352"/>
      <c r="T634" s="352"/>
      <c r="U634" s="352"/>
      <c r="V634" s="353"/>
      <c r="W634" s="352"/>
      <c r="X634" s="176"/>
      <c r="Y634" s="176"/>
      <c r="Z634" s="352"/>
      <c r="AA634" s="352"/>
      <c r="AB634" s="352"/>
      <c r="AC634" s="352"/>
      <c r="AD634" s="352"/>
    </row>
    <row r="635" spans="1:30" ht="51.3" hidden="1" x14ac:dyDescent="0.35">
      <c r="A635" s="349">
        <v>634</v>
      </c>
      <c r="B635" s="352" t="s">
        <v>1006</v>
      </c>
      <c r="C635" s="351" t="s">
        <v>4981</v>
      </c>
      <c r="D635" s="352" t="s">
        <v>3899</v>
      </c>
      <c r="E635" s="352" t="s">
        <v>1995</v>
      </c>
      <c r="F635" s="353">
        <v>0.22</v>
      </c>
      <c r="G635" s="352" t="s">
        <v>2126</v>
      </c>
      <c r="H635" s="176" t="s">
        <v>947</v>
      </c>
      <c r="I635" s="176" t="s">
        <v>976</v>
      </c>
      <c r="J635" s="352" t="s">
        <v>3580</v>
      </c>
      <c r="K635" s="352">
        <v>40</v>
      </c>
      <c r="L635" s="352" t="s">
        <v>3581</v>
      </c>
      <c r="M635" s="352"/>
      <c r="N635" s="352"/>
      <c r="O635" s="351">
        <v>40</v>
      </c>
      <c r="P635" s="349" t="s">
        <v>1836</v>
      </c>
      <c r="R635" s="349">
        <f t="shared" si="9"/>
        <v>10</v>
      </c>
      <c r="S635" s="352"/>
      <c r="T635" s="352"/>
      <c r="U635" s="352"/>
      <c r="V635" s="353"/>
      <c r="W635" s="352"/>
      <c r="X635" s="176"/>
      <c r="Y635" s="176"/>
      <c r="Z635" s="352"/>
      <c r="AA635" s="352"/>
      <c r="AB635" s="352"/>
      <c r="AC635" s="351"/>
      <c r="AD635" s="351"/>
    </row>
    <row r="636" spans="1:30" ht="38.450000000000003" hidden="1" x14ac:dyDescent="0.35">
      <c r="A636" s="349">
        <v>635</v>
      </c>
      <c r="B636" s="352" t="s">
        <v>3057</v>
      </c>
      <c r="C636" s="351" t="s">
        <v>3283</v>
      </c>
      <c r="D636" s="352" t="s">
        <v>3283</v>
      </c>
      <c r="E636" s="352" t="s">
        <v>3209</v>
      </c>
      <c r="F636" s="351">
        <v>9.7403999999999993</v>
      </c>
      <c r="G636" s="352" t="s">
        <v>34</v>
      </c>
      <c r="H636" s="176" t="s">
        <v>3284</v>
      </c>
      <c r="I636" s="176" t="s">
        <v>3308</v>
      </c>
      <c r="J636" s="352" t="s">
        <v>4025</v>
      </c>
      <c r="K636" s="351">
        <v>1</v>
      </c>
      <c r="L636" s="351" t="s">
        <v>1116</v>
      </c>
      <c r="M636" s="352">
        <v>5</v>
      </c>
      <c r="N636" s="352" t="s">
        <v>1109</v>
      </c>
      <c r="O636" s="351">
        <v>1</v>
      </c>
      <c r="P636" s="349" t="s">
        <v>1836</v>
      </c>
      <c r="R636" s="349">
        <f t="shared" si="9"/>
        <v>11</v>
      </c>
      <c r="S636" s="352"/>
      <c r="T636" s="352"/>
      <c r="U636" s="352"/>
      <c r="V636" s="353"/>
      <c r="W636" s="352"/>
      <c r="X636" s="176"/>
      <c r="Y636" s="176"/>
      <c r="Z636" s="352"/>
      <c r="AA636" s="352"/>
      <c r="AB636" s="352"/>
      <c r="AC636" s="351"/>
      <c r="AD636" s="351"/>
    </row>
    <row r="637" spans="1:30" ht="89.75" hidden="1" x14ac:dyDescent="0.35">
      <c r="A637" s="349">
        <v>636</v>
      </c>
      <c r="B637" s="352" t="s">
        <v>1073</v>
      </c>
      <c r="C637" s="351" t="s">
        <v>4982</v>
      </c>
      <c r="D637" s="352" t="s">
        <v>2110</v>
      </c>
      <c r="E637" s="352" t="s">
        <v>780</v>
      </c>
      <c r="F637" s="351">
        <v>4.3600000000000003</v>
      </c>
      <c r="G637" s="352" t="s">
        <v>1107</v>
      </c>
      <c r="H637" s="176" t="s">
        <v>2734</v>
      </c>
      <c r="I637" s="176" t="s">
        <v>5078</v>
      </c>
      <c r="J637" s="352" t="s">
        <v>828</v>
      </c>
      <c r="K637" s="351">
        <v>10</v>
      </c>
      <c r="L637" s="351" t="s">
        <v>1116</v>
      </c>
      <c r="M637" s="352">
        <v>20</v>
      </c>
      <c r="N637" s="352" t="s">
        <v>1109</v>
      </c>
      <c r="O637" s="351">
        <v>10</v>
      </c>
      <c r="P637" s="349" t="s">
        <v>1836</v>
      </c>
      <c r="R637" s="349">
        <f t="shared" si="9"/>
        <v>8</v>
      </c>
      <c r="S637" s="352"/>
      <c r="T637" s="352"/>
      <c r="U637" s="352"/>
      <c r="V637" s="353"/>
      <c r="W637" s="352"/>
      <c r="X637" s="176"/>
      <c r="Y637" s="176"/>
      <c r="Z637" s="352"/>
      <c r="AA637" s="352"/>
      <c r="AB637" s="352"/>
      <c r="AC637" s="352"/>
      <c r="AD637" s="352"/>
    </row>
    <row r="638" spans="1:30" ht="89.75" hidden="1" x14ac:dyDescent="0.35">
      <c r="A638" s="349">
        <v>637</v>
      </c>
      <c r="B638" s="352" t="s">
        <v>1073</v>
      </c>
      <c r="C638" s="351" t="s">
        <v>4982</v>
      </c>
      <c r="D638" s="352" t="s">
        <v>2110</v>
      </c>
      <c r="E638" s="352" t="s">
        <v>1754</v>
      </c>
      <c r="F638" s="353">
        <v>15.21</v>
      </c>
      <c r="G638" s="352" t="s">
        <v>1107</v>
      </c>
      <c r="H638" s="176" t="s">
        <v>2734</v>
      </c>
      <c r="I638" s="176" t="s">
        <v>5078</v>
      </c>
      <c r="J638" s="352" t="s">
        <v>1115</v>
      </c>
      <c r="K638" s="352">
        <v>20</v>
      </c>
      <c r="L638" s="352" t="s">
        <v>1116</v>
      </c>
      <c r="M638" s="352">
        <v>50</v>
      </c>
      <c r="N638" s="352" t="s">
        <v>1109</v>
      </c>
      <c r="O638" s="351">
        <v>20</v>
      </c>
      <c r="P638" s="349" t="s">
        <v>1836</v>
      </c>
      <c r="R638" s="349">
        <f t="shared" si="9"/>
        <v>8</v>
      </c>
      <c r="S638" s="352"/>
      <c r="T638" s="352"/>
      <c r="U638" s="352"/>
      <c r="V638" s="353"/>
      <c r="W638" s="352"/>
      <c r="X638" s="176"/>
      <c r="Y638" s="176"/>
      <c r="Z638" s="352"/>
      <c r="AA638" s="352"/>
      <c r="AB638" s="352"/>
      <c r="AC638" s="352"/>
      <c r="AD638" s="352"/>
    </row>
    <row r="639" spans="1:30" ht="102.55" hidden="1" x14ac:dyDescent="0.35">
      <c r="A639" s="349">
        <v>638</v>
      </c>
      <c r="B639" s="352" t="s">
        <v>314</v>
      </c>
      <c r="C639" s="351" t="s">
        <v>3309</v>
      </c>
      <c r="D639" s="352" t="s">
        <v>1407</v>
      </c>
      <c r="E639" s="352" t="s">
        <v>2855</v>
      </c>
      <c r="F639" s="353"/>
      <c r="G639" s="352" t="s">
        <v>2384</v>
      </c>
      <c r="H639" s="176" t="s">
        <v>2334</v>
      </c>
      <c r="I639" s="176" t="s">
        <v>2335</v>
      </c>
      <c r="J639" s="352" t="s">
        <v>828</v>
      </c>
      <c r="K639" s="352"/>
      <c r="L639" s="352"/>
      <c r="M639" s="352">
        <v>1</v>
      </c>
      <c r="N639" s="352" t="s">
        <v>1109</v>
      </c>
      <c r="O639" s="351">
        <v>0</v>
      </c>
      <c r="P639" s="349" t="s">
        <v>1837</v>
      </c>
      <c r="R639" s="349">
        <f t="shared" si="9"/>
        <v>11</v>
      </c>
      <c r="S639" s="352"/>
      <c r="T639" s="352"/>
      <c r="U639" s="352"/>
      <c r="V639" s="353"/>
      <c r="W639" s="352"/>
      <c r="X639" s="176"/>
      <c r="Y639" s="176"/>
      <c r="Z639" s="352"/>
      <c r="AA639" s="352"/>
      <c r="AB639" s="352"/>
      <c r="AC639" s="351"/>
      <c r="AD639" s="351"/>
    </row>
    <row r="640" spans="1:30" hidden="1" x14ac:dyDescent="0.35">
      <c r="A640" s="349">
        <v>639</v>
      </c>
      <c r="B640" s="352" t="s">
        <v>1113</v>
      </c>
      <c r="C640" s="351" t="s">
        <v>4983</v>
      </c>
      <c r="D640" s="352" t="s">
        <v>3279</v>
      </c>
      <c r="E640" s="352" t="s">
        <v>2703</v>
      </c>
      <c r="F640" s="353"/>
      <c r="G640" s="352" t="s">
        <v>34</v>
      </c>
      <c r="H640" s="176" t="s">
        <v>3280</v>
      </c>
      <c r="I640" s="176" t="s">
        <v>3281</v>
      </c>
      <c r="J640" s="352" t="s">
        <v>2704</v>
      </c>
      <c r="K640" s="352"/>
      <c r="L640" s="352"/>
      <c r="M640" s="352">
        <v>100</v>
      </c>
      <c r="N640" s="352" t="s">
        <v>1109</v>
      </c>
      <c r="O640" s="351">
        <v>0</v>
      </c>
      <c r="P640" s="349" t="s">
        <v>1837</v>
      </c>
      <c r="R640" s="349">
        <f t="shared" si="9"/>
        <v>17</v>
      </c>
      <c r="S640" s="352"/>
      <c r="T640" s="352"/>
      <c r="U640" s="352"/>
      <c r="V640" s="353"/>
      <c r="W640" s="352"/>
      <c r="X640" s="176"/>
      <c r="Y640" s="176"/>
      <c r="Z640" s="352"/>
      <c r="AA640" s="352"/>
      <c r="AB640" s="352"/>
      <c r="AC640" s="352"/>
      <c r="AD640" s="352"/>
    </row>
    <row r="641" spans="1:30" ht="128.19999999999999" hidden="1" x14ac:dyDescent="0.35">
      <c r="A641" s="349">
        <v>640</v>
      </c>
      <c r="B641" s="352" t="s">
        <v>2854</v>
      </c>
      <c r="C641" s="351" t="s">
        <v>3338</v>
      </c>
      <c r="D641" s="352" t="s">
        <v>3338</v>
      </c>
      <c r="E641" s="352" t="s">
        <v>780</v>
      </c>
      <c r="F641" s="353">
        <v>4.3413000000000004</v>
      </c>
      <c r="G641" s="352" t="s">
        <v>1107</v>
      </c>
      <c r="H641" s="176" t="s">
        <v>3115</v>
      </c>
      <c r="I641" s="176" t="s">
        <v>4752</v>
      </c>
      <c r="J641" s="352" t="s">
        <v>828</v>
      </c>
      <c r="K641" s="352">
        <v>12.5</v>
      </c>
      <c r="L641" s="352" t="s">
        <v>1116</v>
      </c>
      <c r="M641" s="351">
        <v>20</v>
      </c>
      <c r="N641" s="351" t="s">
        <v>1109</v>
      </c>
      <c r="O641" s="351">
        <v>12.5</v>
      </c>
      <c r="P641" s="349" t="s">
        <v>1836</v>
      </c>
      <c r="R641" s="349">
        <f t="shared" si="9"/>
        <v>10</v>
      </c>
      <c r="S641" s="352"/>
      <c r="T641" s="352"/>
      <c r="U641" s="352"/>
      <c r="V641" s="353"/>
      <c r="W641" s="352"/>
      <c r="X641" s="176"/>
      <c r="Y641" s="176"/>
      <c r="Z641" s="352"/>
      <c r="AA641" s="352"/>
      <c r="AB641" s="352"/>
      <c r="AC641" s="351"/>
      <c r="AD641" s="351"/>
    </row>
    <row r="642" spans="1:30" ht="128.19999999999999" hidden="1" x14ac:dyDescent="0.35">
      <c r="A642" s="349">
        <v>641</v>
      </c>
      <c r="B642" s="352" t="s">
        <v>2854</v>
      </c>
      <c r="C642" s="351" t="s">
        <v>3338</v>
      </c>
      <c r="D642" s="352" t="s">
        <v>3338</v>
      </c>
      <c r="E642" s="352" t="s">
        <v>780</v>
      </c>
      <c r="F642" s="353">
        <v>4.3413000000000004</v>
      </c>
      <c r="G642" s="352" t="s">
        <v>1107</v>
      </c>
      <c r="H642" s="176" t="s">
        <v>3115</v>
      </c>
      <c r="I642" s="176" t="s">
        <v>4752</v>
      </c>
      <c r="J642" s="352" t="s">
        <v>828</v>
      </c>
      <c r="K642" s="352">
        <v>12.5</v>
      </c>
      <c r="L642" s="352" t="s">
        <v>1116</v>
      </c>
      <c r="M642" s="351">
        <v>20</v>
      </c>
      <c r="N642" s="351" t="s">
        <v>1109</v>
      </c>
      <c r="O642" s="351">
        <v>12.5</v>
      </c>
      <c r="P642" s="349" t="s">
        <v>1836</v>
      </c>
      <c r="R642" s="349">
        <f t="shared" si="9"/>
        <v>10</v>
      </c>
      <c r="S642" s="352"/>
      <c r="T642" s="352"/>
      <c r="U642" s="352"/>
      <c r="V642" s="353"/>
      <c r="W642" s="352"/>
      <c r="X642" s="176"/>
      <c r="Y642" s="176"/>
      <c r="Z642" s="352"/>
      <c r="AA642" s="352"/>
      <c r="AB642" s="352"/>
      <c r="AC642" s="352"/>
      <c r="AD642" s="352"/>
    </row>
    <row r="643" spans="1:30" ht="64.099999999999994" hidden="1" x14ac:dyDescent="0.35">
      <c r="A643" s="349">
        <v>642</v>
      </c>
      <c r="B643" s="352" t="s">
        <v>965</v>
      </c>
      <c r="C643" s="351" t="s">
        <v>449</v>
      </c>
      <c r="D643" s="352" t="s">
        <v>449</v>
      </c>
      <c r="E643" s="352" t="s">
        <v>1007</v>
      </c>
      <c r="F643" s="353">
        <v>1.4</v>
      </c>
      <c r="G643" s="352" t="s">
        <v>967</v>
      </c>
      <c r="H643" s="176" t="s">
        <v>2412</v>
      </c>
      <c r="I643" s="176" t="s">
        <v>2413</v>
      </c>
      <c r="J643" s="352" t="s">
        <v>806</v>
      </c>
      <c r="K643" s="352">
        <v>1</v>
      </c>
      <c r="L643" s="352" t="s">
        <v>1116</v>
      </c>
      <c r="M643" s="351">
        <v>100</v>
      </c>
      <c r="N643" s="351" t="s">
        <v>1109</v>
      </c>
      <c r="O643" s="351">
        <v>1</v>
      </c>
      <c r="P643" s="349" t="s">
        <v>1836</v>
      </c>
      <c r="R643" s="349">
        <f t="shared" ref="R643:R706" si="10">LEN(D643)</f>
        <v>12</v>
      </c>
      <c r="S643" s="352"/>
      <c r="T643" s="352"/>
      <c r="U643" s="352"/>
      <c r="V643" s="353"/>
      <c r="W643" s="352"/>
      <c r="X643" s="176"/>
      <c r="Y643" s="176"/>
      <c r="Z643" s="352"/>
      <c r="AA643" s="352"/>
      <c r="AB643" s="352"/>
      <c r="AC643" s="351"/>
      <c r="AD643" s="351"/>
    </row>
    <row r="644" spans="1:30" ht="153.80000000000001" hidden="1" x14ac:dyDescent="0.35">
      <c r="A644" s="349">
        <v>643</v>
      </c>
      <c r="B644" s="352" t="s">
        <v>3160</v>
      </c>
      <c r="C644" s="351" t="s">
        <v>783</v>
      </c>
      <c r="D644" s="352" t="s">
        <v>783</v>
      </c>
      <c r="E644" s="352" t="s">
        <v>553</v>
      </c>
      <c r="F644" s="353">
        <v>11.64</v>
      </c>
      <c r="G644" s="352" t="s">
        <v>2126</v>
      </c>
      <c r="H644" s="176" t="s">
        <v>2701</v>
      </c>
      <c r="I644" s="176" t="s">
        <v>4753</v>
      </c>
      <c r="J644" s="352" t="s">
        <v>3579</v>
      </c>
      <c r="K644" s="352">
        <v>1</v>
      </c>
      <c r="L644" s="352" t="s">
        <v>1116</v>
      </c>
      <c r="M644" s="352">
        <v>200</v>
      </c>
      <c r="N644" s="352" t="s">
        <v>1109</v>
      </c>
      <c r="O644" s="351">
        <v>1</v>
      </c>
      <c r="P644" s="349" t="s">
        <v>1836</v>
      </c>
      <c r="R644" s="349">
        <f t="shared" si="10"/>
        <v>10</v>
      </c>
      <c r="S644" s="352"/>
      <c r="T644" s="352"/>
      <c r="U644" s="352"/>
      <c r="V644" s="353"/>
      <c r="W644" s="352"/>
      <c r="X644" s="176"/>
      <c r="Y644" s="176"/>
      <c r="Z644" s="352"/>
      <c r="AA644" s="352"/>
      <c r="AB644" s="352"/>
      <c r="AC644" s="351"/>
      <c r="AD644" s="351"/>
    </row>
    <row r="645" spans="1:30" ht="153.80000000000001" hidden="1" x14ac:dyDescent="0.35">
      <c r="A645" s="349">
        <v>644</v>
      </c>
      <c r="B645" s="352" t="s">
        <v>3160</v>
      </c>
      <c r="C645" s="351" t="s">
        <v>783</v>
      </c>
      <c r="D645" s="352" t="s">
        <v>783</v>
      </c>
      <c r="E645" s="352" t="s">
        <v>1995</v>
      </c>
      <c r="F645" s="353">
        <v>0.45</v>
      </c>
      <c r="G645" s="352" t="s">
        <v>2126</v>
      </c>
      <c r="H645" s="176" t="s">
        <v>2701</v>
      </c>
      <c r="I645" s="176" t="s">
        <v>4753</v>
      </c>
      <c r="J645" s="352" t="s">
        <v>3580</v>
      </c>
      <c r="K645" s="352">
        <v>10</v>
      </c>
      <c r="L645" s="352" t="s">
        <v>3581</v>
      </c>
      <c r="M645" s="351"/>
      <c r="N645" s="351"/>
      <c r="O645" s="351">
        <v>10</v>
      </c>
      <c r="P645" s="349" t="s">
        <v>1836</v>
      </c>
      <c r="R645" s="349">
        <f t="shared" si="10"/>
        <v>10</v>
      </c>
      <c r="S645" s="352"/>
      <c r="T645" s="352"/>
      <c r="U645" s="352"/>
      <c r="V645" s="353"/>
      <c r="W645" s="352"/>
      <c r="X645" s="176"/>
      <c r="Y645" s="176"/>
      <c r="Z645" s="352"/>
      <c r="AA645" s="352"/>
      <c r="AB645" s="352"/>
      <c r="AC645" s="352"/>
      <c r="AD645" s="352"/>
    </row>
    <row r="646" spans="1:30" ht="153.80000000000001" hidden="1" x14ac:dyDescent="0.35">
      <c r="A646" s="349">
        <v>645</v>
      </c>
      <c r="B646" s="352" t="s">
        <v>3160</v>
      </c>
      <c r="C646" s="351" t="s">
        <v>783</v>
      </c>
      <c r="D646" s="352" t="s">
        <v>783</v>
      </c>
      <c r="E646" s="352" t="s">
        <v>1999</v>
      </c>
      <c r="F646" s="353">
        <v>0.9476</v>
      </c>
      <c r="G646" s="352" t="s">
        <v>967</v>
      </c>
      <c r="H646" s="176" t="s">
        <v>2702</v>
      </c>
      <c r="I646" s="176" t="s">
        <v>4753</v>
      </c>
      <c r="J646" s="352" t="s">
        <v>968</v>
      </c>
      <c r="K646" s="352">
        <v>10</v>
      </c>
      <c r="L646" s="352" t="s">
        <v>969</v>
      </c>
      <c r="M646" s="352"/>
      <c r="N646" s="352"/>
      <c r="O646" s="351">
        <v>10</v>
      </c>
      <c r="P646" s="349" t="s">
        <v>1836</v>
      </c>
      <c r="R646" s="349">
        <f t="shared" si="10"/>
        <v>10</v>
      </c>
      <c r="S646" s="352"/>
      <c r="T646" s="352"/>
      <c r="U646" s="352"/>
      <c r="V646" s="353"/>
      <c r="W646" s="352"/>
      <c r="X646" s="176"/>
      <c r="Y646" s="176"/>
      <c r="Z646" s="352"/>
      <c r="AA646" s="352"/>
      <c r="AB646" s="352"/>
      <c r="AC646" s="351"/>
      <c r="AD646" s="351"/>
    </row>
    <row r="647" spans="1:30" ht="153.80000000000001" hidden="1" x14ac:dyDescent="0.35">
      <c r="A647" s="349">
        <v>646</v>
      </c>
      <c r="B647" s="352" t="s">
        <v>3160</v>
      </c>
      <c r="C647" s="351" t="s">
        <v>783</v>
      </c>
      <c r="D647" s="352" t="s">
        <v>783</v>
      </c>
      <c r="E647" s="352" t="s">
        <v>1999</v>
      </c>
      <c r="F647" s="353">
        <v>1.4543999999999999</v>
      </c>
      <c r="G647" s="352" t="s">
        <v>967</v>
      </c>
      <c r="H647" s="176" t="s">
        <v>2702</v>
      </c>
      <c r="I647" s="176" t="s">
        <v>4753</v>
      </c>
      <c r="J647" s="352" t="s">
        <v>968</v>
      </c>
      <c r="K647" s="352">
        <v>30</v>
      </c>
      <c r="L647" s="352" t="s">
        <v>969</v>
      </c>
      <c r="M647" s="352"/>
      <c r="N647" s="352"/>
      <c r="O647" s="351">
        <v>30</v>
      </c>
      <c r="P647" s="349" t="s">
        <v>1836</v>
      </c>
      <c r="R647" s="349">
        <f t="shared" si="10"/>
        <v>10</v>
      </c>
      <c r="S647" s="352"/>
      <c r="T647" s="352"/>
      <c r="U647" s="352"/>
      <c r="V647" s="353"/>
      <c r="W647" s="352"/>
      <c r="X647" s="176"/>
      <c r="Y647" s="176"/>
      <c r="Z647" s="352"/>
      <c r="AA647" s="351"/>
      <c r="AB647" s="351"/>
      <c r="AC647" s="351"/>
      <c r="AD647" s="351"/>
    </row>
    <row r="648" spans="1:30" ht="153.80000000000001" hidden="1" x14ac:dyDescent="0.35">
      <c r="A648" s="349">
        <v>647</v>
      </c>
      <c r="B648" s="352" t="s">
        <v>3160</v>
      </c>
      <c r="C648" s="351" t="s">
        <v>783</v>
      </c>
      <c r="D648" s="352" t="s">
        <v>783</v>
      </c>
      <c r="E648" s="352" t="s">
        <v>1999</v>
      </c>
      <c r="F648" s="353">
        <v>1.6969000000000001</v>
      </c>
      <c r="G648" s="352" t="s">
        <v>967</v>
      </c>
      <c r="H648" s="176" t="s">
        <v>2702</v>
      </c>
      <c r="I648" s="176" t="s">
        <v>4753</v>
      </c>
      <c r="J648" s="352" t="s">
        <v>968</v>
      </c>
      <c r="K648" s="352">
        <v>60</v>
      </c>
      <c r="L648" s="352" t="s">
        <v>969</v>
      </c>
      <c r="M648" s="352"/>
      <c r="N648" s="352"/>
      <c r="O648" s="351">
        <v>60</v>
      </c>
      <c r="P648" s="349" t="s">
        <v>1836</v>
      </c>
      <c r="R648" s="349">
        <f t="shared" si="10"/>
        <v>10</v>
      </c>
      <c r="S648" s="352"/>
      <c r="T648" s="352"/>
      <c r="U648" s="352"/>
      <c r="V648" s="353"/>
      <c r="W648" s="352"/>
      <c r="X648" s="176"/>
      <c r="Y648" s="176"/>
      <c r="Z648" s="352"/>
      <c r="AA648" s="352"/>
      <c r="AB648" s="352"/>
      <c r="AC648" s="351"/>
      <c r="AD648" s="351"/>
    </row>
    <row r="649" spans="1:30" ht="166.65" hidden="1" x14ac:dyDescent="0.35">
      <c r="A649" s="349">
        <v>648</v>
      </c>
      <c r="B649" s="352" t="s">
        <v>2854</v>
      </c>
      <c r="C649" s="351" t="s">
        <v>2964</v>
      </c>
      <c r="D649" s="352" t="s">
        <v>2964</v>
      </c>
      <c r="E649" s="352" t="s">
        <v>827</v>
      </c>
      <c r="F649" s="353">
        <v>1.25</v>
      </c>
      <c r="G649" s="352" t="s">
        <v>1107</v>
      </c>
      <c r="H649" s="176" t="s">
        <v>4613</v>
      </c>
      <c r="I649" s="176" t="s">
        <v>3116</v>
      </c>
      <c r="J649" s="352" t="s">
        <v>828</v>
      </c>
      <c r="K649" s="352">
        <v>40</v>
      </c>
      <c r="L649" s="352" t="s">
        <v>1116</v>
      </c>
      <c r="M649" s="352">
        <v>5</v>
      </c>
      <c r="N649" s="352" t="s">
        <v>1109</v>
      </c>
      <c r="O649" s="351">
        <v>40</v>
      </c>
      <c r="P649" s="349" t="s">
        <v>1836</v>
      </c>
      <c r="R649" s="349">
        <f t="shared" si="10"/>
        <v>8</v>
      </c>
      <c r="S649" s="352"/>
      <c r="T649" s="352"/>
      <c r="U649" s="352"/>
      <c r="V649" s="353"/>
      <c r="W649" s="352"/>
      <c r="X649" s="176"/>
      <c r="Y649" s="176"/>
      <c r="Z649" s="352"/>
      <c r="AA649" s="352"/>
      <c r="AB649" s="352"/>
      <c r="AC649" s="351"/>
      <c r="AD649" s="351"/>
    </row>
    <row r="650" spans="1:30" ht="166.65" hidden="1" x14ac:dyDescent="0.35">
      <c r="A650" s="349">
        <v>649</v>
      </c>
      <c r="B650" s="352" t="s">
        <v>2854</v>
      </c>
      <c r="C650" s="351" t="s">
        <v>4984</v>
      </c>
      <c r="D650" s="352" t="s">
        <v>2964</v>
      </c>
      <c r="E650" s="352" t="s">
        <v>827</v>
      </c>
      <c r="F650" s="353">
        <v>1.25</v>
      </c>
      <c r="G650" s="352" t="s">
        <v>1107</v>
      </c>
      <c r="H650" s="176" t="s">
        <v>4613</v>
      </c>
      <c r="I650" s="176" t="s">
        <v>3116</v>
      </c>
      <c r="J650" s="352" t="s">
        <v>828</v>
      </c>
      <c r="K650" s="352">
        <v>40</v>
      </c>
      <c r="L650" s="352" t="s">
        <v>1116</v>
      </c>
      <c r="M650" s="351">
        <v>5</v>
      </c>
      <c r="N650" s="351" t="s">
        <v>1109</v>
      </c>
      <c r="O650" s="351">
        <v>40</v>
      </c>
      <c r="P650" s="349" t="s">
        <v>1836</v>
      </c>
      <c r="R650" s="349">
        <f t="shared" si="10"/>
        <v>8</v>
      </c>
      <c r="S650" s="352"/>
      <c r="T650" s="352"/>
      <c r="U650" s="352"/>
      <c r="V650" s="353"/>
      <c r="W650" s="352"/>
      <c r="X650" s="176"/>
      <c r="Y650" s="176"/>
      <c r="Z650" s="352"/>
      <c r="AA650" s="352"/>
      <c r="AB650" s="352"/>
      <c r="AC650" s="352"/>
      <c r="AD650" s="352"/>
    </row>
    <row r="651" spans="1:30" ht="102.55" hidden="1" x14ac:dyDescent="0.35">
      <c r="A651" s="349">
        <v>650</v>
      </c>
      <c r="B651" s="352" t="s">
        <v>785</v>
      </c>
      <c r="C651" s="351" t="s">
        <v>4985</v>
      </c>
      <c r="D651" s="352" t="s">
        <v>4172</v>
      </c>
      <c r="E651" s="352" t="s">
        <v>1106</v>
      </c>
      <c r="F651" s="353">
        <v>183.15</v>
      </c>
      <c r="G651" s="352" t="s">
        <v>1107</v>
      </c>
      <c r="H651" s="176" t="s">
        <v>353</v>
      </c>
      <c r="I651" s="176" t="s">
        <v>4760</v>
      </c>
      <c r="J651" s="352" t="s">
        <v>1108</v>
      </c>
      <c r="K651" s="352">
        <v>2</v>
      </c>
      <c r="L651" s="352" t="s">
        <v>1116</v>
      </c>
      <c r="M651" s="352">
        <v>500</v>
      </c>
      <c r="N651" s="352" t="s">
        <v>1109</v>
      </c>
      <c r="O651" s="351">
        <v>2</v>
      </c>
      <c r="P651" s="349" t="s">
        <v>1836</v>
      </c>
      <c r="R651" s="349">
        <f t="shared" si="10"/>
        <v>8</v>
      </c>
      <c r="S651" s="352"/>
      <c r="T651" s="352"/>
      <c r="U651" s="352"/>
      <c r="V651" s="353"/>
      <c r="W651" s="352"/>
      <c r="X651" s="176"/>
      <c r="Y651" s="176"/>
      <c r="Z651" s="352"/>
      <c r="AA651" s="352"/>
      <c r="AB651" s="352"/>
      <c r="AC651" s="352"/>
      <c r="AD651" s="352"/>
    </row>
    <row r="652" spans="1:30" ht="102.55" hidden="1" x14ac:dyDescent="0.35">
      <c r="A652" s="349">
        <v>651</v>
      </c>
      <c r="B652" s="352" t="s">
        <v>785</v>
      </c>
      <c r="C652" s="351" t="s">
        <v>4985</v>
      </c>
      <c r="D652" s="352" t="s">
        <v>4172</v>
      </c>
      <c r="E652" s="352" t="s">
        <v>1788</v>
      </c>
      <c r="F652" s="353">
        <v>99.17</v>
      </c>
      <c r="G652" s="352" t="s">
        <v>2126</v>
      </c>
      <c r="H652" s="176" t="s">
        <v>354</v>
      </c>
      <c r="I652" s="176" t="s">
        <v>4760</v>
      </c>
      <c r="J652" s="352" t="s">
        <v>3579</v>
      </c>
      <c r="K652" s="352">
        <v>2</v>
      </c>
      <c r="L652" s="352" t="s">
        <v>1116</v>
      </c>
      <c r="M652" s="352">
        <v>250</v>
      </c>
      <c r="N652" s="352" t="s">
        <v>1109</v>
      </c>
      <c r="O652" s="351">
        <v>2</v>
      </c>
      <c r="P652" s="349" t="s">
        <v>1836</v>
      </c>
      <c r="R652" s="349">
        <f t="shared" si="10"/>
        <v>8</v>
      </c>
      <c r="S652" s="352"/>
      <c r="T652" s="352"/>
      <c r="U652" s="352"/>
      <c r="V652" s="353"/>
      <c r="W652" s="352"/>
      <c r="X652" s="176"/>
      <c r="Y652" s="176"/>
      <c r="Z652" s="352"/>
      <c r="AA652" s="352"/>
      <c r="AB652" s="352"/>
      <c r="AC652" s="352"/>
      <c r="AD652" s="352"/>
    </row>
    <row r="653" spans="1:30" ht="282" hidden="1" x14ac:dyDescent="0.35">
      <c r="A653" s="349">
        <v>652</v>
      </c>
      <c r="B653" s="352" t="s">
        <v>1073</v>
      </c>
      <c r="C653" s="351" t="s">
        <v>4986</v>
      </c>
      <c r="D653" s="352" t="s">
        <v>3517</v>
      </c>
      <c r="E653" s="352" t="s">
        <v>2857</v>
      </c>
      <c r="F653" s="353">
        <v>2.64</v>
      </c>
      <c r="G653" s="352" t="s">
        <v>1107</v>
      </c>
      <c r="H653" s="176" t="s">
        <v>895</v>
      </c>
      <c r="I653" s="176" t="s">
        <v>5079</v>
      </c>
      <c r="J653" s="352" t="s">
        <v>828</v>
      </c>
      <c r="K653" s="352">
        <v>5</v>
      </c>
      <c r="L653" s="352" t="s">
        <v>1116</v>
      </c>
      <c r="M653" s="352">
        <v>10</v>
      </c>
      <c r="N653" s="352" t="s">
        <v>1109</v>
      </c>
      <c r="O653" s="351">
        <v>5</v>
      </c>
      <c r="P653" s="349" t="s">
        <v>1836</v>
      </c>
      <c r="R653" s="349">
        <f t="shared" si="10"/>
        <v>9</v>
      </c>
      <c r="S653" s="352"/>
      <c r="T653" s="352"/>
      <c r="U653" s="352"/>
      <c r="V653" s="353"/>
      <c r="W653" s="352"/>
      <c r="X653" s="176"/>
      <c r="Y653" s="176"/>
      <c r="Z653" s="352"/>
      <c r="AA653" s="352"/>
      <c r="AB653" s="352"/>
      <c r="AC653" s="351"/>
      <c r="AD653" s="351"/>
    </row>
    <row r="654" spans="1:30" ht="115.35" hidden="1" x14ac:dyDescent="0.35">
      <c r="A654" s="349">
        <v>653</v>
      </c>
      <c r="B654" s="352" t="s">
        <v>1787</v>
      </c>
      <c r="C654" s="351" t="s">
        <v>4986</v>
      </c>
      <c r="D654" s="352" t="s">
        <v>3517</v>
      </c>
      <c r="E654" s="352" t="s">
        <v>2857</v>
      </c>
      <c r="F654" s="353">
        <v>2.64</v>
      </c>
      <c r="G654" s="352" t="s">
        <v>1107</v>
      </c>
      <c r="H654" s="176" t="s">
        <v>2333</v>
      </c>
      <c r="I654" s="176" t="s">
        <v>427</v>
      </c>
      <c r="J654" s="352" t="s">
        <v>828</v>
      </c>
      <c r="K654" s="352">
        <v>5</v>
      </c>
      <c r="L654" s="352" t="s">
        <v>1116</v>
      </c>
      <c r="M654" s="352">
        <v>10</v>
      </c>
      <c r="N654" s="352" t="s">
        <v>1109</v>
      </c>
      <c r="O654" s="351">
        <v>5</v>
      </c>
      <c r="P654" s="349" t="s">
        <v>1836</v>
      </c>
      <c r="R654" s="349">
        <f t="shared" si="10"/>
        <v>9</v>
      </c>
      <c r="S654" s="352"/>
      <c r="T654" s="352"/>
      <c r="U654" s="352"/>
      <c r="V654" s="353"/>
      <c r="W654" s="352"/>
      <c r="X654" s="176"/>
      <c r="Y654" s="176"/>
      <c r="Z654" s="352"/>
      <c r="AA654" s="352"/>
      <c r="AB654" s="352"/>
      <c r="AC654" s="351"/>
      <c r="AD654" s="351"/>
    </row>
    <row r="655" spans="1:30" ht="282" hidden="1" x14ac:dyDescent="0.35">
      <c r="A655" s="349">
        <v>654</v>
      </c>
      <c r="B655" s="352" t="s">
        <v>1073</v>
      </c>
      <c r="C655" s="351" t="s">
        <v>4986</v>
      </c>
      <c r="D655" s="352" t="s">
        <v>3517</v>
      </c>
      <c r="E655" s="352" t="s">
        <v>1991</v>
      </c>
      <c r="F655" s="353">
        <v>1.59</v>
      </c>
      <c r="G655" s="352" t="s">
        <v>1107</v>
      </c>
      <c r="H655" s="176" t="s">
        <v>895</v>
      </c>
      <c r="I655" s="176" t="s">
        <v>5079</v>
      </c>
      <c r="J655" s="352" t="s">
        <v>828</v>
      </c>
      <c r="K655" s="352">
        <v>5</v>
      </c>
      <c r="L655" s="352" t="s">
        <v>1116</v>
      </c>
      <c r="M655" s="352">
        <v>3</v>
      </c>
      <c r="N655" s="352" t="s">
        <v>1109</v>
      </c>
      <c r="O655" s="351">
        <v>5</v>
      </c>
      <c r="P655" s="349" t="s">
        <v>1836</v>
      </c>
      <c r="R655" s="349">
        <f t="shared" si="10"/>
        <v>9</v>
      </c>
      <c r="S655" s="352"/>
      <c r="T655" s="352"/>
      <c r="U655" s="352"/>
      <c r="V655" s="353"/>
      <c r="W655" s="352"/>
      <c r="X655" s="176"/>
      <c r="Y655" s="176"/>
      <c r="Z655" s="352"/>
      <c r="AA655" s="352"/>
      <c r="AB655" s="352"/>
      <c r="AC655" s="351"/>
      <c r="AD655" s="351"/>
    </row>
    <row r="656" spans="1:30" ht="115.35" hidden="1" x14ac:dyDescent="0.35">
      <c r="A656" s="349">
        <v>655</v>
      </c>
      <c r="B656" s="352" t="s">
        <v>1787</v>
      </c>
      <c r="C656" s="351" t="s">
        <v>4986</v>
      </c>
      <c r="D656" s="352" t="s">
        <v>3517</v>
      </c>
      <c r="E656" s="352" t="s">
        <v>1991</v>
      </c>
      <c r="F656" s="353">
        <v>1.61</v>
      </c>
      <c r="G656" s="352" t="s">
        <v>1107</v>
      </c>
      <c r="H656" s="176" t="s">
        <v>2333</v>
      </c>
      <c r="I656" s="176" t="s">
        <v>427</v>
      </c>
      <c r="J656" s="352" t="s">
        <v>828</v>
      </c>
      <c r="K656" s="352">
        <v>5</v>
      </c>
      <c r="L656" s="352" t="s">
        <v>1116</v>
      </c>
      <c r="M656" s="352">
        <v>3</v>
      </c>
      <c r="N656" s="352" t="s">
        <v>1109</v>
      </c>
      <c r="O656" s="351">
        <v>5</v>
      </c>
      <c r="P656" s="349" t="s">
        <v>1836</v>
      </c>
      <c r="R656" s="349">
        <f t="shared" si="10"/>
        <v>9</v>
      </c>
      <c r="S656" s="352"/>
      <c r="T656" s="352"/>
      <c r="U656" s="352"/>
      <c r="V656" s="353"/>
      <c r="W656" s="352"/>
      <c r="X656" s="176"/>
      <c r="Y656" s="176"/>
      <c r="Z656" s="352"/>
      <c r="AA656" s="352"/>
      <c r="AB656" s="352"/>
      <c r="AC656" s="351"/>
      <c r="AD656" s="351"/>
    </row>
    <row r="657" spans="1:30" ht="205.1" hidden="1" x14ac:dyDescent="0.35">
      <c r="A657" s="349">
        <v>656</v>
      </c>
      <c r="B657" s="352" t="s">
        <v>1073</v>
      </c>
      <c r="C657" s="351" t="s">
        <v>4986</v>
      </c>
      <c r="D657" s="352" t="s">
        <v>3517</v>
      </c>
      <c r="E657" s="352" t="s">
        <v>1995</v>
      </c>
      <c r="F657" s="353">
        <v>0.45</v>
      </c>
      <c r="G657" s="352" t="s">
        <v>2126</v>
      </c>
      <c r="H657" s="176" t="s">
        <v>2735</v>
      </c>
      <c r="I657" s="176" t="s">
        <v>5079</v>
      </c>
      <c r="J657" s="352" t="s">
        <v>3580</v>
      </c>
      <c r="K657" s="352">
        <v>15</v>
      </c>
      <c r="L657" s="352" t="s">
        <v>3581</v>
      </c>
      <c r="M657" s="352"/>
      <c r="N657" s="352"/>
      <c r="O657" s="351">
        <v>15</v>
      </c>
      <c r="P657" s="349" t="s">
        <v>1836</v>
      </c>
      <c r="R657" s="349">
        <f t="shared" si="10"/>
        <v>9</v>
      </c>
      <c r="S657" s="352"/>
      <c r="T657" s="352"/>
      <c r="U657" s="352"/>
      <c r="V657" s="353"/>
      <c r="W657" s="352"/>
      <c r="X657" s="176"/>
      <c r="Y657" s="176"/>
      <c r="Z657" s="352"/>
      <c r="AA657" s="352"/>
      <c r="AB657" s="352"/>
      <c r="AC657" s="351"/>
      <c r="AD657" s="351"/>
    </row>
    <row r="658" spans="1:30" ht="51.3" hidden="1" x14ac:dyDescent="0.35">
      <c r="A658" s="349">
        <v>657</v>
      </c>
      <c r="B658" s="352" t="s">
        <v>785</v>
      </c>
      <c r="C658" s="351" t="s">
        <v>3786</v>
      </c>
      <c r="D658" s="352" t="s">
        <v>1408</v>
      </c>
      <c r="E658" s="352" t="s">
        <v>1008</v>
      </c>
      <c r="F658" s="353">
        <v>52.271999999999998</v>
      </c>
      <c r="G658" s="352" t="s">
        <v>3034</v>
      </c>
      <c r="H658" s="37" t="s">
        <v>355</v>
      </c>
      <c r="I658" s="176" t="s">
        <v>356</v>
      </c>
      <c r="J658" s="352" t="s">
        <v>3035</v>
      </c>
      <c r="K658" s="352">
        <v>1000</v>
      </c>
      <c r="L658" s="352" t="s">
        <v>732</v>
      </c>
      <c r="M658" s="351">
        <v>2.5</v>
      </c>
      <c r="N658" s="351" t="s">
        <v>1109</v>
      </c>
      <c r="O658" s="351">
        <v>1000</v>
      </c>
      <c r="P658" s="349" t="s">
        <v>2030</v>
      </c>
      <c r="R658" s="349">
        <f t="shared" si="10"/>
        <v>12</v>
      </c>
      <c r="S658" s="352"/>
      <c r="T658" s="352"/>
      <c r="U658" s="352"/>
      <c r="V658" s="353"/>
      <c r="W658" s="352"/>
      <c r="X658" s="176"/>
      <c r="Y658" s="176"/>
      <c r="Z658" s="352"/>
      <c r="AA658" s="351"/>
      <c r="AB658" s="351"/>
      <c r="AC658" s="351"/>
      <c r="AD658" s="351"/>
    </row>
    <row r="659" spans="1:30" ht="102.55" hidden="1" x14ac:dyDescent="0.35">
      <c r="A659" s="349">
        <v>658</v>
      </c>
      <c r="B659" s="352" t="s">
        <v>785</v>
      </c>
      <c r="C659" s="351" t="s">
        <v>4172</v>
      </c>
      <c r="D659" s="352" t="s">
        <v>4172</v>
      </c>
      <c r="E659" s="352" t="s">
        <v>1106</v>
      </c>
      <c r="F659" s="353">
        <v>183.15</v>
      </c>
      <c r="G659" s="352" t="s">
        <v>1107</v>
      </c>
      <c r="H659" s="37" t="s">
        <v>353</v>
      </c>
      <c r="I659" s="176" t="s">
        <v>4760</v>
      </c>
      <c r="J659" s="352" t="s">
        <v>1108</v>
      </c>
      <c r="K659" s="352">
        <v>2</v>
      </c>
      <c r="L659" s="352" t="s">
        <v>1116</v>
      </c>
      <c r="M659" s="351">
        <v>500</v>
      </c>
      <c r="N659" s="351" t="s">
        <v>1109</v>
      </c>
      <c r="O659" s="351">
        <v>2</v>
      </c>
      <c r="P659" s="349" t="s">
        <v>1836</v>
      </c>
      <c r="R659" s="349">
        <f t="shared" si="10"/>
        <v>8</v>
      </c>
      <c r="S659" s="352"/>
      <c r="T659" s="352"/>
      <c r="U659" s="352"/>
      <c r="V659" s="353"/>
      <c r="W659" s="352"/>
      <c r="X659" s="176"/>
      <c r="Y659" s="176"/>
      <c r="Z659" s="352"/>
      <c r="AA659" s="352"/>
      <c r="AB659" s="352"/>
      <c r="AC659" s="352"/>
      <c r="AD659" s="352"/>
    </row>
    <row r="660" spans="1:30" ht="102.55" hidden="1" x14ac:dyDescent="0.35">
      <c r="A660" s="349">
        <v>659</v>
      </c>
      <c r="B660" s="352" t="s">
        <v>785</v>
      </c>
      <c r="C660" s="351" t="s">
        <v>4172</v>
      </c>
      <c r="D660" s="352" t="s">
        <v>4172</v>
      </c>
      <c r="E660" s="352" t="s">
        <v>1788</v>
      </c>
      <c r="F660" s="353">
        <v>99.17</v>
      </c>
      <c r="G660" s="352" t="s">
        <v>2126</v>
      </c>
      <c r="H660" s="176" t="s">
        <v>354</v>
      </c>
      <c r="I660" s="176" t="s">
        <v>4760</v>
      </c>
      <c r="J660" s="352" t="s">
        <v>3579</v>
      </c>
      <c r="K660" s="352">
        <v>2</v>
      </c>
      <c r="L660" s="352" t="s">
        <v>1116</v>
      </c>
      <c r="M660" s="351">
        <v>250</v>
      </c>
      <c r="N660" s="351" t="s">
        <v>1109</v>
      </c>
      <c r="O660" s="351">
        <v>2</v>
      </c>
      <c r="P660" s="349" t="s">
        <v>1836</v>
      </c>
      <c r="R660" s="349">
        <f t="shared" si="10"/>
        <v>8</v>
      </c>
      <c r="S660" s="352"/>
      <c r="T660" s="352"/>
      <c r="U660" s="352"/>
      <c r="V660" s="353"/>
      <c r="W660" s="352"/>
      <c r="X660" s="176"/>
      <c r="Y660" s="176"/>
      <c r="Z660" s="352"/>
      <c r="AA660" s="352"/>
      <c r="AB660" s="352"/>
      <c r="AC660" s="351"/>
      <c r="AD660" s="351"/>
    </row>
    <row r="661" spans="1:30" ht="64.099999999999994" hidden="1" x14ac:dyDescent="0.35">
      <c r="A661" s="349">
        <v>660</v>
      </c>
      <c r="B661" s="352" t="s">
        <v>1080</v>
      </c>
      <c r="C661" s="351" t="s">
        <v>3003</v>
      </c>
      <c r="D661" s="352" t="s">
        <v>3003</v>
      </c>
      <c r="E661" s="352" t="s">
        <v>1997</v>
      </c>
      <c r="F661" s="353">
        <v>8.0500000000000007</v>
      </c>
      <c r="G661" s="352" t="s">
        <v>1107</v>
      </c>
      <c r="H661" s="176"/>
      <c r="I661" s="176" t="s">
        <v>4097</v>
      </c>
      <c r="J661" s="352" t="s">
        <v>1115</v>
      </c>
      <c r="K661" s="352">
        <v>10</v>
      </c>
      <c r="L661" s="352" t="s">
        <v>1464</v>
      </c>
      <c r="M661" s="352"/>
      <c r="N661" s="352"/>
      <c r="O661" s="351">
        <v>10</v>
      </c>
      <c r="P661" s="349" t="s">
        <v>1836</v>
      </c>
      <c r="R661" s="349">
        <f t="shared" si="10"/>
        <v>12</v>
      </c>
      <c r="S661" s="352"/>
      <c r="T661" s="352"/>
      <c r="U661" s="352"/>
      <c r="V661" s="353"/>
      <c r="W661" s="352"/>
      <c r="X661" s="176"/>
      <c r="Y661" s="176"/>
      <c r="Z661" s="352"/>
      <c r="AA661" s="352"/>
      <c r="AB661" s="352"/>
      <c r="AC661" s="351"/>
      <c r="AD661" s="351"/>
    </row>
    <row r="662" spans="1:30" ht="64.099999999999994" hidden="1" x14ac:dyDescent="0.35">
      <c r="A662" s="349">
        <v>661</v>
      </c>
      <c r="B662" s="352" t="s">
        <v>1080</v>
      </c>
      <c r="C662" s="351" t="s">
        <v>3003</v>
      </c>
      <c r="D662" s="352" t="s">
        <v>3003</v>
      </c>
      <c r="E662" s="352" t="s">
        <v>1997</v>
      </c>
      <c r="F662" s="353">
        <v>40.702500000000001</v>
      </c>
      <c r="G662" s="352" t="s">
        <v>1107</v>
      </c>
      <c r="H662" s="176"/>
      <c r="I662" s="176" t="s">
        <v>4097</v>
      </c>
      <c r="J662" s="352" t="s">
        <v>1115</v>
      </c>
      <c r="K662" s="352">
        <v>50</v>
      </c>
      <c r="L662" s="352" t="s">
        <v>1464</v>
      </c>
      <c r="M662" s="351"/>
      <c r="N662" s="351"/>
      <c r="O662" s="351">
        <v>50</v>
      </c>
      <c r="P662" s="349" t="s">
        <v>1836</v>
      </c>
      <c r="R662" s="349">
        <f t="shared" si="10"/>
        <v>12</v>
      </c>
      <c r="S662" s="352"/>
      <c r="T662" s="352"/>
      <c r="U662" s="352"/>
      <c r="V662" s="353"/>
      <c r="W662" s="352"/>
      <c r="X662" s="176"/>
      <c r="Y662" s="176"/>
      <c r="Z662" s="352"/>
      <c r="AA662" s="352"/>
      <c r="AB662" s="352"/>
      <c r="AC662" s="352"/>
      <c r="AD662" s="352"/>
    </row>
    <row r="663" spans="1:30" ht="128.19999999999999" hidden="1" x14ac:dyDescent="0.35">
      <c r="A663" s="349">
        <v>662</v>
      </c>
      <c r="B663" s="352" t="s">
        <v>19</v>
      </c>
      <c r="C663" s="351" t="s">
        <v>3004</v>
      </c>
      <c r="D663" s="352" t="s">
        <v>3004</v>
      </c>
      <c r="E663" s="352" t="s">
        <v>1998</v>
      </c>
      <c r="F663" s="353">
        <v>0.77</v>
      </c>
      <c r="G663" s="352" t="s">
        <v>2126</v>
      </c>
      <c r="H663" s="176" t="s">
        <v>4649</v>
      </c>
      <c r="I663" s="176" t="s">
        <v>3317</v>
      </c>
      <c r="J663" s="352" t="s">
        <v>22</v>
      </c>
      <c r="K663" s="352">
        <v>150</v>
      </c>
      <c r="L663" s="352" t="s">
        <v>23</v>
      </c>
      <c r="M663" s="351"/>
      <c r="N663" s="351"/>
      <c r="O663" s="351">
        <v>150</v>
      </c>
      <c r="P663" s="349" t="s">
        <v>1836</v>
      </c>
      <c r="R663" s="349">
        <f t="shared" si="10"/>
        <v>15</v>
      </c>
      <c r="S663" s="352"/>
      <c r="T663" s="352"/>
      <c r="U663" s="352"/>
      <c r="V663" s="353"/>
      <c r="W663" s="352"/>
      <c r="X663" s="176"/>
      <c r="Y663" s="176"/>
      <c r="Z663" s="352"/>
      <c r="AA663" s="352"/>
      <c r="AB663" s="352"/>
      <c r="AC663" s="352"/>
      <c r="AD663" s="352"/>
    </row>
    <row r="664" spans="1:30" ht="89.75" hidden="1" x14ac:dyDescent="0.35">
      <c r="A664" s="349">
        <v>663</v>
      </c>
      <c r="B664" s="352" t="s">
        <v>1500</v>
      </c>
      <c r="C664" s="351" t="s">
        <v>4987</v>
      </c>
      <c r="D664" s="352" t="s">
        <v>674</v>
      </c>
      <c r="E664" s="352" t="s">
        <v>1788</v>
      </c>
      <c r="F664" s="351">
        <v>69.967799999999997</v>
      </c>
      <c r="G664" s="352" t="s">
        <v>2126</v>
      </c>
      <c r="H664" s="176" t="s">
        <v>512</v>
      </c>
      <c r="I664" s="37" t="s">
        <v>513</v>
      </c>
      <c r="J664" s="352" t="s">
        <v>3579</v>
      </c>
      <c r="K664" s="351">
        <v>1</v>
      </c>
      <c r="L664" s="351" t="s">
        <v>1116</v>
      </c>
      <c r="M664" s="351">
        <v>250</v>
      </c>
      <c r="N664" s="351" t="s">
        <v>1109</v>
      </c>
      <c r="O664" s="351">
        <v>1</v>
      </c>
      <c r="P664" s="349" t="s">
        <v>1836</v>
      </c>
      <c r="R664" s="349">
        <f t="shared" si="10"/>
        <v>11</v>
      </c>
      <c r="S664" s="352"/>
      <c r="T664" s="352"/>
      <c r="U664" s="352"/>
      <c r="V664" s="353"/>
      <c r="W664" s="352"/>
      <c r="X664" s="176"/>
      <c r="Y664" s="176"/>
      <c r="Z664" s="352"/>
      <c r="AA664" s="352"/>
      <c r="AB664" s="352"/>
      <c r="AC664" s="352"/>
      <c r="AD664" s="352"/>
    </row>
    <row r="665" spans="1:30" ht="89.75" hidden="1" x14ac:dyDescent="0.35">
      <c r="A665" s="349">
        <v>664</v>
      </c>
      <c r="B665" s="352" t="s">
        <v>1500</v>
      </c>
      <c r="C665" s="351" t="s">
        <v>4987</v>
      </c>
      <c r="D665" s="352" t="s">
        <v>674</v>
      </c>
      <c r="E665" s="352" t="s">
        <v>1995</v>
      </c>
      <c r="F665" s="353">
        <v>0.46279999999999999</v>
      </c>
      <c r="G665" s="352" t="s">
        <v>2126</v>
      </c>
      <c r="H665" s="176" t="s">
        <v>512</v>
      </c>
      <c r="I665" s="176" t="s">
        <v>513</v>
      </c>
      <c r="J665" s="352" t="s">
        <v>3580</v>
      </c>
      <c r="K665" s="352">
        <v>2.5</v>
      </c>
      <c r="L665" s="352" t="s">
        <v>3581</v>
      </c>
      <c r="M665" s="351"/>
      <c r="N665" s="351"/>
      <c r="O665" s="351">
        <v>2.5</v>
      </c>
      <c r="P665" s="349" t="s">
        <v>1836</v>
      </c>
      <c r="R665" s="349">
        <f t="shared" si="10"/>
        <v>11</v>
      </c>
      <c r="S665" s="352"/>
      <c r="T665" s="352"/>
      <c r="U665" s="352"/>
      <c r="V665" s="353"/>
      <c r="W665" s="352"/>
      <c r="X665" s="176"/>
      <c r="Y665" s="176"/>
      <c r="Z665" s="352"/>
      <c r="AA665" s="352"/>
      <c r="AB665" s="352"/>
      <c r="AC665" s="352"/>
      <c r="AD665" s="352"/>
    </row>
    <row r="666" spans="1:30" ht="89.75" hidden="1" x14ac:dyDescent="0.35">
      <c r="A666" s="349">
        <v>665</v>
      </c>
      <c r="B666" s="352" t="s">
        <v>1500</v>
      </c>
      <c r="C666" s="351" t="s">
        <v>4987</v>
      </c>
      <c r="D666" s="352" t="s">
        <v>674</v>
      </c>
      <c r="E666" s="352" t="s">
        <v>1995</v>
      </c>
      <c r="F666" s="353">
        <v>0.22040000000000001</v>
      </c>
      <c r="G666" s="352" t="s">
        <v>2126</v>
      </c>
      <c r="H666" s="176" t="s">
        <v>512</v>
      </c>
      <c r="I666" s="176" t="s">
        <v>513</v>
      </c>
      <c r="J666" s="352" t="s">
        <v>3580</v>
      </c>
      <c r="K666" s="352">
        <v>5</v>
      </c>
      <c r="L666" s="352" t="s">
        <v>3581</v>
      </c>
      <c r="M666" s="351"/>
      <c r="N666" s="351"/>
      <c r="O666" s="351">
        <v>5</v>
      </c>
      <c r="P666" s="349" t="s">
        <v>1836</v>
      </c>
      <c r="R666" s="349">
        <f t="shared" si="10"/>
        <v>11</v>
      </c>
      <c r="S666" s="352"/>
      <c r="T666" s="352"/>
      <c r="U666" s="352"/>
      <c r="V666" s="353"/>
      <c r="W666" s="352"/>
      <c r="X666" s="176"/>
      <c r="Y666" s="176"/>
      <c r="Z666" s="352"/>
      <c r="AA666" s="352"/>
      <c r="AB666" s="352"/>
      <c r="AC666" s="351"/>
      <c r="AD666" s="351"/>
    </row>
    <row r="667" spans="1:30" ht="38.450000000000003" hidden="1" x14ac:dyDescent="0.35">
      <c r="A667" s="349">
        <v>666</v>
      </c>
      <c r="B667" s="352" t="s">
        <v>314</v>
      </c>
      <c r="C667" s="351" t="s">
        <v>820</v>
      </c>
      <c r="D667" s="352" t="s">
        <v>1409</v>
      </c>
      <c r="E667" s="352" t="s">
        <v>2026</v>
      </c>
      <c r="F667" s="353"/>
      <c r="G667" s="352" t="s">
        <v>2384</v>
      </c>
      <c r="H667" s="176" t="s">
        <v>821</v>
      </c>
      <c r="I667" s="176"/>
      <c r="J667" s="352" t="s">
        <v>828</v>
      </c>
      <c r="K667" s="352"/>
      <c r="L667" s="352"/>
      <c r="M667" s="352"/>
      <c r="N667" s="352"/>
      <c r="O667" s="351">
        <v>0</v>
      </c>
      <c r="P667" s="349" t="s">
        <v>2313</v>
      </c>
      <c r="R667" s="349">
        <f t="shared" si="10"/>
        <v>10</v>
      </c>
      <c r="S667" s="352"/>
      <c r="T667" s="352"/>
      <c r="U667" s="352"/>
      <c r="V667" s="353"/>
      <c r="W667" s="352"/>
      <c r="X667" s="176"/>
      <c r="Y667" s="176"/>
      <c r="Z667" s="352"/>
      <c r="AA667" s="352"/>
      <c r="AB667" s="352"/>
      <c r="AC667" s="351"/>
      <c r="AD667" s="351"/>
    </row>
    <row r="668" spans="1:30" ht="64.099999999999994" hidden="1" x14ac:dyDescent="0.35">
      <c r="A668" s="349">
        <v>667</v>
      </c>
      <c r="B668" s="352" t="s">
        <v>965</v>
      </c>
      <c r="C668" s="351" t="s">
        <v>4988</v>
      </c>
      <c r="D668" s="352" t="s">
        <v>465</v>
      </c>
      <c r="E668" s="352" t="s">
        <v>2003</v>
      </c>
      <c r="F668" s="353">
        <v>0.05</v>
      </c>
      <c r="G668" s="352" t="s">
        <v>2126</v>
      </c>
      <c r="H668" s="176" t="s">
        <v>203</v>
      </c>
      <c r="I668" s="176" t="s">
        <v>4948</v>
      </c>
      <c r="J668" s="352" t="s">
        <v>966</v>
      </c>
      <c r="K668" s="351">
        <v>5</v>
      </c>
      <c r="L668" s="351" t="s">
        <v>3581</v>
      </c>
      <c r="M668" s="352"/>
      <c r="N668" s="352"/>
      <c r="O668" s="351">
        <v>5</v>
      </c>
      <c r="P668" s="349" t="s">
        <v>1836</v>
      </c>
      <c r="R668" s="349">
        <f t="shared" si="10"/>
        <v>9</v>
      </c>
      <c r="S668" s="352"/>
      <c r="T668" s="352"/>
      <c r="U668" s="352"/>
      <c r="V668" s="353"/>
      <c r="W668" s="352"/>
      <c r="X668" s="176"/>
      <c r="Y668" s="176"/>
      <c r="Z668" s="352"/>
      <c r="AA668" s="352"/>
      <c r="AB668" s="352"/>
      <c r="AC668" s="351"/>
      <c r="AD668" s="351"/>
    </row>
    <row r="669" spans="1:30" ht="64.099999999999994" hidden="1" x14ac:dyDescent="0.35">
      <c r="A669" s="349">
        <v>668</v>
      </c>
      <c r="B669" s="352" t="s">
        <v>965</v>
      </c>
      <c r="C669" s="351" t="s">
        <v>4988</v>
      </c>
      <c r="D669" s="352" t="s">
        <v>465</v>
      </c>
      <c r="E669" s="352" t="s">
        <v>1999</v>
      </c>
      <c r="F669" s="353">
        <v>0.15</v>
      </c>
      <c r="G669" s="352" t="s">
        <v>967</v>
      </c>
      <c r="H669" s="176" t="s">
        <v>1624</v>
      </c>
      <c r="I669" s="176" t="s">
        <v>4948</v>
      </c>
      <c r="J669" s="352" t="s">
        <v>968</v>
      </c>
      <c r="K669" s="351">
        <v>5</v>
      </c>
      <c r="L669" s="351" t="s">
        <v>969</v>
      </c>
      <c r="M669" s="352"/>
      <c r="N669" s="352"/>
      <c r="O669" s="351">
        <v>5</v>
      </c>
      <c r="P669" s="349" t="s">
        <v>1836</v>
      </c>
      <c r="R669" s="349">
        <f t="shared" si="10"/>
        <v>9</v>
      </c>
      <c r="S669" s="352"/>
      <c r="T669" s="352"/>
      <c r="U669" s="352"/>
      <c r="V669" s="353"/>
      <c r="W669" s="352"/>
      <c r="X669" s="176"/>
      <c r="Y669" s="176"/>
      <c r="Z669" s="352"/>
      <c r="AA669" s="352"/>
      <c r="AB669" s="352"/>
      <c r="AC669" s="351"/>
      <c r="AD669" s="351"/>
    </row>
    <row r="670" spans="1:30" ht="128.19999999999999" hidden="1" x14ac:dyDescent="0.35">
      <c r="A670" s="349">
        <v>669</v>
      </c>
      <c r="B670" s="352" t="s">
        <v>965</v>
      </c>
      <c r="C670" s="351" t="s">
        <v>4989</v>
      </c>
      <c r="D670" s="352" t="s">
        <v>676</v>
      </c>
      <c r="E670" s="352" t="s">
        <v>92</v>
      </c>
      <c r="F670" s="353">
        <v>3.3056000000000001</v>
      </c>
      <c r="G670" s="352" t="s">
        <v>2126</v>
      </c>
      <c r="H670" s="176" t="s">
        <v>1713</v>
      </c>
      <c r="I670" s="176" t="s">
        <v>4587</v>
      </c>
      <c r="J670" s="352" t="s">
        <v>3579</v>
      </c>
      <c r="K670" s="352">
        <v>667</v>
      </c>
      <c r="L670" s="352" t="s">
        <v>1116</v>
      </c>
      <c r="M670" s="351">
        <v>300</v>
      </c>
      <c r="N670" s="351" t="s">
        <v>1109</v>
      </c>
      <c r="O670" s="351">
        <v>667</v>
      </c>
      <c r="P670" s="349" t="s">
        <v>1836</v>
      </c>
      <c r="R670" s="349">
        <f t="shared" si="10"/>
        <v>9</v>
      </c>
      <c r="S670" s="352"/>
      <c r="T670" s="352"/>
      <c r="U670" s="352"/>
      <c r="V670" s="353"/>
      <c r="W670" s="352"/>
      <c r="X670" s="176"/>
      <c r="Y670" s="176"/>
      <c r="Z670" s="352"/>
      <c r="AA670" s="352"/>
      <c r="AB670" s="352"/>
      <c r="AC670" s="351"/>
      <c r="AD670" s="351"/>
    </row>
    <row r="671" spans="1:30" ht="25.65" hidden="1" x14ac:dyDescent="0.35">
      <c r="A671" s="349">
        <v>670</v>
      </c>
      <c r="B671" s="352" t="s">
        <v>1790</v>
      </c>
      <c r="C671" s="351" t="s">
        <v>4990</v>
      </c>
      <c r="D671" s="352" t="s">
        <v>4002</v>
      </c>
      <c r="E671" s="352" t="s">
        <v>1009</v>
      </c>
      <c r="F671" s="353">
        <v>6.99</v>
      </c>
      <c r="G671" s="352" t="s">
        <v>34</v>
      </c>
      <c r="H671" s="176" t="s">
        <v>3892</v>
      </c>
      <c r="I671" s="176" t="s">
        <v>3075</v>
      </c>
      <c r="J671" s="352" t="s">
        <v>35</v>
      </c>
      <c r="K671" s="352"/>
      <c r="L671" s="352"/>
      <c r="M671" s="352">
        <v>3.5</v>
      </c>
      <c r="N671" s="352" t="s">
        <v>1010</v>
      </c>
      <c r="O671" s="351">
        <v>0</v>
      </c>
      <c r="P671" s="349" t="s">
        <v>818</v>
      </c>
      <c r="R671" s="349">
        <f t="shared" si="10"/>
        <v>25</v>
      </c>
      <c r="S671" s="352"/>
      <c r="T671" s="352"/>
      <c r="U671" s="352"/>
      <c r="V671" s="353"/>
      <c r="W671" s="352"/>
      <c r="X671" s="176"/>
      <c r="Y671" s="176"/>
      <c r="Z671" s="352"/>
      <c r="AA671" s="352"/>
      <c r="AB671" s="352"/>
      <c r="AC671" s="351"/>
      <c r="AD671" s="351"/>
    </row>
    <row r="672" spans="1:30" ht="25.65" hidden="1" x14ac:dyDescent="0.35">
      <c r="A672" s="349">
        <v>671</v>
      </c>
      <c r="B672" s="352" t="s">
        <v>1790</v>
      </c>
      <c r="C672" s="351" t="s">
        <v>4990</v>
      </c>
      <c r="D672" s="352" t="s">
        <v>4002</v>
      </c>
      <c r="E672" s="352" t="s">
        <v>1009</v>
      </c>
      <c r="F672" s="353">
        <v>6.99</v>
      </c>
      <c r="G672" s="352" t="s">
        <v>34</v>
      </c>
      <c r="H672" s="176"/>
      <c r="I672" s="176" t="s">
        <v>3075</v>
      </c>
      <c r="J672" s="352" t="s">
        <v>35</v>
      </c>
      <c r="K672" s="352"/>
      <c r="L672" s="352"/>
      <c r="M672" s="352">
        <v>3.5</v>
      </c>
      <c r="N672" s="352" t="s">
        <v>1010</v>
      </c>
      <c r="O672" s="351">
        <v>0</v>
      </c>
      <c r="P672" s="349" t="s">
        <v>818</v>
      </c>
      <c r="R672" s="349">
        <f t="shared" si="10"/>
        <v>25</v>
      </c>
      <c r="S672" s="352"/>
      <c r="T672" s="352"/>
      <c r="U672" s="352"/>
      <c r="V672" s="353"/>
      <c r="W672" s="352"/>
      <c r="X672" s="176"/>
      <c r="Y672" s="176"/>
      <c r="Z672" s="352"/>
      <c r="AA672" s="352"/>
      <c r="AB672" s="352"/>
      <c r="AC672" s="351"/>
      <c r="AD672" s="351"/>
    </row>
    <row r="673" spans="1:30" ht="64.099999999999994" hidden="1" x14ac:dyDescent="0.35">
      <c r="A673" s="349">
        <v>672</v>
      </c>
      <c r="B673" s="352" t="s">
        <v>1463</v>
      </c>
      <c r="C673" s="351" t="s">
        <v>4991</v>
      </c>
      <c r="D673" s="352" t="s">
        <v>647</v>
      </c>
      <c r="E673" s="352" t="s">
        <v>1995</v>
      </c>
      <c r="F673" s="353">
        <v>0.3</v>
      </c>
      <c r="G673" s="352" t="s">
        <v>2126</v>
      </c>
      <c r="H673" s="176" t="s">
        <v>2145</v>
      </c>
      <c r="I673" s="176" t="s">
        <v>204</v>
      </c>
      <c r="J673" s="352" t="s">
        <v>3580</v>
      </c>
      <c r="K673" s="352">
        <v>50</v>
      </c>
      <c r="L673" s="352" t="s">
        <v>3581</v>
      </c>
      <c r="M673" s="352"/>
      <c r="N673" s="352"/>
      <c r="O673" s="351">
        <v>50</v>
      </c>
      <c r="P673" s="349" t="s">
        <v>1836</v>
      </c>
      <c r="R673" s="349">
        <f t="shared" si="10"/>
        <v>11</v>
      </c>
      <c r="S673" s="352"/>
      <c r="T673" s="352"/>
      <c r="U673" s="352"/>
      <c r="V673" s="353"/>
      <c r="W673" s="352"/>
      <c r="X673" s="176"/>
      <c r="Y673" s="176"/>
      <c r="Z673" s="352"/>
      <c r="AA673" s="352"/>
      <c r="AB673" s="352"/>
      <c r="AC673" s="351"/>
      <c r="AD673" s="351"/>
    </row>
    <row r="674" spans="1:30" ht="51.3" hidden="1" x14ac:dyDescent="0.35">
      <c r="A674" s="349">
        <v>673</v>
      </c>
      <c r="B674" s="352" t="s">
        <v>2854</v>
      </c>
      <c r="C674" s="351" t="s">
        <v>822</v>
      </c>
      <c r="D674" s="352" t="s">
        <v>822</v>
      </c>
      <c r="E674" s="352" t="s">
        <v>2855</v>
      </c>
      <c r="F674" s="353">
        <v>1.9613</v>
      </c>
      <c r="G674" s="352" t="s">
        <v>1107</v>
      </c>
      <c r="H674" s="176" t="s">
        <v>823</v>
      </c>
      <c r="I674" s="176" t="s">
        <v>3117</v>
      </c>
      <c r="J674" s="352" t="s">
        <v>828</v>
      </c>
      <c r="K674" s="352">
        <v>50</v>
      </c>
      <c r="L674" s="352" t="s">
        <v>1116</v>
      </c>
      <c r="M674" s="351">
        <v>1</v>
      </c>
      <c r="N674" s="351" t="s">
        <v>1109</v>
      </c>
      <c r="O674" s="351">
        <v>50</v>
      </c>
      <c r="P674" s="349" t="s">
        <v>1836</v>
      </c>
      <c r="R674" s="349">
        <f t="shared" si="10"/>
        <v>8</v>
      </c>
      <c r="S674" s="352"/>
      <c r="T674" s="352"/>
      <c r="U674" s="352"/>
      <c r="V674" s="353"/>
      <c r="W674" s="352"/>
      <c r="X674" s="176"/>
      <c r="Y674" s="176"/>
      <c r="Z674" s="352"/>
      <c r="AA674" s="352"/>
      <c r="AB674" s="352"/>
      <c r="AC674" s="351"/>
      <c r="AD674" s="351"/>
    </row>
    <row r="675" spans="1:30" ht="38.450000000000003" hidden="1" x14ac:dyDescent="0.35">
      <c r="A675" s="349">
        <v>674</v>
      </c>
      <c r="B675" s="352" t="s">
        <v>1792</v>
      </c>
      <c r="C675" s="351" t="s">
        <v>4992</v>
      </c>
      <c r="D675" s="352" t="s">
        <v>1338</v>
      </c>
      <c r="E675" s="352" t="s">
        <v>2389</v>
      </c>
      <c r="F675" s="353">
        <v>14.1478</v>
      </c>
      <c r="G675" s="352" t="s">
        <v>34</v>
      </c>
      <c r="H675" s="176" t="s">
        <v>1339</v>
      </c>
      <c r="I675" s="176" t="s">
        <v>2405</v>
      </c>
      <c r="J675" s="352" t="s">
        <v>2131</v>
      </c>
      <c r="K675" s="352">
        <v>1</v>
      </c>
      <c r="L675" s="352" t="s">
        <v>30</v>
      </c>
      <c r="M675" s="351">
        <v>30</v>
      </c>
      <c r="N675" s="351" t="s">
        <v>31</v>
      </c>
      <c r="O675" s="351">
        <v>1</v>
      </c>
      <c r="P675" s="349" t="s">
        <v>1836</v>
      </c>
      <c r="R675" s="349">
        <f t="shared" si="10"/>
        <v>10</v>
      </c>
      <c r="S675" s="352"/>
      <c r="T675" s="352"/>
      <c r="U675" s="352"/>
      <c r="V675" s="353"/>
      <c r="W675" s="352"/>
      <c r="X675" s="176"/>
      <c r="Y675" s="176"/>
      <c r="Z675" s="352"/>
      <c r="AA675" s="352"/>
      <c r="AB675" s="352"/>
      <c r="AC675" s="351"/>
      <c r="AD675" s="351"/>
    </row>
    <row r="676" spans="1:30" ht="153.80000000000001" hidden="1" x14ac:dyDescent="0.35">
      <c r="A676" s="349">
        <v>675</v>
      </c>
      <c r="B676" s="352" t="s">
        <v>807</v>
      </c>
      <c r="C676" s="351" t="s">
        <v>4993</v>
      </c>
      <c r="D676" s="352" t="s">
        <v>1666</v>
      </c>
      <c r="E676" s="352" t="s">
        <v>1011</v>
      </c>
      <c r="F676" s="353">
        <v>6.9</v>
      </c>
      <c r="G676" s="352" t="s">
        <v>34</v>
      </c>
      <c r="H676" s="176" t="s">
        <v>3972</v>
      </c>
      <c r="I676" s="176" t="s">
        <v>4830</v>
      </c>
      <c r="J676" s="352" t="s">
        <v>29</v>
      </c>
      <c r="K676" s="352">
        <v>2.5</v>
      </c>
      <c r="L676" s="352" t="s">
        <v>1324</v>
      </c>
      <c r="M676" s="351">
        <v>5</v>
      </c>
      <c r="N676" s="351" t="s">
        <v>31</v>
      </c>
      <c r="O676" s="351">
        <v>2.5</v>
      </c>
      <c r="P676" s="349" t="s">
        <v>1838</v>
      </c>
      <c r="R676" s="349">
        <f t="shared" si="10"/>
        <v>9</v>
      </c>
      <c r="S676" s="352"/>
      <c r="T676" s="352"/>
      <c r="U676" s="352"/>
      <c r="V676" s="353"/>
      <c r="W676" s="352"/>
      <c r="X676" s="176"/>
      <c r="Y676" s="176"/>
      <c r="Z676" s="352"/>
      <c r="AA676" s="352"/>
      <c r="AB676" s="352"/>
      <c r="AC676" s="351"/>
      <c r="AD676" s="351"/>
    </row>
    <row r="677" spans="1:30" ht="153.80000000000001" hidden="1" x14ac:dyDescent="0.35">
      <c r="A677" s="349">
        <v>676</v>
      </c>
      <c r="B677" s="352" t="s">
        <v>807</v>
      </c>
      <c r="C677" s="351" t="s">
        <v>4993</v>
      </c>
      <c r="D677" s="352" t="s">
        <v>1666</v>
      </c>
      <c r="E677" s="352" t="s">
        <v>2005</v>
      </c>
      <c r="F677" s="353">
        <v>3.45</v>
      </c>
      <c r="G677" s="352" t="s">
        <v>34</v>
      </c>
      <c r="H677" s="37" t="s">
        <v>3972</v>
      </c>
      <c r="I677" s="176" t="s">
        <v>4830</v>
      </c>
      <c r="J677" s="352" t="s">
        <v>1012</v>
      </c>
      <c r="K677" s="352">
        <v>25</v>
      </c>
      <c r="L677" s="352" t="s">
        <v>1013</v>
      </c>
      <c r="M677" s="351"/>
      <c r="N677" s="351"/>
      <c r="O677" s="351">
        <v>25</v>
      </c>
      <c r="P677" s="349" t="s">
        <v>1836</v>
      </c>
      <c r="R677" s="349">
        <f t="shared" si="10"/>
        <v>9</v>
      </c>
      <c r="S677" s="352"/>
      <c r="T677" s="352"/>
      <c r="U677" s="352"/>
      <c r="V677" s="353"/>
      <c r="W677" s="352"/>
      <c r="X677" s="176"/>
      <c r="Y677" s="176"/>
      <c r="Z677" s="352"/>
      <c r="AA677" s="352"/>
      <c r="AB677" s="352"/>
      <c r="AC677" s="351"/>
      <c r="AD677" s="351"/>
    </row>
    <row r="678" spans="1:30" ht="89.75" hidden="1" x14ac:dyDescent="0.35">
      <c r="A678" s="349">
        <v>677</v>
      </c>
      <c r="B678" s="352" t="s">
        <v>2694</v>
      </c>
      <c r="C678" s="351" t="s">
        <v>3315</v>
      </c>
      <c r="D678" s="352" t="s">
        <v>3315</v>
      </c>
      <c r="E678" s="352" t="s">
        <v>1995</v>
      </c>
      <c r="F678" s="353">
        <v>0.61699999999999999</v>
      </c>
      <c r="G678" s="352" t="s">
        <v>2126</v>
      </c>
      <c r="H678" s="37" t="s">
        <v>752</v>
      </c>
      <c r="I678" s="176" t="s">
        <v>753</v>
      </c>
      <c r="J678" s="352" t="s">
        <v>3580</v>
      </c>
      <c r="K678" s="352">
        <v>5</v>
      </c>
      <c r="L678" s="352" t="s">
        <v>3581</v>
      </c>
      <c r="M678" s="351"/>
      <c r="N678" s="351"/>
      <c r="O678" s="351">
        <v>5</v>
      </c>
      <c r="P678" s="349" t="s">
        <v>1836</v>
      </c>
      <c r="R678" s="349">
        <f t="shared" si="10"/>
        <v>9</v>
      </c>
      <c r="S678" s="352"/>
      <c r="T678" s="352"/>
      <c r="U678" s="352"/>
      <c r="V678" s="353"/>
      <c r="W678" s="352"/>
      <c r="X678" s="176"/>
      <c r="Y678" s="176"/>
      <c r="Z678" s="352"/>
      <c r="AA678" s="352"/>
      <c r="AB678" s="352"/>
      <c r="AC678" s="352"/>
      <c r="AD678" s="352"/>
    </row>
    <row r="679" spans="1:30" ht="89.75" hidden="1" x14ac:dyDescent="0.35">
      <c r="A679" s="349">
        <v>678</v>
      </c>
      <c r="B679" s="352" t="s">
        <v>2694</v>
      </c>
      <c r="C679" s="351" t="s">
        <v>3315</v>
      </c>
      <c r="D679" s="352" t="s">
        <v>3315</v>
      </c>
      <c r="E679" s="352" t="s">
        <v>1995</v>
      </c>
      <c r="F679" s="353">
        <v>1.32</v>
      </c>
      <c r="G679" s="352" t="s">
        <v>2126</v>
      </c>
      <c r="H679" s="37" t="s">
        <v>752</v>
      </c>
      <c r="I679" s="176" t="s">
        <v>753</v>
      </c>
      <c r="J679" s="352" t="s">
        <v>3580</v>
      </c>
      <c r="K679" s="352">
        <v>20</v>
      </c>
      <c r="L679" s="352" t="s">
        <v>3581</v>
      </c>
      <c r="M679" s="351"/>
      <c r="N679" s="351"/>
      <c r="O679" s="351">
        <v>20</v>
      </c>
      <c r="P679" s="349" t="s">
        <v>1836</v>
      </c>
      <c r="R679" s="349">
        <f t="shared" si="10"/>
        <v>9</v>
      </c>
      <c r="S679" s="352"/>
      <c r="T679" s="352"/>
      <c r="U679" s="352"/>
      <c r="V679" s="353"/>
      <c r="W679" s="352"/>
      <c r="X679" s="176"/>
      <c r="Y679" s="176"/>
      <c r="Z679" s="352"/>
      <c r="AA679" s="352"/>
      <c r="AB679" s="352"/>
      <c r="AC679" s="352"/>
      <c r="AD679" s="352"/>
    </row>
    <row r="680" spans="1:30" ht="64.099999999999994" hidden="1" x14ac:dyDescent="0.35">
      <c r="A680" s="349">
        <v>679</v>
      </c>
      <c r="B680" s="352" t="s">
        <v>1080</v>
      </c>
      <c r="C680" s="351" t="s">
        <v>4994</v>
      </c>
      <c r="D680" s="352" t="s">
        <v>1667</v>
      </c>
      <c r="E680" s="352" t="s">
        <v>1997</v>
      </c>
      <c r="F680" s="353">
        <v>4.1429999999999998</v>
      </c>
      <c r="G680" s="352" t="s">
        <v>1107</v>
      </c>
      <c r="H680" s="37"/>
      <c r="I680" s="176" t="s">
        <v>3970</v>
      </c>
      <c r="J680" s="352" t="s">
        <v>1115</v>
      </c>
      <c r="K680" s="352">
        <v>200</v>
      </c>
      <c r="L680" s="352" t="s">
        <v>1464</v>
      </c>
      <c r="M680" s="351"/>
      <c r="N680" s="351"/>
      <c r="O680" s="351">
        <v>200</v>
      </c>
      <c r="P680" s="349" t="s">
        <v>1836</v>
      </c>
      <c r="R680" s="349">
        <f t="shared" si="10"/>
        <v>14</v>
      </c>
      <c r="S680" s="352"/>
      <c r="T680" s="352"/>
      <c r="U680" s="352"/>
      <c r="V680" s="353"/>
      <c r="W680" s="352"/>
      <c r="X680" s="176"/>
      <c r="Y680" s="176"/>
      <c r="Z680" s="352"/>
      <c r="AA680" s="352"/>
      <c r="AB680" s="352"/>
      <c r="AC680" s="352"/>
      <c r="AD680" s="352"/>
    </row>
    <row r="681" spans="1:30" ht="64.099999999999994" hidden="1" x14ac:dyDescent="0.35">
      <c r="A681" s="349">
        <v>680</v>
      </c>
      <c r="B681" s="352" t="s">
        <v>1080</v>
      </c>
      <c r="C681" s="351" t="s">
        <v>4994</v>
      </c>
      <c r="D681" s="352" t="s">
        <v>1667</v>
      </c>
      <c r="E681" s="352" t="s">
        <v>1997</v>
      </c>
      <c r="F681" s="353">
        <v>9.3437000000000001</v>
      </c>
      <c r="G681" s="352" t="s">
        <v>1107</v>
      </c>
      <c r="H681" s="176"/>
      <c r="I681" s="176" t="s">
        <v>3970</v>
      </c>
      <c r="J681" s="352" t="s">
        <v>1115</v>
      </c>
      <c r="K681" s="352">
        <v>500</v>
      </c>
      <c r="L681" s="352" t="s">
        <v>1464</v>
      </c>
      <c r="M681" s="352"/>
      <c r="N681" s="352"/>
      <c r="O681" s="351">
        <v>500</v>
      </c>
      <c r="P681" s="349" t="s">
        <v>1836</v>
      </c>
      <c r="R681" s="349">
        <f t="shared" si="10"/>
        <v>14</v>
      </c>
      <c r="S681" s="352"/>
      <c r="T681" s="352"/>
      <c r="U681" s="352"/>
      <c r="V681" s="353"/>
      <c r="W681" s="352"/>
      <c r="X681" s="176"/>
      <c r="Y681" s="176"/>
      <c r="Z681" s="352"/>
      <c r="AA681" s="352"/>
      <c r="AB681" s="352"/>
      <c r="AC681" s="352"/>
      <c r="AD681" s="352"/>
    </row>
    <row r="682" spans="1:30" ht="64.099999999999994" hidden="1" x14ac:dyDescent="0.35">
      <c r="A682" s="349">
        <v>681</v>
      </c>
      <c r="B682" s="352" t="s">
        <v>1080</v>
      </c>
      <c r="C682" s="351" t="s">
        <v>4994</v>
      </c>
      <c r="D682" s="352" t="s">
        <v>1667</v>
      </c>
      <c r="E682" s="352" t="s">
        <v>1997</v>
      </c>
      <c r="F682" s="353">
        <v>18.951899999999998</v>
      </c>
      <c r="G682" s="352" t="s">
        <v>1107</v>
      </c>
      <c r="H682" s="176"/>
      <c r="I682" s="176" t="s">
        <v>3970</v>
      </c>
      <c r="J682" s="352" t="s">
        <v>1115</v>
      </c>
      <c r="K682" s="352">
        <v>1000</v>
      </c>
      <c r="L682" s="352" t="s">
        <v>1464</v>
      </c>
      <c r="M682" s="351"/>
      <c r="N682" s="351"/>
      <c r="O682" s="351">
        <v>1000</v>
      </c>
      <c r="P682" s="349" t="s">
        <v>1836</v>
      </c>
      <c r="R682" s="349">
        <f t="shared" si="10"/>
        <v>14</v>
      </c>
      <c r="S682" s="352"/>
      <c r="T682" s="352"/>
      <c r="U682" s="352"/>
      <c r="V682" s="353"/>
      <c r="W682" s="352"/>
      <c r="X682" s="176"/>
      <c r="Y682" s="176"/>
      <c r="Z682" s="352"/>
      <c r="AA682" s="352"/>
      <c r="AB682" s="352"/>
      <c r="AC682" s="352"/>
      <c r="AD682" s="352"/>
    </row>
    <row r="683" spans="1:30" ht="64.099999999999994" hidden="1" x14ac:dyDescent="0.35">
      <c r="A683" s="349">
        <v>682</v>
      </c>
      <c r="B683" s="352" t="s">
        <v>1080</v>
      </c>
      <c r="C683" s="351" t="s">
        <v>4994</v>
      </c>
      <c r="D683" s="352" t="s">
        <v>1667</v>
      </c>
      <c r="E683" s="352" t="s">
        <v>2002</v>
      </c>
      <c r="F683" s="353">
        <v>0.26</v>
      </c>
      <c r="G683" s="352" t="s">
        <v>2126</v>
      </c>
      <c r="H683" s="176"/>
      <c r="I683" s="176" t="s">
        <v>3970</v>
      </c>
      <c r="J683" s="352" t="s">
        <v>1502</v>
      </c>
      <c r="K683" s="352">
        <v>50</v>
      </c>
      <c r="L683" s="352" t="s">
        <v>1503</v>
      </c>
      <c r="M683" s="352"/>
      <c r="N683" s="352"/>
      <c r="O683" s="351">
        <v>50</v>
      </c>
      <c r="P683" s="349" t="s">
        <v>1836</v>
      </c>
      <c r="R683" s="349">
        <f t="shared" si="10"/>
        <v>14</v>
      </c>
      <c r="S683" s="352"/>
      <c r="T683" s="352"/>
      <c r="U683" s="352"/>
      <c r="V683" s="353"/>
      <c r="W683" s="352"/>
      <c r="X683" s="176"/>
      <c r="Y683" s="176"/>
      <c r="Z683" s="352"/>
      <c r="AA683" s="351"/>
      <c r="AB683" s="351"/>
      <c r="AC683" s="351"/>
      <c r="AD683" s="351"/>
    </row>
    <row r="684" spans="1:30" ht="89.75" hidden="1" x14ac:dyDescent="0.35">
      <c r="A684" s="349">
        <v>683</v>
      </c>
      <c r="B684" s="352" t="s">
        <v>314</v>
      </c>
      <c r="C684" s="351" t="s">
        <v>4995</v>
      </c>
      <c r="D684" s="352" t="s">
        <v>1419</v>
      </c>
      <c r="E684" s="352" t="s">
        <v>2855</v>
      </c>
      <c r="F684" s="353">
        <v>37.65</v>
      </c>
      <c r="G684" s="352" t="s">
        <v>2384</v>
      </c>
      <c r="H684" s="176" t="s">
        <v>2336</v>
      </c>
      <c r="I684" s="176" t="s">
        <v>2337</v>
      </c>
      <c r="J684" s="352" t="s">
        <v>828</v>
      </c>
      <c r="K684" s="352">
        <v>20</v>
      </c>
      <c r="L684" s="352" t="s">
        <v>4022</v>
      </c>
      <c r="M684" s="352">
        <v>1</v>
      </c>
      <c r="N684" s="352" t="s">
        <v>1109</v>
      </c>
      <c r="O684" s="351">
        <v>20</v>
      </c>
      <c r="P684" s="349" t="s">
        <v>1850</v>
      </c>
      <c r="R684" s="349">
        <f t="shared" si="10"/>
        <v>18</v>
      </c>
      <c r="S684" s="352"/>
      <c r="T684" s="352"/>
      <c r="U684" s="352"/>
      <c r="V684" s="353"/>
      <c r="W684" s="352"/>
      <c r="X684" s="176"/>
      <c r="Y684" s="176"/>
      <c r="Z684" s="352"/>
      <c r="AA684" s="351"/>
      <c r="AB684" s="351"/>
      <c r="AC684" s="351"/>
      <c r="AD684" s="351"/>
    </row>
    <row r="685" spans="1:30" ht="51.3" hidden="1" x14ac:dyDescent="0.35">
      <c r="A685" s="349">
        <v>684</v>
      </c>
      <c r="B685" s="352" t="s">
        <v>1609</v>
      </c>
      <c r="C685" s="351" t="s">
        <v>4996</v>
      </c>
      <c r="D685" s="352" t="s">
        <v>2805</v>
      </c>
      <c r="E685" s="352" t="s">
        <v>2025</v>
      </c>
      <c r="F685" s="353">
        <v>8.9910999999999994</v>
      </c>
      <c r="G685" s="352" t="s">
        <v>967</v>
      </c>
      <c r="H685" s="176" t="s">
        <v>2806</v>
      </c>
      <c r="I685" s="176" t="s">
        <v>3516</v>
      </c>
      <c r="J685" s="352" t="s">
        <v>806</v>
      </c>
      <c r="K685" s="352">
        <v>2.2999999999999998</v>
      </c>
      <c r="L685" s="352" t="s">
        <v>1464</v>
      </c>
      <c r="M685" s="352"/>
      <c r="N685" s="352"/>
      <c r="O685" s="351">
        <v>2.2999999999999998</v>
      </c>
      <c r="P685" s="349" t="s">
        <v>1836</v>
      </c>
      <c r="R685" s="349">
        <f t="shared" si="10"/>
        <v>10</v>
      </c>
      <c r="S685" s="352"/>
      <c r="T685" s="352"/>
      <c r="U685" s="352"/>
      <c r="V685" s="353"/>
      <c r="W685" s="352"/>
      <c r="X685" s="176"/>
      <c r="Y685" s="176"/>
      <c r="Z685" s="352"/>
      <c r="AA685" s="352"/>
      <c r="AB685" s="352"/>
      <c r="AC685" s="351"/>
      <c r="AD685" s="351"/>
    </row>
    <row r="686" spans="1:30" ht="51.3" hidden="1" x14ac:dyDescent="0.35">
      <c r="A686" s="349">
        <v>685</v>
      </c>
      <c r="B686" s="352" t="s">
        <v>2854</v>
      </c>
      <c r="C686" s="351" t="s">
        <v>4997</v>
      </c>
      <c r="D686" s="352" t="s">
        <v>822</v>
      </c>
      <c r="E686" s="352" t="s">
        <v>2855</v>
      </c>
      <c r="F686" s="353">
        <v>1.9613</v>
      </c>
      <c r="G686" s="352" t="s">
        <v>1107</v>
      </c>
      <c r="H686" s="176" t="s">
        <v>823</v>
      </c>
      <c r="I686" s="176" t="s">
        <v>3117</v>
      </c>
      <c r="J686" s="352" t="s">
        <v>828</v>
      </c>
      <c r="K686" s="352">
        <v>50</v>
      </c>
      <c r="L686" s="352" t="s">
        <v>1116</v>
      </c>
      <c r="M686" s="352">
        <v>1</v>
      </c>
      <c r="N686" s="352" t="s">
        <v>1109</v>
      </c>
      <c r="O686" s="351">
        <v>50</v>
      </c>
      <c r="P686" s="349" t="s">
        <v>1836</v>
      </c>
      <c r="R686" s="349">
        <f t="shared" si="10"/>
        <v>8</v>
      </c>
      <c r="S686" s="352"/>
      <c r="T686" s="352"/>
      <c r="U686" s="352"/>
      <c r="V686" s="353"/>
      <c r="W686" s="352"/>
      <c r="X686" s="176"/>
      <c r="Y686" s="176"/>
      <c r="Z686" s="352"/>
      <c r="AA686" s="352"/>
      <c r="AB686" s="352"/>
      <c r="AC686" s="351"/>
      <c r="AD686" s="351"/>
    </row>
    <row r="687" spans="1:30" ht="307.60000000000002" hidden="1" x14ac:dyDescent="0.35">
      <c r="A687" s="349">
        <v>686</v>
      </c>
      <c r="B687" s="352" t="s">
        <v>2854</v>
      </c>
      <c r="C687" s="351" t="s">
        <v>3988</v>
      </c>
      <c r="D687" s="352" t="s">
        <v>3988</v>
      </c>
      <c r="E687" s="352" t="s">
        <v>2855</v>
      </c>
      <c r="F687" s="353">
        <v>0.35</v>
      </c>
      <c r="G687" s="352" t="s">
        <v>2856</v>
      </c>
      <c r="H687" s="176" t="s">
        <v>4612</v>
      </c>
      <c r="I687" s="176" t="s">
        <v>4751</v>
      </c>
      <c r="J687" s="352" t="s">
        <v>828</v>
      </c>
      <c r="K687" s="352">
        <v>1</v>
      </c>
      <c r="L687" s="352" t="s">
        <v>1116</v>
      </c>
      <c r="M687" s="351">
        <v>1</v>
      </c>
      <c r="N687" s="351" t="s">
        <v>1109</v>
      </c>
      <c r="O687" s="351">
        <v>1</v>
      </c>
      <c r="P687" s="349" t="s">
        <v>1836</v>
      </c>
      <c r="R687" s="349">
        <f t="shared" si="10"/>
        <v>10</v>
      </c>
      <c r="S687" s="352"/>
      <c r="T687" s="352"/>
      <c r="U687" s="352"/>
      <c r="V687" s="353"/>
      <c r="W687" s="352"/>
      <c r="X687" s="176"/>
      <c r="Y687" s="176"/>
      <c r="Z687" s="352"/>
      <c r="AA687" s="352"/>
      <c r="AB687" s="352"/>
      <c r="AC687" s="351"/>
      <c r="AD687" s="351"/>
    </row>
    <row r="688" spans="1:30" ht="307.60000000000002" hidden="1" x14ac:dyDescent="0.35">
      <c r="A688" s="349">
        <v>687</v>
      </c>
      <c r="B688" s="352" t="s">
        <v>2854</v>
      </c>
      <c r="C688" s="351" t="s">
        <v>3988</v>
      </c>
      <c r="D688" s="352" t="s">
        <v>3988</v>
      </c>
      <c r="E688" s="352" t="s">
        <v>2857</v>
      </c>
      <c r="F688" s="353">
        <v>0.65</v>
      </c>
      <c r="G688" s="352" t="s">
        <v>2856</v>
      </c>
      <c r="H688" s="176" t="s">
        <v>4612</v>
      </c>
      <c r="I688" s="176" t="s">
        <v>4751</v>
      </c>
      <c r="J688" s="352" t="s">
        <v>828</v>
      </c>
      <c r="K688" s="352">
        <v>0.1</v>
      </c>
      <c r="L688" s="352" t="s">
        <v>1116</v>
      </c>
      <c r="M688" s="351">
        <v>10</v>
      </c>
      <c r="N688" s="351" t="s">
        <v>1109</v>
      </c>
      <c r="O688" s="351">
        <v>0.1</v>
      </c>
      <c r="P688" s="349" t="s">
        <v>1836</v>
      </c>
      <c r="R688" s="349">
        <f t="shared" si="10"/>
        <v>10</v>
      </c>
      <c r="S688" s="352"/>
      <c r="T688" s="352"/>
      <c r="U688" s="352"/>
      <c r="V688" s="353"/>
      <c r="W688" s="352"/>
      <c r="X688" s="176"/>
      <c r="Y688" s="176"/>
      <c r="Z688" s="352"/>
      <c r="AA688" s="352"/>
      <c r="AB688" s="352"/>
      <c r="AC688" s="351"/>
      <c r="AD688" s="351"/>
    </row>
    <row r="689" spans="1:30" ht="89.75" hidden="1" x14ac:dyDescent="0.35">
      <c r="A689" s="349">
        <v>688</v>
      </c>
      <c r="B689" s="352" t="s">
        <v>4100</v>
      </c>
      <c r="C689" s="351" t="s">
        <v>4334</v>
      </c>
      <c r="D689" s="352" t="s">
        <v>567</v>
      </c>
      <c r="E689" s="352" t="s">
        <v>3578</v>
      </c>
      <c r="F689" s="353">
        <v>139.4067</v>
      </c>
      <c r="G689" s="352" t="s">
        <v>2126</v>
      </c>
      <c r="H689" s="37" t="s">
        <v>2449</v>
      </c>
      <c r="I689" s="176" t="s">
        <v>1191</v>
      </c>
      <c r="J689" s="352" t="s">
        <v>3579</v>
      </c>
      <c r="K689" s="352">
        <v>10</v>
      </c>
      <c r="L689" s="352" t="s">
        <v>1116</v>
      </c>
      <c r="M689" s="351">
        <v>240</v>
      </c>
      <c r="N689" s="351" t="s">
        <v>1109</v>
      </c>
      <c r="O689" s="351">
        <v>10</v>
      </c>
      <c r="P689" s="349" t="s">
        <v>1836</v>
      </c>
      <c r="R689" s="349">
        <f t="shared" si="10"/>
        <v>10</v>
      </c>
      <c r="S689" s="352"/>
      <c r="T689" s="352"/>
      <c r="U689" s="352"/>
      <c r="V689" s="353"/>
      <c r="W689" s="352"/>
      <c r="X689" s="176"/>
      <c r="Y689" s="176"/>
      <c r="Z689" s="352"/>
      <c r="AA689" s="352"/>
      <c r="AB689" s="352"/>
      <c r="AC689" s="351"/>
      <c r="AD689" s="351"/>
    </row>
    <row r="690" spans="1:30" ht="89.75" hidden="1" x14ac:dyDescent="0.35">
      <c r="A690" s="349">
        <v>689</v>
      </c>
      <c r="B690" s="352" t="s">
        <v>4100</v>
      </c>
      <c r="C690" s="351" t="s">
        <v>4334</v>
      </c>
      <c r="D690" s="352" t="s">
        <v>567</v>
      </c>
      <c r="E690" s="352" t="s">
        <v>1995</v>
      </c>
      <c r="F690" s="353">
        <v>8.6999999999999993</v>
      </c>
      <c r="G690" s="352" t="s">
        <v>2126</v>
      </c>
      <c r="H690" s="176" t="s">
        <v>2449</v>
      </c>
      <c r="I690" s="176" t="s">
        <v>1191</v>
      </c>
      <c r="J690" s="352" t="s">
        <v>3580</v>
      </c>
      <c r="K690" s="352">
        <v>150</v>
      </c>
      <c r="L690" s="352" t="s">
        <v>3581</v>
      </c>
      <c r="M690" s="351"/>
      <c r="N690" s="351"/>
      <c r="O690" s="351">
        <v>150</v>
      </c>
      <c r="P690" s="349" t="s">
        <v>1836</v>
      </c>
      <c r="R690" s="349">
        <f t="shared" si="10"/>
        <v>10</v>
      </c>
      <c r="S690" s="352"/>
      <c r="T690" s="352"/>
      <c r="U690" s="352"/>
      <c r="V690" s="353"/>
      <c r="W690" s="352"/>
      <c r="X690" s="176"/>
      <c r="Y690" s="176"/>
      <c r="Z690" s="352"/>
      <c r="AA690" s="352"/>
      <c r="AB690" s="352"/>
      <c r="AC690" s="351"/>
      <c r="AD690" s="351"/>
    </row>
    <row r="691" spans="1:30" ht="64.099999999999994" hidden="1" x14ac:dyDescent="0.35">
      <c r="A691" s="349">
        <v>690</v>
      </c>
      <c r="B691" s="352" t="s">
        <v>2694</v>
      </c>
      <c r="C691" s="351" t="s">
        <v>1029</v>
      </c>
      <c r="D691" s="352" t="s">
        <v>1029</v>
      </c>
      <c r="E691" s="352" t="s">
        <v>1997</v>
      </c>
      <c r="F691" s="353">
        <v>340.65</v>
      </c>
      <c r="G691" s="352" t="s">
        <v>1107</v>
      </c>
      <c r="H691" s="176" t="s">
        <v>586</v>
      </c>
      <c r="I691" s="176" t="s">
        <v>1462</v>
      </c>
      <c r="J691" s="352" t="s">
        <v>1115</v>
      </c>
      <c r="K691" s="352">
        <v>0.5</v>
      </c>
      <c r="L691" s="352" t="s">
        <v>1464</v>
      </c>
      <c r="M691" s="352"/>
      <c r="N691" s="352"/>
      <c r="O691" s="351">
        <v>0.5</v>
      </c>
      <c r="P691" s="349" t="s">
        <v>1836</v>
      </c>
      <c r="R691" s="349">
        <f t="shared" si="10"/>
        <v>12</v>
      </c>
      <c r="S691" s="352"/>
      <c r="T691" s="352"/>
      <c r="U691" s="352"/>
      <c r="V691" s="353"/>
      <c r="W691" s="352"/>
      <c r="X691" s="176"/>
      <c r="Y691" s="176"/>
      <c r="Z691" s="352"/>
      <c r="AA691" s="352"/>
      <c r="AB691" s="352"/>
      <c r="AC691" s="351"/>
      <c r="AD691" s="351"/>
    </row>
    <row r="692" spans="1:30" ht="25.65" hidden="1" x14ac:dyDescent="0.35">
      <c r="A692" s="349">
        <v>691</v>
      </c>
      <c r="B692" s="352" t="s">
        <v>1080</v>
      </c>
      <c r="C692" s="351" t="s">
        <v>4335</v>
      </c>
      <c r="D692" s="352" t="s">
        <v>2782</v>
      </c>
      <c r="E692" s="352" t="s">
        <v>1997</v>
      </c>
      <c r="F692" s="353">
        <v>171.3</v>
      </c>
      <c r="G692" s="352" t="s">
        <v>1107</v>
      </c>
      <c r="H692" s="176"/>
      <c r="I692" s="176" t="s">
        <v>3272</v>
      </c>
      <c r="J692" s="352" t="s">
        <v>1115</v>
      </c>
      <c r="K692" s="352">
        <v>10000</v>
      </c>
      <c r="L692" s="352" t="s">
        <v>2069</v>
      </c>
      <c r="M692" s="352"/>
      <c r="N692" s="352"/>
      <c r="O692" s="351">
        <v>10000</v>
      </c>
      <c r="P692" s="349" t="s">
        <v>2030</v>
      </c>
      <c r="R692" s="349">
        <f t="shared" si="10"/>
        <v>12</v>
      </c>
      <c r="S692" s="352"/>
      <c r="T692" s="352"/>
      <c r="U692" s="352"/>
      <c r="V692" s="353"/>
      <c r="W692" s="352"/>
      <c r="X692" s="176"/>
      <c r="Y692" s="176"/>
      <c r="Z692" s="352"/>
      <c r="AA692" s="352"/>
      <c r="AB692" s="352"/>
      <c r="AC692" s="352"/>
      <c r="AD692" s="352"/>
    </row>
    <row r="693" spans="1:30" ht="115.35" hidden="1" x14ac:dyDescent="0.35">
      <c r="A693" s="349">
        <v>692</v>
      </c>
      <c r="B693" s="352" t="s">
        <v>696</v>
      </c>
      <c r="C693" s="351" t="s">
        <v>4336</v>
      </c>
      <c r="D693" s="352" t="s">
        <v>1284</v>
      </c>
      <c r="E693" s="352" t="s">
        <v>1997</v>
      </c>
      <c r="F693" s="353">
        <v>12.1</v>
      </c>
      <c r="G693" s="352" t="s">
        <v>1107</v>
      </c>
      <c r="H693" s="176" t="s">
        <v>3722</v>
      </c>
      <c r="I693" s="176" t="s">
        <v>4617</v>
      </c>
      <c r="J693" s="352" t="s">
        <v>1115</v>
      </c>
      <c r="K693" s="352">
        <v>1</v>
      </c>
      <c r="L693" s="352" t="s">
        <v>3252</v>
      </c>
      <c r="M693" s="352"/>
      <c r="N693" s="352"/>
      <c r="O693" s="351">
        <v>1000</v>
      </c>
      <c r="P693" s="349" t="s">
        <v>1836</v>
      </c>
      <c r="R693" s="349">
        <f t="shared" si="10"/>
        <v>12</v>
      </c>
      <c r="S693" s="352"/>
      <c r="T693" s="352"/>
      <c r="U693" s="352"/>
      <c r="V693" s="353"/>
      <c r="W693" s="352"/>
      <c r="X693" s="176"/>
      <c r="Y693" s="176"/>
      <c r="Z693" s="352"/>
      <c r="AA693" s="352"/>
      <c r="AB693" s="352"/>
      <c r="AC693" s="352"/>
      <c r="AD693" s="352"/>
    </row>
    <row r="694" spans="1:30" ht="89.75" hidden="1" x14ac:dyDescent="0.35">
      <c r="A694" s="349">
        <v>693</v>
      </c>
      <c r="B694" s="352" t="s">
        <v>696</v>
      </c>
      <c r="C694" s="351" t="s">
        <v>4337</v>
      </c>
      <c r="D694" s="352" t="s">
        <v>1284</v>
      </c>
      <c r="E694" s="352" t="s">
        <v>2129</v>
      </c>
      <c r="F694" s="353">
        <v>14.88</v>
      </c>
      <c r="G694" s="352" t="s">
        <v>2126</v>
      </c>
      <c r="H694" s="176" t="s">
        <v>1062</v>
      </c>
      <c r="I694" s="176" t="s">
        <v>4618</v>
      </c>
      <c r="J694" s="352" t="s">
        <v>3579</v>
      </c>
      <c r="K694" s="352">
        <v>50</v>
      </c>
      <c r="L694" s="352" t="s">
        <v>1116</v>
      </c>
      <c r="M694" s="351">
        <v>100</v>
      </c>
      <c r="N694" s="351" t="s">
        <v>1109</v>
      </c>
      <c r="O694" s="351">
        <v>50</v>
      </c>
      <c r="P694" s="349" t="s">
        <v>1836</v>
      </c>
      <c r="R694" s="349">
        <f t="shared" si="10"/>
        <v>12</v>
      </c>
      <c r="S694" s="352"/>
      <c r="T694" s="352"/>
      <c r="U694" s="352"/>
      <c r="V694" s="353"/>
      <c r="W694" s="352"/>
      <c r="X694" s="176"/>
      <c r="Y694" s="176"/>
      <c r="Z694" s="352"/>
      <c r="AA694" s="352"/>
      <c r="AB694" s="352"/>
      <c r="AC694" s="351"/>
      <c r="AD694" s="351"/>
    </row>
    <row r="695" spans="1:30" ht="115.35" hidden="1" x14ac:dyDescent="0.35">
      <c r="A695" s="349">
        <v>694</v>
      </c>
      <c r="B695" s="352" t="s">
        <v>696</v>
      </c>
      <c r="C695" s="351" t="s">
        <v>1284</v>
      </c>
      <c r="D695" s="352" t="s">
        <v>1284</v>
      </c>
      <c r="E695" s="352" t="s">
        <v>1997</v>
      </c>
      <c r="F695" s="353">
        <v>12.1</v>
      </c>
      <c r="G695" s="352" t="s">
        <v>1107</v>
      </c>
      <c r="H695" s="176" t="s">
        <v>3722</v>
      </c>
      <c r="I695" s="176" t="s">
        <v>4617</v>
      </c>
      <c r="J695" s="352" t="s">
        <v>1115</v>
      </c>
      <c r="K695" s="352">
        <v>1</v>
      </c>
      <c r="L695" s="352" t="s">
        <v>3252</v>
      </c>
      <c r="M695" s="352"/>
      <c r="N695" s="352"/>
      <c r="O695" s="351">
        <v>1000</v>
      </c>
      <c r="P695" s="349" t="s">
        <v>1836</v>
      </c>
      <c r="R695" s="349">
        <f t="shared" si="10"/>
        <v>12</v>
      </c>
      <c r="S695" s="352"/>
      <c r="T695" s="352"/>
      <c r="U695" s="352"/>
      <c r="V695" s="353"/>
      <c r="W695" s="352"/>
      <c r="X695" s="176"/>
      <c r="Y695" s="176"/>
      <c r="Z695" s="352"/>
      <c r="AA695" s="352"/>
      <c r="AB695" s="352"/>
      <c r="AC695" s="351"/>
      <c r="AD695" s="351"/>
    </row>
    <row r="696" spans="1:30" ht="64.099999999999994" hidden="1" x14ac:dyDescent="0.35">
      <c r="A696" s="349">
        <v>695</v>
      </c>
      <c r="B696" s="352" t="s">
        <v>159</v>
      </c>
      <c r="C696" s="351" t="s">
        <v>1284</v>
      </c>
      <c r="D696" s="352" t="s">
        <v>1284</v>
      </c>
      <c r="E696" s="352" t="s">
        <v>1014</v>
      </c>
      <c r="F696" s="353">
        <v>8.5945</v>
      </c>
      <c r="G696" s="352" t="s">
        <v>34</v>
      </c>
      <c r="H696" s="176" t="s">
        <v>2991</v>
      </c>
      <c r="I696" s="176" t="s">
        <v>2992</v>
      </c>
      <c r="J696" s="352" t="s">
        <v>1015</v>
      </c>
      <c r="K696" s="352">
        <v>2</v>
      </c>
      <c r="L696" s="352" t="s">
        <v>470</v>
      </c>
      <c r="M696" s="352">
        <v>25</v>
      </c>
      <c r="N696" s="352" t="s">
        <v>1109</v>
      </c>
      <c r="O696" s="351">
        <v>2</v>
      </c>
      <c r="P696" s="349" t="s">
        <v>1838</v>
      </c>
      <c r="R696" s="349">
        <f t="shared" si="10"/>
        <v>12</v>
      </c>
      <c r="S696" s="352"/>
      <c r="T696" s="352"/>
      <c r="U696" s="352"/>
      <c r="V696" s="353"/>
      <c r="W696" s="352"/>
      <c r="X696" s="176"/>
      <c r="Y696" s="176"/>
      <c r="Z696" s="352"/>
      <c r="AA696" s="352"/>
      <c r="AB696" s="352"/>
      <c r="AC696" s="351"/>
      <c r="AD696" s="351"/>
    </row>
    <row r="697" spans="1:30" ht="89.75" hidden="1" x14ac:dyDescent="0.35">
      <c r="A697" s="349">
        <v>696</v>
      </c>
      <c r="B697" s="352" t="s">
        <v>696</v>
      </c>
      <c r="C697" s="351" t="s">
        <v>1284</v>
      </c>
      <c r="D697" s="352" t="s">
        <v>1284</v>
      </c>
      <c r="E697" s="352" t="s">
        <v>2129</v>
      </c>
      <c r="F697" s="353">
        <v>14.88</v>
      </c>
      <c r="G697" s="352" t="s">
        <v>2126</v>
      </c>
      <c r="H697" s="176" t="s">
        <v>1062</v>
      </c>
      <c r="I697" s="176" t="s">
        <v>4618</v>
      </c>
      <c r="J697" s="352" t="s">
        <v>3579</v>
      </c>
      <c r="K697" s="352">
        <v>50</v>
      </c>
      <c r="L697" s="352" t="s">
        <v>1116</v>
      </c>
      <c r="M697" s="352">
        <v>100</v>
      </c>
      <c r="N697" s="352" t="s">
        <v>1109</v>
      </c>
      <c r="O697" s="351">
        <v>50</v>
      </c>
      <c r="P697" s="349" t="s">
        <v>1836</v>
      </c>
      <c r="R697" s="349">
        <f t="shared" si="10"/>
        <v>12</v>
      </c>
      <c r="S697" s="352"/>
      <c r="T697" s="352"/>
      <c r="U697" s="352"/>
      <c r="V697" s="353"/>
      <c r="W697" s="352"/>
      <c r="X697" s="176"/>
      <c r="Y697" s="176"/>
      <c r="Z697" s="352"/>
      <c r="AA697" s="352"/>
      <c r="AB697" s="352"/>
      <c r="AC697" s="351"/>
      <c r="AD697" s="351"/>
    </row>
    <row r="698" spans="1:30" ht="282" hidden="1" x14ac:dyDescent="0.35">
      <c r="A698" s="349">
        <v>697</v>
      </c>
      <c r="B698" s="352" t="s">
        <v>962</v>
      </c>
      <c r="C698" s="351" t="s">
        <v>3774</v>
      </c>
      <c r="D698" s="352" t="s">
        <v>3774</v>
      </c>
      <c r="E698" s="352" t="s">
        <v>1016</v>
      </c>
      <c r="F698" s="353">
        <v>22.63</v>
      </c>
      <c r="G698" s="352" t="s">
        <v>1017</v>
      </c>
      <c r="H698" s="176" t="s">
        <v>3377</v>
      </c>
      <c r="I698" s="176" t="s">
        <v>4599</v>
      </c>
      <c r="J698" s="352" t="s">
        <v>964</v>
      </c>
      <c r="K698" s="352">
        <v>1000</v>
      </c>
      <c r="L698" s="352" t="s">
        <v>1993</v>
      </c>
      <c r="M698" s="352">
        <v>0.3</v>
      </c>
      <c r="N698" s="352" t="s">
        <v>1109</v>
      </c>
      <c r="O698" s="351">
        <v>1000</v>
      </c>
      <c r="P698" s="349" t="s">
        <v>2030</v>
      </c>
      <c r="R698" s="349">
        <f t="shared" si="10"/>
        <v>13</v>
      </c>
      <c r="S698" s="352"/>
      <c r="T698" s="352"/>
      <c r="U698" s="352"/>
      <c r="V698" s="353"/>
      <c r="W698" s="352"/>
      <c r="X698" s="176"/>
      <c r="Y698" s="176"/>
      <c r="Z698" s="352"/>
      <c r="AA698" s="352"/>
      <c r="AB698" s="352"/>
      <c r="AC698" s="352"/>
      <c r="AD698" s="352"/>
    </row>
    <row r="699" spans="1:30" ht="89.75" hidden="1" x14ac:dyDescent="0.35">
      <c r="A699" s="349">
        <v>698</v>
      </c>
      <c r="B699" s="352" t="s">
        <v>1073</v>
      </c>
      <c r="C699" s="351" t="s">
        <v>1509</v>
      </c>
      <c r="D699" s="352" t="s">
        <v>1509</v>
      </c>
      <c r="E699" s="352" t="s">
        <v>730</v>
      </c>
      <c r="F699" s="353">
        <v>51.94</v>
      </c>
      <c r="G699" s="352" t="s">
        <v>373</v>
      </c>
      <c r="H699" s="176" t="s">
        <v>1510</v>
      </c>
      <c r="I699" s="176" t="s">
        <v>4742</v>
      </c>
      <c r="J699" s="352" t="s">
        <v>1115</v>
      </c>
      <c r="K699" s="352">
        <v>25</v>
      </c>
      <c r="L699" s="352" t="s">
        <v>1116</v>
      </c>
      <c r="M699" s="352">
        <v>10</v>
      </c>
      <c r="N699" s="352" t="s">
        <v>1109</v>
      </c>
      <c r="O699" s="351">
        <v>25</v>
      </c>
      <c r="P699" s="349" t="s">
        <v>1836</v>
      </c>
      <c r="R699" s="349">
        <f t="shared" si="10"/>
        <v>10</v>
      </c>
      <c r="S699" s="352"/>
      <c r="T699" s="352"/>
      <c r="U699" s="352"/>
      <c r="V699" s="353"/>
      <c r="W699" s="352"/>
      <c r="X699" s="176"/>
      <c r="Y699" s="176"/>
      <c r="Z699" s="352"/>
      <c r="AA699" s="352"/>
      <c r="AB699" s="352"/>
      <c r="AC699" s="352"/>
      <c r="AD699" s="352"/>
    </row>
    <row r="700" spans="1:30" ht="89.75" hidden="1" x14ac:dyDescent="0.35">
      <c r="A700" s="349">
        <v>699</v>
      </c>
      <c r="B700" s="352" t="s">
        <v>1073</v>
      </c>
      <c r="C700" s="351" t="s">
        <v>1509</v>
      </c>
      <c r="D700" s="352" t="s">
        <v>1509</v>
      </c>
      <c r="E700" s="352" t="s">
        <v>3583</v>
      </c>
      <c r="F700" s="351">
        <v>25.67</v>
      </c>
      <c r="G700" s="352" t="s">
        <v>373</v>
      </c>
      <c r="H700" s="176" t="s">
        <v>1510</v>
      </c>
      <c r="I700" s="176" t="s">
        <v>4742</v>
      </c>
      <c r="J700" s="352" t="s">
        <v>1115</v>
      </c>
      <c r="K700" s="352">
        <v>5</v>
      </c>
      <c r="L700" s="352" t="s">
        <v>1116</v>
      </c>
      <c r="M700" s="351">
        <v>20</v>
      </c>
      <c r="N700" s="351" t="s">
        <v>1109</v>
      </c>
      <c r="O700" s="351">
        <v>5</v>
      </c>
      <c r="P700" s="349" t="s">
        <v>1836</v>
      </c>
      <c r="R700" s="349">
        <f t="shared" si="10"/>
        <v>10</v>
      </c>
      <c r="S700" s="352"/>
      <c r="T700" s="352"/>
      <c r="U700" s="352"/>
      <c r="V700" s="353"/>
      <c r="W700" s="352"/>
      <c r="X700" s="176"/>
      <c r="Y700" s="176"/>
      <c r="Z700" s="352"/>
      <c r="AA700" s="352"/>
      <c r="AB700" s="352"/>
      <c r="AC700" s="351"/>
      <c r="AD700" s="351"/>
    </row>
    <row r="701" spans="1:30" ht="25.65" hidden="1" x14ac:dyDescent="0.35">
      <c r="A701" s="349">
        <v>700</v>
      </c>
      <c r="B701" s="352" t="s">
        <v>3587</v>
      </c>
      <c r="C701" s="351" t="s">
        <v>4338</v>
      </c>
      <c r="D701" s="352" t="s">
        <v>2730</v>
      </c>
      <c r="E701" s="352" t="s">
        <v>827</v>
      </c>
      <c r="F701" s="351">
        <v>13.8</v>
      </c>
      <c r="G701" s="352" t="s">
        <v>1107</v>
      </c>
      <c r="H701" s="176" t="s">
        <v>2731</v>
      </c>
      <c r="I701" s="176" t="s">
        <v>2732</v>
      </c>
      <c r="J701" s="352" t="s">
        <v>828</v>
      </c>
      <c r="K701" s="352">
        <v>10</v>
      </c>
      <c r="L701" s="352" t="s">
        <v>1116</v>
      </c>
      <c r="M701" s="351">
        <v>5</v>
      </c>
      <c r="N701" s="351" t="s">
        <v>1109</v>
      </c>
      <c r="O701" s="351">
        <v>10</v>
      </c>
      <c r="P701" s="349" t="s">
        <v>1836</v>
      </c>
      <c r="R701" s="349">
        <f t="shared" si="10"/>
        <v>10</v>
      </c>
      <c r="S701" s="352"/>
      <c r="T701" s="352"/>
      <c r="U701" s="352"/>
      <c r="V701" s="353"/>
      <c r="W701" s="352"/>
      <c r="X701" s="176"/>
      <c r="Y701" s="176"/>
      <c r="Z701" s="352"/>
      <c r="AA701" s="352"/>
      <c r="AB701" s="352"/>
      <c r="AC701" s="351"/>
      <c r="AD701" s="351"/>
    </row>
    <row r="702" spans="1:30" ht="51.3" hidden="1" x14ac:dyDescent="0.35">
      <c r="A702" s="349">
        <v>701</v>
      </c>
      <c r="B702" s="352" t="s">
        <v>2070</v>
      </c>
      <c r="C702" s="351" t="s">
        <v>819</v>
      </c>
      <c r="D702" s="352" t="s">
        <v>819</v>
      </c>
      <c r="E702" s="352" t="s">
        <v>730</v>
      </c>
      <c r="F702" s="351">
        <v>19.282499999999999</v>
      </c>
      <c r="G702" s="352" t="s">
        <v>1107</v>
      </c>
      <c r="H702" s="176" t="s">
        <v>833</v>
      </c>
      <c r="I702" s="176" t="s">
        <v>565</v>
      </c>
      <c r="J702" s="352" t="s">
        <v>1115</v>
      </c>
      <c r="K702" s="352">
        <v>10</v>
      </c>
      <c r="L702" s="352" t="s">
        <v>1116</v>
      </c>
      <c r="M702" s="351">
        <v>10</v>
      </c>
      <c r="N702" s="351" t="s">
        <v>1109</v>
      </c>
      <c r="O702" s="351">
        <v>10</v>
      </c>
      <c r="P702" s="349" t="s">
        <v>1836</v>
      </c>
      <c r="R702" s="349">
        <f t="shared" si="10"/>
        <v>7</v>
      </c>
      <c r="S702" s="352"/>
      <c r="T702" s="352"/>
      <c r="U702" s="352"/>
      <c r="V702" s="353"/>
      <c r="W702" s="352"/>
      <c r="X702" s="176"/>
      <c r="Y702" s="176"/>
      <c r="Z702" s="352"/>
      <c r="AA702" s="352"/>
      <c r="AB702" s="352"/>
      <c r="AC702" s="352"/>
      <c r="AD702" s="352"/>
    </row>
    <row r="703" spans="1:30" ht="51.3" hidden="1" x14ac:dyDescent="0.35">
      <c r="A703" s="349">
        <v>702</v>
      </c>
      <c r="B703" s="352" t="s">
        <v>1567</v>
      </c>
      <c r="C703" s="351" t="s">
        <v>3259</v>
      </c>
      <c r="D703" s="352" t="s">
        <v>1375</v>
      </c>
      <c r="E703" s="352" t="s">
        <v>1995</v>
      </c>
      <c r="F703" s="351"/>
      <c r="G703" s="352" t="s">
        <v>2126</v>
      </c>
      <c r="H703" s="176" t="s">
        <v>1020</v>
      </c>
      <c r="I703" s="176" t="s">
        <v>1021</v>
      </c>
      <c r="J703" s="352" t="s">
        <v>3580</v>
      </c>
      <c r="K703" s="352">
        <v>0.1</v>
      </c>
      <c r="L703" s="352" t="s">
        <v>3581</v>
      </c>
      <c r="M703" s="351"/>
      <c r="N703" s="351"/>
      <c r="O703" s="351">
        <v>0.1</v>
      </c>
      <c r="P703" s="349" t="s">
        <v>1836</v>
      </c>
      <c r="R703" s="349">
        <f t="shared" si="10"/>
        <v>16</v>
      </c>
      <c r="S703" s="352"/>
      <c r="T703" s="352"/>
      <c r="U703" s="352"/>
      <c r="V703" s="353"/>
      <c r="W703" s="352"/>
      <c r="X703" s="176"/>
      <c r="Y703" s="176"/>
      <c r="Z703" s="352"/>
      <c r="AA703" s="352"/>
      <c r="AB703" s="352"/>
      <c r="AC703" s="352"/>
      <c r="AD703" s="352"/>
    </row>
    <row r="704" spans="1:30" ht="51.3" hidden="1" x14ac:dyDescent="0.35">
      <c r="A704" s="349">
        <v>703</v>
      </c>
      <c r="B704" s="352" t="s">
        <v>1567</v>
      </c>
      <c r="C704" s="351" t="s">
        <v>3259</v>
      </c>
      <c r="D704" s="352" t="s">
        <v>1375</v>
      </c>
      <c r="E704" s="352" t="s">
        <v>1995</v>
      </c>
      <c r="F704" s="353"/>
      <c r="G704" s="352" t="s">
        <v>2126</v>
      </c>
      <c r="H704" s="37" t="s">
        <v>1020</v>
      </c>
      <c r="I704" s="176" t="s">
        <v>1021</v>
      </c>
      <c r="J704" s="352" t="s">
        <v>3580</v>
      </c>
      <c r="K704" s="352">
        <v>0.5</v>
      </c>
      <c r="L704" s="352" t="s">
        <v>3581</v>
      </c>
      <c r="M704" s="352"/>
      <c r="N704" s="352"/>
      <c r="O704" s="351">
        <v>0.5</v>
      </c>
      <c r="P704" s="349" t="s">
        <v>1836</v>
      </c>
      <c r="R704" s="349">
        <f t="shared" si="10"/>
        <v>16</v>
      </c>
      <c r="S704" s="352"/>
      <c r="T704" s="352"/>
      <c r="U704" s="352"/>
      <c r="V704" s="353"/>
      <c r="W704" s="352"/>
      <c r="X704" s="176"/>
      <c r="Y704" s="176"/>
      <c r="Z704" s="352"/>
      <c r="AA704" s="352"/>
      <c r="AB704" s="352"/>
      <c r="AC704" s="351"/>
      <c r="AD704" s="351"/>
    </row>
    <row r="705" spans="1:30" ht="51.3" hidden="1" x14ac:dyDescent="0.35">
      <c r="A705" s="349">
        <v>704</v>
      </c>
      <c r="B705" s="352" t="s">
        <v>1567</v>
      </c>
      <c r="C705" s="351" t="s">
        <v>3259</v>
      </c>
      <c r="D705" s="352" t="s">
        <v>1375</v>
      </c>
      <c r="E705" s="352" t="s">
        <v>1995</v>
      </c>
      <c r="F705" s="353"/>
      <c r="G705" s="352" t="s">
        <v>2126</v>
      </c>
      <c r="H705" s="176" t="s">
        <v>1020</v>
      </c>
      <c r="I705" s="176" t="s">
        <v>1021</v>
      </c>
      <c r="J705" s="352" t="s">
        <v>3580</v>
      </c>
      <c r="K705" s="352">
        <v>0.1</v>
      </c>
      <c r="L705" s="352" t="s">
        <v>3581</v>
      </c>
      <c r="M705" s="352"/>
      <c r="N705" s="352"/>
      <c r="O705" s="351">
        <v>0.1</v>
      </c>
      <c r="P705" s="349" t="s">
        <v>1836</v>
      </c>
      <c r="R705" s="349">
        <f t="shared" si="10"/>
        <v>16</v>
      </c>
      <c r="S705" s="352"/>
      <c r="T705" s="352"/>
      <c r="U705" s="352"/>
      <c r="V705" s="353"/>
      <c r="W705" s="352"/>
      <c r="X705" s="176"/>
      <c r="Y705" s="176"/>
      <c r="Z705" s="352"/>
      <c r="AA705" s="352"/>
      <c r="AB705" s="352"/>
      <c r="AC705" s="351"/>
      <c r="AD705" s="351"/>
    </row>
    <row r="706" spans="1:30" ht="51.3" hidden="1" x14ac:dyDescent="0.35">
      <c r="A706" s="349">
        <v>705</v>
      </c>
      <c r="B706" s="352" t="s">
        <v>1567</v>
      </c>
      <c r="C706" s="351" t="s">
        <v>3259</v>
      </c>
      <c r="D706" s="352" t="s">
        <v>1375</v>
      </c>
      <c r="E706" s="352" t="s">
        <v>1995</v>
      </c>
      <c r="F706" s="353"/>
      <c r="G706" s="352" t="s">
        <v>2126</v>
      </c>
      <c r="H706" s="37" t="s">
        <v>1020</v>
      </c>
      <c r="I706" s="176" t="s">
        <v>1021</v>
      </c>
      <c r="J706" s="352" t="s">
        <v>3580</v>
      </c>
      <c r="K706" s="352">
        <v>0.5</v>
      </c>
      <c r="L706" s="352" t="s">
        <v>3581</v>
      </c>
      <c r="M706" s="352"/>
      <c r="N706" s="352"/>
      <c r="O706" s="351">
        <v>0.5</v>
      </c>
      <c r="P706" s="349" t="s">
        <v>1836</v>
      </c>
      <c r="R706" s="349">
        <f t="shared" si="10"/>
        <v>16</v>
      </c>
      <c r="S706" s="352"/>
      <c r="T706" s="352"/>
      <c r="U706" s="352"/>
      <c r="V706" s="353"/>
      <c r="W706" s="352"/>
      <c r="X706" s="176"/>
      <c r="Y706" s="176"/>
      <c r="Z706" s="352"/>
      <c r="AA706" s="352"/>
      <c r="AB706" s="352"/>
      <c r="AC706" s="352"/>
      <c r="AD706" s="352"/>
    </row>
    <row r="707" spans="1:30" ht="64.099999999999994" hidden="1" x14ac:dyDescent="0.35">
      <c r="A707" s="349">
        <v>706</v>
      </c>
      <c r="B707" s="352" t="s">
        <v>1567</v>
      </c>
      <c r="C707" s="351" t="s">
        <v>3265</v>
      </c>
      <c r="D707" s="352" t="s">
        <v>3265</v>
      </c>
      <c r="E707" s="352" t="s">
        <v>27</v>
      </c>
      <c r="F707" s="353">
        <v>15</v>
      </c>
      <c r="G707" s="352" t="s">
        <v>34</v>
      </c>
      <c r="H707" s="176" t="s">
        <v>4215</v>
      </c>
      <c r="I707" s="176" t="s">
        <v>3266</v>
      </c>
      <c r="J707" s="352" t="s">
        <v>29</v>
      </c>
      <c r="K707" s="352">
        <v>1</v>
      </c>
      <c r="L707" s="352" t="s">
        <v>1311</v>
      </c>
      <c r="M707" s="352">
        <v>10</v>
      </c>
      <c r="N707" s="352" t="s">
        <v>31</v>
      </c>
      <c r="O707" s="351">
        <v>1</v>
      </c>
      <c r="P707" s="349" t="s">
        <v>1836</v>
      </c>
      <c r="R707" s="349">
        <f t="shared" ref="R707:R770" si="11">LEN(D707)</f>
        <v>7</v>
      </c>
      <c r="S707" s="352"/>
      <c r="T707" s="352"/>
      <c r="U707" s="352"/>
      <c r="V707" s="353"/>
      <c r="W707" s="352"/>
      <c r="X707" s="176"/>
      <c r="Y707" s="176"/>
      <c r="Z707" s="352"/>
      <c r="AA707" s="352"/>
      <c r="AB707" s="352"/>
      <c r="AC707" s="351"/>
      <c r="AD707" s="351"/>
    </row>
    <row r="708" spans="1:30" ht="64.099999999999994" hidden="1" x14ac:dyDescent="0.35">
      <c r="A708" s="349">
        <v>707</v>
      </c>
      <c r="B708" s="352" t="s">
        <v>1567</v>
      </c>
      <c r="C708" s="351" t="s">
        <v>3265</v>
      </c>
      <c r="D708" s="352" t="s">
        <v>3265</v>
      </c>
      <c r="E708" s="352" t="s">
        <v>27</v>
      </c>
      <c r="F708" s="353">
        <v>15</v>
      </c>
      <c r="G708" s="352" t="s">
        <v>34</v>
      </c>
      <c r="H708" s="176"/>
      <c r="I708" s="176" t="s">
        <v>3266</v>
      </c>
      <c r="J708" s="352" t="s">
        <v>29</v>
      </c>
      <c r="K708" s="352">
        <v>1</v>
      </c>
      <c r="L708" s="352" t="s">
        <v>1311</v>
      </c>
      <c r="M708" s="352">
        <v>10</v>
      </c>
      <c r="N708" s="352" t="s">
        <v>31</v>
      </c>
      <c r="O708" s="351">
        <v>1</v>
      </c>
      <c r="P708" s="349" t="s">
        <v>1836</v>
      </c>
      <c r="R708" s="349">
        <f t="shared" si="11"/>
        <v>7</v>
      </c>
      <c r="S708" s="352"/>
      <c r="T708" s="352"/>
      <c r="U708" s="352"/>
      <c r="V708" s="353"/>
      <c r="W708" s="352"/>
      <c r="X708" s="176"/>
      <c r="Y708" s="176"/>
      <c r="Z708" s="352"/>
      <c r="AA708" s="352"/>
      <c r="AB708" s="352"/>
      <c r="AC708" s="351"/>
      <c r="AD708" s="351"/>
    </row>
    <row r="709" spans="1:30" ht="64.099999999999994" hidden="1" x14ac:dyDescent="0.35">
      <c r="A709" s="349">
        <v>708</v>
      </c>
      <c r="B709" s="352" t="s">
        <v>1567</v>
      </c>
      <c r="C709" s="351" t="s">
        <v>4339</v>
      </c>
      <c r="D709" s="352" t="s">
        <v>3265</v>
      </c>
      <c r="E709" s="352" t="s">
        <v>27</v>
      </c>
      <c r="F709" s="353">
        <v>15</v>
      </c>
      <c r="G709" s="352" t="s">
        <v>34</v>
      </c>
      <c r="H709" s="176" t="s">
        <v>4215</v>
      </c>
      <c r="I709" s="176" t="s">
        <v>3266</v>
      </c>
      <c r="J709" s="352" t="s">
        <v>29</v>
      </c>
      <c r="K709" s="352">
        <v>1</v>
      </c>
      <c r="L709" s="352" t="s">
        <v>1311</v>
      </c>
      <c r="M709" s="352">
        <v>10</v>
      </c>
      <c r="N709" s="352" t="s">
        <v>31</v>
      </c>
      <c r="O709" s="351">
        <v>1</v>
      </c>
      <c r="P709" s="349" t="s">
        <v>1836</v>
      </c>
      <c r="R709" s="349">
        <f t="shared" si="11"/>
        <v>7</v>
      </c>
      <c r="S709" s="352"/>
      <c r="T709" s="352"/>
      <c r="U709" s="352"/>
      <c r="V709" s="353"/>
      <c r="W709" s="352"/>
      <c r="X709" s="176"/>
      <c r="Y709" s="176"/>
      <c r="Z709" s="352"/>
      <c r="AA709" s="352"/>
      <c r="AB709" s="352"/>
      <c r="AC709" s="351"/>
      <c r="AD709" s="351"/>
    </row>
    <row r="710" spans="1:30" ht="64.099999999999994" hidden="1" x14ac:dyDescent="0.35">
      <c r="A710" s="349">
        <v>709</v>
      </c>
      <c r="B710" s="352" t="s">
        <v>1567</v>
      </c>
      <c r="C710" s="351" t="s">
        <v>4339</v>
      </c>
      <c r="D710" s="352" t="s">
        <v>3265</v>
      </c>
      <c r="E710" s="352" t="s">
        <v>27</v>
      </c>
      <c r="F710" s="353">
        <v>15</v>
      </c>
      <c r="G710" s="352" t="s">
        <v>34</v>
      </c>
      <c r="H710" s="176"/>
      <c r="I710" s="176" t="s">
        <v>3266</v>
      </c>
      <c r="J710" s="352" t="s">
        <v>29</v>
      </c>
      <c r="K710" s="352">
        <v>1</v>
      </c>
      <c r="L710" s="352" t="s">
        <v>1311</v>
      </c>
      <c r="M710" s="352">
        <v>10</v>
      </c>
      <c r="N710" s="352" t="s">
        <v>31</v>
      </c>
      <c r="O710" s="351">
        <v>1</v>
      </c>
      <c r="P710" s="349" t="s">
        <v>1836</v>
      </c>
      <c r="R710" s="349">
        <f t="shared" si="11"/>
        <v>7</v>
      </c>
      <c r="S710" s="352"/>
      <c r="T710" s="352"/>
      <c r="U710" s="352"/>
      <c r="V710" s="353"/>
      <c r="W710" s="352"/>
      <c r="X710" s="176"/>
      <c r="Y710" s="176"/>
      <c r="Z710" s="352"/>
      <c r="AA710" s="352"/>
      <c r="AB710" s="352"/>
      <c r="AC710" s="352"/>
      <c r="AD710" s="352"/>
    </row>
    <row r="711" spans="1:30" ht="76.900000000000006" hidden="1" x14ac:dyDescent="0.35">
      <c r="A711" s="349">
        <v>710</v>
      </c>
      <c r="B711" s="352" t="s">
        <v>2560</v>
      </c>
      <c r="C711" s="351" t="s">
        <v>4340</v>
      </c>
      <c r="D711" s="352" t="s">
        <v>2940</v>
      </c>
      <c r="E711" s="352" t="s">
        <v>2562</v>
      </c>
      <c r="F711" s="353">
        <v>11.08</v>
      </c>
      <c r="G711" s="352" t="s">
        <v>1107</v>
      </c>
      <c r="H711" s="176" t="s">
        <v>804</v>
      </c>
      <c r="I711" s="176" t="s">
        <v>805</v>
      </c>
      <c r="J711" s="352" t="s">
        <v>828</v>
      </c>
      <c r="K711" s="352">
        <v>2</v>
      </c>
      <c r="L711" s="352" t="s">
        <v>4022</v>
      </c>
      <c r="M711" s="351">
        <v>0.5</v>
      </c>
      <c r="N711" s="351" t="s">
        <v>1109</v>
      </c>
      <c r="O711" s="351">
        <v>2</v>
      </c>
      <c r="P711" s="349" t="s">
        <v>1850</v>
      </c>
      <c r="R711" s="349">
        <f t="shared" si="11"/>
        <v>12</v>
      </c>
      <c r="S711" s="352"/>
      <c r="T711" s="352"/>
      <c r="U711" s="352"/>
      <c r="V711" s="353"/>
      <c r="W711" s="352"/>
      <c r="X711" s="176"/>
      <c r="Y711" s="176"/>
      <c r="Z711" s="352"/>
      <c r="AA711" s="352"/>
      <c r="AB711" s="352"/>
      <c r="AC711" s="351"/>
      <c r="AD711" s="351"/>
    </row>
    <row r="712" spans="1:30" ht="76.900000000000006" hidden="1" x14ac:dyDescent="0.35">
      <c r="A712" s="349">
        <v>711</v>
      </c>
      <c r="B712" s="352" t="s">
        <v>2560</v>
      </c>
      <c r="C712" s="351" t="s">
        <v>4340</v>
      </c>
      <c r="D712" s="352" t="s">
        <v>2940</v>
      </c>
      <c r="E712" s="352" t="s">
        <v>1998</v>
      </c>
      <c r="F712" s="353">
        <v>0.41870000000000002</v>
      </c>
      <c r="G712" s="352" t="s">
        <v>2126</v>
      </c>
      <c r="H712" s="176" t="s">
        <v>1252</v>
      </c>
      <c r="I712" s="176" t="s">
        <v>805</v>
      </c>
      <c r="J712" s="352" t="s">
        <v>22</v>
      </c>
      <c r="K712" s="352">
        <v>0.25</v>
      </c>
      <c r="L712" s="352" t="s">
        <v>4023</v>
      </c>
      <c r="M712" s="351"/>
      <c r="N712" s="351"/>
      <c r="O712" s="351">
        <v>0.25</v>
      </c>
      <c r="P712" s="349" t="s">
        <v>1850</v>
      </c>
      <c r="R712" s="349">
        <f t="shared" si="11"/>
        <v>12</v>
      </c>
      <c r="S712" s="352"/>
      <c r="T712" s="352"/>
      <c r="U712" s="352"/>
      <c r="V712" s="353"/>
      <c r="W712" s="352"/>
      <c r="X712" s="176"/>
      <c r="Y712" s="176"/>
      <c r="Z712" s="352"/>
      <c r="AA712" s="352"/>
      <c r="AB712" s="352"/>
      <c r="AC712" s="351"/>
      <c r="AD712" s="351"/>
    </row>
    <row r="713" spans="1:30" ht="76.900000000000006" hidden="1" x14ac:dyDescent="0.35">
      <c r="A713" s="349">
        <v>712</v>
      </c>
      <c r="B713" s="352" t="s">
        <v>2560</v>
      </c>
      <c r="C713" s="351" t="s">
        <v>4340</v>
      </c>
      <c r="D713" s="352" t="s">
        <v>2940</v>
      </c>
      <c r="E713" s="352" t="s">
        <v>4024</v>
      </c>
      <c r="F713" s="353">
        <v>48.261200000000002</v>
      </c>
      <c r="G713" s="352" t="s">
        <v>2126</v>
      </c>
      <c r="H713" s="176" t="s">
        <v>1252</v>
      </c>
      <c r="I713" s="176" t="s">
        <v>805</v>
      </c>
      <c r="J713" s="352" t="s">
        <v>4025</v>
      </c>
      <c r="K713" s="352">
        <v>0.1</v>
      </c>
      <c r="L713" s="352" t="s">
        <v>4026</v>
      </c>
      <c r="M713" s="352">
        <v>20</v>
      </c>
      <c r="N713" s="352" t="s">
        <v>1109</v>
      </c>
      <c r="O713" s="351">
        <v>0.1</v>
      </c>
      <c r="P713" s="349" t="s">
        <v>1850</v>
      </c>
      <c r="R713" s="349">
        <f t="shared" si="11"/>
        <v>12</v>
      </c>
      <c r="S713" s="352"/>
      <c r="T713" s="352"/>
      <c r="U713" s="352"/>
      <c r="V713" s="353"/>
      <c r="W713" s="352"/>
      <c r="X713" s="176"/>
      <c r="Y713" s="176"/>
      <c r="Z713" s="352"/>
      <c r="AA713" s="352"/>
      <c r="AB713" s="352"/>
      <c r="AC713" s="351"/>
      <c r="AD713" s="351"/>
    </row>
    <row r="714" spans="1:30" ht="51.3" hidden="1" x14ac:dyDescent="0.35">
      <c r="A714" s="349">
        <v>713</v>
      </c>
      <c r="B714" s="352" t="s">
        <v>1533</v>
      </c>
      <c r="C714" s="351" t="s">
        <v>1822</v>
      </c>
      <c r="D714" s="352" t="s">
        <v>1822</v>
      </c>
      <c r="E714" s="352" t="s">
        <v>1995</v>
      </c>
      <c r="F714" s="353">
        <v>0.65</v>
      </c>
      <c r="G714" s="352" t="s">
        <v>2126</v>
      </c>
      <c r="H714" s="176" t="s">
        <v>2261</v>
      </c>
      <c r="I714" s="176" t="s">
        <v>2262</v>
      </c>
      <c r="J714" s="352" t="s">
        <v>3580</v>
      </c>
      <c r="K714" s="352">
        <v>400</v>
      </c>
      <c r="L714" s="352" t="s">
        <v>3581</v>
      </c>
      <c r="M714" s="352"/>
      <c r="N714" s="352"/>
      <c r="O714" s="351">
        <v>400</v>
      </c>
      <c r="P714" s="349" t="s">
        <v>1836</v>
      </c>
      <c r="R714" s="349">
        <f t="shared" si="11"/>
        <v>10</v>
      </c>
      <c r="S714" s="352"/>
      <c r="T714" s="352"/>
      <c r="U714" s="352"/>
      <c r="V714" s="353"/>
      <c r="W714" s="352"/>
      <c r="X714" s="176"/>
      <c r="Y714" s="176"/>
      <c r="Z714" s="352"/>
      <c r="AA714" s="352"/>
      <c r="AB714" s="352"/>
      <c r="AC714" s="351"/>
      <c r="AD714" s="351"/>
    </row>
    <row r="715" spans="1:30" ht="64.099999999999994" hidden="1" x14ac:dyDescent="0.35">
      <c r="A715" s="349">
        <v>714</v>
      </c>
      <c r="B715" s="352" t="s">
        <v>1787</v>
      </c>
      <c r="C715" s="351" t="s">
        <v>1671</v>
      </c>
      <c r="D715" s="352" t="s">
        <v>1671</v>
      </c>
      <c r="E715" s="352" t="s">
        <v>2013</v>
      </c>
      <c r="F715" s="353">
        <v>0.15</v>
      </c>
      <c r="G715" s="352" t="s">
        <v>2126</v>
      </c>
      <c r="H715" s="37" t="s">
        <v>428</v>
      </c>
      <c r="I715" s="176" t="s">
        <v>429</v>
      </c>
      <c r="J715" s="352" t="s">
        <v>2896</v>
      </c>
      <c r="K715" s="351">
        <v>125</v>
      </c>
      <c r="L715" s="351" t="s">
        <v>23</v>
      </c>
      <c r="M715" s="352"/>
      <c r="N715" s="352"/>
      <c r="O715" s="351">
        <v>125</v>
      </c>
      <c r="P715" s="349" t="s">
        <v>1836</v>
      </c>
      <c r="R715" s="349">
        <f t="shared" si="11"/>
        <v>12</v>
      </c>
      <c r="S715" s="352"/>
      <c r="T715" s="352"/>
      <c r="U715" s="352"/>
      <c r="V715" s="353"/>
      <c r="W715" s="352"/>
      <c r="X715" s="176"/>
      <c r="Y715" s="176"/>
      <c r="Z715" s="352"/>
      <c r="AA715" s="352"/>
      <c r="AB715" s="352"/>
      <c r="AC715" s="351"/>
      <c r="AD715" s="351"/>
    </row>
    <row r="716" spans="1:30" ht="64.099999999999994" hidden="1" x14ac:dyDescent="0.35">
      <c r="A716" s="349">
        <v>715</v>
      </c>
      <c r="B716" s="352" t="s">
        <v>1787</v>
      </c>
      <c r="C716" s="351" t="s">
        <v>1671</v>
      </c>
      <c r="D716" s="352" t="s">
        <v>1671</v>
      </c>
      <c r="E716" s="352" t="s">
        <v>2013</v>
      </c>
      <c r="F716" s="353">
        <v>0.25</v>
      </c>
      <c r="G716" s="352" t="s">
        <v>2126</v>
      </c>
      <c r="H716" s="176" t="s">
        <v>428</v>
      </c>
      <c r="I716" s="176" t="s">
        <v>429</v>
      </c>
      <c r="J716" s="352" t="s">
        <v>2896</v>
      </c>
      <c r="K716" s="352">
        <v>250</v>
      </c>
      <c r="L716" s="352" t="s">
        <v>23</v>
      </c>
      <c r="M716" s="351"/>
      <c r="N716" s="351"/>
      <c r="O716" s="351">
        <v>250</v>
      </c>
      <c r="P716" s="349" t="s">
        <v>1836</v>
      </c>
      <c r="R716" s="349">
        <f t="shared" si="11"/>
        <v>12</v>
      </c>
      <c r="S716" s="352"/>
      <c r="T716" s="352"/>
      <c r="U716" s="352"/>
      <c r="V716" s="353"/>
      <c r="W716" s="352"/>
      <c r="X716" s="176"/>
      <c r="Y716" s="176"/>
      <c r="Z716" s="352"/>
      <c r="AA716" s="351"/>
      <c r="AB716" s="351"/>
      <c r="AC716" s="352"/>
      <c r="AD716" s="352"/>
    </row>
    <row r="717" spans="1:30" ht="64.099999999999994" hidden="1" x14ac:dyDescent="0.35">
      <c r="A717" s="349">
        <v>716</v>
      </c>
      <c r="B717" s="352" t="s">
        <v>1787</v>
      </c>
      <c r="C717" s="351" t="s">
        <v>1671</v>
      </c>
      <c r="D717" s="352" t="s">
        <v>1671</v>
      </c>
      <c r="E717" s="352" t="s">
        <v>1788</v>
      </c>
      <c r="F717" s="353">
        <v>15</v>
      </c>
      <c r="G717" s="352" t="s">
        <v>2126</v>
      </c>
      <c r="H717" s="176" t="s">
        <v>428</v>
      </c>
      <c r="I717" s="176" t="s">
        <v>429</v>
      </c>
      <c r="J717" s="352" t="s">
        <v>3579</v>
      </c>
      <c r="K717" s="352">
        <v>62.5</v>
      </c>
      <c r="L717" s="352" t="s">
        <v>1116</v>
      </c>
      <c r="M717" s="352">
        <v>250</v>
      </c>
      <c r="N717" s="352" t="s">
        <v>1109</v>
      </c>
      <c r="O717" s="351">
        <v>62.5</v>
      </c>
      <c r="P717" s="349" t="s">
        <v>1836</v>
      </c>
      <c r="R717" s="349">
        <f t="shared" si="11"/>
        <v>12</v>
      </c>
      <c r="S717" s="352"/>
      <c r="T717" s="352"/>
      <c r="U717" s="352"/>
      <c r="V717" s="353"/>
      <c r="W717" s="352"/>
      <c r="X717" s="176"/>
      <c r="Y717" s="176"/>
      <c r="Z717" s="352"/>
      <c r="AA717" s="351"/>
      <c r="AB717" s="351"/>
      <c r="AC717" s="351"/>
      <c r="AD717" s="351"/>
    </row>
    <row r="718" spans="1:30" hidden="1" x14ac:dyDescent="0.35">
      <c r="A718" s="349">
        <v>717</v>
      </c>
      <c r="B718" s="352" t="s">
        <v>807</v>
      </c>
      <c r="C718" s="351" t="s">
        <v>3400</v>
      </c>
      <c r="D718" s="352" t="s">
        <v>3400</v>
      </c>
      <c r="E718" s="352" t="s">
        <v>1067</v>
      </c>
      <c r="F718" s="353">
        <v>14.99</v>
      </c>
      <c r="G718" s="352" t="s">
        <v>28</v>
      </c>
      <c r="H718" s="176"/>
      <c r="I718" s="176" t="s">
        <v>4829</v>
      </c>
      <c r="J718" s="352" t="s">
        <v>1068</v>
      </c>
      <c r="K718" s="352"/>
      <c r="L718" s="352"/>
      <c r="M718" s="352">
        <v>150</v>
      </c>
      <c r="N718" s="352" t="s">
        <v>1109</v>
      </c>
      <c r="O718" s="351">
        <v>0</v>
      </c>
      <c r="P718" s="349" t="s">
        <v>1837</v>
      </c>
      <c r="R718" s="349">
        <f t="shared" si="11"/>
        <v>13</v>
      </c>
      <c r="S718" s="352"/>
      <c r="T718" s="352"/>
      <c r="U718" s="352"/>
      <c r="V718" s="353"/>
      <c r="W718" s="352"/>
      <c r="X718" s="176"/>
      <c r="Y718" s="176"/>
      <c r="Z718" s="352"/>
      <c r="AA718" s="351"/>
      <c r="AB718" s="351"/>
      <c r="AC718" s="351"/>
      <c r="AD718" s="351"/>
    </row>
    <row r="719" spans="1:30" ht="64.099999999999994" hidden="1" x14ac:dyDescent="0.35">
      <c r="A719" s="349">
        <v>718</v>
      </c>
      <c r="B719" s="352" t="s">
        <v>1787</v>
      </c>
      <c r="C719" s="351" t="s">
        <v>4341</v>
      </c>
      <c r="D719" s="352" t="s">
        <v>1671</v>
      </c>
      <c r="E719" s="352" t="s">
        <v>2013</v>
      </c>
      <c r="F719" s="353">
        <v>0.15</v>
      </c>
      <c r="G719" s="352" t="s">
        <v>2126</v>
      </c>
      <c r="H719" s="176" t="s">
        <v>428</v>
      </c>
      <c r="I719" s="176" t="s">
        <v>429</v>
      </c>
      <c r="J719" s="352" t="s">
        <v>2896</v>
      </c>
      <c r="K719" s="352">
        <v>125</v>
      </c>
      <c r="L719" s="352" t="s">
        <v>23</v>
      </c>
      <c r="M719" s="352"/>
      <c r="N719" s="352"/>
      <c r="O719" s="351">
        <v>125</v>
      </c>
      <c r="P719" s="349" t="s">
        <v>1836</v>
      </c>
      <c r="R719" s="349">
        <f t="shared" si="11"/>
        <v>12</v>
      </c>
      <c r="S719" s="352"/>
      <c r="T719" s="352"/>
      <c r="U719" s="352"/>
      <c r="V719" s="353"/>
      <c r="W719" s="352"/>
      <c r="X719" s="176"/>
      <c r="Y719" s="176"/>
      <c r="Z719" s="352"/>
      <c r="AA719" s="351"/>
      <c r="AB719" s="351"/>
      <c r="AC719" s="352"/>
      <c r="AD719" s="352"/>
    </row>
    <row r="720" spans="1:30" ht="64.099999999999994" hidden="1" x14ac:dyDescent="0.35">
      <c r="A720" s="349">
        <v>719</v>
      </c>
      <c r="B720" s="352" t="s">
        <v>1787</v>
      </c>
      <c r="C720" s="351" t="s">
        <v>4341</v>
      </c>
      <c r="D720" s="352" t="s">
        <v>1671</v>
      </c>
      <c r="E720" s="352" t="s">
        <v>2013</v>
      </c>
      <c r="F720" s="353">
        <v>0.25</v>
      </c>
      <c r="G720" s="352" t="s">
        <v>2126</v>
      </c>
      <c r="H720" s="176" t="s">
        <v>428</v>
      </c>
      <c r="I720" s="176" t="s">
        <v>429</v>
      </c>
      <c r="J720" s="352" t="s">
        <v>2896</v>
      </c>
      <c r="K720" s="352">
        <v>250</v>
      </c>
      <c r="L720" s="352" t="s">
        <v>23</v>
      </c>
      <c r="M720" s="352"/>
      <c r="N720" s="352"/>
      <c r="O720" s="351">
        <v>250</v>
      </c>
      <c r="P720" s="349" t="s">
        <v>1836</v>
      </c>
      <c r="R720" s="349">
        <f t="shared" si="11"/>
        <v>12</v>
      </c>
      <c r="S720" s="352"/>
      <c r="T720" s="352"/>
      <c r="U720" s="352"/>
      <c r="V720" s="353"/>
      <c r="W720" s="352"/>
      <c r="X720" s="176"/>
      <c r="Y720" s="176"/>
      <c r="Z720" s="352"/>
      <c r="AA720" s="351"/>
      <c r="AB720" s="351"/>
      <c r="AC720" s="352"/>
      <c r="AD720" s="352"/>
    </row>
    <row r="721" spans="1:30" ht="64.099999999999994" hidden="1" x14ac:dyDescent="0.35">
      <c r="A721" s="349">
        <v>720</v>
      </c>
      <c r="B721" s="352" t="s">
        <v>1787</v>
      </c>
      <c r="C721" s="351" t="s">
        <v>4341</v>
      </c>
      <c r="D721" s="352" t="s">
        <v>1671</v>
      </c>
      <c r="E721" s="352" t="s">
        <v>1788</v>
      </c>
      <c r="F721" s="353">
        <v>15</v>
      </c>
      <c r="G721" s="352" t="s">
        <v>2126</v>
      </c>
      <c r="H721" s="176" t="s">
        <v>428</v>
      </c>
      <c r="I721" s="176" t="s">
        <v>429</v>
      </c>
      <c r="J721" s="352" t="s">
        <v>3579</v>
      </c>
      <c r="K721" s="352">
        <v>62.5</v>
      </c>
      <c r="L721" s="352" t="s">
        <v>1116</v>
      </c>
      <c r="M721" s="352">
        <v>250</v>
      </c>
      <c r="N721" s="352" t="s">
        <v>1109</v>
      </c>
      <c r="O721" s="351">
        <v>62.5</v>
      </c>
      <c r="P721" s="349" t="s">
        <v>1836</v>
      </c>
      <c r="R721" s="349">
        <f t="shared" si="11"/>
        <v>12</v>
      </c>
      <c r="S721" s="352"/>
      <c r="T721" s="352"/>
      <c r="U721" s="352"/>
      <c r="V721" s="353"/>
      <c r="W721" s="352"/>
      <c r="X721" s="176"/>
      <c r="Y721" s="176"/>
      <c r="Z721" s="352"/>
      <c r="AA721" s="351"/>
      <c r="AB721" s="351"/>
      <c r="AC721" s="351"/>
      <c r="AD721" s="351"/>
    </row>
    <row r="722" spans="1:30" ht="76.900000000000006" hidden="1" x14ac:dyDescent="0.35">
      <c r="A722" s="349">
        <v>721</v>
      </c>
      <c r="B722" s="352" t="s">
        <v>1073</v>
      </c>
      <c r="C722" s="351" t="s">
        <v>3168</v>
      </c>
      <c r="D722" s="352" t="s">
        <v>3168</v>
      </c>
      <c r="E722" s="352" t="s">
        <v>2857</v>
      </c>
      <c r="F722" s="353">
        <v>5.13</v>
      </c>
      <c r="G722" s="352" t="s">
        <v>1107</v>
      </c>
      <c r="H722" s="176" t="s">
        <v>2736</v>
      </c>
      <c r="I722" s="176" t="s">
        <v>1508</v>
      </c>
      <c r="J722" s="352" t="s">
        <v>828</v>
      </c>
      <c r="K722" s="352">
        <v>2</v>
      </c>
      <c r="L722" s="352" t="s">
        <v>1116</v>
      </c>
      <c r="M722" s="352">
        <v>10</v>
      </c>
      <c r="N722" s="352" t="s">
        <v>1109</v>
      </c>
      <c r="O722" s="351">
        <v>2</v>
      </c>
      <c r="P722" s="349" t="s">
        <v>1836</v>
      </c>
      <c r="R722" s="349">
        <f t="shared" si="11"/>
        <v>9</v>
      </c>
      <c r="S722" s="352"/>
      <c r="T722" s="352"/>
      <c r="U722" s="352"/>
      <c r="V722" s="353"/>
      <c r="W722" s="352"/>
      <c r="X722" s="176"/>
      <c r="Y722" s="176"/>
      <c r="Z722" s="352"/>
      <c r="AA722" s="351"/>
      <c r="AB722" s="351"/>
      <c r="AC722" s="351"/>
      <c r="AD722" s="351"/>
    </row>
    <row r="723" spans="1:30" ht="76.900000000000006" hidden="1" x14ac:dyDescent="0.35">
      <c r="A723" s="349">
        <v>722</v>
      </c>
      <c r="B723" s="352" t="s">
        <v>1073</v>
      </c>
      <c r="C723" s="351" t="s">
        <v>4342</v>
      </c>
      <c r="D723" s="352" t="s">
        <v>3168</v>
      </c>
      <c r="E723" s="352" t="s">
        <v>2857</v>
      </c>
      <c r="F723" s="353">
        <v>5.13</v>
      </c>
      <c r="G723" s="352" t="s">
        <v>1107</v>
      </c>
      <c r="H723" s="176" t="s">
        <v>2736</v>
      </c>
      <c r="I723" s="176" t="s">
        <v>1508</v>
      </c>
      <c r="J723" s="352" t="s">
        <v>828</v>
      </c>
      <c r="K723" s="352">
        <v>2</v>
      </c>
      <c r="L723" s="352" t="s">
        <v>1116</v>
      </c>
      <c r="M723" s="352">
        <v>10</v>
      </c>
      <c r="N723" s="352" t="s">
        <v>1109</v>
      </c>
      <c r="O723" s="351">
        <v>2</v>
      </c>
      <c r="P723" s="349" t="s">
        <v>1836</v>
      </c>
      <c r="R723" s="349">
        <f t="shared" si="11"/>
        <v>9</v>
      </c>
      <c r="S723" s="352"/>
      <c r="T723" s="352"/>
      <c r="U723" s="352"/>
      <c r="V723" s="353"/>
      <c r="W723" s="352"/>
      <c r="X723" s="176"/>
      <c r="Y723" s="176"/>
      <c r="Z723" s="352"/>
      <c r="AA723" s="351"/>
      <c r="AB723" s="351"/>
      <c r="AC723" s="352"/>
      <c r="AD723" s="352"/>
    </row>
    <row r="724" spans="1:30" ht="38.450000000000003" hidden="1" x14ac:dyDescent="0.35">
      <c r="A724" s="349">
        <v>723</v>
      </c>
      <c r="B724" s="352" t="s">
        <v>1080</v>
      </c>
      <c r="C724" s="351" t="s">
        <v>209</v>
      </c>
      <c r="D724" s="352" t="s">
        <v>209</v>
      </c>
      <c r="E724" s="352" t="s">
        <v>827</v>
      </c>
      <c r="F724" s="353">
        <v>12.0543</v>
      </c>
      <c r="G724" s="352" t="s">
        <v>1107</v>
      </c>
      <c r="H724" s="37" t="s">
        <v>2218</v>
      </c>
      <c r="I724" s="176" t="s">
        <v>1357</v>
      </c>
      <c r="J724" s="352" t="s">
        <v>828</v>
      </c>
      <c r="K724" s="352">
        <v>20</v>
      </c>
      <c r="L724" s="352" t="s">
        <v>1116</v>
      </c>
      <c r="M724" s="351">
        <v>5</v>
      </c>
      <c r="N724" s="351" t="s">
        <v>1109</v>
      </c>
      <c r="O724" s="351">
        <v>20</v>
      </c>
      <c r="P724" s="349" t="s">
        <v>1836</v>
      </c>
      <c r="R724" s="349">
        <f t="shared" si="11"/>
        <v>9</v>
      </c>
      <c r="S724" s="352"/>
      <c r="T724" s="352"/>
      <c r="U724" s="352"/>
      <c r="V724" s="353"/>
      <c r="W724" s="352"/>
      <c r="X724" s="176"/>
      <c r="Y724" s="176"/>
      <c r="Z724" s="352"/>
      <c r="AA724" s="352"/>
      <c r="AB724" s="352"/>
      <c r="AC724" s="351"/>
      <c r="AD724" s="351"/>
    </row>
    <row r="725" spans="1:30" ht="25.65" hidden="1" x14ac:dyDescent="0.35">
      <c r="A725" s="349">
        <v>724</v>
      </c>
      <c r="B725" s="352" t="s">
        <v>959</v>
      </c>
      <c r="C725" s="351" t="s">
        <v>254</v>
      </c>
      <c r="D725" s="352" t="s">
        <v>254</v>
      </c>
      <c r="E725" s="352" t="s">
        <v>554</v>
      </c>
      <c r="F725" s="353">
        <v>3.3056000000000001</v>
      </c>
      <c r="G725" s="352" t="s">
        <v>34</v>
      </c>
      <c r="H725" s="176" t="s">
        <v>255</v>
      </c>
      <c r="I725" s="176" t="s">
        <v>256</v>
      </c>
      <c r="J725" s="352" t="s">
        <v>555</v>
      </c>
      <c r="K725" s="352">
        <v>50</v>
      </c>
      <c r="L725" s="352" t="s">
        <v>470</v>
      </c>
      <c r="M725" s="351">
        <v>50</v>
      </c>
      <c r="N725" s="351" t="s">
        <v>31</v>
      </c>
      <c r="O725" s="351">
        <v>50</v>
      </c>
      <c r="P725" s="349" t="s">
        <v>1838</v>
      </c>
      <c r="R725" s="349">
        <f t="shared" si="11"/>
        <v>8</v>
      </c>
      <c r="S725" s="352"/>
      <c r="T725" s="352"/>
      <c r="U725" s="352"/>
      <c r="V725" s="353"/>
      <c r="W725" s="352"/>
      <c r="X725" s="176"/>
      <c r="Y725" s="176"/>
      <c r="Z725" s="352"/>
      <c r="AA725" s="352"/>
      <c r="AB725" s="352"/>
      <c r="AC725" s="351"/>
      <c r="AD725" s="351"/>
    </row>
    <row r="726" spans="1:30" ht="25.65" hidden="1" x14ac:dyDescent="0.35">
      <c r="A726" s="349">
        <v>725</v>
      </c>
      <c r="B726" s="352" t="s">
        <v>959</v>
      </c>
      <c r="C726" s="351" t="s">
        <v>4343</v>
      </c>
      <c r="D726" s="352" t="s">
        <v>254</v>
      </c>
      <c r="E726" s="352" t="s">
        <v>554</v>
      </c>
      <c r="F726" s="353">
        <v>3.3056000000000001</v>
      </c>
      <c r="G726" s="352" t="s">
        <v>34</v>
      </c>
      <c r="H726" s="176" t="s">
        <v>255</v>
      </c>
      <c r="I726" s="176" t="s">
        <v>256</v>
      </c>
      <c r="J726" s="352" t="s">
        <v>555</v>
      </c>
      <c r="K726" s="352">
        <v>50</v>
      </c>
      <c r="L726" s="352" t="s">
        <v>470</v>
      </c>
      <c r="M726" s="351">
        <v>50</v>
      </c>
      <c r="N726" s="351" t="s">
        <v>31</v>
      </c>
      <c r="O726" s="351">
        <v>50</v>
      </c>
      <c r="P726" s="349" t="s">
        <v>1838</v>
      </c>
      <c r="R726" s="349">
        <f t="shared" si="11"/>
        <v>8</v>
      </c>
      <c r="S726" s="352"/>
      <c r="T726" s="352"/>
      <c r="U726" s="352"/>
      <c r="V726" s="353"/>
      <c r="W726" s="352"/>
      <c r="X726" s="176"/>
      <c r="Y726" s="176"/>
      <c r="Z726" s="352"/>
      <c r="AA726" s="352"/>
      <c r="AB726" s="352"/>
      <c r="AC726" s="352"/>
      <c r="AD726" s="352"/>
    </row>
    <row r="727" spans="1:30" ht="51.3" hidden="1" x14ac:dyDescent="0.35">
      <c r="A727" s="349">
        <v>726</v>
      </c>
      <c r="B727" s="352" t="s">
        <v>1322</v>
      </c>
      <c r="C727" s="351" t="s">
        <v>4344</v>
      </c>
      <c r="D727" s="352" t="s">
        <v>988</v>
      </c>
      <c r="E727" s="352" t="s">
        <v>2019</v>
      </c>
      <c r="F727" s="353">
        <v>2.1999999999999999E-2</v>
      </c>
      <c r="G727" s="352" t="s">
        <v>34</v>
      </c>
      <c r="H727" s="176"/>
      <c r="I727" s="176" t="s">
        <v>1765</v>
      </c>
      <c r="J727" s="352" t="s">
        <v>961</v>
      </c>
      <c r="K727" s="352">
        <v>2.5</v>
      </c>
      <c r="L727" s="352" t="s">
        <v>30</v>
      </c>
      <c r="M727" s="351"/>
      <c r="N727" s="351"/>
      <c r="O727" s="351">
        <v>2.5</v>
      </c>
      <c r="P727" s="349" t="s">
        <v>1836</v>
      </c>
      <c r="R727" s="349">
        <f t="shared" si="11"/>
        <v>12</v>
      </c>
      <c r="S727" s="352"/>
      <c r="T727" s="352"/>
      <c r="U727" s="352"/>
      <c r="V727" s="353"/>
      <c r="W727" s="352"/>
      <c r="X727" s="176"/>
      <c r="Y727" s="176"/>
      <c r="Z727" s="352"/>
      <c r="AA727" s="352"/>
      <c r="AB727" s="352"/>
      <c r="AC727" s="351"/>
      <c r="AD727" s="351"/>
    </row>
    <row r="728" spans="1:30" ht="243.55" hidden="1" x14ac:dyDescent="0.35">
      <c r="A728" s="349">
        <v>727</v>
      </c>
      <c r="B728" s="352" t="s">
        <v>2051</v>
      </c>
      <c r="C728" s="351" t="s">
        <v>4345</v>
      </c>
      <c r="D728" s="352" t="s">
        <v>2666</v>
      </c>
      <c r="E728" s="352" t="s">
        <v>1995</v>
      </c>
      <c r="F728" s="353">
        <v>6.6100000000000006E-2</v>
      </c>
      <c r="G728" s="352" t="s">
        <v>2126</v>
      </c>
      <c r="H728" s="176" t="s">
        <v>4645</v>
      </c>
      <c r="I728" s="37" t="s">
        <v>5074</v>
      </c>
      <c r="J728" s="352" t="s">
        <v>3580</v>
      </c>
      <c r="K728" s="352">
        <v>25</v>
      </c>
      <c r="L728" s="352" t="s">
        <v>1757</v>
      </c>
      <c r="M728" s="351"/>
      <c r="N728" s="351"/>
      <c r="O728" s="351">
        <v>25</v>
      </c>
      <c r="P728" s="349" t="s">
        <v>1850</v>
      </c>
      <c r="R728" s="349">
        <f t="shared" si="11"/>
        <v>13</v>
      </c>
      <c r="S728" s="352"/>
      <c r="T728" s="352"/>
      <c r="U728" s="352"/>
      <c r="V728" s="353"/>
      <c r="W728" s="352"/>
      <c r="X728" s="176"/>
      <c r="Y728" s="176"/>
      <c r="Z728" s="352"/>
      <c r="AA728" s="352"/>
      <c r="AB728" s="352"/>
      <c r="AC728" s="351"/>
      <c r="AD728" s="351"/>
    </row>
    <row r="729" spans="1:30" ht="243.55" hidden="1" x14ac:dyDescent="0.35">
      <c r="A729" s="349">
        <v>728</v>
      </c>
      <c r="B729" s="352" t="s">
        <v>2051</v>
      </c>
      <c r="C729" s="351" t="s">
        <v>4345</v>
      </c>
      <c r="D729" s="352" t="s">
        <v>2666</v>
      </c>
      <c r="E729" s="352" t="s">
        <v>1995</v>
      </c>
      <c r="F729" s="353">
        <v>0.09</v>
      </c>
      <c r="G729" s="352" t="s">
        <v>2126</v>
      </c>
      <c r="H729" s="176" t="s">
        <v>4645</v>
      </c>
      <c r="I729" s="176" t="s">
        <v>5074</v>
      </c>
      <c r="J729" s="352" t="s">
        <v>3580</v>
      </c>
      <c r="K729" s="352">
        <v>50</v>
      </c>
      <c r="L729" s="352" t="s">
        <v>1757</v>
      </c>
      <c r="M729" s="352"/>
      <c r="N729" s="352"/>
      <c r="O729" s="351">
        <v>50</v>
      </c>
      <c r="P729" s="349" t="s">
        <v>1850</v>
      </c>
      <c r="R729" s="349">
        <f t="shared" si="11"/>
        <v>13</v>
      </c>
      <c r="S729" s="352"/>
      <c r="T729" s="352"/>
      <c r="U729" s="352"/>
      <c r="V729" s="353"/>
      <c r="W729" s="352"/>
      <c r="X729" s="176"/>
      <c r="Y729" s="176"/>
      <c r="Z729" s="352"/>
      <c r="AA729" s="352"/>
      <c r="AB729" s="352"/>
      <c r="AC729" s="351"/>
      <c r="AD729" s="351"/>
    </row>
    <row r="730" spans="1:30" ht="243.55" hidden="1" x14ac:dyDescent="0.35">
      <c r="A730" s="349">
        <v>729</v>
      </c>
      <c r="B730" s="352" t="s">
        <v>2051</v>
      </c>
      <c r="C730" s="351" t="s">
        <v>4345</v>
      </c>
      <c r="D730" s="352" t="s">
        <v>2666</v>
      </c>
      <c r="E730" s="352" t="s">
        <v>1995</v>
      </c>
      <c r="F730" s="353">
        <v>0.1</v>
      </c>
      <c r="G730" s="352" t="s">
        <v>2126</v>
      </c>
      <c r="H730" s="176" t="s">
        <v>4645</v>
      </c>
      <c r="I730" s="176" t="s">
        <v>5074</v>
      </c>
      <c r="J730" s="352" t="s">
        <v>3580</v>
      </c>
      <c r="K730" s="352">
        <v>100</v>
      </c>
      <c r="L730" s="352" t="s">
        <v>1757</v>
      </c>
      <c r="M730" s="352"/>
      <c r="N730" s="352"/>
      <c r="O730" s="351">
        <v>100</v>
      </c>
      <c r="P730" s="349" t="s">
        <v>1850</v>
      </c>
      <c r="R730" s="349">
        <f t="shared" si="11"/>
        <v>13</v>
      </c>
      <c r="S730" s="352"/>
      <c r="T730" s="352"/>
      <c r="U730" s="352"/>
      <c r="V730" s="353"/>
      <c r="W730" s="352"/>
      <c r="X730" s="176"/>
      <c r="Y730" s="176"/>
      <c r="Z730" s="352"/>
      <c r="AA730" s="352"/>
      <c r="AB730" s="352"/>
      <c r="AC730" s="352"/>
      <c r="AD730" s="352"/>
    </row>
    <row r="731" spans="1:30" ht="25.65" hidden="1" x14ac:dyDescent="0.35">
      <c r="A731" s="349">
        <v>730</v>
      </c>
      <c r="B731" s="352" t="s">
        <v>3205</v>
      </c>
      <c r="C731" s="351" t="s">
        <v>4346</v>
      </c>
      <c r="D731" s="352" t="s">
        <v>3929</v>
      </c>
      <c r="E731" s="352" t="s">
        <v>1995</v>
      </c>
      <c r="F731" s="353">
        <v>1.8511</v>
      </c>
      <c r="G731" s="352" t="s">
        <v>2126</v>
      </c>
      <c r="H731" s="176" t="s">
        <v>926</v>
      </c>
      <c r="I731" s="176"/>
      <c r="J731" s="352" t="s">
        <v>3580</v>
      </c>
      <c r="K731" s="352">
        <v>500</v>
      </c>
      <c r="L731" s="352" t="s">
        <v>3581</v>
      </c>
      <c r="M731" s="351"/>
      <c r="N731" s="351"/>
      <c r="O731" s="351">
        <v>500</v>
      </c>
      <c r="P731" s="349" t="s">
        <v>1836</v>
      </c>
      <c r="R731" s="349">
        <f t="shared" si="11"/>
        <v>9</v>
      </c>
      <c r="S731" s="352"/>
      <c r="T731" s="352"/>
      <c r="U731" s="352"/>
      <c r="V731" s="353"/>
      <c r="W731" s="352"/>
      <c r="X731" s="176"/>
      <c r="Y731" s="176"/>
      <c r="Z731" s="352"/>
      <c r="AA731" s="352"/>
      <c r="AB731" s="352"/>
      <c r="AC731" s="351"/>
      <c r="AD731" s="351"/>
    </row>
    <row r="732" spans="1:30" ht="89.75" hidden="1" x14ac:dyDescent="0.35">
      <c r="A732" s="349">
        <v>731</v>
      </c>
      <c r="B732" s="352" t="s">
        <v>4029</v>
      </c>
      <c r="C732" s="351" t="s">
        <v>4347</v>
      </c>
      <c r="D732" s="352" t="s">
        <v>3282</v>
      </c>
      <c r="E732" s="352" t="s">
        <v>695</v>
      </c>
      <c r="F732" s="353">
        <v>4.41</v>
      </c>
      <c r="G732" s="352" t="s">
        <v>2126</v>
      </c>
      <c r="H732" s="176" t="s">
        <v>3550</v>
      </c>
      <c r="I732" s="176" t="s">
        <v>514</v>
      </c>
      <c r="J732" s="352" t="s">
        <v>4031</v>
      </c>
      <c r="K732" s="352">
        <v>50</v>
      </c>
      <c r="L732" s="352" t="s">
        <v>4026</v>
      </c>
      <c r="M732" s="351">
        <v>10</v>
      </c>
      <c r="N732" s="351" t="s">
        <v>1109</v>
      </c>
      <c r="O732" s="351">
        <v>50</v>
      </c>
      <c r="P732" s="349" t="s">
        <v>1850</v>
      </c>
      <c r="R732" s="349">
        <f t="shared" si="11"/>
        <v>11</v>
      </c>
      <c r="S732" s="352"/>
      <c r="T732" s="352"/>
      <c r="U732" s="352"/>
      <c r="V732" s="353"/>
      <c r="W732" s="352"/>
      <c r="X732" s="176"/>
      <c r="Y732" s="176"/>
      <c r="Z732" s="352"/>
      <c r="AA732" s="352"/>
      <c r="AB732" s="352"/>
      <c r="AC732" s="351"/>
      <c r="AD732" s="351"/>
    </row>
    <row r="733" spans="1:30" ht="205.1" hidden="1" x14ac:dyDescent="0.35">
      <c r="A733" s="349">
        <v>732</v>
      </c>
      <c r="B733" s="352" t="s">
        <v>1787</v>
      </c>
      <c r="C733" s="351" t="s">
        <v>4038</v>
      </c>
      <c r="D733" s="352" t="s">
        <v>4038</v>
      </c>
      <c r="E733" s="352" t="s">
        <v>2855</v>
      </c>
      <c r="F733" s="353">
        <v>0.35</v>
      </c>
      <c r="G733" s="352" t="s">
        <v>1107</v>
      </c>
      <c r="H733" s="176" t="s">
        <v>3203</v>
      </c>
      <c r="I733" s="176" t="s">
        <v>4673</v>
      </c>
      <c r="J733" s="352" t="s">
        <v>828</v>
      </c>
      <c r="K733" s="352">
        <v>20</v>
      </c>
      <c r="L733" s="352" t="s">
        <v>1116</v>
      </c>
      <c r="M733" s="352">
        <v>1</v>
      </c>
      <c r="N733" s="352" t="s">
        <v>1109</v>
      </c>
      <c r="O733" s="351">
        <v>20</v>
      </c>
      <c r="P733" s="349" t="s">
        <v>1836</v>
      </c>
      <c r="R733" s="349">
        <f t="shared" si="11"/>
        <v>12</v>
      </c>
      <c r="S733" s="352"/>
      <c r="T733" s="352"/>
      <c r="U733" s="352"/>
      <c r="V733" s="353"/>
      <c r="W733" s="352"/>
      <c r="X733" s="176"/>
      <c r="Y733" s="176"/>
      <c r="Z733" s="352"/>
      <c r="AA733" s="352"/>
      <c r="AB733" s="352"/>
      <c r="AC733" s="352"/>
      <c r="AD733" s="352"/>
    </row>
    <row r="734" spans="1:30" ht="205.1" hidden="1" x14ac:dyDescent="0.35">
      <c r="A734" s="349">
        <v>733</v>
      </c>
      <c r="B734" s="352" t="s">
        <v>1787</v>
      </c>
      <c r="C734" s="351" t="s">
        <v>4038</v>
      </c>
      <c r="D734" s="352" t="s">
        <v>4038</v>
      </c>
      <c r="E734" s="352" t="s">
        <v>762</v>
      </c>
      <c r="F734" s="353">
        <v>0.45</v>
      </c>
      <c r="G734" s="352" t="s">
        <v>1107</v>
      </c>
      <c r="H734" s="176" t="s">
        <v>3203</v>
      </c>
      <c r="I734" s="176" t="s">
        <v>4673</v>
      </c>
      <c r="J734" s="352" t="s">
        <v>828</v>
      </c>
      <c r="K734" s="352">
        <v>50</v>
      </c>
      <c r="L734" s="352" t="s">
        <v>1116</v>
      </c>
      <c r="M734" s="352">
        <v>2</v>
      </c>
      <c r="N734" s="352" t="s">
        <v>1109</v>
      </c>
      <c r="O734" s="351">
        <v>50</v>
      </c>
      <c r="P734" s="349" t="s">
        <v>1836</v>
      </c>
      <c r="R734" s="349">
        <f t="shared" si="11"/>
        <v>12</v>
      </c>
      <c r="S734" s="352"/>
      <c r="T734" s="352"/>
      <c r="U734" s="352"/>
      <c r="V734" s="353"/>
      <c r="W734" s="352"/>
      <c r="X734" s="176"/>
      <c r="Y734" s="176"/>
      <c r="Z734" s="352"/>
      <c r="AA734" s="352"/>
      <c r="AB734" s="352"/>
      <c r="AC734" s="352"/>
      <c r="AD734" s="352"/>
    </row>
    <row r="735" spans="1:30" ht="192.25" hidden="1" x14ac:dyDescent="0.35">
      <c r="A735" s="349">
        <v>734</v>
      </c>
      <c r="B735" s="352" t="s">
        <v>1787</v>
      </c>
      <c r="C735" s="351" t="s">
        <v>4038</v>
      </c>
      <c r="D735" s="352" t="s">
        <v>4038</v>
      </c>
      <c r="E735" s="352" t="s">
        <v>2151</v>
      </c>
      <c r="F735" s="353">
        <v>6</v>
      </c>
      <c r="G735" s="352" t="s">
        <v>2126</v>
      </c>
      <c r="H735" s="176" t="s">
        <v>1075</v>
      </c>
      <c r="I735" s="176" t="s">
        <v>4673</v>
      </c>
      <c r="J735" s="352" t="s">
        <v>3579</v>
      </c>
      <c r="K735" s="351">
        <v>4</v>
      </c>
      <c r="L735" s="351" t="s">
        <v>1116</v>
      </c>
      <c r="M735" s="352">
        <v>30</v>
      </c>
      <c r="N735" s="352" t="s">
        <v>1109</v>
      </c>
      <c r="O735" s="351">
        <v>4</v>
      </c>
      <c r="P735" s="349" t="s">
        <v>1836</v>
      </c>
      <c r="R735" s="349">
        <f t="shared" si="11"/>
        <v>12</v>
      </c>
      <c r="S735" s="352"/>
      <c r="T735" s="352"/>
      <c r="U735" s="352"/>
      <c r="V735" s="353"/>
      <c r="W735" s="352"/>
      <c r="X735" s="176"/>
      <c r="Y735" s="176"/>
      <c r="Z735" s="352"/>
      <c r="AA735" s="352"/>
      <c r="AB735" s="352"/>
      <c r="AC735" s="351"/>
      <c r="AD735" s="351"/>
    </row>
    <row r="736" spans="1:30" ht="192.25" hidden="1" x14ac:dyDescent="0.35">
      <c r="A736" s="349">
        <v>735</v>
      </c>
      <c r="B736" s="352" t="s">
        <v>1787</v>
      </c>
      <c r="C736" s="351" t="s">
        <v>4038</v>
      </c>
      <c r="D736" s="352" t="s">
        <v>4038</v>
      </c>
      <c r="E736" s="352" t="s">
        <v>1995</v>
      </c>
      <c r="F736" s="353">
        <v>0.13</v>
      </c>
      <c r="G736" s="352" t="s">
        <v>2126</v>
      </c>
      <c r="H736" s="176" t="s">
        <v>1075</v>
      </c>
      <c r="I736" s="176" t="s">
        <v>4673</v>
      </c>
      <c r="J736" s="352" t="s">
        <v>3580</v>
      </c>
      <c r="K736" s="351">
        <v>25</v>
      </c>
      <c r="L736" s="351" t="s">
        <v>3581</v>
      </c>
      <c r="M736" s="352"/>
      <c r="N736" s="352"/>
      <c r="O736" s="351">
        <v>25</v>
      </c>
      <c r="P736" s="349" t="s">
        <v>1836</v>
      </c>
      <c r="R736" s="349">
        <f t="shared" si="11"/>
        <v>12</v>
      </c>
      <c r="S736" s="352"/>
      <c r="T736" s="352"/>
      <c r="U736" s="352"/>
      <c r="V736" s="353"/>
      <c r="W736" s="352"/>
      <c r="X736" s="176"/>
      <c r="Y736" s="176"/>
      <c r="Z736" s="352"/>
      <c r="AA736" s="352"/>
      <c r="AB736" s="352"/>
      <c r="AC736" s="351"/>
      <c r="AD736" s="351"/>
    </row>
    <row r="737" spans="1:30" ht="192.25" hidden="1" x14ac:dyDescent="0.35">
      <c r="A737" s="349">
        <v>736</v>
      </c>
      <c r="B737" s="352" t="s">
        <v>1787</v>
      </c>
      <c r="C737" s="351" t="s">
        <v>4038</v>
      </c>
      <c r="D737" s="352" t="s">
        <v>4038</v>
      </c>
      <c r="E737" s="352" t="s">
        <v>1995</v>
      </c>
      <c r="F737" s="353">
        <v>0.18</v>
      </c>
      <c r="G737" s="352" t="s">
        <v>2126</v>
      </c>
      <c r="H737" s="176" t="s">
        <v>1075</v>
      </c>
      <c r="I737" s="176" t="s">
        <v>4673</v>
      </c>
      <c r="J737" s="352" t="s">
        <v>3580</v>
      </c>
      <c r="K737" s="352">
        <v>50</v>
      </c>
      <c r="L737" s="352" t="s">
        <v>3581</v>
      </c>
      <c r="M737" s="352"/>
      <c r="N737" s="352"/>
      <c r="O737" s="351">
        <v>50</v>
      </c>
      <c r="P737" s="349" t="s">
        <v>1836</v>
      </c>
      <c r="R737" s="349">
        <f t="shared" si="11"/>
        <v>12</v>
      </c>
      <c r="S737" s="352"/>
      <c r="T737" s="352"/>
      <c r="U737" s="352"/>
      <c r="V737" s="353"/>
      <c r="W737" s="352"/>
      <c r="X737" s="176"/>
      <c r="Y737" s="176"/>
      <c r="Z737" s="352"/>
      <c r="AA737" s="351"/>
      <c r="AB737" s="351"/>
      <c r="AC737" s="352"/>
      <c r="AD737" s="352"/>
    </row>
    <row r="738" spans="1:30" ht="76.900000000000006" hidden="1" x14ac:dyDescent="0.35">
      <c r="A738" s="349">
        <v>737</v>
      </c>
      <c r="B738" s="352" t="s">
        <v>2052</v>
      </c>
      <c r="C738" s="351" t="s">
        <v>1255</v>
      </c>
      <c r="D738" s="352" t="s">
        <v>5042</v>
      </c>
      <c r="E738" s="352" t="s">
        <v>2053</v>
      </c>
      <c r="F738" s="353">
        <v>5.4</v>
      </c>
      <c r="G738" s="352" t="s">
        <v>34</v>
      </c>
      <c r="H738" s="176" t="s">
        <v>1256</v>
      </c>
      <c r="I738" s="176" t="s">
        <v>4726</v>
      </c>
      <c r="J738" s="352" t="s">
        <v>2054</v>
      </c>
      <c r="K738" s="352"/>
      <c r="L738" s="352"/>
      <c r="M738" s="352">
        <v>200</v>
      </c>
      <c r="N738" s="352" t="s">
        <v>1109</v>
      </c>
      <c r="O738" s="351">
        <v>0</v>
      </c>
      <c r="P738" s="349" t="s">
        <v>1837</v>
      </c>
      <c r="R738" s="349">
        <f t="shared" si="11"/>
        <v>13</v>
      </c>
      <c r="S738" s="352"/>
      <c r="T738" s="352"/>
      <c r="U738" s="352"/>
      <c r="V738" s="353"/>
      <c r="W738" s="352"/>
      <c r="X738" s="176"/>
      <c r="Y738" s="176"/>
      <c r="Z738" s="352"/>
      <c r="AA738" s="351"/>
      <c r="AB738" s="351"/>
      <c r="AC738" s="352"/>
      <c r="AD738" s="352"/>
    </row>
    <row r="739" spans="1:30" ht="76.900000000000006" hidden="1" x14ac:dyDescent="0.35">
      <c r="A739" s="349">
        <v>738</v>
      </c>
      <c r="B739" s="352" t="s">
        <v>2052</v>
      </c>
      <c r="C739" s="351" t="s">
        <v>4348</v>
      </c>
      <c r="D739" s="352" t="s">
        <v>5042</v>
      </c>
      <c r="E739" s="352" t="s">
        <v>2053</v>
      </c>
      <c r="F739" s="353">
        <v>5.4</v>
      </c>
      <c r="G739" s="352" t="s">
        <v>34</v>
      </c>
      <c r="H739" s="176" t="s">
        <v>1256</v>
      </c>
      <c r="I739" s="176" t="s">
        <v>4726</v>
      </c>
      <c r="J739" s="352" t="s">
        <v>2054</v>
      </c>
      <c r="K739" s="352"/>
      <c r="L739" s="352"/>
      <c r="M739" s="352">
        <v>200</v>
      </c>
      <c r="N739" s="352" t="s">
        <v>1109</v>
      </c>
      <c r="O739" s="351">
        <v>0</v>
      </c>
      <c r="P739" s="349" t="s">
        <v>1837</v>
      </c>
      <c r="R739" s="349">
        <f t="shared" si="11"/>
        <v>13</v>
      </c>
      <c r="S739" s="352"/>
      <c r="T739" s="352"/>
      <c r="U739" s="352"/>
      <c r="V739" s="353"/>
      <c r="W739" s="352"/>
      <c r="X739" s="176"/>
      <c r="Y739" s="176"/>
      <c r="Z739" s="352"/>
      <c r="AA739" s="351"/>
      <c r="AB739" s="351"/>
      <c r="AC739" s="352"/>
      <c r="AD739" s="352"/>
    </row>
    <row r="740" spans="1:30" ht="89.75" hidden="1" x14ac:dyDescent="0.35">
      <c r="A740" s="349">
        <v>739</v>
      </c>
      <c r="B740" s="352" t="s">
        <v>831</v>
      </c>
      <c r="C740" s="351" t="s">
        <v>1738</v>
      </c>
      <c r="D740" s="352" t="s">
        <v>1738</v>
      </c>
      <c r="E740" s="352" t="s">
        <v>1998</v>
      </c>
      <c r="F740" s="353">
        <v>0.31</v>
      </c>
      <c r="G740" s="352" t="s">
        <v>2126</v>
      </c>
      <c r="H740" s="176" t="s">
        <v>2858</v>
      </c>
      <c r="I740" s="176" t="s">
        <v>4833</v>
      </c>
      <c r="J740" s="352" t="s">
        <v>22</v>
      </c>
      <c r="K740" s="352">
        <v>250</v>
      </c>
      <c r="L740" s="352" t="s">
        <v>23</v>
      </c>
      <c r="M740" s="352"/>
      <c r="N740" s="352"/>
      <c r="O740" s="351">
        <v>250</v>
      </c>
      <c r="P740" s="349" t="s">
        <v>1836</v>
      </c>
      <c r="R740" s="349">
        <f t="shared" si="11"/>
        <v>24</v>
      </c>
      <c r="S740" s="352"/>
      <c r="T740" s="352"/>
      <c r="U740" s="352"/>
      <c r="V740" s="353"/>
      <c r="W740" s="352"/>
      <c r="X740" s="176"/>
      <c r="Y740" s="176"/>
      <c r="Z740" s="352"/>
      <c r="AA740" s="351"/>
      <c r="AB740" s="351"/>
      <c r="AC740" s="351"/>
      <c r="AD740" s="351"/>
    </row>
    <row r="741" spans="1:30" ht="89.75" hidden="1" x14ac:dyDescent="0.35">
      <c r="A741" s="349">
        <v>740</v>
      </c>
      <c r="B741" s="352" t="s">
        <v>831</v>
      </c>
      <c r="C741" s="351" t="s">
        <v>1738</v>
      </c>
      <c r="D741" s="352" t="s">
        <v>1738</v>
      </c>
      <c r="E741" s="352" t="s">
        <v>2339</v>
      </c>
      <c r="F741" s="353">
        <v>10.58</v>
      </c>
      <c r="G741" s="352" t="s">
        <v>2126</v>
      </c>
      <c r="H741" s="176" t="s">
        <v>2858</v>
      </c>
      <c r="I741" s="176" t="s">
        <v>4833</v>
      </c>
      <c r="J741" s="352" t="s">
        <v>2340</v>
      </c>
      <c r="K741" s="352">
        <v>24</v>
      </c>
      <c r="L741" s="352" t="s">
        <v>1116</v>
      </c>
      <c r="M741" s="352">
        <v>150</v>
      </c>
      <c r="N741" s="352" t="s">
        <v>1109</v>
      </c>
      <c r="O741" s="351">
        <v>24</v>
      </c>
      <c r="P741" s="349" t="s">
        <v>1836</v>
      </c>
      <c r="R741" s="349">
        <f t="shared" si="11"/>
        <v>24</v>
      </c>
      <c r="S741" s="352"/>
      <c r="T741" s="352"/>
      <c r="U741" s="352"/>
      <c r="V741" s="353"/>
      <c r="W741" s="352"/>
      <c r="X741" s="176"/>
      <c r="Y741" s="176"/>
      <c r="Z741" s="352"/>
      <c r="AA741" s="351"/>
      <c r="AB741" s="351"/>
      <c r="AC741" s="352"/>
      <c r="AD741" s="352"/>
    </row>
    <row r="742" spans="1:30" ht="64.099999999999994" hidden="1" x14ac:dyDescent="0.35">
      <c r="A742" s="349">
        <v>741</v>
      </c>
      <c r="B742" s="352" t="s">
        <v>4027</v>
      </c>
      <c r="C742" s="351" t="s">
        <v>1849</v>
      </c>
      <c r="D742" s="352" t="s">
        <v>1849</v>
      </c>
      <c r="E742" s="352" t="s">
        <v>2857</v>
      </c>
      <c r="F742" s="353">
        <v>1.52</v>
      </c>
      <c r="G742" s="352" t="s">
        <v>1107</v>
      </c>
      <c r="H742" s="176" t="s">
        <v>4207</v>
      </c>
      <c r="I742" s="176" t="s">
        <v>4847</v>
      </c>
      <c r="J742" s="352" t="s">
        <v>828</v>
      </c>
      <c r="K742" s="352">
        <v>0.05</v>
      </c>
      <c r="L742" s="352" t="s">
        <v>1116</v>
      </c>
      <c r="M742" s="352">
        <v>10</v>
      </c>
      <c r="N742" s="352" t="s">
        <v>1109</v>
      </c>
      <c r="O742" s="351">
        <v>0.05</v>
      </c>
      <c r="P742" s="349" t="s">
        <v>1836</v>
      </c>
      <c r="R742" s="349">
        <f t="shared" si="11"/>
        <v>8</v>
      </c>
      <c r="S742" s="352"/>
      <c r="T742" s="352"/>
      <c r="U742" s="352"/>
      <c r="V742" s="353"/>
      <c r="W742" s="352"/>
      <c r="X742" s="176"/>
      <c r="Y742" s="176"/>
      <c r="Z742" s="352"/>
      <c r="AA742" s="351"/>
      <c r="AB742" s="351"/>
      <c r="AC742" s="352"/>
      <c r="AD742" s="352"/>
    </row>
    <row r="743" spans="1:30" ht="64.099999999999994" hidden="1" x14ac:dyDescent="0.35">
      <c r="A743" s="349">
        <v>742</v>
      </c>
      <c r="B743" s="352" t="s">
        <v>4027</v>
      </c>
      <c r="C743" s="351" t="s">
        <v>1849</v>
      </c>
      <c r="D743" s="352" t="s">
        <v>1849</v>
      </c>
      <c r="E743" s="352" t="s">
        <v>762</v>
      </c>
      <c r="F743" s="353">
        <v>0.82</v>
      </c>
      <c r="G743" s="352" t="s">
        <v>1107</v>
      </c>
      <c r="H743" s="176" t="s">
        <v>4207</v>
      </c>
      <c r="I743" s="176" t="s">
        <v>4847</v>
      </c>
      <c r="J743" s="352" t="s">
        <v>828</v>
      </c>
      <c r="K743" s="352">
        <v>0.05</v>
      </c>
      <c r="L743" s="352" t="s">
        <v>1116</v>
      </c>
      <c r="M743" s="352">
        <v>2</v>
      </c>
      <c r="N743" s="352" t="s">
        <v>1109</v>
      </c>
      <c r="O743" s="351">
        <v>0.05</v>
      </c>
      <c r="P743" s="349" t="s">
        <v>1836</v>
      </c>
      <c r="R743" s="349">
        <f t="shared" si="11"/>
        <v>8</v>
      </c>
      <c r="S743" s="352"/>
      <c r="T743" s="352"/>
      <c r="U743" s="352"/>
      <c r="V743" s="353"/>
      <c r="W743" s="352"/>
      <c r="X743" s="176"/>
      <c r="Y743" s="176"/>
      <c r="Z743" s="352"/>
      <c r="AA743" s="351"/>
      <c r="AB743" s="351"/>
      <c r="AC743" s="352"/>
      <c r="AD743" s="352"/>
    </row>
    <row r="744" spans="1:30" ht="64.099999999999994" hidden="1" x14ac:dyDescent="0.35">
      <c r="A744" s="349">
        <v>743</v>
      </c>
      <c r="B744" s="352" t="s">
        <v>4027</v>
      </c>
      <c r="C744" s="351" t="s">
        <v>1849</v>
      </c>
      <c r="D744" s="352" t="s">
        <v>1849</v>
      </c>
      <c r="E744" s="352" t="s">
        <v>2857</v>
      </c>
      <c r="F744" s="353">
        <v>1.52</v>
      </c>
      <c r="G744" s="352" t="s">
        <v>1107</v>
      </c>
      <c r="H744" s="176" t="s">
        <v>4207</v>
      </c>
      <c r="I744" s="176" t="s">
        <v>4847</v>
      </c>
      <c r="J744" s="352" t="s">
        <v>828</v>
      </c>
      <c r="K744" s="352">
        <v>0.05</v>
      </c>
      <c r="L744" s="352" t="s">
        <v>1116</v>
      </c>
      <c r="M744" s="352">
        <v>10</v>
      </c>
      <c r="N744" s="352" t="s">
        <v>1109</v>
      </c>
      <c r="O744" s="351">
        <v>0.05</v>
      </c>
      <c r="P744" s="349" t="s">
        <v>1836</v>
      </c>
      <c r="R744" s="349">
        <f t="shared" si="11"/>
        <v>8</v>
      </c>
      <c r="S744" s="352"/>
      <c r="T744" s="352"/>
      <c r="U744" s="352"/>
      <c r="V744" s="353"/>
      <c r="W744" s="352"/>
      <c r="X744" s="176"/>
      <c r="Y744" s="176"/>
      <c r="Z744" s="352"/>
      <c r="AA744" s="351"/>
      <c r="AB744" s="351"/>
      <c r="AC744" s="351"/>
      <c r="AD744" s="351"/>
    </row>
    <row r="745" spans="1:30" ht="64.099999999999994" hidden="1" x14ac:dyDescent="0.35">
      <c r="A745" s="349">
        <v>744</v>
      </c>
      <c r="B745" s="352" t="s">
        <v>4027</v>
      </c>
      <c r="C745" s="351" t="s">
        <v>1849</v>
      </c>
      <c r="D745" s="352" t="s">
        <v>1849</v>
      </c>
      <c r="E745" s="352" t="s">
        <v>762</v>
      </c>
      <c r="F745" s="353">
        <v>0.82</v>
      </c>
      <c r="G745" s="352" t="s">
        <v>1107</v>
      </c>
      <c r="H745" s="176" t="s">
        <v>4207</v>
      </c>
      <c r="I745" s="176" t="s">
        <v>4847</v>
      </c>
      <c r="J745" s="352" t="s">
        <v>828</v>
      </c>
      <c r="K745" s="352">
        <v>0.05</v>
      </c>
      <c r="L745" s="352" t="s">
        <v>1116</v>
      </c>
      <c r="M745" s="352">
        <v>2</v>
      </c>
      <c r="N745" s="352" t="s">
        <v>1109</v>
      </c>
      <c r="O745" s="351">
        <v>0.05</v>
      </c>
      <c r="P745" s="349" t="s">
        <v>1836</v>
      </c>
      <c r="R745" s="349">
        <f t="shared" si="11"/>
        <v>8</v>
      </c>
      <c r="S745" s="352"/>
      <c r="T745" s="352"/>
      <c r="U745" s="352"/>
      <c r="V745" s="353"/>
      <c r="W745" s="352"/>
      <c r="X745" s="176"/>
      <c r="Y745" s="176"/>
      <c r="Z745" s="352"/>
      <c r="AA745" s="352"/>
      <c r="AB745" s="352"/>
      <c r="AC745" s="351"/>
      <c r="AD745" s="351"/>
    </row>
    <row r="746" spans="1:30" ht="51.3" hidden="1" x14ac:dyDescent="0.35">
      <c r="A746" s="349">
        <v>745</v>
      </c>
      <c r="B746" s="352" t="s">
        <v>1113</v>
      </c>
      <c r="C746" s="351" t="s">
        <v>3001</v>
      </c>
      <c r="D746" s="352" t="s">
        <v>3001</v>
      </c>
      <c r="E746" s="352" t="s">
        <v>2855</v>
      </c>
      <c r="F746" s="353">
        <v>2.98</v>
      </c>
      <c r="G746" s="352" t="s">
        <v>1501</v>
      </c>
      <c r="H746" s="176" t="s">
        <v>655</v>
      </c>
      <c r="I746" s="176" t="s">
        <v>4614</v>
      </c>
      <c r="J746" s="352" t="s">
        <v>828</v>
      </c>
      <c r="K746" s="352">
        <v>10</v>
      </c>
      <c r="L746" s="352" t="s">
        <v>1116</v>
      </c>
      <c r="M746" s="352">
        <v>1</v>
      </c>
      <c r="N746" s="352" t="s">
        <v>1109</v>
      </c>
      <c r="O746" s="351">
        <v>10</v>
      </c>
      <c r="P746" s="349" t="s">
        <v>1836</v>
      </c>
      <c r="R746" s="349">
        <f t="shared" si="11"/>
        <v>19</v>
      </c>
      <c r="S746" s="352"/>
      <c r="T746" s="352"/>
      <c r="U746" s="352"/>
      <c r="V746" s="353"/>
      <c r="W746" s="352"/>
      <c r="X746" s="176"/>
      <c r="Y746" s="176"/>
      <c r="Z746" s="352"/>
      <c r="AA746" s="352"/>
      <c r="AB746" s="352"/>
      <c r="AC746" s="352"/>
      <c r="AD746" s="352"/>
    </row>
    <row r="747" spans="1:30" ht="76.900000000000006" hidden="1" x14ac:dyDescent="0.35">
      <c r="A747" s="349">
        <v>746</v>
      </c>
      <c r="B747" s="352" t="s">
        <v>2854</v>
      </c>
      <c r="C747" s="351" t="s">
        <v>2918</v>
      </c>
      <c r="D747" s="352" t="s">
        <v>2918</v>
      </c>
      <c r="E747" s="352" t="s">
        <v>2855</v>
      </c>
      <c r="F747" s="353">
        <v>0.65</v>
      </c>
      <c r="G747" s="352" t="s">
        <v>4181</v>
      </c>
      <c r="H747" s="176" t="s">
        <v>2859</v>
      </c>
      <c r="I747" s="176" t="s">
        <v>2860</v>
      </c>
      <c r="J747" s="352" t="s">
        <v>828</v>
      </c>
      <c r="K747" s="352">
        <v>10</v>
      </c>
      <c r="L747" s="352" t="s">
        <v>1116</v>
      </c>
      <c r="M747" s="352">
        <v>1</v>
      </c>
      <c r="N747" s="352" t="s">
        <v>1109</v>
      </c>
      <c r="O747" s="351">
        <v>10</v>
      </c>
      <c r="P747" s="349" t="s">
        <v>1836</v>
      </c>
      <c r="R747" s="349">
        <f t="shared" si="11"/>
        <v>11</v>
      </c>
      <c r="S747" s="352"/>
      <c r="T747" s="352"/>
      <c r="U747" s="352"/>
      <c r="V747" s="353"/>
      <c r="W747" s="352"/>
      <c r="X747" s="176"/>
      <c r="Y747" s="176"/>
      <c r="Z747" s="352"/>
      <c r="AA747" s="352"/>
      <c r="AB747" s="352"/>
      <c r="AC747" s="352"/>
      <c r="AD747" s="352"/>
    </row>
    <row r="748" spans="1:30" ht="64.099999999999994" hidden="1" x14ac:dyDescent="0.35">
      <c r="A748" s="349">
        <v>747</v>
      </c>
      <c r="B748" s="352" t="s">
        <v>3208</v>
      </c>
      <c r="C748" s="351" t="s">
        <v>2918</v>
      </c>
      <c r="D748" s="352" t="s">
        <v>2918</v>
      </c>
      <c r="E748" s="352" t="s">
        <v>3104</v>
      </c>
      <c r="F748" s="353">
        <v>1.0578000000000001</v>
      </c>
      <c r="G748" s="352" t="s">
        <v>34</v>
      </c>
      <c r="H748" s="176" t="s">
        <v>2919</v>
      </c>
      <c r="I748" s="176" t="s">
        <v>2088</v>
      </c>
      <c r="J748" s="352" t="s">
        <v>3105</v>
      </c>
      <c r="K748" s="352">
        <v>25</v>
      </c>
      <c r="L748" s="352" t="s">
        <v>1116</v>
      </c>
      <c r="M748" s="352">
        <v>0.5</v>
      </c>
      <c r="N748" s="352" t="s">
        <v>1109</v>
      </c>
      <c r="O748" s="351">
        <v>25</v>
      </c>
      <c r="P748" s="349" t="s">
        <v>1836</v>
      </c>
      <c r="R748" s="349">
        <f t="shared" si="11"/>
        <v>11</v>
      </c>
      <c r="S748" s="352"/>
      <c r="T748" s="352"/>
      <c r="U748" s="352"/>
      <c r="V748" s="353"/>
      <c r="W748" s="352"/>
      <c r="X748" s="176"/>
      <c r="Y748" s="176"/>
      <c r="Z748" s="352"/>
      <c r="AA748" s="352"/>
      <c r="AB748" s="352"/>
      <c r="AC748" s="351"/>
      <c r="AD748" s="351"/>
    </row>
    <row r="749" spans="1:30" ht="76.900000000000006" hidden="1" x14ac:dyDescent="0.35">
      <c r="A749" s="349">
        <v>748</v>
      </c>
      <c r="B749" s="352" t="s">
        <v>2854</v>
      </c>
      <c r="C749" s="351" t="s">
        <v>2918</v>
      </c>
      <c r="D749" s="352" t="s">
        <v>2918</v>
      </c>
      <c r="E749" s="352" t="s">
        <v>2855</v>
      </c>
      <c r="F749" s="353">
        <v>0.65</v>
      </c>
      <c r="G749" s="352" t="s">
        <v>4181</v>
      </c>
      <c r="H749" s="176" t="s">
        <v>2859</v>
      </c>
      <c r="I749" s="176" t="s">
        <v>2860</v>
      </c>
      <c r="J749" s="352" t="s">
        <v>828</v>
      </c>
      <c r="K749" s="352">
        <v>10</v>
      </c>
      <c r="L749" s="352" t="s">
        <v>1116</v>
      </c>
      <c r="M749" s="352">
        <v>1</v>
      </c>
      <c r="N749" s="352" t="s">
        <v>1109</v>
      </c>
      <c r="O749" s="351">
        <v>10</v>
      </c>
      <c r="P749" s="349" t="s">
        <v>1836</v>
      </c>
      <c r="R749" s="349">
        <f t="shared" si="11"/>
        <v>11</v>
      </c>
      <c r="S749" s="352"/>
      <c r="T749" s="352"/>
      <c r="U749" s="352"/>
      <c r="V749" s="353"/>
      <c r="W749" s="352"/>
      <c r="X749" s="176"/>
      <c r="Y749" s="176"/>
      <c r="Z749" s="352"/>
      <c r="AA749" s="352"/>
      <c r="AB749" s="352"/>
      <c r="AC749" s="351"/>
      <c r="AD749" s="351"/>
    </row>
    <row r="750" spans="1:30" ht="64.099999999999994" hidden="1" x14ac:dyDescent="0.35">
      <c r="A750" s="349">
        <v>749</v>
      </c>
      <c r="B750" s="352" t="s">
        <v>3208</v>
      </c>
      <c r="C750" s="351" t="s">
        <v>4349</v>
      </c>
      <c r="D750" s="352" t="s">
        <v>2918</v>
      </c>
      <c r="E750" s="352" t="s">
        <v>3104</v>
      </c>
      <c r="F750" s="353">
        <v>1.0578000000000001</v>
      </c>
      <c r="G750" s="352" t="s">
        <v>34</v>
      </c>
      <c r="H750" s="176" t="s">
        <v>2919</v>
      </c>
      <c r="I750" s="176" t="s">
        <v>2088</v>
      </c>
      <c r="J750" s="352" t="s">
        <v>3105</v>
      </c>
      <c r="K750" s="352">
        <v>25</v>
      </c>
      <c r="L750" s="352" t="s">
        <v>1116</v>
      </c>
      <c r="M750" s="351">
        <v>0.5</v>
      </c>
      <c r="N750" s="351" t="s">
        <v>1109</v>
      </c>
      <c r="O750" s="351">
        <v>25</v>
      </c>
      <c r="P750" s="349" t="s">
        <v>1836</v>
      </c>
      <c r="R750" s="349">
        <f t="shared" si="11"/>
        <v>11</v>
      </c>
      <c r="S750" s="352"/>
      <c r="T750" s="352"/>
      <c r="U750" s="352"/>
      <c r="V750" s="353"/>
      <c r="W750" s="352"/>
      <c r="X750" s="176"/>
      <c r="Y750" s="176"/>
      <c r="Z750" s="352"/>
      <c r="AA750" s="352"/>
      <c r="AB750" s="352"/>
      <c r="AC750" s="352"/>
      <c r="AD750" s="352"/>
    </row>
    <row r="751" spans="1:30" ht="243.55" hidden="1" x14ac:dyDescent="0.35">
      <c r="A751" s="349">
        <v>750</v>
      </c>
      <c r="B751" s="352" t="s">
        <v>1787</v>
      </c>
      <c r="C751" s="351" t="s">
        <v>4184</v>
      </c>
      <c r="D751" s="352" t="s">
        <v>4184</v>
      </c>
      <c r="E751" s="352" t="s">
        <v>827</v>
      </c>
      <c r="F751" s="353">
        <v>0.6</v>
      </c>
      <c r="G751" s="352" t="s">
        <v>1107</v>
      </c>
      <c r="H751" s="176" t="s">
        <v>2154</v>
      </c>
      <c r="I751" s="176" t="s">
        <v>430</v>
      </c>
      <c r="J751" s="352" t="s">
        <v>828</v>
      </c>
      <c r="K751" s="352">
        <v>50</v>
      </c>
      <c r="L751" s="352" t="s">
        <v>1116</v>
      </c>
      <c r="M751" s="351">
        <v>5</v>
      </c>
      <c r="N751" s="351" t="s">
        <v>1109</v>
      </c>
      <c r="O751" s="351">
        <v>50</v>
      </c>
      <c r="P751" s="349" t="s">
        <v>1836</v>
      </c>
      <c r="R751" s="349">
        <f t="shared" si="11"/>
        <v>9</v>
      </c>
      <c r="S751" s="352"/>
      <c r="T751" s="352"/>
      <c r="U751" s="352"/>
      <c r="V751" s="353"/>
      <c r="W751" s="352"/>
      <c r="X751" s="176"/>
      <c r="Y751" s="176"/>
      <c r="Z751" s="352"/>
      <c r="AA751" s="352"/>
      <c r="AB751" s="352"/>
      <c r="AC751" s="352"/>
      <c r="AD751" s="352"/>
    </row>
    <row r="752" spans="1:30" ht="102.55" hidden="1" x14ac:dyDescent="0.35">
      <c r="A752" s="349">
        <v>751</v>
      </c>
      <c r="B752" s="352" t="s">
        <v>761</v>
      </c>
      <c r="C752" s="351" t="s">
        <v>4184</v>
      </c>
      <c r="D752" s="352" t="s">
        <v>4184</v>
      </c>
      <c r="E752" s="352" t="s">
        <v>827</v>
      </c>
      <c r="F752" s="353">
        <v>0.6</v>
      </c>
      <c r="G752" s="352" t="s">
        <v>1107</v>
      </c>
      <c r="H752" s="176" t="s">
        <v>2707</v>
      </c>
      <c r="I752" s="176" t="s">
        <v>4483</v>
      </c>
      <c r="J752" s="352" t="s">
        <v>828</v>
      </c>
      <c r="K752" s="352">
        <v>50</v>
      </c>
      <c r="L752" s="352" t="s">
        <v>1116</v>
      </c>
      <c r="M752" s="351">
        <v>5</v>
      </c>
      <c r="N752" s="351" t="s">
        <v>1109</v>
      </c>
      <c r="O752" s="351">
        <v>50</v>
      </c>
      <c r="P752" s="349" t="s">
        <v>1836</v>
      </c>
      <c r="R752" s="349">
        <f t="shared" si="11"/>
        <v>9</v>
      </c>
      <c r="S752" s="352"/>
      <c r="T752" s="352"/>
      <c r="U752" s="352"/>
      <c r="V752" s="353"/>
      <c r="W752" s="352"/>
      <c r="X752" s="176"/>
      <c r="Y752" s="176"/>
      <c r="Z752" s="352"/>
      <c r="AA752" s="352"/>
      <c r="AB752" s="352"/>
      <c r="AC752" s="351"/>
      <c r="AD752" s="351"/>
    </row>
    <row r="753" spans="1:30" ht="192.25" hidden="1" x14ac:dyDescent="0.35">
      <c r="A753" s="349">
        <v>752</v>
      </c>
      <c r="B753" s="352" t="s">
        <v>1787</v>
      </c>
      <c r="C753" s="351" t="s">
        <v>4184</v>
      </c>
      <c r="D753" s="352" t="s">
        <v>4184</v>
      </c>
      <c r="E753" s="352" t="s">
        <v>2151</v>
      </c>
      <c r="F753" s="353">
        <v>2.84</v>
      </c>
      <c r="G753" s="352" t="s">
        <v>2126</v>
      </c>
      <c r="H753" s="176" t="s">
        <v>2332</v>
      </c>
      <c r="I753" s="176" t="s">
        <v>4352</v>
      </c>
      <c r="J753" s="352" t="s">
        <v>3579</v>
      </c>
      <c r="K753" s="352">
        <v>10</v>
      </c>
      <c r="L753" s="352" t="s">
        <v>1116</v>
      </c>
      <c r="M753" s="351">
        <v>30</v>
      </c>
      <c r="N753" s="351" t="s">
        <v>1109</v>
      </c>
      <c r="O753" s="351">
        <v>10</v>
      </c>
      <c r="P753" s="349" t="s">
        <v>1836</v>
      </c>
      <c r="R753" s="349">
        <f t="shared" si="11"/>
        <v>9</v>
      </c>
      <c r="S753" s="352"/>
      <c r="T753" s="352"/>
      <c r="U753" s="352"/>
      <c r="V753" s="353"/>
      <c r="W753" s="352"/>
      <c r="X753" s="176"/>
      <c r="Y753" s="176"/>
      <c r="Z753" s="352"/>
      <c r="AA753" s="352"/>
      <c r="AB753" s="352"/>
      <c r="AC753" s="351"/>
      <c r="AD753" s="351"/>
    </row>
    <row r="754" spans="1:30" ht="128.19999999999999" hidden="1" x14ac:dyDescent="0.35">
      <c r="A754" s="349">
        <v>753</v>
      </c>
      <c r="B754" s="352" t="s">
        <v>761</v>
      </c>
      <c r="C754" s="351" t="s">
        <v>4184</v>
      </c>
      <c r="D754" s="352" t="s">
        <v>4184</v>
      </c>
      <c r="E754" s="352" t="s">
        <v>2151</v>
      </c>
      <c r="F754" s="353">
        <v>2.85</v>
      </c>
      <c r="G754" s="352" t="s">
        <v>2126</v>
      </c>
      <c r="H754" s="176" t="s">
        <v>2706</v>
      </c>
      <c r="I754" s="176" t="s">
        <v>4483</v>
      </c>
      <c r="J754" s="352" t="s">
        <v>3579</v>
      </c>
      <c r="K754" s="352">
        <v>10</v>
      </c>
      <c r="L754" s="352" t="s">
        <v>1116</v>
      </c>
      <c r="M754" s="351">
        <v>30</v>
      </c>
      <c r="N754" s="351" t="s">
        <v>1109</v>
      </c>
      <c r="O754" s="351">
        <v>10</v>
      </c>
      <c r="P754" s="349" t="s">
        <v>1836</v>
      </c>
      <c r="R754" s="349">
        <f t="shared" si="11"/>
        <v>9</v>
      </c>
      <c r="S754" s="352"/>
      <c r="T754" s="352"/>
      <c r="U754" s="352"/>
      <c r="V754" s="353"/>
      <c r="W754" s="352"/>
      <c r="X754" s="176"/>
      <c r="Y754" s="176"/>
      <c r="Z754" s="352"/>
      <c r="AA754" s="352"/>
      <c r="AB754" s="352"/>
      <c r="AC754" s="351"/>
      <c r="AD754" s="351"/>
    </row>
    <row r="755" spans="1:30" ht="192.25" hidden="1" x14ac:dyDescent="0.35">
      <c r="A755" s="349">
        <v>754</v>
      </c>
      <c r="B755" s="352" t="s">
        <v>1787</v>
      </c>
      <c r="C755" s="351" t="s">
        <v>4184</v>
      </c>
      <c r="D755" s="352" t="s">
        <v>4184</v>
      </c>
      <c r="E755" s="352" t="s">
        <v>1995</v>
      </c>
      <c r="F755" s="353">
        <v>0.11</v>
      </c>
      <c r="G755" s="352" t="s">
        <v>2126</v>
      </c>
      <c r="H755" s="176" t="s">
        <v>2332</v>
      </c>
      <c r="I755" s="176" t="s">
        <v>4352</v>
      </c>
      <c r="J755" s="352" t="s">
        <v>3580</v>
      </c>
      <c r="K755" s="352">
        <v>25</v>
      </c>
      <c r="L755" s="352" t="s">
        <v>3581</v>
      </c>
      <c r="M755" s="351"/>
      <c r="N755" s="351"/>
      <c r="O755" s="351">
        <v>25</v>
      </c>
      <c r="P755" s="349" t="s">
        <v>1836</v>
      </c>
      <c r="R755" s="349">
        <f t="shared" si="11"/>
        <v>9</v>
      </c>
      <c r="S755" s="352"/>
      <c r="T755" s="352"/>
      <c r="U755" s="352"/>
      <c r="V755" s="353"/>
      <c r="W755" s="352"/>
      <c r="X755" s="176"/>
      <c r="Y755" s="176"/>
      <c r="Z755" s="352"/>
      <c r="AA755" s="352"/>
      <c r="AB755" s="352"/>
      <c r="AC755" s="351"/>
      <c r="AD755" s="351"/>
    </row>
    <row r="756" spans="1:30" ht="192.25" hidden="1" x14ac:dyDescent="0.35">
      <c r="A756" s="349">
        <v>755</v>
      </c>
      <c r="B756" s="352" t="s">
        <v>1787</v>
      </c>
      <c r="C756" s="351" t="s">
        <v>4184</v>
      </c>
      <c r="D756" s="352" t="s">
        <v>4184</v>
      </c>
      <c r="E756" s="352" t="s">
        <v>1995</v>
      </c>
      <c r="F756" s="353">
        <v>0.11</v>
      </c>
      <c r="G756" s="352" t="s">
        <v>2126</v>
      </c>
      <c r="H756" s="176" t="s">
        <v>2332</v>
      </c>
      <c r="I756" s="176" t="s">
        <v>4352</v>
      </c>
      <c r="J756" s="352" t="s">
        <v>3580</v>
      </c>
      <c r="K756" s="352">
        <v>50</v>
      </c>
      <c r="L756" s="352" t="s">
        <v>3581</v>
      </c>
      <c r="M756" s="351"/>
      <c r="N756" s="351"/>
      <c r="O756" s="351">
        <v>50</v>
      </c>
      <c r="P756" s="349" t="s">
        <v>1836</v>
      </c>
      <c r="R756" s="349">
        <f t="shared" si="11"/>
        <v>9</v>
      </c>
      <c r="S756" s="352"/>
      <c r="T756" s="352"/>
      <c r="U756" s="352"/>
      <c r="V756" s="353"/>
      <c r="W756" s="352"/>
      <c r="X756" s="176"/>
      <c r="Y756" s="176"/>
      <c r="Z756" s="352"/>
      <c r="AA756" s="352"/>
      <c r="AB756" s="352"/>
      <c r="AC756" s="351"/>
      <c r="AD756" s="351"/>
    </row>
    <row r="757" spans="1:30" ht="192.25" hidden="1" x14ac:dyDescent="0.35">
      <c r="A757" s="349">
        <v>756</v>
      </c>
      <c r="B757" s="352" t="s">
        <v>1787</v>
      </c>
      <c r="C757" s="351" t="s">
        <v>4184</v>
      </c>
      <c r="D757" s="352" t="s">
        <v>4184</v>
      </c>
      <c r="E757" s="352" t="s">
        <v>1995</v>
      </c>
      <c r="F757" s="353">
        <v>0.11</v>
      </c>
      <c r="G757" s="352" t="s">
        <v>2126</v>
      </c>
      <c r="H757" s="176" t="s">
        <v>2332</v>
      </c>
      <c r="I757" s="176" t="s">
        <v>4352</v>
      </c>
      <c r="J757" s="352" t="s">
        <v>3580</v>
      </c>
      <c r="K757" s="352">
        <v>75</v>
      </c>
      <c r="L757" s="352" t="s">
        <v>3581</v>
      </c>
      <c r="M757" s="351"/>
      <c r="N757" s="351"/>
      <c r="O757" s="351">
        <v>75</v>
      </c>
      <c r="P757" s="349" t="s">
        <v>1836</v>
      </c>
      <c r="R757" s="349">
        <f t="shared" si="11"/>
        <v>9</v>
      </c>
      <c r="S757" s="352"/>
      <c r="T757" s="352"/>
      <c r="U757" s="352"/>
      <c r="V757" s="353"/>
      <c r="W757" s="352"/>
      <c r="X757" s="176"/>
      <c r="Y757" s="176"/>
      <c r="Z757" s="352"/>
      <c r="AA757" s="352"/>
      <c r="AB757" s="352"/>
      <c r="AC757" s="351"/>
      <c r="AD757" s="351"/>
    </row>
    <row r="758" spans="1:30" ht="192.25" hidden="1" x14ac:dyDescent="0.35">
      <c r="A758" s="349">
        <v>757</v>
      </c>
      <c r="B758" s="352" t="s">
        <v>1787</v>
      </c>
      <c r="C758" s="351" t="s">
        <v>4184</v>
      </c>
      <c r="D758" s="352" t="s">
        <v>4184</v>
      </c>
      <c r="E758" s="352" t="s">
        <v>1995</v>
      </c>
      <c r="F758" s="353">
        <v>0.11</v>
      </c>
      <c r="G758" s="352" t="s">
        <v>2126</v>
      </c>
      <c r="H758" s="176" t="s">
        <v>2332</v>
      </c>
      <c r="I758" s="176" t="s">
        <v>4352</v>
      </c>
      <c r="J758" s="352" t="s">
        <v>3580</v>
      </c>
      <c r="K758" s="352">
        <v>100</v>
      </c>
      <c r="L758" s="352" t="s">
        <v>3581</v>
      </c>
      <c r="M758" s="352"/>
      <c r="N758" s="352"/>
      <c r="O758" s="351">
        <v>100</v>
      </c>
      <c r="P758" s="349" t="s">
        <v>1836</v>
      </c>
      <c r="R758" s="349">
        <f t="shared" si="11"/>
        <v>9</v>
      </c>
      <c r="S758" s="352"/>
      <c r="T758" s="352"/>
      <c r="U758" s="352"/>
      <c r="V758" s="353"/>
      <c r="W758" s="352"/>
      <c r="X758" s="176"/>
      <c r="Y758" s="176"/>
      <c r="Z758" s="352"/>
      <c r="AA758" s="352"/>
      <c r="AB758" s="352"/>
      <c r="AC758" s="352"/>
      <c r="AD758" s="352"/>
    </row>
    <row r="759" spans="1:30" ht="128.19999999999999" hidden="1" x14ac:dyDescent="0.35">
      <c r="A759" s="349">
        <v>758</v>
      </c>
      <c r="B759" s="352" t="s">
        <v>761</v>
      </c>
      <c r="C759" s="351" t="s">
        <v>4184</v>
      </c>
      <c r="D759" s="352" t="s">
        <v>4184</v>
      </c>
      <c r="E759" s="352" t="s">
        <v>1995</v>
      </c>
      <c r="F759" s="353">
        <v>8.8099999999999998E-2</v>
      </c>
      <c r="G759" s="352" t="s">
        <v>2126</v>
      </c>
      <c r="H759" s="176" t="s">
        <v>2706</v>
      </c>
      <c r="I759" s="176" t="s">
        <v>4483</v>
      </c>
      <c r="J759" s="352" t="s">
        <v>3580</v>
      </c>
      <c r="K759" s="352">
        <v>25</v>
      </c>
      <c r="L759" s="352" t="s">
        <v>3581</v>
      </c>
      <c r="M759" s="352"/>
      <c r="N759" s="352"/>
      <c r="O759" s="351">
        <v>25</v>
      </c>
      <c r="P759" s="349" t="s">
        <v>1836</v>
      </c>
      <c r="R759" s="349">
        <f t="shared" si="11"/>
        <v>9</v>
      </c>
      <c r="S759" s="352"/>
      <c r="T759" s="352"/>
      <c r="U759" s="352"/>
      <c r="V759" s="353"/>
      <c r="W759" s="352"/>
      <c r="X759" s="176"/>
      <c r="Y759" s="176"/>
      <c r="Z759" s="352"/>
      <c r="AA759" s="352"/>
      <c r="AB759" s="352"/>
      <c r="AC759" s="351"/>
      <c r="AD759" s="351"/>
    </row>
    <row r="760" spans="1:30" ht="128.19999999999999" hidden="1" x14ac:dyDescent="0.35">
      <c r="A760" s="349">
        <v>759</v>
      </c>
      <c r="B760" s="352" t="s">
        <v>761</v>
      </c>
      <c r="C760" s="351" t="s">
        <v>4184</v>
      </c>
      <c r="D760" s="352" t="s">
        <v>4184</v>
      </c>
      <c r="E760" s="352" t="s">
        <v>1995</v>
      </c>
      <c r="F760" s="353">
        <v>8.8099999999999998E-2</v>
      </c>
      <c r="G760" s="352" t="s">
        <v>2126</v>
      </c>
      <c r="H760" s="176" t="s">
        <v>2706</v>
      </c>
      <c r="I760" s="176" t="s">
        <v>4483</v>
      </c>
      <c r="J760" s="352" t="s">
        <v>3580</v>
      </c>
      <c r="K760" s="352">
        <v>50</v>
      </c>
      <c r="L760" s="352" t="s">
        <v>3581</v>
      </c>
      <c r="M760" s="352"/>
      <c r="N760" s="352"/>
      <c r="O760" s="351">
        <v>50</v>
      </c>
      <c r="P760" s="349" t="s">
        <v>1836</v>
      </c>
      <c r="R760" s="349">
        <f t="shared" si="11"/>
        <v>9</v>
      </c>
      <c r="S760" s="352"/>
      <c r="T760" s="352"/>
      <c r="U760" s="352"/>
      <c r="V760" s="353"/>
      <c r="W760" s="352"/>
      <c r="X760" s="176"/>
      <c r="Y760" s="176"/>
      <c r="Z760" s="352"/>
      <c r="AA760" s="352"/>
      <c r="AB760" s="352"/>
      <c r="AC760" s="352"/>
      <c r="AD760" s="352"/>
    </row>
    <row r="761" spans="1:30" ht="128.19999999999999" hidden="1" x14ac:dyDescent="0.35">
      <c r="A761" s="349">
        <v>760</v>
      </c>
      <c r="B761" s="352" t="s">
        <v>761</v>
      </c>
      <c r="C761" s="351" t="s">
        <v>4184</v>
      </c>
      <c r="D761" s="352" t="s">
        <v>4184</v>
      </c>
      <c r="E761" s="352" t="s">
        <v>1995</v>
      </c>
      <c r="F761" s="353">
        <v>0.1</v>
      </c>
      <c r="G761" s="352" t="s">
        <v>2126</v>
      </c>
      <c r="H761" s="176" t="s">
        <v>2706</v>
      </c>
      <c r="I761" s="176" t="s">
        <v>4483</v>
      </c>
      <c r="J761" s="352" t="s">
        <v>3580</v>
      </c>
      <c r="K761" s="352">
        <v>75</v>
      </c>
      <c r="L761" s="352" t="s">
        <v>3581</v>
      </c>
      <c r="M761" s="352"/>
      <c r="N761" s="352"/>
      <c r="O761" s="351">
        <v>75</v>
      </c>
      <c r="P761" s="349" t="s">
        <v>1836</v>
      </c>
      <c r="R761" s="349">
        <f t="shared" si="11"/>
        <v>9</v>
      </c>
      <c r="S761" s="352"/>
      <c r="T761" s="352"/>
      <c r="U761" s="352"/>
      <c r="V761" s="353"/>
      <c r="W761" s="352"/>
      <c r="X761" s="176"/>
      <c r="Y761" s="176"/>
      <c r="Z761" s="352"/>
      <c r="AA761" s="352"/>
      <c r="AB761" s="352"/>
      <c r="AC761" s="351"/>
      <c r="AD761" s="351"/>
    </row>
    <row r="762" spans="1:30" ht="128.19999999999999" hidden="1" x14ac:dyDescent="0.35">
      <c r="A762" s="349">
        <v>761</v>
      </c>
      <c r="B762" s="352" t="s">
        <v>761</v>
      </c>
      <c r="C762" s="351" t="s">
        <v>4184</v>
      </c>
      <c r="D762" s="352" t="s">
        <v>4184</v>
      </c>
      <c r="E762" s="352" t="s">
        <v>1995</v>
      </c>
      <c r="F762" s="353">
        <v>6.6100000000000006E-2</v>
      </c>
      <c r="G762" s="352" t="s">
        <v>2126</v>
      </c>
      <c r="H762" s="176" t="s">
        <v>2706</v>
      </c>
      <c r="I762" s="176" t="s">
        <v>4483</v>
      </c>
      <c r="J762" s="352" t="s">
        <v>3580</v>
      </c>
      <c r="K762" s="352">
        <v>100</v>
      </c>
      <c r="L762" s="352" t="s">
        <v>3581</v>
      </c>
      <c r="M762" s="352"/>
      <c r="N762" s="352"/>
      <c r="O762" s="351">
        <v>100</v>
      </c>
      <c r="P762" s="349" t="s">
        <v>1836</v>
      </c>
      <c r="R762" s="349">
        <f t="shared" si="11"/>
        <v>9</v>
      </c>
      <c r="S762" s="352"/>
      <c r="T762" s="352"/>
      <c r="U762" s="352"/>
      <c r="V762" s="353"/>
      <c r="W762" s="352"/>
      <c r="X762" s="176"/>
      <c r="Y762" s="176"/>
      <c r="Z762" s="352"/>
      <c r="AA762" s="352"/>
      <c r="AB762" s="352"/>
      <c r="AC762" s="351"/>
      <c r="AD762" s="351"/>
    </row>
    <row r="763" spans="1:30" ht="243.55" hidden="1" x14ac:dyDescent="0.35">
      <c r="A763" s="349">
        <v>762</v>
      </c>
      <c r="B763" s="352" t="s">
        <v>1787</v>
      </c>
      <c r="C763" s="351" t="s">
        <v>4184</v>
      </c>
      <c r="D763" s="352" t="s">
        <v>4184</v>
      </c>
      <c r="E763" s="352" t="s">
        <v>827</v>
      </c>
      <c r="F763" s="353">
        <v>0.6</v>
      </c>
      <c r="G763" s="352" t="s">
        <v>1107</v>
      </c>
      <c r="H763" s="176" t="s">
        <v>2154</v>
      </c>
      <c r="I763" s="176" t="s">
        <v>430</v>
      </c>
      <c r="J763" s="352" t="s">
        <v>828</v>
      </c>
      <c r="K763" s="352">
        <v>50</v>
      </c>
      <c r="L763" s="352" t="s">
        <v>1116</v>
      </c>
      <c r="M763" s="351">
        <v>5</v>
      </c>
      <c r="N763" s="351" t="s">
        <v>1109</v>
      </c>
      <c r="O763" s="351">
        <v>50</v>
      </c>
      <c r="P763" s="349" t="s">
        <v>1836</v>
      </c>
      <c r="R763" s="349">
        <f t="shared" si="11"/>
        <v>9</v>
      </c>
      <c r="S763" s="352"/>
      <c r="T763" s="352"/>
      <c r="U763" s="352"/>
      <c r="V763" s="353"/>
      <c r="W763" s="352"/>
      <c r="X763" s="176"/>
      <c r="Y763" s="176"/>
      <c r="Z763" s="352"/>
      <c r="AA763" s="352"/>
      <c r="AB763" s="352"/>
      <c r="AC763" s="351"/>
      <c r="AD763" s="351"/>
    </row>
    <row r="764" spans="1:30" ht="102.55" hidden="1" x14ac:dyDescent="0.35">
      <c r="A764" s="349">
        <v>763</v>
      </c>
      <c r="B764" s="352" t="s">
        <v>761</v>
      </c>
      <c r="C764" s="351" t="s">
        <v>4184</v>
      </c>
      <c r="D764" s="352" t="s">
        <v>4184</v>
      </c>
      <c r="E764" s="352" t="s">
        <v>827</v>
      </c>
      <c r="F764" s="353">
        <v>0.6</v>
      </c>
      <c r="G764" s="352" t="s">
        <v>1107</v>
      </c>
      <c r="H764" s="176" t="s">
        <v>2707</v>
      </c>
      <c r="I764" s="176" t="s">
        <v>4483</v>
      </c>
      <c r="J764" s="352" t="s">
        <v>828</v>
      </c>
      <c r="K764" s="352">
        <v>50</v>
      </c>
      <c r="L764" s="352" t="s">
        <v>1116</v>
      </c>
      <c r="M764" s="351">
        <v>5</v>
      </c>
      <c r="N764" s="351" t="s">
        <v>1109</v>
      </c>
      <c r="O764" s="351">
        <v>50</v>
      </c>
      <c r="P764" s="349" t="s">
        <v>1836</v>
      </c>
      <c r="R764" s="349">
        <f t="shared" si="11"/>
        <v>9</v>
      </c>
      <c r="S764" s="352"/>
      <c r="T764" s="352"/>
      <c r="U764" s="352"/>
      <c r="V764" s="353"/>
      <c r="W764" s="352"/>
      <c r="X764" s="176"/>
      <c r="Y764" s="176"/>
      <c r="Z764" s="352"/>
      <c r="AA764" s="352"/>
      <c r="AB764" s="352"/>
      <c r="AC764" s="351"/>
      <c r="AD764" s="351"/>
    </row>
    <row r="765" spans="1:30" ht="153.80000000000001" hidden="1" x14ac:dyDescent="0.35">
      <c r="A765" s="349">
        <v>764</v>
      </c>
      <c r="B765" s="352" t="s">
        <v>4192</v>
      </c>
      <c r="C765" s="351" t="s">
        <v>3898</v>
      </c>
      <c r="D765" s="352" t="s">
        <v>3898</v>
      </c>
      <c r="E765" s="352" t="s">
        <v>4193</v>
      </c>
      <c r="F765" s="353">
        <v>6.85</v>
      </c>
      <c r="G765" s="352" t="s">
        <v>2126</v>
      </c>
      <c r="H765" s="176" t="s">
        <v>3191</v>
      </c>
      <c r="I765" s="176" t="s">
        <v>3932</v>
      </c>
      <c r="J765" s="352" t="s">
        <v>764</v>
      </c>
      <c r="K765" s="352">
        <v>20</v>
      </c>
      <c r="L765" s="352" t="s">
        <v>1116</v>
      </c>
      <c r="M765" s="352">
        <v>200</v>
      </c>
      <c r="N765" s="352" t="s">
        <v>1109</v>
      </c>
      <c r="O765" s="351">
        <v>20</v>
      </c>
      <c r="P765" s="349" t="s">
        <v>1836</v>
      </c>
      <c r="R765" s="349">
        <f t="shared" si="11"/>
        <v>17</v>
      </c>
      <c r="S765" s="352"/>
      <c r="T765" s="352"/>
      <c r="U765" s="352"/>
      <c r="V765" s="353"/>
      <c r="W765" s="352"/>
      <c r="X765" s="176"/>
      <c r="Y765" s="176"/>
      <c r="Z765" s="352"/>
      <c r="AA765" s="352"/>
      <c r="AB765" s="352"/>
      <c r="AC765" s="351"/>
      <c r="AD765" s="351"/>
    </row>
    <row r="766" spans="1:30" ht="153.80000000000001" hidden="1" x14ac:dyDescent="0.35">
      <c r="A766" s="349">
        <v>765</v>
      </c>
      <c r="B766" s="352" t="s">
        <v>4192</v>
      </c>
      <c r="C766" s="351" t="s">
        <v>3898</v>
      </c>
      <c r="D766" s="352" t="s">
        <v>3898</v>
      </c>
      <c r="E766" s="352" t="s">
        <v>1995</v>
      </c>
      <c r="F766" s="353">
        <v>0.1</v>
      </c>
      <c r="G766" s="352" t="s">
        <v>2126</v>
      </c>
      <c r="H766" s="176" t="s">
        <v>3191</v>
      </c>
      <c r="I766" s="176" t="s">
        <v>3932</v>
      </c>
      <c r="J766" s="352" t="s">
        <v>3580</v>
      </c>
      <c r="K766" s="352">
        <v>65</v>
      </c>
      <c r="L766" s="352" t="s">
        <v>3581</v>
      </c>
      <c r="M766" s="351"/>
      <c r="N766" s="351"/>
      <c r="O766" s="351">
        <v>65</v>
      </c>
      <c r="P766" s="349" t="s">
        <v>1836</v>
      </c>
      <c r="R766" s="349">
        <f t="shared" si="11"/>
        <v>17</v>
      </c>
      <c r="S766" s="352"/>
      <c r="T766" s="352"/>
      <c r="U766" s="352"/>
      <c r="V766" s="353"/>
      <c r="W766" s="352"/>
      <c r="X766" s="176"/>
      <c r="Y766" s="176"/>
      <c r="Z766" s="352"/>
      <c r="AA766" s="352"/>
      <c r="AB766" s="352"/>
      <c r="AC766" s="352"/>
      <c r="AD766" s="352"/>
    </row>
    <row r="767" spans="1:30" ht="153.80000000000001" hidden="1" x14ac:dyDescent="0.35">
      <c r="A767" s="349">
        <v>766</v>
      </c>
      <c r="B767" s="352" t="s">
        <v>4192</v>
      </c>
      <c r="C767" s="351" t="s">
        <v>3898</v>
      </c>
      <c r="D767" s="352" t="s">
        <v>3898</v>
      </c>
      <c r="E767" s="352" t="s">
        <v>1995</v>
      </c>
      <c r="F767" s="353">
        <v>6.6100000000000006E-2</v>
      </c>
      <c r="G767" s="352" t="s">
        <v>2126</v>
      </c>
      <c r="H767" s="176" t="s">
        <v>3191</v>
      </c>
      <c r="I767" s="176" t="s">
        <v>3932</v>
      </c>
      <c r="J767" s="352" t="s">
        <v>3580</v>
      </c>
      <c r="K767" s="352">
        <v>200</v>
      </c>
      <c r="L767" s="352" t="s">
        <v>3581</v>
      </c>
      <c r="M767" s="351"/>
      <c r="N767" s="351"/>
      <c r="O767" s="351">
        <v>200</v>
      </c>
      <c r="P767" s="349" t="s">
        <v>1836</v>
      </c>
      <c r="R767" s="349">
        <f t="shared" si="11"/>
        <v>17</v>
      </c>
      <c r="S767" s="352"/>
      <c r="T767" s="352"/>
      <c r="U767" s="352"/>
      <c r="V767" s="353"/>
      <c r="W767" s="352"/>
      <c r="X767" s="176"/>
      <c r="Y767" s="176"/>
      <c r="Z767" s="352"/>
      <c r="AA767" s="352"/>
      <c r="AB767" s="352"/>
      <c r="AC767" s="352"/>
      <c r="AD767" s="352"/>
    </row>
    <row r="768" spans="1:30" ht="153.80000000000001" hidden="1" x14ac:dyDescent="0.35">
      <c r="A768" s="349">
        <v>767</v>
      </c>
      <c r="B768" s="352" t="s">
        <v>4192</v>
      </c>
      <c r="C768" s="351" t="s">
        <v>4650</v>
      </c>
      <c r="D768" s="352" t="s">
        <v>3898</v>
      </c>
      <c r="E768" s="352" t="s">
        <v>4193</v>
      </c>
      <c r="F768" s="353">
        <v>6.85</v>
      </c>
      <c r="G768" s="352" t="s">
        <v>2126</v>
      </c>
      <c r="H768" s="176" t="s">
        <v>3191</v>
      </c>
      <c r="I768" s="176" t="s">
        <v>3932</v>
      </c>
      <c r="J768" s="352" t="s">
        <v>764</v>
      </c>
      <c r="K768" s="351">
        <v>20</v>
      </c>
      <c r="L768" s="351" t="s">
        <v>1116</v>
      </c>
      <c r="M768" s="352">
        <v>200</v>
      </c>
      <c r="N768" s="352" t="s">
        <v>1109</v>
      </c>
      <c r="O768" s="351">
        <v>20</v>
      </c>
      <c r="P768" s="349" t="s">
        <v>1836</v>
      </c>
      <c r="R768" s="349">
        <f t="shared" si="11"/>
        <v>17</v>
      </c>
      <c r="S768" s="352"/>
      <c r="T768" s="352"/>
      <c r="U768" s="352"/>
      <c r="V768" s="353"/>
      <c r="W768" s="352"/>
      <c r="X768" s="176"/>
      <c r="Y768" s="176"/>
      <c r="Z768" s="352"/>
      <c r="AA768" s="352"/>
      <c r="AB768" s="352"/>
      <c r="AC768" s="352"/>
      <c r="AD768" s="352"/>
    </row>
    <row r="769" spans="1:30" ht="153.80000000000001" hidden="1" x14ac:dyDescent="0.35">
      <c r="A769" s="349">
        <v>768</v>
      </c>
      <c r="B769" s="352" t="s">
        <v>4192</v>
      </c>
      <c r="C769" s="351" t="s">
        <v>4650</v>
      </c>
      <c r="D769" s="352" t="s">
        <v>3898</v>
      </c>
      <c r="E769" s="352" t="s">
        <v>1995</v>
      </c>
      <c r="F769" s="353">
        <v>0.1</v>
      </c>
      <c r="G769" s="352" t="s">
        <v>2126</v>
      </c>
      <c r="H769" s="176" t="s">
        <v>3191</v>
      </c>
      <c r="I769" s="176" t="s">
        <v>3932</v>
      </c>
      <c r="J769" s="352" t="s">
        <v>3580</v>
      </c>
      <c r="K769" s="351">
        <v>65</v>
      </c>
      <c r="L769" s="351" t="s">
        <v>3581</v>
      </c>
      <c r="M769" s="352"/>
      <c r="N769" s="352"/>
      <c r="O769" s="351">
        <v>65</v>
      </c>
      <c r="P769" s="349" t="s">
        <v>1836</v>
      </c>
      <c r="R769" s="349">
        <f t="shared" si="11"/>
        <v>17</v>
      </c>
      <c r="S769" s="352"/>
      <c r="T769" s="352"/>
      <c r="U769" s="352"/>
      <c r="V769" s="353"/>
      <c r="W769" s="352"/>
      <c r="X769" s="176"/>
      <c r="Y769" s="176"/>
      <c r="Z769" s="352"/>
      <c r="AA769" s="352"/>
      <c r="AB769" s="352"/>
      <c r="AC769" s="352"/>
      <c r="AD769" s="352"/>
    </row>
    <row r="770" spans="1:30" ht="153.80000000000001" hidden="1" x14ac:dyDescent="0.35">
      <c r="A770" s="349">
        <v>769</v>
      </c>
      <c r="B770" s="352" t="s">
        <v>4192</v>
      </c>
      <c r="C770" s="351" t="s">
        <v>4650</v>
      </c>
      <c r="D770" s="352" t="s">
        <v>3898</v>
      </c>
      <c r="E770" s="352" t="s">
        <v>1995</v>
      </c>
      <c r="F770" s="353">
        <v>6.6100000000000006E-2</v>
      </c>
      <c r="G770" s="352" t="s">
        <v>2126</v>
      </c>
      <c r="H770" s="176" t="s">
        <v>3191</v>
      </c>
      <c r="I770" s="176" t="s">
        <v>3932</v>
      </c>
      <c r="J770" s="352" t="s">
        <v>3580</v>
      </c>
      <c r="K770" s="352">
        <v>200</v>
      </c>
      <c r="L770" s="352" t="s">
        <v>3581</v>
      </c>
      <c r="M770" s="352"/>
      <c r="N770" s="352"/>
      <c r="O770" s="351">
        <v>200</v>
      </c>
      <c r="P770" s="349" t="s">
        <v>1836</v>
      </c>
      <c r="R770" s="349">
        <f t="shared" si="11"/>
        <v>17</v>
      </c>
      <c r="S770" s="352"/>
      <c r="T770" s="352"/>
      <c r="U770" s="352"/>
      <c r="V770" s="353"/>
      <c r="W770" s="352"/>
      <c r="X770" s="176"/>
      <c r="Y770" s="176"/>
      <c r="Z770" s="352"/>
      <c r="AA770" s="352"/>
      <c r="AB770" s="352"/>
      <c r="AC770" s="351"/>
      <c r="AD770" s="351"/>
    </row>
    <row r="771" spans="1:30" ht="38.450000000000003" hidden="1" x14ac:dyDescent="0.35">
      <c r="A771" s="349">
        <v>770</v>
      </c>
      <c r="B771" s="352" t="s">
        <v>4044</v>
      </c>
      <c r="C771" s="351" t="s">
        <v>3096</v>
      </c>
      <c r="D771" s="352" t="s">
        <v>3096</v>
      </c>
      <c r="E771" s="352" t="s">
        <v>765</v>
      </c>
      <c r="F771" s="353">
        <v>257.56959999999998</v>
      </c>
      <c r="G771" s="352" t="s">
        <v>34</v>
      </c>
      <c r="H771" s="176" t="s">
        <v>3896</v>
      </c>
      <c r="I771" s="176" t="s">
        <v>3190</v>
      </c>
      <c r="J771" s="352" t="s">
        <v>766</v>
      </c>
      <c r="K771" s="352"/>
      <c r="L771" s="352"/>
      <c r="M771" s="352">
        <v>1</v>
      </c>
      <c r="N771" s="352" t="s">
        <v>1109</v>
      </c>
      <c r="O771" s="351">
        <v>0</v>
      </c>
      <c r="P771" s="349" t="s">
        <v>1837</v>
      </c>
      <c r="R771" s="349">
        <f t="shared" ref="R771:R834" si="12">LEN(D771)</f>
        <v>11</v>
      </c>
      <c r="S771" s="352"/>
      <c r="T771" s="352"/>
      <c r="U771" s="352"/>
      <c r="V771" s="353"/>
      <c r="W771" s="352"/>
      <c r="X771" s="176"/>
      <c r="Y771" s="37"/>
      <c r="Z771" s="352"/>
      <c r="AA771" s="351"/>
      <c r="AB771" s="351"/>
      <c r="AC771" s="352"/>
      <c r="AD771" s="352"/>
    </row>
    <row r="772" spans="1:30" ht="38.450000000000003" hidden="1" x14ac:dyDescent="0.35">
      <c r="A772" s="349">
        <v>771</v>
      </c>
      <c r="B772" s="352" t="s">
        <v>4044</v>
      </c>
      <c r="C772" s="351" t="s">
        <v>3096</v>
      </c>
      <c r="D772" s="352" t="s">
        <v>3096</v>
      </c>
      <c r="E772" s="352" t="s">
        <v>765</v>
      </c>
      <c r="F772" s="353">
        <v>257.56959999999998</v>
      </c>
      <c r="G772" s="352" t="s">
        <v>34</v>
      </c>
      <c r="H772" s="176" t="s">
        <v>3896</v>
      </c>
      <c r="I772" s="176" t="s">
        <v>3190</v>
      </c>
      <c r="J772" s="352" t="s">
        <v>766</v>
      </c>
      <c r="K772" s="352"/>
      <c r="L772" s="352"/>
      <c r="M772" s="352">
        <v>1</v>
      </c>
      <c r="N772" s="352" t="s">
        <v>1109</v>
      </c>
      <c r="O772" s="351">
        <v>0</v>
      </c>
      <c r="P772" s="349" t="s">
        <v>1837</v>
      </c>
      <c r="R772" s="349">
        <f t="shared" si="12"/>
        <v>11</v>
      </c>
      <c r="S772" s="352"/>
      <c r="T772" s="352"/>
      <c r="U772" s="352"/>
      <c r="V772" s="353"/>
      <c r="W772" s="352"/>
      <c r="X772" s="176"/>
      <c r="Y772" s="37"/>
      <c r="Z772" s="352"/>
      <c r="AA772" s="351"/>
      <c r="AB772" s="351"/>
      <c r="AC772" s="352"/>
      <c r="AD772" s="352"/>
    </row>
    <row r="773" spans="1:30" ht="64.099999999999994" hidden="1" x14ac:dyDescent="0.35">
      <c r="A773" s="349">
        <v>772</v>
      </c>
      <c r="B773" s="352" t="s">
        <v>962</v>
      </c>
      <c r="C773" s="351" t="s">
        <v>3897</v>
      </c>
      <c r="D773" s="352" t="s">
        <v>3897</v>
      </c>
      <c r="E773" s="352" t="s">
        <v>767</v>
      </c>
      <c r="F773" s="353">
        <v>147.0976</v>
      </c>
      <c r="G773" s="352" t="s">
        <v>731</v>
      </c>
      <c r="H773" s="176" t="s">
        <v>1861</v>
      </c>
      <c r="I773" s="176" t="s">
        <v>1862</v>
      </c>
      <c r="J773" s="352" t="s">
        <v>1115</v>
      </c>
      <c r="K773" s="352">
        <v>300</v>
      </c>
      <c r="L773" s="352" t="s">
        <v>768</v>
      </c>
      <c r="M773" s="352">
        <v>1</v>
      </c>
      <c r="N773" s="352" t="s">
        <v>1109</v>
      </c>
      <c r="O773" s="351">
        <v>300</v>
      </c>
      <c r="P773" s="349" t="s">
        <v>1850</v>
      </c>
      <c r="R773" s="349">
        <f t="shared" si="12"/>
        <v>10</v>
      </c>
      <c r="S773" s="352"/>
      <c r="T773" s="352"/>
      <c r="U773" s="352"/>
      <c r="V773" s="353"/>
      <c r="W773" s="352"/>
      <c r="X773" s="176"/>
      <c r="Y773" s="37"/>
      <c r="Z773" s="352"/>
      <c r="AA773" s="351"/>
      <c r="AB773" s="351"/>
      <c r="AC773" s="352"/>
      <c r="AD773" s="352"/>
    </row>
    <row r="774" spans="1:30" ht="51.3" hidden="1" x14ac:dyDescent="0.35">
      <c r="A774" s="349">
        <v>773</v>
      </c>
      <c r="B774" s="352" t="s">
        <v>550</v>
      </c>
      <c r="C774" s="351" t="s">
        <v>4651</v>
      </c>
      <c r="D774" s="352" t="s">
        <v>1285</v>
      </c>
      <c r="E774" s="352" t="s">
        <v>2129</v>
      </c>
      <c r="F774" s="353">
        <v>17.190000000000001</v>
      </c>
      <c r="G774" s="352" t="s">
        <v>2126</v>
      </c>
      <c r="H774" s="176" t="s">
        <v>1346</v>
      </c>
      <c r="I774" s="176" t="s">
        <v>4795</v>
      </c>
      <c r="J774" s="352" t="s">
        <v>3579</v>
      </c>
      <c r="K774" s="352">
        <v>20</v>
      </c>
      <c r="L774" s="352" t="s">
        <v>1116</v>
      </c>
      <c r="M774" s="351">
        <v>100</v>
      </c>
      <c r="N774" s="351" t="s">
        <v>1109</v>
      </c>
      <c r="O774" s="351">
        <v>20</v>
      </c>
      <c r="P774" s="349" t="s">
        <v>1836</v>
      </c>
      <c r="R774" s="349">
        <f t="shared" si="12"/>
        <v>7</v>
      </c>
      <c r="S774" s="352"/>
      <c r="T774" s="352"/>
      <c r="U774" s="352"/>
      <c r="V774" s="353"/>
      <c r="W774" s="352"/>
      <c r="X774" s="176"/>
      <c r="Y774" s="37"/>
      <c r="Z774" s="352"/>
      <c r="AA774" s="351"/>
      <c r="AB774" s="351"/>
      <c r="AC774" s="352"/>
      <c r="AD774" s="352"/>
    </row>
    <row r="775" spans="1:30" ht="115.35" hidden="1" x14ac:dyDescent="0.35">
      <c r="A775" s="349">
        <v>774</v>
      </c>
      <c r="B775" s="352" t="s">
        <v>3205</v>
      </c>
      <c r="C775" s="351" t="s">
        <v>4652</v>
      </c>
      <c r="D775" s="352" t="s">
        <v>907</v>
      </c>
      <c r="E775" s="352" t="s">
        <v>1586</v>
      </c>
      <c r="F775" s="353">
        <v>2.0935000000000001</v>
      </c>
      <c r="G775" s="352" t="s">
        <v>1107</v>
      </c>
      <c r="H775" s="176" t="s">
        <v>927</v>
      </c>
      <c r="I775" s="176" t="s">
        <v>928</v>
      </c>
      <c r="J775" s="352" t="s">
        <v>1115</v>
      </c>
      <c r="K775" s="352">
        <v>5</v>
      </c>
      <c r="L775" s="352" t="s">
        <v>1116</v>
      </c>
      <c r="M775" s="351">
        <v>100</v>
      </c>
      <c r="N775" s="351" t="s">
        <v>1109</v>
      </c>
      <c r="O775" s="351">
        <v>5</v>
      </c>
      <c r="P775" s="349" t="s">
        <v>1836</v>
      </c>
      <c r="R775" s="349">
        <f t="shared" si="12"/>
        <v>12</v>
      </c>
      <c r="S775" s="352"/>
      <c r="T775" s="352"/>
      <c r="U775" s="352"/>
      <c r="V775" s="353"/>
      <c r="W775" s="352"/>
      <c r="X775" s="37"/>
      <c r="Y775" s="176"/>
      <c r="Z775" s="352"/>
      <c r="AA775" s="352"/>
      <c r="AB775" s="352"/>
      <c r="AC775" s="352"/>
      <c r="AD775" s="352"/>
    </row>
    <row r="776" spans="1:30" ht="25.65" hidden="1" x14ac:dyDescent="0.35">
      <c r="A776" s="349">
        <v>775</v>
      </c>
      <c r="B776" s="352" t="s">
        <v>3205</v>
      </c>
      <c r="C776" s="351" t="s">
        <v>4652</v>
      </c>
      <c r="D776" s="352" t="s">
        <v>907</v>
      </c>
      <c r="E776" s="352" t="s">
        <v>2129</v>
      </c>
      <c r="F776" s="353">
        <v>12.25</v>
      </c>
      <c r="G776" s="352" t="s">
        <v>2126</v>
      </c>
      <c r="H776" s="176" t="s">
        <v>929</v>
      </c>
      <c r="I776" s="176" t="s">
        <v>928</v>
      </c>
      <c r="J776" s="352" t="s">
        <v>3579</v>
      </c>
      <c r="K776" s="352">
        <v>40</v>
      </c>
      <c r="L776" s="352" t="s">
        <v>1116</v>
      </c>
      <c r="M776" s="351">
        <v>100</v>
      </c>
      <c r="N776" s="351" t="s">
        <v>1109</v>
      </c>
      <c r="O776" s="351">
        <v>40</v>
      </c>
      <c r="P776" s="349" t="s">
        <v>1836</v>
      </c>
      <c r="R776" s="349">
        <f t="shared" si="12"/>
        <v>12</v>
      </c>
      <c r="S776" s="352"/>
      <c r="T776" s="352"/>
      <c r="U776" s="352"/>
      <c r="V776" s="353"/>
      <c r="W776" s="352"/>
      <c r="X776" s="176"/>
      <c r="Y776" s="176"/>
      <c r="Z776" s="352"/>
      <c r="AA776" s="352"/>
      <c r="AB776" s="352"/>
      <c r="AC776" s="352"/>
      <c r="AD776" s="352"/>
    </row>
    <row r="777" spans="1:30" ht="51.3" hidden="1" x14ac:dyDescent="0.35">
      <c r="A777" s="349">
        <v>776</v>
      </c>
      <c r="B777" s="352" t="s">
        <v>1018</v>
      </c>
      <c r="C777" s="351" t="s">
        <v>4652</v>
      </c>
      <c r="D777" s="352" t="s">
        <v>907</v>
      </c>
      <c r="E777" s="352" t="s">
        <v>2129</v>
      </c>
      <c r="F777" s="353">
        <v>12.274699999999999</v>
      </c>
      <c r="G777" s="352" t="s">
        <v>2126</v>
      </c>
      <c r="H777" s="176" t="s">
        <v>155</v>
      </c>
      <c r="I777" s="176" t="s">
        <v>156</v>
      </c>
      <c r="J777" s="352" t="s">
        <v>3579</v>
      </c>
      <c r="K777" s="352">
        <v>40</v>
      </c>
      <c r="L777" s="352" t="s">
        <v>1116</v>
      </c>
      <c r="M777" s="352">
        <v>100</v>
      </c>
      <c r="N777" s="352" t="s">
        <v>1109</v>
      </c>
      <c r="O777" s="351">
        <v>40</v>
      </c>
      <c r="P777" s="349" t="s">
        <v>1836</v>
      </c>
      <c r="R777" s="349">
        <f t="shared" si="12"/>
        <v>12</v>
      </c>
      <c r="S777" s="352"/>
      <c r="T777" s="352"/>
      <c r="U777" s="352"/>
      <c r="V777" s="353"/>
      <c r="W777" s="352"/>
      <c r="X777" s="176"/>
      <c r="Y777" s="176"/>
      <c r="Z777" s="352"/>
      <c r="AA777" s="352"/>
      <c r="AB777" s="352"/>
      <c r="AC777" s="352"/>
      <c r="AD777" s="352"/>
    </row>
    <row r="778" spans="1:30" ht="25.65" hidden="1" x14ac:dyDescent="0.35">
      <c r="A778" s="349">
        <v>777</v>
      </c>
      <c r="B778" s="352" t="s">
        <v>3205</v>
      </c>
      <c r="C778" s="351" t="s">
        <v>4652</v>
      </c>
      <c r="D778" s="352" t="s">
        <v>907</v>
      </c>
      <c r="E778" s="352" t="s">
        <v>1995</v>
      </c>
      <c r="F778" s="353">
        <v>0.45</v>
      </c>
      <c r="G778" s="352" t="s">
        <v>2126</v>
      </c>
      <c r="H778" s="176" t="s">
        <v>929</v>
      </c>
      <c r="I778" s="176" t="s">
        <v>928</v>
      </c>
      <c r="J778" s="352" t="s">
        <v>3580</v>
      </c>
      <c r="K778" s="352">
        <v>250</v>
      </c>
      <c r="L778" s="352" t="s">
        <v>3581</v>
      </c>
      <c r="M778" s="352"/>
      <c r="N778" s="352"/>
      <c r="O778" s="351">
        <v>250</v>
      </c>
      <c r="P778" s="349" t="s">
        <v>1836</v>
      </c>
      <c r="R778" s="349">
        <f t="shared" si="12"/>
        <v>12</v>
      </c>
      <c r="S778" s="352"/>
      <c r="T778" s="352"/>
      <c r="U778" s="352"/>
      <c r="V778" s="353"/>
      <c r="W778" s="352"/>
      <c r="X778" s="176"/>
      <c r="Y778" s="176"/>
      <c r="Z778" s="352"/>
      <c r="AA778" s="352"/>
      <c r="AB778" s="352"/>
      <c r="AC778" s="352"/>
      <c r="AD778" s="352"/>
    </row>
    <row r="779" spans="1:30" ht="25.65" hidden="1" x14ac:dyDescent="0.35">
      <c r="A779" s="349">
        <v>778</v>
      </c>
      <c r="B779" s="352" t="s">
        <v>3205</v>
      </c>
      <c r="C779" s="351" t="s">
        <v>4652</v>
      </c>
      <c r="D779" s="352" t="s">
        <v>907</v>
      </c>
      <c r="E779" s="352" t="s">
        <v>1995</v>
      </c>
      <c r="F779" s="353">
        <v>0.59499999999999997</v>
      </c>
      <c r="G779" s="352" t="s">
        <v>2126</v>
      </c>
      <c r="H779" s="176" t="s">
        <v>929</v>
      </c>
      <c r="I779" s="176" t="s">
        <v>928</v>
      </c>
      <c r="J779" s="352" t="s">
        <v>3580</v>
      </c>
      <c r="K779" s="352">
        <v>500</v>
      </c>
      <c r="L779" s="352" t="s">
        <v>3581</v>
      </c>
      <c r="M779" s="352"/>
      <c r="N779" s="352"/>
      <c r="O779" s="351">
        <v>500</v>
      </c>
      <c r="P779" s="349" t="s">
        <v>1836</v>
      </c>
      <c r="R779" s="349">
        <f t="shared" si="12"/>
        <v>12</v>
      </c>
      <c r="S779" s="352"/>
      <c r="T779" s="352"/>
      <c r="U779" s="352"/>
      <c r="V779" s="353"/>
      <c r="W779" s="352"/>
      <c r="X779" s="37"/>
      <c r="Y779" s="37"/>
      <c r="Z779" s="352"/>
      <c r="AA779" s="352"/>
      <c r="AB779" s="352"/>
      <c r="AC779" s="352"/>
      <c r="AD779" s="352"/>
    </row>
    <row r="780" spans="1:30" ht="51.3" hidden="1" x14ac:dyDescent="0.35">
      <c r="A780" s="349">
        <v>779</v>
      </c>
      <c r="B780" s="352" t="s">
        <v>1018</v>
      </c>
      <c r="C780" s="351" t="s">
        <v>4652</v>
      </c>
      <c r="D780" s="352" t="s">
        <v>907</v>
      </c>
      <c r="E780" s="352" t="s">
        <v>1995</v>
      </c>
      <c r="F780" s="353">
        <v>0.59499999999999997</v>
      </c>
      <c r="G780" s="352" t="s">
        <v>2126</v>
      </c>
      <c r="H780" s="176" t="s">
        <v>155</v>
      </c>
      <c r="I780" s="176" t="s">
        <v>156</v>
      </c>
      <c r="J780" s="352" t="s">
        <v>3580</v>
      </c>
      <c r="K780" s="352">
        <v>500</v>
      </c>
      <c r="L780" s="352" t="s">
        <v>3581</v>
      </c>
      <c r="M780" s="351"/>
      <c r="N780" s="351"/>
      <c r="O780" s="351">
        <v>500</v>
      </c>
      <c r="P780" s="349" t="s">
        <v>1836</v>
      </c>
      <c r="R780" s="349">
        <f t="shared" si="12"/>
        <v>12</v>
      </c>
      <c r="S780" s="352"/>
      <c r="T780" s="352"/>
      <c r="U780" s="352"/>
      <c r="V780" s="353"/>
      <c r="W780" s="352"/>
      <c r="X780" s="37"/>
      <c r="Y780" s="37"/>
      <c r="Z780" s="352"/>
      <c r="AA780" s="352"/>
      <c r="AB780" s="352"/>
      <c r="AC780" s="352"/>
      <c r="AD780" s="352"/>
    </row>
    <row r="781" spans="1:30" ht="51.3" hidden="1" x14ac:dyDescent="0.35">
      <c r="A781" s="349">
        <v>780</v>
      </c>
      <c r="B781" s="352" t="s">
        <v>2132</v>
      </c>
      <c r="C781" s="351" t="s">
        <v>4653</v>
      </c>
      <c r="D781" s="352" t="s">
        <v>3510</v>
      </c>
      <c r="E781" s="352" t="s">
        <v>769</v>
      </c>
      <c r="F781" s="353">
        <v>5.7295999999999996</v>
      </c>
      <c r="G781" s="352" t="s">
        <v>34</v>
      </c>
      <c r="H781" s="176" t="s">
        <v>3511</v>
      </c>
      <c r="I781" s="176" t="s">
        <v>3512</v>
      </c>
      <c r="J781" s="352" t="s">
        <v>29</v>
      </c>
      <c r="K781" s="352">
        <v>1</v>
      </c>
      <c r="L781" s="352" t="s">
        <v>470</v>
      </c>
      <c r="M781" s="352">
        <v>50</v>
      </c>
      <c r="N781" s="352" t="s">
        <v>31</v>
      </c>
      <c r="O781" s="351">
        <v>1</v>
      </c>
      <c r="P781" s="349" t="s">
        <v>1838</v>
      </c>
      <c r="R781" s="349">
        <f t="shared" si="12"/>
        <v>18</v>
      </c>
      <c r="S781" s="352"/>
      <c r="T781" s="352"/>
      <c r="U781" s="352"/>
      <c r="V781" s="353"/>
      <c r="W781" s="352"/>
      <c r="X781" s="37"/>
      <c r="Y781" s="37"/>
      <c r="Z781" s="352"/>
      <c r="AA781" s="352"/>
      <c r="AB781" s="352"/>
      <c r="AC781" s="352"/>
      <c r="AD781" s="352"/>
    </row>
    <row r="782" spans="1:30" ht="51.3" hidden="1" x14ac:dyDescent="0.35">
      <c r="A782" s="349">
        <v>781</v>
      </c>
      <c r="B782" s="352" t="s">
        <v>2132</v>
      </c>
      <c r="C782" s="351" t="s">
        <v>4653</v>
      </c>
      <c r="D782" s="352" t="s">
        <v>3510</v>
      </c>
      <c r="E782" s="352" t="s">
        <v>770</v>
      </c>
      <c r="F782" s="353">
        <v>53.153500000000001</v>
      </c>
      <c r="G782" s="352" t="s">
        <v>34</v>
      </c>
      <c r="H782" s="176" t="s">
        <v>3511</v>
      </c>
      <c r="I782" s="176" t="s">
        <v>3512</v>
      </c>
      <c r="J782" s="352" t="s">
        <v>29</v>
      </c>
      <c r="K782" s="352">
        <v>1</v>
      </c>
      <c r="L782" s="352" t="s">
        <v>470</v>
      </c>
      <c r="M782" s="352">
        <v>500</v>
      </c>
      <c r="N782" s="352" t="s">
        <v>31</v>
      </c>
      <c r="O782" s="351">
        <v>1</v>
      </c>
      <c r="P782" s="349" t="s">
        <v>1838</v>
      </c>
      <c r="R782" s="349">
        <f t="shared" si="12"/>
        <v>18</v>
      </c>
      <c r="S782" s="352"/>
      <c r="T782" s="352"/>
      <c r="U782" s="352"/>
      <c r="V782" s="353"/>
      <c r="W782" s="352"/>
      <c r="X782" s="37"/>
      <c r="Y782" s="37"/>
      <c r="Z782" s="352"/>
      <c r="AA782" s="351"/>
      <c r="AB782" s="351"/>
      <c r="AC782" s="351"/>
      <c r="AD782" s="351"/>
    </row>
    <row r="783" spans="1:30" ht="115.35" hidden="1" x14ac:dyDescent="0.35">
      <c r="A783" s="349">
        <v>782</v>
      </c>
      <c r="B783" s="352" t="s">
        <v>761</v>
      </c>
      <c r="C783" s="351" t="s">
        <v>4654</v>
      </c>
      <c r="D783" s="352" t="s">
        <v>771</v>
      </c>
      <c r="E783" s="352" t="s">
        <v>772</v>
      </c>
      <c r="F783" s="353">
        <v>13.22</v>
      </c>
      <c r="G783" s="352" t="s">
        <v>1107</v>
      </c>
      <c r="H783" s="176" t="s">
        <v>2293</v>
      </c>
      <c r="I783" s="176" t="s">
        <v>4236</v>
      </c>
      <c r="J783" s="352" t="s">
        <v>828</v>
      </c>
      <c r="K783" s="352">
        <v>10</v>
      </c>
      <c r="L783" s="352" t="s">
        <v>1116</v>
      </c>
      <c r="M783" s="352">
        <v>15</v>
      </c>
      <c r="N783" s="352" t="s">
        <v>1109</v>
      </c>
      <c r="O783" s="351">
        <v>10</v>
      </c>
      <c r="P783" s="349" t="s">
        <v>1836</v>
      </c>
      <c r="R783" s="349">
        <f t="shared" si="12"/>
        <v>11</v>
      </c>
      <c r="S783" s="352"/>
      <c r="T783" s="352"/>
      <c r="U783" s="352"/>
      <c r="V783" s="353"/>
      <c r="W783" s="352"/>
      <c r="X783" s="37"/>
      <c r="Y783" s="176"/>
      <c r="Z783" s="352"/>
      <c r="AA783" s="352"/>
      <c r="AB783" s="352"/>
      <c r="AC783" s="352"/>
      <c r="AD783" s="352"/>
    </row>
    <row r="784" spans="1:30" ht="115.35" hidden="1" x14ac:dyDescent="0.35">
      <c r="A784" s="349">
        <v>783</v>
      </c>
      <c r="B784" s="352" t="s">
        <v>761</v>
      </c>
      <c r="C784" s="351" t="s">
        <v>4654</v>
      </c>
      <c r="D784" s="352" t="s">
        <v>771</v>
      </c>
      <c r="E784" s="352" t="s">
        <v>1995</v>
      </c>
      <c r="F784" s="353">
        <v>1.0578000000000001</v>
      </c>
      <c r="G784" s="352" t="s">
        <v>2126</v>
      </c>
      <c r="H784" s="176" t="s">
        <v>3109</v>
      </c>
      <c r="I784" s="176" t="s">
        <v>4236</v>
      </c>
      <c r="J784" s="352" t="s">
        <v>3580</v>
      </c>
      <c r="K784" s="352">
        <v>100</v>
      </c>
      <c r="L784" s="352" t="s">
        <v>3581</v>
      </c>
      <c r="M784" s="352"/>
      <c r="N784" s="352"/>
      <c r="O784" s="351">
        <v>100</v>
      </c>
      <c r="P784" s="349" t="s">
        <v>1836</v>
      </c>
      <c r="R784" s="349">
        <f t="shared" si="12"/>
        <v>11</v>
      </c>
      <c r="S784" s="352"/>
      <c r="T784" s="352"/>
      <c r="U784" s="352"/>
      <c r="V784" s="353"/>
      <c r="W784" s="352"/>
      <c r="X784" s="37"/>
      <c r="Y784" s="176"/>
      <c r="Z784" s="352"/>
      <c r="AA784" s="352"/>
      <c r="AB784" s="352"/>
      <c r="AC784" s="352"/>
      <c r="AD784" s="352"/>
    </row>
    <row r="785" spans="1:30" ht="89.75" hidden="1" x14ac:dyDescent="0.35">
      <c r="A785" s="349">
        <v>784</v>
      </c>
      <c r="B785" s="352" t="s">
        <v>739</v>
      </c>
      <c r="C785" s="351" t="s">
        <v>4655</v>
      </c>
      <c r="D785" s="352" t="s">
        <v>1286</v>
      </c>
      <c r="E785" s="352" t="s">
        <v>740</v>
      </c>
      <c r="F785" s="353">
        <v>42.9283</v>
      </c>
      <c r="G785" s="352" t="s">
        <v>34</v>
      </c>
      <c r="H785" s="176" t="s">
        <v>2688</v>
      </c>
      <c r="I785" s="176" t="s">
        <v>2687</v>
      </c>
      <c r="J785" s="352" t="s">
        <v>741</v>
      </c>
      <c r="K785" s="352">
        <v>50</v>
      </c>
      <c r="L785" s="352" t="s">
        <v>2902</v>
      </c>
      <c r="M785" s="352">
        <v>150</v>
      </c>
      <c r="N785" s="352" t="s">
        <v>1656</v>
      </c>
      <c r="O785" s="351">
        <v>50</v>
      </c>
      <c r="P785" s="349" t="s">
        <v>1850</v>
      </c>
      <c r="R785" s="349">
        <f t="shared" si="12"/>
        <v>10</v>
      </c>
      <c r="S785" s="352"/>
      <c r="T785" s="352"/>
      <c r="U785" s="352"/>
      <c r="V785" s="353"/>
      <c r="W785" s="352"/>
      <c r="X785" s="37"/>
      <c r="Y785" s="176"/>
      <c r="Z785" s="352"/>
      <c r="AA785" s="352"/>
      <c r="AB785" s="352"/>
      <c r="AC785" s="352"/>
      <c r="AD785" s="352"/>
    </row>
    <row r="786" spans="1:30" ht="25.65" hidden="1" x14ac:dyDescent="0.35">
      <c r="A786" s="349">
        <v>785</v>
      </c>
      <c r="B786" s="352" t="s">
        <v>739</v>
      </c>
      <c r="C786" s="351" t="s">
        <v>4655</v>
      </c>
      <c r="D786" s="352" t="s">
        <v>1286</v>
      </c>
      <c r="E786" s="352" t="s">
        <v>740</v>
      </c>
      <c r="F786" s="353">
        <v>42.9283</v>
      </c>
      <c r="G786" s="352" t="s">
        <v>34</v>
      </c>
      <c r="H786" s="37"/>
      <c r="I786" s="176" t="s">
        <v>2687</v>
      </c>
      <c r="J786" s="352" t="s">
        <v>741</v>
      </c>
      <c r="K786" s="352">
        <v>50</v>
      </c>
      <c r="L786" s="352" t="s">
        <v>2902</v>
      </c>
      <c r="M786" s="352">
        <v>150</v>
      </c>
      <c r="N786" s="352" t="s">
        <v>1656</v>
      </c>
      <c r="O786" s="351">
        <v>50</v>
      </c>
      <c r="P786" s="349" t="s">
        <v>1850</v>
      </c>
      <c r="R786" s="349">
        <f t="shared" si="12"/>
        <v>10</v>
      </c>
      <c r="S786" s="352"/>
      <c r="T786" s="352"/>
      <c r="U786" s="352"/>
      <c r="V786" s="353"/>
      <c r="W786" s="352"/>
      <c r="X786" s="37"/>
      <c r="Y786" s="176"/>
      <c r="Z786" s="352"/>
      <c r="AA786" s="352"/>
      <c r="AB786" s="352"/>
      <c r="AC786" s="352"/>
      <c r="AD786" s="352"/>
    </row>
    <row r="787" spans="1:30" ht="76.900000000000006" hidden="1" x14ac:dyDescent="0.35">
      <c r="A787" s="349">
        <v>786</v>
      </c>
      <c r="B787" s="352" t="s">
        <v>2373</v>
      </c>
      <c r="C787" s="351" t="s">
        <v>4656</v>
      </c>
      <c r="D787" s="352" t="s">
        <v>1286</v>
      </c>
      <c r="E787" s="352" t="s">
        <v>742</v>
      </c>
      <c r="F787" s="353">
        <v>29.485600000000002</v>
      </c>
      <c r="G787" s="352" t="s">
        <v>3034</v>
      </c>
      <c r="H787" s="176" t="s">
        <v>1124</v>
      </c>
      <c r="I787" s="176" t="s">
        <v>1121</v>
      </c>
      <c r="J787" s="352" t="s">
        <v>3215</v>
      </c>
      <c r="K787" s="352">
        <v>50</v>
      </c>
      <c r="L787" s="352" t="s">
        <v>3216</v>
      </c>
      <c r="M787" s="352">
        <v>120</v>
      </c>
      <c r="N787" s="352" t="s">
        <v>1656</v>
      </c>
      <c r="O787" s="351">
        <v>50</v>
      </c>
      <c r="P787" s="349" t="s">
        <v>1850</v>
      </c>
      <c r="R787" s="349">
        <f t="shared" si="12"/>
        <v>10</v>
      </c>
      <c r="S787" s="352"/>
      <c r="T787" s="352"/>
      <c r="U787" s="352"/>
      <c r="V787" s="353"/>
      <c r="W787" s="352"/>
      <c r="X787" s="37"/>
      <c r="Y787" s="176"/>
      <c r="Z787" s="352"/>
      <c r="AA787" s="352"/>
      <c r="AB787" s="352"/>
      <c r="AC787" s="351"/>
      <c r="AD787" s="351"/>
    </row>
    <row r="788" spans="1:30" ht="64.099999999999994" hidden="1" x14ac:dyDescent="0.35">
      <c r="A788" s="349">
        <v>787</v>
      </c>
      <c r="B788" s="352" t="s">
        <v>2373</v>
      </c>
      <c r="C788" s="351" t="s">
        <v>4656</v>
      </c>
      <c r="D788" s="352" t="s">
        <v>1286</v>
      </c>
      <c r="E788" s="352" t="s">
        <v>742</v>
      </c>
      <c r="F788" s="353">
        <v>29.485600000000002</v>
      </c>
      <c r="G788" s="352" t="s">
        <v>3034</v>
      </c>
      <c r="H788" s="176"/>
      <c r="I788" s="176" t="s">
        <v>1121</v>
      </c>
      <c r="J788" s="352" t="s">
        <v>3215</v>
      </c>
      <c r="K788" s="352">
        <v>50</v>
      </c>
      <c r="L788" s="352" t="s">
        <v>3216</v>
      </c>
      <c r="M788" s="352">
        <v>120</v>
      </c>
      <c r="N788" s="352" t="s">
        <v>1656</v>
      </c>
      <c r="O788" s="351">
        <v>50</v>
      </c>
      <c r="P788" s="349" t="s">
        <v>1850</v>
      </c>
      <c r="R788" s="349">
        <f t="shared" si="12"/>
        <v>10</v>
      </c>
      <c r="S788" s="352"/>
      <c r="T788" s="352"/>
      <c r="U788" s="352"/>
      <c r="V788" s="353"/>
      <c r="W788" s="352"/>
      <c r="X788" s="37"/>
      <c r="Y788" s="176"/>
      <c r="Z788" s="352"/>
      <c r="AA788" s="352"/>
      <c r="AB788" s="352"/>
      <c r="AC788" s="351"/>
      <c r="AD788" s="351"/>
    </row>
    <row r="789" spans="1:30" ht="76.900000000000006" hidden="1" x14ac:dyDescent="0.35">
      <c r="A789" s="349">
        <v>788</v>
      </c>
      <c r="B789" s="352" t="s">
        <v>2373</v>
      </c>
      <c r="C789" s="351" t="s">
        <v>4656</v>
      </c>
      <c r="D789" s="352" t="s">
        <v>1286</v>
      </c>
      <c r="E789" s="352" t="s">
        <v>742</v>
      </c>
      <c r="F789" s="353">
        <v>40.944899999999997</v>
      </c>
      <c r="G789" s="352" t="s">
        <v>3034</v>
      </c>
      <c r="H789" s="37" t="s">
        <v>1124</v>
      </c>
      <c r="I789" s="176" t="s">
        <v>1121</v>
      </c>
      <c r="J789" s="352" t="s">
        <v>3215</v>
      </c>
      <c r="K789" s="352">
        <v>125</v>
      </c>
      <c r="L789" s="352" t="s">
        <v>3216</v>
      </c>
      <c r="M789" s="352">
        <v>120</v>
      </c>
      <c r="N789" s="352" t="s">
        <v>1656</v>
      </c>
      <c r="O789" s="351">
        <v>125</v>
      </c>
      <c r="P789" s="349" t="s">
        <v>1850</v>
      </c>
      <c r="R789" s="349">
        <f t="shared" si="12"/>
        <v>10</v>
      </c>
      <c r="S789" s="352"/>
      <c r="T789" s="352"/>
      <c r="U789" s="352"/>
      <c r="V789" s="353"/>
      <c r="W789" s="352"/>
      <c r="X789" s="176"/>
      <c r="Y789" s="176"/>
      <c r="Z789" s="352"/>
      <c r="AA789" s="352"/>
      <c r="AB789" s="352"/>
      <c r="AC789" s="351"/>
      <c r="AD789" s="351"/>
    </row>
    <row r="790" spans="1:30" ht="64.099999999999994" hidden="1" x14ac:dyDescent="0.35">
      <c r="A790" s="349">
        <v>789</v>
      </c>
      <c r="B790" s="352" t="s">
        <v>2373</v>
      </c>
      <c r="C790" s="351" t="s">
        <v>4656</v>
      </c>
      <c r="D790" s="352" t="s">
        <v>1286</v>
      </c>
      <c r="E790" s="352" t="s">
        <v>742</v>
      </c>
      <c r="F790" s="353">
        <v>40.944899999999997</v>
      </c>
      <c r="G790" s="352" t="s">
        <v>3034</v>
      </c>
      <c r="H790" s="176"/>
      <c r="I790" s="176" t="s">
        <v>1121</v>
      </c>
      <c r="J790" s="352" t="s">
        <v>3215</v>
      </c>
      <c r="K790" s="352">
        <v>125</v>
      </c>
      <c r="L790" s="352" t="s">
        <v>3216</v>
      </c>
      <c r="M790" s="352">
        <v>120</v>
      </c>
      <c r="N790" s="352" t="s">
        <v>1656</v>
      </c>
      <c r="O790" s="351">
        <v>125</v>
      </c>
      <c r="P790" s="349" t="s">
        <v>1850</v>
      </c>
      <c r="R790" s="349">
        <f t="shared" si="12"/>
        <v>10</v>
      </c>
      <c r="S790" s="352"/>
      <c r="T790" s="352"/>
      <c r="U790" s="352"/>
      <c r="V790" s="353"/>
      <c r="W790" s="352"/>
      <c r="X790" s="37"/>
      <c r="Y790" s="176"/>
      <c r="Z790" s="352"/>
      <c r="AA790" s="352"/>
      <c r="AB790" s="352"/>
      <c r="AC790" s="352"/>
      <c r="AD790" s="352"/>
    </row>
    <row r="791" spans="1:30" ht="64.099999999999994" hidden="1" x14ac:dyDescent="0.35">
      <c r="A791" s="349">
        <v>790</v>
      </c>
      <c r="B791" s="352" t="s">
        <v>2373</v>
      </c>
      <c r="C791" s="351" t="s">
        <v>4656</v>
      </c>
      <c r="D791" s="352" t="s">
        <v>1286</v>
      </c>
      <c r="E791" s="352" t="s">
        <v>742</v>
      </c>
      <c r="F791" s="353">
        <v>81.867800000000003</v>
      </c>
      <c r="G791" s="352" t="s">
        <v>3034</v>
      </c>
      <c r="H791" s="176"/>
      <c r="I791" s="176" t="s">
        <v>1121</v>
      </c>
      <c r="J791" s="352" t="s">
        <v>3215</v>
      </c>
      <c r="K791" s="352">
        <v>250</v>
      </c>
      <c r="L791" s="352" t="s">
        <v>3216</v>
      </c>
      <c r="M791" s="352">
        <v>120</v>
      </c>
      <c r="N791" s="352" t="s">
        <v>1656</v>
      </c>
      <c r="O791" s="351">
        <v>250</v>
      </c>
      <c r="P791" s="349" t="s">
        <v>1850</v>
      </c>
      <c r="R791" s="349">
        <f t="shared" si="12"/>
        <v>10</v>
      </c>
      <c r="S791" s="352"/>
      <c r="T791" s="352"/>
      <c r="U791" s="352"/>
      <c r="V791" s="353"/>
      <c r="W791" s="352"/>
      <c r="X791" s="37"/>
      <c r="Y791" s="176"/>
      <c r="Z791" s="352"/>
      <c r="AA791" s="351"/>
      <c r="AB791" s="351"/>
      <c r="AC791" s="352"/>
      <c r="AD791" s="352"/>
    </row>
    <row r="792" spans="1:30" ht="76.900000000000006" hidden="1" x14ac:dyDescent="0.35">
      <c r="A792" s="349">
        <v>791</v>
      </c>
      <c r="B792" s="352" t="s">
        <v>2373</v>
      </c>
      <c r="C792" s="351" t="s">
        <v>4656</v>
      </c>
      <c r="D792" s="352" t="s">
        <v>1286</v>
      </c>
      <c r="E792" s="352" t="s">
        <v>742</v>
      </c>
      <c r="F792" s="353">
        <v>81.867800000000003</v>
      </c>
      <c r="G792" s="352" t="s">
        <v>3034</v>
      </c>
      <c r="H792" s="176" t="s">
        <v>1124</v>
      </c>
      <c r="I792" s="176" t="s">
        <v>1121</v>
      </c>
      <c r="J792" s="352" t="s">
        <v>3215</v>
      </c>
      <c r="K792" s="352">
        <v>250</v>
      </c>
      <c r="L792" s="352" t="s">
        <v>3216</v>
      </c>
      <c r="M792" s="352">
        <v>120</v>
      </c>
      <c r="N792" s="352" t="s">
        <v>1656</v>
      </c>
      <c r="O792" s="351">
        <v>250</v>
      </c>
      <c r="P792" s="349" t="s">
        <v>1850</v>
      </c>
      <c r="R792" s="349">
        <f t="shared" si="12"/>
        <v>10</v>
      </c>
      <c r="S792" s="352"/>
      <c r="T792" s="352"/>
      <c r="U792" s="352"/>
      <c r="V792" s="353"/>
      <c r="W792" s="352"/>
      <c r="X792" s="37"/>
      <c r="Y792" s="176"/>
      <c r="Z792" s="352"/>
      <c r="AA792" s="352"/>
      <c r="AB792" s="352"/>
      <c r="AC792" s="351"/>
      <c r="AD792" s="351"/>
    </row>
    <row r="793" spans="1:30" ht="38.450000000000003" hidden="1" x14ac:dyDescent="0.35">
      <c r="A793" s="349">
        <v>792</v>
      </c>
      <c r="B793" s="352" t="s">
        <v>2373</v>
      </c>
      <c r="C793" s="351" t="s">
        <v>4657</v>
      </c>
      <c r="D793" s="352" t="s">
        <v>1286</v>
      </c>
      <c r="E793" s="352" t="s">
        <v>743</v>
      </c>
      <c r="F793" s="353">
        <v>21.64</v>
      </c>
      <c r="G793" s="352" t="s">
        <v>3034</v>
      </c>
      <c r="H793" s="176" t="s">
        <v>3219</v>
      </c>
      <c r="I793" s="176" t="s">
        <v>1123</v>
      </c>
      <c r="J793" s="352" t="s">
        <v>744</v>
      </c>
      <c r="K793" s="352">
        <v>100</v>
      </c>
      <c r="L793" s="352" t="s">
        <v>2902</v>
      </c>
      <c r="M793" s="352">
        <v>60</v>
      </c>
      <c r="N793" s="352" t="s">
        <v>1656</v>
      </c>
      <c r="O793" s="351">
        <v>100</v>
      </c>
      <c r="P793" s="349" t="s">
        <v>1850</v>
      </c>
      <c r="R793" s="349">
        <f t="shared" si="12"/>
        <v>10</v>
      </c>
      <c r="S793" s="352"/>
      <c r="T793" s="352"/>
      <c r="U793" s="352"/>
      <c r="V793" s="353"/>
      <c r="W793" s="352"/>
      <c r="X793" s="37"/>
      <c r="Y793" s="176"/>
      <c r="Z793" s="352"/>
      <c r="AA793" s="352"/>
      <c r="AB793" s="352"/>
      <c r="AC793" s="351"/>
      <c r="AD793" s="351"/>
    </row>
    <row r="794" spans="1:30" ht="38.450000000000003" hidden="1" x14ac:dyDescent="0.35">
      <c r="A794" s="349">
        <v>793</v>
      </c>
      <c r="B794" s="352" t="s">
        <v>2373</v>
      </c>
      <c r="C794" s="351" t="s">
        <v>4657</v>
      </c>
      <c r="D794" s="352" t="s">
        <v>1286</v>
      </c>
      <c r="E794" s="352" t="s">
        <v>743</v>
      </c>
      <c r="F794" s="353">
        <v>41.628100000000003</v>
      </c>
      <c r="G794" s="352" t="s">
        <v>3034</v>
      </c>
      <c r="H794" s="176" t="s">
        <v>3219</v>
      </c>
      <c r="I794" s="176" t="s">
        <v>1123</v>
      </c>
      <c r="J794" s="352" t="s">
        <v>744</v>
      </c>
      <c r="K794" s="352">
        <v>250</v>
      </c>
      <c r="L794" s="352" t="s">
        <v>2376</v>
      </c>
      <c r="M794" s="352">
        <v>60</v>
      </c>
      <c r="N794" s="352" t="s">
        <v>1656</v>
      </c>
      <c r="O794" s="351">
        <v>250</v>
      </c>
      <c r="P794" s="349" t="s">
        <v>1850</v>
      </c>
      <c r="R794" s="349">
        <f t="shared" si="12"/>
        <v>10</v>
      </c>
      <c r="S794" s="352"/>
      <c r="T794" s="352"/>
      <c r="U794" s="352"/>
      <c r="V794" s="353"/>
      <c r="W794" s="352"/>
      <c r="X794" s="37"/>
      <c r="Y794" s="176"/>
      <c r="Z794" s="352"/>
      <c r="AA794" s="352"/>
      <c r="AB794" s="352"/>
      <c r="AC794" s="352"/>
      <c r="AD794" s="352"/>
    </row>
    <row r="795" spans="1:30" ht="38.450000000000003" hidden="1" x14ac:dyDescent="0.35">
      <c r="A795" s="349">
        <v>794</v>
      </c>
      <c r="B795" s="352" t="s">
        <v>2373</v>
      </c>
      <c r="C795" s="351" t="s">
        <v>4657</v>
      </c>
      <c r="D795" s="352" t="s">
        <v>1286</v>
      </c>
      <c r="E795" s="352" t="s">
        <v>743</v>
      </c>
      <c r="F795" s="353">
        <v>83.234099999999998</v>
      </c>
      <c r="G795" s="352" t="s">
        <v>3034</v>
      </c>
      <c r="H795" s="176" t="s">
        <v>3219</v>
      </c>
      <c r="I795" s="176" t="s">
        <v>1123</v>
      </c>
      <c r="J795" s="352" t="s">
        <v>744</v>
      </c>
      <c r="K795" s="352">
        <v>500</v>
      </c>
      <c r="L795" s="352" t="s">
        <v>2376</v>
      </c>
      <c r="M795" s="351">
        <v>60</v>
      </c>
      <c r="N795" s="351" t="s">
        <v>1656</v>
      </c>
      <c r="O795" s="351">
        <v>500</v>
      </c>
      <c r="P795" s="349" t="s">
        <v>1850</v>
      </c>
      <c r="R795" s="349">
        <f t="shared" si="12"/>
        <v>10</v>
      </c>
      <c r="S795" s="352"/>
      <c r="T795" s="352"/>
      <c r="U795" s="352"/>
      <c r="V795" s="353"/>
      <c r="W795" s="352"/>
      <c r="X795" s="37"/>
      <c r="Y795" s="176"/>
      <c r="Z795" s="352"/>
      <c r="AA795" s="352"/>
      <c r="AB795" s="352"/>
      <c r="AC795" s="352"/>
      <c r="AD795" s="352"/>
    </row>
    <row r="796" spans="1:30" ht="38.450000000000003" hidden="1" x14ac:dyDescent="0.35">
      <c r="A796" s="349">
        <v>795</v>
      </c>
      <c r="B796" s="352" t="s">
        <v>2373</v>
      </c>
      <c r="C796" s="351" t="s">
        <v>4658</v>
      </c>
      <c r="D796" s="352" t="s">
        <v>1286</v>
      </c>
      <c r="E796" s="352" t="s">
        <v>745</v>
      </c>
      <c r="F796" s="353">
        <v>1.3443000000000001</v>
      </c>
      <c r="G796" s="352" t="s">
        <v>3034</v>
      </c>
      <c r="H796" s="176" t="s">
        <v>3219</v>
      </c>
      <c r="I796" s="176" t="s">
        <v>1123</v>
      </c>
      <c r="J796" s="352" t="s">
        <v>2375</v>
      </c>
      <c r="K796" s="352">
        <v>100</v>
      </c>
      <c r="L796" s="352" t="s">
        <v>2376</v>
      </c>
      <c r="M796" s="351">
        <v>4</v>
      </c>
      <c r="N796" s="351" t="s">
        <v>2377</v>
      </c>
      <c r="O796" s="351">
        <v>100</v>
      </c>
      <c r="P796" s="349" t="s">
        <v>1850</v>
      </c>
      <c r="R796" s="349">
        <f t="shared" si="12"/>
        <v>10</v>
      </c>
      <c r="S796" s="352"/>
      <c r="T796" s="352"/>
      <c r="U796" s="352"/>
      <c r="V796" s="353"/>
      <c r="W796" s="352"/>
      <c r="X796" s="37"/>
      <c r="Y796" s="176"/>
      <c r="Z796" s="352"/>
      <c r="AA796" s="351"/>
      <c r="AB796" s="351"/>
      <c r="AC796" s="352"/>
      <c r="AD796" s="352"/>
    </row>
    <row r="797" spans="1:30" ht="38.450000000000003" hidden="1" x14ac:dyDescent="0.35">
      <c r="A797" s="349">
        <v>796</v>
      </c>
      <c r="B797" s="352" t="s">
        <v>2373</v>
      </c>
      <c r="C797" s="351" t="s">
        <v>4658</v>
      </c>
      <c r="D797" s="352" t="s">
        <v>1286</v>
      </c>
      <c r="E797" s="352" t="s">
        <v>745</v>
      </c>
      <c r="F797" s="353">
        <v>2.7766999999999999</v>
      </c>
      <c r="G797" s="352" t="s">
        <v>3034</v>
      </c>
      <c r="H797" s="176" t="s">
        <v>3219</v>
      </c>
      <c r="I797" s="176" t="s">
        <v>1123</v>
      </c>
      <c r="J797" s="352" t="s">
        <v>2375</v>
      </c>
      <c r="K797" s="352">
        <v>250</v>
      </c>
      <c r="L797" s="352" t="s">
        <v>2376</v>
      </c>
      <c r="M797" s="351">
        <v>4</v>
      </c>
      <c r="N797" s="351" t="s">
        <v>2377</v>
      </c>
      <c r="O797" s="351">
        <v>250</v>
      </c>
      <c r="P797" s="349" t="s">
        <v>1850</v>
      </c>
      <c r="R797" s="349">
        <f t="shared" si="12"/>
        <v>10</v>
      </c>
      <c r="S797" s="352"/>
      <c r="T797" s="352"/>
      <c r="U797" s="352"/>
      <c r="V797" s="353"/>
      <c r="W797" s="352"/>
      <c r="X797" s="37"/>
      <c r="Y797" s="176"/>
      <c r="Z797" s="352"/>
      <c r="AA797" s="352"/>
      <c r="AB797" s="352"/>
      <c r="AC797" s="352"/>
      <c r="AD797" s="352"/>
    </row>
    <row r="798" spans="1:30" ht="64.099999999999994" hidden="1" x14ac:dyDescent="0.35">
      <c r="A798" s="349">
        <v>797</v>
      </c>
      <c r="B798" s="352" t="s">
        <v>2694</v>
      </c>
      <c r="C798" s="351" t="s">
        <v>4659</v>
      </c>
      <c r="D798" s="352" t="s">
        <v>1029</v>
      </c>
      <c r="E798" s="352" t="s">
        <v>1997</v>
      </c>
      <c r="F798" s="353">
        <v>340.65</v>
      </c>
      <c r="G798" s="352" t="s">
        <v>1107</v>
      </c>
      <c r="H798" s="176" t="s">
        <v>586</v>
      </c>
      <c r="I798" s="176" t="s">
        <v>1462</v>
      </c>
      <c r="J798" s="352" t="s">
        <v>1115</v>
      </c>
      <c r="K798" s="352">
        <v>0.5</v>
      </c>
      <c r="L798" s="352" t="s">
        <v>1464</v>
      </c>
      <c r="M798" s="352"/>
      <c r="N798" s="352"/>
      <c r="O798" s="351">
        <v>0.5</v>
      </c>
      <c r="P798" s="349" t="s">
        <v>1836</v>
      </c>
      <c r="R798" s="349">
        <f t="shared" si="12"/>
        <v>12</v>
      </c>
      <c r="S798" s="352"/>
      <c r="T798" s="352"/>
      <c r="U798" s="352"/>
      <c r="V798" s="353"/>
      <c r="W798" s="352"/>
      <c r="X798" s="176"/>
      <c r="Y798" s="176"/>
      <c r="Z798" s="352"/>
      <c r="AA798" s="352"/>
      <c r="AB798" s="352"/>
      <c r="AC798" s="351"/>
      <c r="AD798" s="351"/>
    </row>
    <row r="799" spans="1:30" ht="166.65" hidden="1" x14ac:dyDescent="0.35">
      <c r="A799" s="349">
        <v>798</v>
      </c>
      <c r="B799" s="352" t="s">
        <v>831</v>
      </c>
      <c r="C799" s="351" t="s">
        <v>4660</v>
      </c>
      <c r="D799" s="352" t="s">
        <v>1287</v>
      </c>
      <c r="E799" s="352" t="s">
        <v>1997</v>
      </c>
      <c r="F799" s="353">
        <v>2.7</v>
      </c>
      <c r="G799" s="352" t="s">
        <v>1107</v>
      </c>
      <c r="H799" s="176" t="s">
        <v>414</v>
      </c>
      <c r="I799" s="176" t="s">
        <v>4840</v>
      </c>
      <c r="J799" s="352" t="s">
        <v>1115</v>
      </c>
      <c r="K799" s="352">
        <v>1</v>
      </c>
      <c r="L799" s="352" t="s">
        <v>3252</v>
      </c>
      <c r="M799" s="351"/>
      <c r="N799" s="351"/>
      <c r="O799" s="351">
        <v>1000</v>
      </c>
      <c r="P799" s="349" t="s">
        <v>1836</v>
      </c>
      <c r="R799" s="349">
        <f t="shared" si="12"/>
        <v>15</v>
      </c>
      <c r="S799" s="352"/>
      <c r="T799" s="352"/>
      <c r="U799" s="352"/>
      <c r="V799" s="353"/>
      <c r="W799" s="352"/>
      <c r="X799" s="176"/>
      <c r="Y799" s="176"/>
      <c r="Z799" s="352"/>
      <c r="AA799" s="352"/>
      <c r="AB799" s="352"/>
      <c r="AC799" s="352"/>
      <c r="AD799" s="352"/>
    </row>
    <row r="800" spans="1:30" ht="166.65" hidden="1" x14ac:dyDescent="0.35">
      <c r="A800" s="349">
        <v>799</v>
      </c>
      <c r="B800" s="352" t="s">
        <v>831</v>
      </c>
      <c r="C800" s="351" t="s">
        <v>4660</v>
      </c>
      <c r="D800" s="352" t="s">
        <v>1287</v>
      </c>
      <c r="E800" s="352" t="s">
        <v>1997</v>
      </c>
      <c r="F800" s="353">
        <v>1.08</v>
      </c>
      <c r="G800" s="352" t="s">
        <v>1107</v>
      </c>
      <c r="H800" s="176" t="s">
        <v>414</v>
      </c>
      <c r="I800" s="176" t="s">
        <v>4840</v>
      </c>
      <c r="J800" s="352" t="s">
        <v>1115</v>
      </c>
      <c r="K800" s="352">
        <v>250</v>
      </c>
      <c r="L800" s="352" t="s">
        <v>1464</v>
      </c>
      <c r="M800" s="351"/>
      <c r="N800" s="351"/>
      <c r="O800" s="351">
        <v>250</v>
      </c>
      <c r="P800" s="349" t="s">
        <v>1836</v>
      </c>
      <c r="R800" s="349">
        <f t="shared" si="12"/>
        <v>15</v>
      </c>
      <c r="S800" s="352"/>
      <c r="T800" s="352"/>
      <c r="U800" s="352"/>
      <c r="V800" s="353"/>
      <c r="W800" s="352"/>
      <c r="X800" s="176"/>
      <c r="Y800" s="176"/>
      <c r="Z800" s="352"/>
      <c r="AA800" s="352"/>
      <c r="AB800" s="352"/>
      <c r="AC800" s="352"/>
      <c r="AD800" s="352"/>
    </row>
    <row r="801" spans="1:30" ht="166.65" hidden="1" x14ac:dyDescent="0.35">
      <c r="A801" s="349">
        <v>800</v>
      </c>
      <c r="B801" s="352" t="s">
        <v>831</v>
      </c>
      <c r="C801" s="351" t="s">
        <v>4660</v>
      </c>
      <c r="D801" s="352" t="s">
        <v>1287</v>
      </c>
      <c r="E801" s="352" t="s">
        <v>1997</v>
      </c>
      <c r="F801" s="353">
        <v>2</v>
      </c>
      <c r="G801" s="352" t="s">
        <v>1107</v>
      </c>
      <c r="H801" s="176" t="s">
        <v>414</v>
      </c>
      <c r="I801" s="176" t="s">
        <v>4840</v>
      </c>
      <c r="J801" s="352" t="s">
        <v>1115</v>
      </c>
      <c r="K801" s="352">
        <v>500</v>
      </c>
      <c r="L801" s="352" t="s">
        <v>1464</v>
      </c>
      <c r="M801" s="352"/>
      <c r="N801" s="352"/>
      <c r="O801" s="351">
        <v>500</v>
      </c>
      <c r="P801" s="349" t="s">
        <v>1836</v>
      </c>
      <c r="R801" s="349">
        <f t="shared" si="12"/>
        <v>15</v>
      </c>
      <c r="S801" s="352"/>
      <c r="T801" s="352"/>
      <c r="U801" s="352"/>
      <c r="V801" s="353"/>
      <c r="W801" s="352"/>
      <c r="X801" s="37"/>
      <c r="Y801" s="37"/>
      <c r="Z801" s="352"/>
      <c r="AA801" s="351"/>
      <c r="AB801" s="351"/>
      <c r="AC801" s="351"/>
      <c r="AD801" s="351"/>
    </row>
    <row r="802" spans="1:30" ht="64.099999999999994" hidden="1" x14ac:dyDescent="0.35">
      <c r="A802" s="349">
        <v>801</v>
      </c>
      <c r="B802" s="352" t="s">
        <v>831</v>
      </c>
      <c r="C802" s="351" t="s">
        <v>4660</v>
      </c>
      <c r="D802" s="352" t="s">
        <v>1287</v>
      </c>
      <c r="E802" s="352" t="s">
        <v>1998</v>
      </c>
      <c r="F802" s="353">
        <v>0.84</v>
      </c>
      <c r="G802" s="352" t="s">
        <v>2126</v>
      </c>
      <c r="H802" s="176" t="s">
        <v>415</v>
      </c>
      <c r="I802" s="176" t="s">
        <v>4840</v>
      </c>
      <c r="J802" s="352" t="s">
        <v>22</v>
      </c>
      <c r="K802" s="352">
        <v>250</v>
      </c>
      <c r="L802" s="352" t="s">
        <v>23</v>
      </c>
      <c r="M802" s="351"/>
      <c r="N802" s="351"/>
      <c r="O802" s="351">
        <v>250</v>
      </c>
      <c r="P802" s="349" t="s">
        <v>1836</v>
      </c>
      <c r="R802" s="349">
        <f t="shared" si="12"/>
        <v>15</v>
      </c>
      <c r="S802" s="352"/>
      <c r="T802" s="352"/>
      <c r="U802" s="352"/>
      <c r="V802" s="353"/>
      <c r="W802" s="352"/>
      <c r="X802" s="37"/>
      <c r="Y802" s="37"/>
      <c r="Z802" s="352"/>
      <c r="AA802" s="352"/>
      <c r="AB802" s="352"/>
      <c r="AC802" s="352"/>
      <c r="AD802" s="352"/>
    </row>
    <row r="803" spans="1:30" ht="64.099999999999994" hidden="1" x14ac:dyDescent="0.35">
      <c r="A803" s="349">
        <v>802</v>
      </c>
      <c r="B803" s="352" t="s">
        <v>831</v>
      </c>
      <c r="C803" s="351" t="s">
        <v>4660</v>
      </c>
      <c r="D803" s="352" t="s">
        <v>1287</v>
      </c>
      <c r="E803" s="352" t="s">
        <v>1998</v>
      </c>
      <c r="F803" s="353">
        <v>1.3</v>
      </c>
      <c r="G803" s="352" t="s">
        <v>2126</v>
      </c>
      <c r="H803" s="176" t="s">
        <v>415</v>
      </c>
      <c r="I803" s="176" t="s">
        <v>4840</v>
      </c>
      <c r="J803" s="352" t="s">
        <v>22</v>
      </c>
      <c r="K803" s="352">
        <v>500</v>
      </c>
      <c r="L803" s="352" t="s">
        <v>23</v>
      </c>
      <c r="M803" s="351"/>
      <c r="N803" s="351"/>
      <c r="O803" s="351">
        <v>500</v>
      </c>
      <c r="P803" s="349" t="s">
        <v>1836</v>
      </c>
      <c r="R803" s="349">
        <f t="shared" si="12"/>
        <v>15</v>
      </c>
      <c r="S803" s="352"/>
      <c r="T803" s="352"/>
      <c r="U803" s="352"/>
      <c r="V803" s="353"/>
      <c r="W803" s="352"/>
      <c r="X803" s="37"/>
      <c r="Y803" s="37"/>
      <c r="Z803" s="352"/>
      <c r="AA803" s="352"/>
      <c r="AB803" s="352"/>
      <c r="AC803" s="352"/>
      <c r="AD803" s="352"/>
    </row>
    <row r="804" spans="1:30" ht="64.099999999999994" hidden="1" x14ac:dyDescent="0.35">
      <c r="A804" s="349">
        <v>803</v>
      </c>
      <c r="B804" s="352" t="s">
        <v>831</v>
      </c>
      <c r="C804" s="351" t="s">
        <v>4660</v>
      </c>
      <c r="D804" s="352" t="s">
        <v>1287</v>
      </c>
      <c r="E804" s="352" t="s">
        <v>2129</v>
      </c>
      <c r="F804" s="353">
        <v>9.01</v>
      </c>
      <c r="G804" s="352" t="s">
        <v>2126</v>
      </c>
      <c r="H804" s="176" t="s">
        <v>415</v>
      </c>
      <c r="I804" s="176" t="s">
        <v>4840</v>
      </c>
      <c r="J804" s="352" t="s">
        <v>3579</v>
      </c>
      <c r="K804" s="352">
        <v>25</v>
      </c>
      <c r="L804" s="352" t="s">
        <v>1116</v>
      </c>
      <c r="M804" s="352">
        <v>100</v>
      </c>
      <c r="N804" s="352" t="s">
        <v>1109</v>
      </c>
      <c r="O804" s="351">
        <v>25</v>
      </c>
      <c r="P804" s="349" t="s">
        <v>1836</v>
      </c>
      <c r="R804" s="349">
        <f t="shared" si="12"/>
        <v>15</v>
      </c>
      <c r="S804" s="352"/>
      <c r="T804" s="352"/>
      <c r="U804" s="352"/>
      <c r="V804" s="353"/>
      <c r="W804" s="352"/>
      <c r="X804" s="37"/>
      <c r="Y804" s="37"/>
      <c r="Z804" s="352"/>
      <c r="AA804" s="352"/>
      <c r="AB804" s="352"/>
      <c r="AC804" s="352"/>
      <c r="AD804" s="352"/>
    </row>
    <row r="805" spans="1:30" ht="166.65" hidden="1" x14ac:dyDescent="0.35">
      <c r="A805" s="349">
        <v>804</v>
      </c>
      <c r="B805" s="352" t="s">
        <v>831</v>
      </c>
      <c r="C805" s="351" t="s">
        <v>1287</v>
      </c>
      <c r="D805" s="352" t="s">
        <v>1287</v>
      </c>
      <c r="E805" s="352" t="s">
        <v>1997</v>
      </c>
      <c r="F805" s="353">
        <v>2.7</v>
      </c>
      <c r="G805" s="352" t="s">
        <v>1107</v>
      </c>
      <c r="H805" s="176" t="s">
        <v>414</v>
      </c>
      <c r="I805" s="176" t="s">
        <v>4840</v>
      </c>
      <c r="J805" s="352" t="s">
        <v>1115</v>
      </c>
      <c r="K805" s="352">
        <v>1</v>
      </c>
      <c r="L805" s="352" t="s">
        <v>3252</v>
      </c>
      <c r="M805" s="351"/>
      <c r="N805" s="351"/>
      <c r="O805" s="351">
        <v>1000</v>
      </c>
      <c r="P805" s="349" t="s">
        <v>1836</v>
      </c>
      <c r="R805" s="349">
        <f t="shared" si="12"/>
        <v>15</v>
      </c>
      <c r="S805" s="352"/>
      <c r="T805" s="352"/>
      <c r="U805" s="352"/>
      <c r="V805" s="353"/>
      <c r="W805" s="352"/>
      <c r="X805" s="37"/>
      <c r="Y805" s="176"/>
      <c r="Z805" s="352"/>
      <c r="AA805" s="352"/>
      <c r="AB805" s="352"/>
      <c r="AC805" s="352"/>
      <c r="AD805" s="352"/>
    </row>
    <row r="806" spans="1:30" ht="166.65" hidden="1" x14ac:dyDescent="0.35">
      <c r="A806" s="349">
        <v>805</v>
      </c>
      <c r="B806" s="352" t="s">
        <v>831</v>
      </c>
      <c r="C806" s="351" t="s">
        <v>1287</v>
      </c>
      <c r="D806" s="352" t="s">
        <v>1287</v>
      </c>
      <c r="E806" s="352" t="s">
        <v>1997</v>
      </c>
      <c r="F806" s="353">
        <v>1.08</v>
      </c>
      <c r="G806" s="352" t="s">
        <v>1107</v>
      </c>
      <c r="H806" s="176" t="s">
        <v>414</v>
      </c>
      <c r="I806" s="176" t="s">
        <v>4840</v>
      </c>
      <c r="J806" s="352" t="s">
        <v>1115</v>
      </c>
      <c r="K806" s="352">
        <v>250</v>
      </c>
      <c r="L806" s="352" t="s">
        <v>1464</v>
      </c>
      <c r="M806" s="351"/>
      <c r="N806" s="351"/>
      <c r="O806" s="351">
        <v>250</v>
      </c>
      <c r="P806" s="349" t="s">
        <v>1836</v>
      </c>
      <c r="R806" s="349">
        <f t="shared" si="12"/>
        <v>15</v>
      </c>
      <c r="S806" s="352"/>
      <c r="T806" s="352"/>
      <c r="U806" s="352"/>
      <c r="V806" s="353"/>
      <c r="W806" s="352"/>
      <c r="X806" s="176"/>
      <c r="Y806" s="176"/>
      <c r="Z806" s="352"/>
      <c r="AA806" s="352"/>
      <c r="AB806" s="352"/>
      <c r="AC806" s="352"/>
      <c r="AD806" s="352"/>
    </row>
    <row r="807" spans="1:30" ht="166.65" hidden="1" x14ac:dyDescent="0.35">
      <c r="A807" s="349">
        <v>806</v>
      </c>
      <c r="B807" s="352" t="s">
        <v>831</v>
      </c>
      <c r="C807" s="351" t="s">
        <v>1287</v>
      </c>
      <c r="D807" s="352" t="s">
        <v>1287</v>
      </c>
      <c r="E807" s="352" t="s">
        <v>1997</v>
      </c>
      <c r="F807" s="353">
        <v>2</v>
      </c>
      <c r="G807" s="352" t="s">
        <v>1107</v>
      </c>
      <c r="H807" s="176" t="s">
        <v>414</v>
      </c>
      <c r="I807" s="176" t="s">
        <v>4840</v>
      </c>
      <c r="J807" s="352" t="s">
        <v>1115</v>
      </c>
      <c r="K807" s="352">
        <v>500</v>
      </c>
      <c r="L807" s="352" t="s">
        <v>1464</v>
      </c>
      <c r="M807" s="352"/>
      <c r="N807" s="352"/>
      <c r="O807" s="351">
        <v>500</v>
      </c>
      <c r="P807" s="349" t="s">
        <v>1836</v>
      </c>
      <c r="R807" s="349">
        <f t="shared" si="12"/>
        <v>15</v>
      </c>
      <c r="S807" s="352"/>
      <c r="T807" s="352"/>
      <c r="U807" s="352"/>
      <c r="V807" s="353"/>
      <c r="W807" s="352"/>
      <c r="X807" s="176"/>
      <c r="Y807" s="176"/>
      <c r="Z807" s="352"/>
      <c r="AA807" s="352"/>
      <c r="AB807" s="352"/>
      <c r="AC807" s="352"/>
      <c r="AD807" s="352"/>
    </row>
    <row r="808" spans="1:30" ht="64.099999999999994" hidden="1" x14ac:dyDescent="0.35">
      <c r="A808" s="349">
        <v>807</v>
      </c>
      <c r="B808" s="352" t="s">
        <v>831</v>
      </c>
      <c r="C808" s="351" t="s">
        <v>1287</v>
      </c>
      <c r="D808" s="352" t="s">
        <v>1287</v>
      </c>
      <c r="E808" s="352" t="s">
        <v>1998</v>
      </c>
      <c r="F808" s="353">
        <v>0.84</v>
      </c>
      <c r="G808" s="352" t="s">
        <v>2126</v>
      </c>
      <c r="H808" s="176" t="s">
        <v>415</v>
      </c>
      <c r="I808" s="176" t="s">
        <v>4840</v>
      </c>
      <c r="J808" s="352" t="s">
        <v>22</v>
      </c>
      <c r="K808" s="352">
        <v>250</v>
      </c>
      <c r="L808" s="352" t="s">
        <v>23</v>
      </c>
      <c r="M808" s="352"/>
      <c r="N808" s="352"/>
      <c r="O808" s="351">
        <v>250</v>
      </c>
      <c r="P808" s="349" t="s">
        <v>1836</v>
      </c>
      <c r="R808" s="349">
        <f t="shared" si="12"/>
        <v>15</v>
      </c>
      <c r="S808" s="352"/>
      <c r="T808" s="352"/>
      <c r="U808" s="352"/>
      <c r="V808" s="353"/>
      <c r="W808" s="352"/>
      <c r="X808" s="176"/>
      <c r="Y808" s="176"/>
      <c r="Z808" s="352"/>
      <c r="AA808" s="352"/>
      <c r="AB808" s="352"/>
      <c r="AC808" s="352"/>
      <c r="AD808" s="352"/>
    </row>
    <row r="809" spans="1:30" ht="64.099999999999994" hidden="1" x14ac:dyDescent="0.35">
      <c r="A809" s="349">
        <v>808</v>
      </c>
      <c r="B809" s="352" t="s">
        <v>831</v>
      </c>
      <c r="C809" s="351" t="s">
        <v>1287</v>
      </c>
      <c r="D809" s="352" t="s">
        <v>1287</v>
      </c>
      <c r="E809" s="352" t="s">
        <v>1998</v>
      </c>
      <c r="F809" s="353">
        <v>1.3</v>
      </c>
      <c r="G809" s="352" t="s">
        <v>2126</v>
      </c>
      <c r="H809" s="176" t="s">
        <v>415</v>
      </c>
      <c r="I809" s="176" t="s">
        <v>4840</v>
      </c>
      <c r="J809" s="352" t="s">
        <v>22</v>
      </c>
      <c r="K809" s="352">
        <v>500</v>
      </c>
      <c r="L809" s="352" t="s">
        <v>23</v>
      </c>
      <c r="M809" s="352"/>
      <c r="N809" s="352"/>
      <c r="O809" s="351">
        <v>500</v>
      </c>
      <c r="P809" s="349" t="s">
        <v>1836</v>
      </c>
      <c r="R809" s="349">
        <f t="shared" si="12"/>
        <v>15</v>
      </c>
      <c r="S809" s="352"/>
      <c r="T809" s="352"/>
      <c r="U809" s="352"/>
      <c r="V809" s="353"/>
      <c r="W809" s="352"/>
      <c r="X809" s="37"/>
      <c r="Y809" s="176"/>
      <c r="Z809" s="352"/>
      <c r="AA809" s="352"/>
      <c r="AB809" s="352"/>
      <c r="AC809" s="352"/>
      <c r="AD809" s="352"/>
    </row>
    <row r="810" spans="1:30" ht="64.099999999999994" hidden="1" x14ac:dyDescent="0.35">
      <c r="A810" s="349">
        <v>809</v>
      </c>
      <c r="B810" s="352" t="s">
        <v>831</v>
      </c>
      <c r="C810" s="351" t="s">
        <v>1287</v>
      </c>
      <c r="D810" s="352" t="s">
        <v>1287</v>
      </c>
      <c r="E810" s="352" t="s">
        <v>2129</v>
      </c>
      <c r="F810" s="353">
        <v>9.01</v>
      </c>
      <c r="G810" s="352" t="s">
        <v>2126</v>
      </c>
      <c r="H810" s="176" t="s">
        <v>415</v>
      </c>
      <c r="I810" s="176" t="s">
        <v>4840</v>
      </c>
      <c r="J810" s="352" t="s">
        <v>3579</v>
      </c>
      <c r="K810" s="352">
        <v>25</v>
      </c>
      <c r="L810" s="352" t="s">
        <v>1116</v>
      </c>
      <c r="M810" s="352">
        <v>100</v>
      </c>
      <c r="N810" s="352" t="s">
        <v>1109</v>
      </c>
      <c r="O810" s="351">
        <v>25</v>
      </c>
      <c r="P810" s="349" t="s">
        <v>1836</v>
      </c>
      <c r="R810" s="349">
        <f t="shared" si="12"/>
        <v>15</v>
      </c>
      <c r="S810" s="352"/>
      <c r="T810" s="352"/>
      <c r="U810" s="352"/>
      <c r="V810" s="353"/>
      <c r="W810" s="352"/>
      <c r="X810" s="37"/>
      <c r="Y810" s="176"/>
      <c r="Z810" s="352"/>
      <c r="AA810" s="352"/>
      <c r="AB810" s="352"/>
      <c r="AC810" s="352"/>
      <c r="AD810" s="352"/>
    </row>
    <row r="811" spans="1:30" ht="89.75" hidden="1" x14ac:dyDescent="0.35">
      <c r="A811" s="349">
        <v>810</v>
      </c>
      <c r="B811" s="352" t="s">
        <v>3582</v>
      </c>
      <c r="C811" s="351" t="s">
        <v>1218</v>
      </c>
      <c r="D811" s="352" t="s">
        <v>1218</v>
      </c>
      <c r="E811" s="352" t="s">
        <v>1754</v>
      </c>
      <c r="F811" s="353">
        <v>32.840000000000003</v>
      </c>
      <c r="G811" s="352" t="s">
        <v>1107</v>
      </c>
      <c r="H811" s="176" t="s">
        <v>1459</v>
      </c>
      <c r="I811" s="176" t="s">
        <v>56</v>
      </c>
      <c r="J811" s="352" t="s">
        <v>1115</v>
      </c>
      <c r="K811" s="352">
        <v>2</v>
      </c>
      <c r="L811" s="352" t="s">
        <v>1116</v>
      </c>
      <c r="M811" s="352">
        <v>50</v>
      </c>
      <c r="N811" s="352" t="s">
        <v>1109</v>
      </c>
      <c r="O811" s="351">
        <v>2</v>
      </c>
      <c r="P811" s="349" t="s">
        <v>1836</v>
      </c>
      <c r="R811" s="349">
        <f t="shared" si="12"/>
        <v>10</v>
      </c>
      <c r="S811" s="352"/>
      <c r="T811" s="352"/>
      <c r="U811" s="352"/>
      <c r="V811" s="353"/>
      <c r="W811" s="352"/>
      <c r="X811" s="37"/>
      <c r="Y811" s="176"/>
      <c r="Z811" s="352"/>
      <c r="AA811" s="352"/>
      <c r="AB811" s="352"/>
      <c r="AC811" s="352"/>
      <c r="AD811" s="352"/>
    </row>
    <row r="812" spans="1:30" ht="89.75" hidden="1" x14ac:dyDescent="0.35">
      <c r="A812" s="349">
        <v>811</v>
      </c>
      <c r="B812" s="352" t="s">
        <v>3582</v>
      </c>
      <c r="C812" s="351" t="s">
        <v>1218</v>
      </c>
      <c r="D812" s="352" t="s">
        <v>1218</v>
      </c>
      <c r="E812" s="352" t="s">
        <v>1998</v>
      </c>
      <c r="F812" s="353">
        <v>6.3</v>
      </c>
      <c r="G812" s="352" t="s">
        <v>2126</v>
      </c>
      <c r="H812" s="176" t="s">
        <v>57</v>
      </c>
      <c r="I812" s="176" t="s">
        <v>56</v>
      </c>
      <c r="J812" s="352" t="s">
        <v>22</v>
      </c>
      <c r="K812" s="352">
        <v>50</v>
      </c>
      <c r="L812" s="352" t="s">
        <v>23</v>
      </c>
      <c r="M812" s="352"/>
      <c r="N812" s="352"/>
      <c r="O812" s="351">
        <v>50</v>
      </c>
      <c r="P812" s="349" t="s">
        <v>1836</v>
      </c>
      <c r="R812" s="349">
        <f t="shared" si="12"/>
        <v>10</v>
      </c>
      <c r="S812" s="352"/>
      <c r="T812" s="352"/>
      <c r="U812" s="352"/>
      <c r="V812" s="353"/>
      <c r="W812" s="352"/>
      <c r="X812" s="37"/>
      <c r="Y812" s="176"/>
      <c r="Z812" s="352"/>
      <c r="AA812" s="352"/>
      <c r="AB812" s="352"/>
      <c r="AC812" s="352"/>
      <c r="AD812" s="352"/>
    </row>
    <row r="813" spans="1:30" ht="89.75" hidden="1" x14ac:dyDescent="0.35">
      <c r="A813" s="349">
        <v>812</v>
      </c>
      <c r="B813" s="352" t="s">
        <v>3582</v>
      </c>
      <c r="C813" s="351" t="s">
        <v>1218</v>
      </c>
      <c r="D813" s="352" t="s">
        <v>1218</v>
      </c>
      <c r="E813" s="352" t="s">
        <v>1998</v>
      </c>
      <c r="F813" s="353">
        <v>20.34</v>
      </c>
      <c r="G813" s="352" t="s">
        <v>2126</v>
      </c>
      <c r="H813" s="176" t="s">
        <v>57</v>
      </c>
      <c r="I813" s="176" t="s">
        <v>56</v>
      </c>
      <c r="J813" s="352" t="s">
        <v>22</v>
      </c>
      <c r="K813" s="352">
        <v>150</v>
      </c>
      <c r="L813" s="352" t="s">
        <v>23</v>
      </c>
      <c r="M813" s="352"/>
      <c r="N813" s="352"/>
      <c r="O813" s="351">
        <v>150</v>
      </c>
      <c r="P813" s="349" t="s">
        <v>1836</v>
      </c>
      <c r="R813" s="349">
        <f t="shared" si="12"/>
        <v>10</v>
      </c>
      <c r="S813" s="352"/>
      <c r="T813" s="352"/>
      <c r="U813" s="352"/>
      <c r="V813" s="353"/>
      <c r="W813" s="352"/>
      <c r="X813" s="176"/>
      <c r="Y813" s="176"/>
      <c r="Z813" s="352"/>
      <c r="AA813" s="352"/>
      <c r="AB813" s="352"/>
      <c r="AC813" s="352"/>
      <c r="AD813" s="352"/>
    </row>
    <row r="814" spans="1:30" ht="89.75" hidden="1" x14ac:dyDescent="0.35">
      <c r="A814" s="349">
        <v>813</v>
      </c>
      <c r="B814" s="352" t="s">
        <v>3582</v>
      </c>
      <c r="C814" s="351" t="s">
        <v>1218</v>
      </c>
      <c r="D814" s="352" t="s">
        <v>1218</v>
      </c>
      <c r="E814" s="352" t="s">
        <v>2897</v>
      </c>
      <c r="F814" s="353">
        <v>51.15</v>
      </c>
      <c r="G814" s="352" t="s">
        <v>2126</v>
      </c>
      <c r="H814" s="37" t="s">
        <v>57</v>
      </c>
      <c r="I814" s="176" t="s">
        <v>56</v>
      </c>
      <c r="J814" s="352" t="s">
        <v>3579</v>
      </c>
      <c r="K814" s="352">
        <v>10</v>
      </c>
      <c r="L814" s="352" t="s">
        <v>1116</v>
      </c>
      <c r="M814" s="351">
        <v>35</v>
      </c>
      <c r="N814" s="351" t="s">
        <v>1109</v>
      </c>
      <c r="O814" s="351">
        <v>10</v>
      </c>
      <c r="P814" s="349" t="s">
        <v>1836</v>
      </c>
      <c r="R814" s="349">
        <f t="shared" si="12"/>
        <v>10</v>
      </c>
      <c r="S814" s="352"/>
      <c r="T814" s="352"/>
      <c r="U814" s="352"/>
      <c r="V814" s="353"/>
      <c r="W814" s="352"/>
      <c r="X814" s="176"/>
      <c r="Y814" s="176"/>
      <c r="Z814" s="352"/>
      <c r="AA814" s="352"/>
      <c r="AB814" s="352"/>
      <c r="AC814" s="352"/>
      <c r="AD814" s="352"/>
    </row>
    <row r="815" spans="1:30" ht="89.75" hidden="1" x14ac:dyDescent="0.35">
      <c r="A815" s="349">
        <v>814</v>
      </c>
      <c r="B815" s="352" t="s">
        <v>3582</v>
      </c>
      <c r="C815" s="351" t="s">
        <v>1218</v>
      </c>
      <c r="D815" s="352" t="s">
        <v>1218</v>
      </c>
      <c r="E815" s="352" t="s">
        <v>2897</v>
      </c>
      <c r="F815" s="353">
        <v>182.95</v>
      </c>
      <c r="G815" s="352" t="s">
        <v>2126</v>
      </c>
      <c r="H815" s="37" t="s">
        <v>57</v>
      </c>
      <c r="I815" s="176" t="s">
        <v>56</v>
      </c>
      <c r="J815" s="352" t="s">
        <v>3579</v>
      </c>
      <c r="K815" s="352">
        <v>40</v>
      </c>
      <c r="L815" s="352" t="s">
        <v>1116</v>
      </c>
      <c r="M815" s="351">
        <v>35</v>
      </c>
      <c r="N815" s="351" t="s">
        <v>1109</v>
      </c>
      <c r="O815" s="351">
        <v>40</v>
      </c>
      <c r="P815" s="349" t="s">
        <v>1836</v>
      </c>
      <c r="R815" s="349">
        <f t="shared" si="12"/>
        <v>10</v>
      </c>
      <c r="S815" s="352"/>
      <c r="T815" s="352"/>
      <c r="U815" s="352"/>
      <c r="V815" s="353"/>
      <c r="W815" s="352"/>
      <c r="X815" s="176"/>
      <c r="Y815" s="176"/>
      <c r="Z815" s="352"/>
      <c r="AA815" s="352"/>
      <c r="AB815" s="352"/>
      <c r="AC815" s="352"/>
      <c r="AD815" s="352"/>
    </row>
    <row r="816" spans="1:30" ht="51.3" hidden="1" x14ac:dyDescent="0.35">
      <c r="A816" s="349">
        <v>815</v>
      </c>
      <c r="B816" s="352" t="s">
        <v>3582</v>
      </c>
      <c r="C816" s="351" t="s">
        <v>596</v>
      </c>
      <c r="D816" s="352" t="s">
        <v>596</v>
      </c>
      <c r="E816" s="352" t="s">
        <v>747</v>
      </c>
      <c r="F816" s="353">
        <v>114.31</v>
      </c>
      <c r="G816" s="352" t="s">
        <v>1107</v>
      </c>
      <c r="H816" s="176" t="s">
        <v>597</v>
      </c>
      <c r="I816" s="176" t="s">
        <v>3813</v>
      </c>
      <c r="J816" s="352" t="s">
        <v>1115</v>
      </c>
      <c r="K816" s="352">
        <v>10</v>
      </c>
      <c r="L816" s="352" t="s">
        <v>1116</v>
      </c>
      <c r="M816" s="351">
        <v>250</v>
      </c>
      <c r="N816" s="351" t="s">
        <v>1109</v>
      </c>
      <c r="O816" s="351">
        <v>10</v>
      </c>
      <c r="P816" s="349" t="s">
        <v>1836</v>
      </c>
      <c r="R816" s="349">
        <f t="shared" si="12"/>
        <v>11</v>
      </c>
      <c r="S816" s="352"/>
      <c r="T816" s="352"/>
      <c r="U816" s="352"/>
      <c r="V816" s="353"/>
      <c r="W816" s="352"/>
      <c r="X816" s="176"/>
      <c r="Y816" s="176"/>
      <c r="Z816" s="352"/>
      <c r="AA816" s="352"/>
      <c r="AB816" s="352"/>
      <c r="AC816" s="352"/>
      <c r="AD816" s="352"/>
    </row>
    <row r="817" spans="1:30" ht="25.65" hidden="1" x14ac:dyDescent="0.35">
      <c r="A817" s="349">
        <v>816</v>
      </c>
      <c r="B817" s="352" t="s">
        <v>1080</v>
      </c>
      <c r="C817" s="351" t="s">
        <v>4274</v>
      </c>
      <c r="D817" s="352" t="s">
        <v>3021</v>
      </c>
      <c r="E817" s="352" t="s">
        <v>1997</v>
      </c>
      <c r="F817" s="353">
        <v>386.37650000000002</v>
      </c>
      <c r="G817" s="352" t="s">
        <v>1107</v>
      </c>
      <c r="H817" s="176"/>
      <c r="I817" s="176" t="s">
        <v>3151</v>
      </c>
      <c r="J817" s="352" t="s">
        <v>1115</v>
      </c>
      <c r="K817" s="352">
        <v>50</v>
      </c>
      <c r="L817" s="352" t="s">
        <v>1464</v>
      </c>
      <c r="M817" s="351"/>
      <c r="N817" s="351"/>
      <c r="O817" s="351">
        <v>50</v>
      </c>
      <c r="P817" s="349" t="s">
        <v>1836</v>
      </c>
      <c r="R817" s="349">
        <f t="shared" si="12"/>
        <v>11</v>
      </c>
      <c r="S817" s="352"/>
      <c r="T817" s="352"/>
      <c r="U817" s="352"/>
      <c r="V817" s="353"/>
      <c r="W817" s="352"/>
      <c r="X817" s="176"/>
      <c r="Y817" s="176"/>
      <c r="Z817" s="352"/>
      <c r="AA817" s="352"/>
      <c r="AB817" s="352"/>
      <c r="AC817" s="352"/>
      <c r="AD817" s="352"/>
    </row>
    <row r="818" spans="1:30" ht="25.65" hidden="1" x14ac:dyDescent="0.35">
      <c r="A818" s="349">
        <v>817</v>
      </c>
      <c r="B818" s="352" t="s">
        <v>1080</v>
      </c>
      <c r="C818" s="351" t="s">
        <v>3021</v>
      </c>
      <c r="D818" s="352" t="s">
        <v>3021</v>
      </c>
      <c r="E818" s="352" t="s">
        <v>1997</v>
      </c>
      <c r="F818" s="353">
        <v>386.37650000000002</v>
      </c>
      <c r="G818" s="352" t="s">
        <v>1107</v>
      </c>
      <c r="H818" s="176"/>
      <c r="I818" s="176" t="s">
        <v>3151</v>
      </c>
      <c r="J818" s="352" t="s">
        <v>1115</v>
      </c>
      <c r="K818" s="352">
        <v>50</v>
      </c>
      <c r="L818" s="352" t="s">
        <v>1464</v>
      </c>
      <c r="M818" s="351"/>
      <c r="N818" s="351"/>
      <c r="O818" s="351">
        <v>50</v>
      </c>
      <c r="P818" s="349" t="s">
        <v>1836</v>
      </c>
      <c r="R818" s="349">
        <f t="shared" si="12"/>
        <v>11</v>
      </c>
      <c r="S818" s="352"/>
      <c r="T818" s="352"/>
      <c r="U818" s="352"/>
      <c r="V818" s="353"/>
      <c r="W818" s="352"/>
      <c r="X818" s="176"/>
      <c r="Y818" s="176"/>
      <c r="Z818" s="352"/>
      <c r="AA818" s="352"/>
      <c r="AB818" s="352"/>
      <c r="AC818" s="352"/>
      <c r="AD818" s="352"/>
    </row>
    <row r="819" spans="1:30" ht="51.3" hidden="1" x14ac:dyDescent="0.35">
      <c r="A819" s="349">
        <v>818</v>
      </c>
      <c r="B819" s="352" t="s">
        <v>232</v>
      </c>
      <c r="C819" s="351" t="s">
        <v>598</v>
      </c>
      <c r="D819" s="352" t="s">
        <v>598</v>
      </c>
      <c r="E819" s="352" t="s">
        <v>1995</v>
      </c>
      <c r="F819" s="353">
        <v>0.1</v>
      </c>
      <c r="G819" s="352" t="s">
        <v>2126</v>
      </c>
      <c r="H819" s="176" t="s">
        <v>341</v>
      </c>
      <c r="I819" s="176" t="s">
        <v>342</v>
      </c>
      <c r="J819" s="352" t="s">
        <v>3580</v>
      </c>
      <c r="K819" s="352">
        <v>62.5</v>
      </c>
      <c r="L819" s="352" t="s">
        <v>1757</v>
      </c>
      <c r="M819" s="351"/>
      <c r="N819" s="351"/>
      <c r="O819" s="351">
        <v>62.5</v>
      </c>
      <c r="P819" s="349" t="s">
        <v>1850</v>
      </c>
      <c r="R819" s="349">
        <f t="shared" si="12"/>
        <v>14</v>
      </c>
      <c r="S819" s="352"/>
      <c r="T819" s="352"/>
      <c r="U819" s="352"/>
      <c r="V819" s="353"/>
      <c r="W819" s="352"/>
      <c r="X819" s="176"/>
      <c r="Y819" s="176"/>
      <c r="Z819" s="352"/>
      <c r="AA819" s="352"/>
      <c r="AB819" s="352"/>
      <c r="AC819" s="352"/>
      <c r="AD819" s="352"/>
    </row>
    <row r="820" spans="1:30" ht="51.3" hidden="1" x14ac:dyDescent="0.35">
      <c r="A820" s="349">
        <v>819</v>
      </c>
      <c r="B820" s="352" t="s">
        <v>232</v>
      </c>
      <c r="C820" s="351" t="s">
        <v>4275</v>
      </c>
      <c r="D820" s="352" t="s">
        <v>598</v>
      </c>
      <c r="E820" s="352" t="s">
        <v>1995</v>
      </c>
      <c r="F820" s="353">
        <v>0.1</v>
      </c>
      <c r="G820" s="352" t="s">
        <v>2126</v>
      </c>
      <c r="H820" s="176" t="s">
        <v>341</v>
      </c>
      <c r="I820" s="176" t="s">
        <v>342</v>
      </c>
      <c r="J820" s="352" t="s">
        <v>3580</v>
      </c>
      <c r="K820" s="352">
        <v>62.5</v>
      </c>
      <c r="L820" s="352" t="s">
        <v>1757</v>
      </c>
      <c r="M820" s="352"/>
      <c r="N820" s="352"/>
      <c r="O820" s="351">
        <v>62.5</v>
      </c>
      <c r="P820" s="349" t="s">
        <v>1850</v>
      </c>
      <c r="R820" s="349">
        <f t="shared" si="12"/>
        <v>14</v>
      </c>
      <c r="S820" s="352"/>
      <c r="T820" s="352"/>
      <c r="U820" s="352"/>
      <c r="V820" s="353"/>
      <c r="W820" s="352"/>
      <c r="X820" s="176"/>
      <c r="Y820" s="176"/>
      <c r="Z820" s="352"/>
      <c r="AA820" s="352"/>
      <c r="AB820" s="352"/>
      <c r="AC820" s="352"/>
      <c r="AD820" s="352"/>
    </row>
    <row r="821" spans="1:30" ht="115.35" hidden="1" x14ac:dyDescent="0.35">
      <c r="A821" s="349">
        <v>820</v>
      </c>
      <c r="B821" s="352" t="s">
        <v>1113</v>
      </c>
      <c r="C821" s="351" t="s">
        <v>4276</v>
      </c>
      <c r="D821" s="352" t="s">
        <v>1275</v>
      </c>
      <c r="E821" s="352" t="s">
        <v>3036</v>
      </c>
      <c r="F821" s="353">
        <v>26.51</v>
      </c>
      <c r="G821" s="352" t="s">
        <v>1107</v>
      </c>
      <c r="H821" s="176" t="s">
        <v>562</v>
      </c>
      <c r="I821" s="176" t="s">
        <v>563</v>
      </c>
      <c r="J821" s="352" t="s">
        <v>1115</v>
      </c>
      <c r="K821" s="352">
        <v>200</v>
      </c>
      <c r="L821" s="352" t="s">
        <v>1116</v>
      </c>
      <c r="M821" s="351">
        <v>25</v>
      </c>
      <c r="N821" s="351" t="s">
        <v>1109</v>
      </c>
      <c r="O821" s="351">
        <v>200</v>
      </c>
      <c r="P821" s="349" t="s">
        <v>1836</v>
      </c>
      <c r="R821" s="349">
        <f t="shared" si="12"/>
        <v>14</v>
      </c>
      <c r="S821" s="352"/>
      <c r="T821" s="352"/>
      <c r="U821" s="352"/>
      <c r="V821" s="353"/>
      <c r="W821" s="352"/>
      <c r="X821" s="176"/>
      <c r="Y821" s="176"/>
      <c r="Z821" s="352"/>
      <c r="AA821" s="352"/>
      <c r="AB821" s="352"/>
      <c r="AC821" s="352"/>
      <c r="AD821" s="352"/>
    </row>
    <row r="822" spans="1:30" ht="115.35" hidden="1" x14ac:dyDescent="0.35">
      <c r="A822" s="349">
        <v>821</v>
      </c>
      <c r="B822" s="352" t="s">
        <v>1113</v>
      </c>
      <c r="C822" s="351" t="s">
        <v>4276</v>
      </c>
      <c r="D822" s="352" t="s">
        <v>1275</v>
      </c>
      <c r="E822" s="352" t="s">
        <v>2007</v>
      </c>
      <c r="F822" s="353">
        <v>1.23</v>
      </c>
      <c r="G822" s="352" t="s">
        <v>2126</v>
      </c>
      <c r="H822" s="176" t="s">
        <v>564</v>
      </c>
      <c r="I822" s="176" t="s">
        <v>563</v>
      </c>
      <c r="J822" s="352" t="s">
        <v>21</v>
      </c>
      <c r="K822" s="352">
        <v>600</v>
      </c>
      <c r="L822" s="352" t="s">
        <v>3581</v>
      </c>
      <c r="M822" s="351"/>
      <c r="N822" s="351"/>
      <c r="O822" s="351">
        <v>600</v>
      </c>
      <c r="P822" s="349" t="s">
        <v>1836</v>
      </c>
      <c r="R822" s="349">
        <f t="shared" si="12"/>
        <v>14</v>
      </c>
      <c r="S822" s="352"/>
      <c r="T822" s="352"/>
      <c r="U822" s="352"/>
      <c r="V822" s="353"/>
      <c r="W822" s="352"/>
      <c r="X822" s="176"/>
      <c r="Y822" s="37"/>
      <c r="Z822" s="352"/>
      <c r="AA822" s="352"/>
      <c r="AB822" s="352"/>
      <c r="AC822" s="352"/>
      <c r="AD822" s="352"/>
    </row>
    <row r="823" spans="1:30" ht="64.099999999999994" hidden="1" x14ac:dyDescent="0.35">
      <c r="A823" s="349">
        <v>822</v>
      </c>
      <c r="B823" s="352" t="s">
        <v>3032</v>
      </c>
      <c r="C823" s="351" t="s">
        <v>4276</v>
      </c>
      <c r="D823" s="352" t="s">
        <v>1275</v>
      </c>
      <c r="E823" s="352" t="s">
        <v>2007</v>
      </c>
      <c r="F823" s="353">
        <v>0.5</v>
      </c>
      <c r="G823" s="352" t="s">
        <v>2126</v>
      </c>
      <c r="H823" s="176" t="s">
        <v>809</v>
      </c>
      <c r="I823" s="176" t="s">
        <v>810</v>
      </c>
      <c r="J823" s="352" t="s">
        <v>21</v>
      </c>
      <c r="K823" s="352">
        <v>600</v>
      </c>
      <c r="L823" s="352" t="s">
        <v>3581</v>
      </c>
      <c r="M823" s="351"/>
      <c r="N823" s="351"/>
      <c r="O823" s="351">
        <v>600</v>
      </c>
      <c r="P823" s="349" t="s">
        <v>1836</v>
      </c>
      <c r="R823" s="349">
        <f t="shared" si="12"/>
        <v>14</v>
      </c>
      <c r="S823" s="352"/>
      <c r="T823" s="352"/>
      <c r="U823" s="352"/>
      <c r="V823" s="353"/>
      <c r="W823" s="352"/>
      <c r="X823" s="176"/>
      <c r="Y823" s="176"/>
      <c r="Z823" s="352"/>
      <c r="AA823" s="352"/>
      <c r="AB823" s="352"/>
      <c r="AC823" s="352"/>
      <c r="AD823" s="352"/>
    </row>
    <row r="824" spans="1:30" ht="115.35" hidden="1" x14ac:dyDescent="0.35">
      <c r="A824" s="349">
        <v>823</v>
      </c>
      <c r="B824" s="352" t="s">
        <v>1113</v>
      </c>
      <c r="C824" s="351" t="s">
        <v>4276</v>
      </c>
      <c r="D824" s="352" t="s">
        <v>1275</v>
      </c>
      <c r="E824" s="352" t="s">
        <v>1998</v>
      </c>
      <c r="F824" s="353">
        <v>0.3</v>
      </c>
      <c r="G824" s="352" t="s">
        <v>2126</v>
      </c>
      <c r="H824" s="176" t="s">
        <v>564</v>
      </c>
      <c r="I824" s="176" t="s">
        <v>563</v>
      </c>
      <c r="J824" s="352" t="s">
        <v>22</v>
      </c>
      <c r="K824" s="352">
        <v>200</v>
      </c>
      <c r="L824" s="352" t="s">
        <v>23</v>
      </c>
      <c r="M824" s="352"/>
      <c r="N824" s="352"/>
      <c r="O824" s="351">
        <v>200</v>
      </c>
      <c r="P824" s="349" t="s">
        <v>1836</v>
      </c>
      <c r="R824" s="349">
        <f t="shared" si="12"/>
        <v>14</v>
      </c>
      <c r="S824" s="352"/>
      <c r="T824" s="352"/>
      <c r="U824" s="352"/>
      <c r="V824" s="353"/>
      <c r="W824" s="352"/>
      <c r="X824" s="176"/>
      <c r="Y824" s="176"/>
      <c r="Z824" s="352"/>
      <c r="AA824" s="352"/>
      <c r="AB824" s="352"/>
      <c r="AC824" s="352"/>
      <c r="AD824" s="352"/>
    </row>
    <row r="825" spans="1:30" ht="64.099999999999994" hidden="1" x14ac:dyDescent="0.35">
      <c r="A825" s="349">
        <v>824</v>
      </c>
      <c r="B825" s="352" t="s">
        <v>3032</v>
      </c>
      <c r="C825" s="351" t="s">
        <v>4276</v>
      </c>
      <c r="D825" s="352" t="s">
        <v>1275</v>
      </c>
      <c r="E825" s="352" t="s">
        <v>1998</v>
      </c>
      <c r="F825" s="353">
        <v>0.3967</v>
      </c>
      <c r="G825" s="352" t="s">
        <v>2126</v>
      </c>
      <c r="H825" s="176" t="s">
        <v>809</v>
      </c>
      <c r="I825" s="176" t="s">
        <v>810</v>
      </c>
      <c r="J825" s="352" t="s">
        <v>22</v>
      </c>
      <c r="K825" s="352">
        <v>200</v>
      </c>
      <c r="L825" s="352" t="s">
        <v>23</v>
      </c>
      <c r="M825" s="352"/>
      <c r="N825" s="352"/>
      <c r="O825" s="351">
        <v>200</v>
      </c>
      <c r="P825" s="349" t="s">
        <v>1836</v>
      </c>
      <c r="R825" s="349">
        <f t="shared" si="12"/>
        <v>14</v>
      </c>
      <c r="S825" s="352"/>
      <c r="T825" s="352"/>
      <c r="U825" s="352"/>
      <c r="V825" s="353"/>
      <c r="W825" s="352"/>
      <c r="X825" s="176"/>
      <c r="Y825" s="176"/>
      <c r="Z825" s="352"/>
      <c r="AA825" s="352"/>
      <c r="AB825" s="352"/>
      <c r="AC825" s="352"/>
      <c r="AD825" s="352"/>
    </row>
    <row r="826" spans="1:30" ht="115.35" hidden="1" x14ac:dyDescent="0.35">
      <c r="A826" s="349">
        <v>825</v>
      </c>
      <c r="B826" s="352" t="s">
        <v>1113</v>
      </c>
      <c r="C826" s="351" t="s">
        <v>4276</v>
      </c>
      <c r="D826" s="352" t="s">
        <v>1275</v>
      </c>
      <c r="E826" s="352" t="s">
        <v>2006</v>
      </c>
      <c r="F826" s="353">
        <v>0.4</v>
      </c>
      <c r="G826" s="352" t="s">
        <v>2126</v>
      </c>
      <c r="H826" s="176" t="s">
        <v>564</v>
      </c>
      <c r="I826" s="176" t="s">
        <v>563</v>
      </c>
      <c r="J826" s="352" t="s">
        <v>24</v>
      </c>
      <c r="K826" s="352">
        <v>200</v>
      </c>
      <c r="L826" s="352" t="s">
        <v>25</v>
      </c>
      <c r="M826" s="352"/>
      <c r="N826" s="352"/>
      <c r="O826" s="351">
        <v>200</v>
      </c>
      <c r="P826" s="349" t="s">
        <v>1836</v>
      </c>
      <c r="R826" s="349">
        <f t="shared" si="12"/>
        <v>14</v>
      </c>
      <c r="S826" s="352"/>
      <c r="T826" s="352"/>
      <c r="U826" s="352"/>
      <c r="V826" s="353"/>
      <c r="W826" s="352"/>
      <c r="X826" s="176"/>
      <c r="Y826" s="37"/>
      <c r="Z826" s="352"/>
      <c r="AA826" s="352"/>
      <c r="AB826" s="352"/>
      <c r="AC826" s="352"/>
      <c r="AD826" s="352"/>
    </row>
    <row r="827" spans="1:30" ht="64.099999999999994" hidden="1" x14ac:dyDescent="0.35">
      <c r="A827" s="349">
        <v>826</v>
      </c>
      <c r="B827" s="352" t="s">
        <v>3032</v>
      </c>
      <c r="C827" s="351" t="s">
        <v>4276</v>
      </c>
      <c r="D827" s="352" t="s">
        <v>1275</v>
      </c>
      <c r="E827" s="352" t="s">
        <v>2006</v>
      </c>
      <c r="F827" s="353">
        <v>0.2424</v>
      </c>
      <c r="G827" s="352" t="s">
        <v>2126</v>
      </c>
      <c r="H827" s="176" t="s">
        <v>809</v>
      </c>
      <c r="I827" s="176" t="s">
        <v>810</v>
      </c>
      <c r="J827" s="352" t="s">
        <v>24</v>
      </c>
      <c r="K827" s="352">
        <v>200</v>
      </c>
      <c r="L827" s="352" t="s">
        <v>25</v>
      </c>
      <c r="M827" s="352"/>
      <c r="N827" s="352"/>
      <c r="O827" s="351">
        <v>200</v>
      </c>
      <c r="P827" s="349" t="s">
        <v>1836</v>
      </c>
      <c r="R827" s="349">
        <f t="shared" si="12"/>
        <v>14</v>
      </c>
      <c r="S827" s="352"/>
      <c r="T827" s="352"/>
      <c r="U827" s="352"/>
      <c r="V827" s="353"/>
      <c r="W827" s="352"/>
      <c r="X827" s="176"/>
      <c r="Y827" s="176"/>
      <c r="Z827" s="352"/>
      <c r="AA827" s="352"/>
      <c r="AB827" s="352"/>
      <c r="AC827" s="352"/>
      <c r="AD827" s="352"/>
    </row>
    <row r="828" spans="1:30" ht="25.65" hidden="1" x14ac:dyDescent="0.35">
      <c r="A828" s="349">
        <v>827</v>
      </c>
      <c r="B828" s="352" t="s">
        <v>1113</v>
      </c>
      <c r="C828" s="351" t="s">
        <v>1002</v>
      </c>
      <c r="D828" s="352" t="s">
        <v>1002</v>
      </c>
      <c r="E828" s="352" t="s">
        <v>827</v>
      </c>
      <c r="F828" s="353">
        <v>38.75</v>
      </c>
      <c r="G828" s="352" t="s">
        <v>1107</v>
      </c>
      <c r="H828" s="176" t="s">
        <v>2873</v>
      </c>
      <c r="I828" s="176" t="s">
        <v>4843</v>
      </c>
      <c r="J828" s="352" t="s">
        <v>828</v>
      </c>
      <c r="K828" s="352">
        <v>0.1</v>
      </c>
      <c r="L828" s="352" t="s">
        <v>1116</v>
      </c>
      <c r="M828" s="352">
        <v>5</v>
      </c>
      <c r="N828" s="352" t="s">
        <v>1109</v>
      </c>
      <c r="O828" s="351">
        <v>0.1</v>
      </c>
      <c r="P828" s="349" t="s">
        <v>1836</v>
      </c>
      <c r="R828" s="349">
        <f t="shared" si="12"/>
        <v>10</v>
      </c>
      <c r="S828" s="352"/>
      <c r="T828" s="352"/>
      <c r="U828" s="352"/>
      <c r="V828" s="353"/>
      <c r="W828" s="352"/>
      <c r="X828" s="176"/>
      <c r="Y828" s="176"/>
      <c r="Z828" s="352"/>
      <c r="AA828" s="352"/>
      <c r="AB828" s="352"/>
      <c r="AC828" s="352"/>
      <c r="AD828" s="352"/>
    </row>
    <row r="829" spans="1:30" hidden="1" x14ac:dyDescent="0.35">
      <c r="A829" s="349">
        <v>828</v>
      </c>
      <c r="B829" s="352" t="s">
        <v>760</v>
      </c>
      <c r="C829" s="351" t="s">
        <v>2869</v>
      </c>
      <c r="D829" s="352" t="s">
        <v>2869</v>
      </c>
      <c r="E829" s="352" t="s">
        <v>3209</v>
      </c>
      <c r="F829" s="353">
        <v>7.1620999999999997</v>
      </c>
      <c r="G829" s="352" t="s">
        <v>34</v>
      </c>
      <c r="H829" s="176" t="s">
        <v>2647</v>
      </c>
      <c r="I829" s="176" t="s">
        <v>2870</v>
      </c>
      <c r="J829" s="352" t="s">
        <v>4025</v>
      </c>
      <c r="K829" s="352">
        <v>1</v>
      </c>
      <c r="L829" s="352" t="s">
        <v>1116</v>
      </c>
      <c r="M829" s="352">
        <v>5</v>
      </c>
      <c r="N829" s="352" t="s">
        <v>1109</v>
      </c>
      <c r="O829" s="351">
        <v>1</v>
      </c>
      <c r="P829" s="349" t="s">
        <v>1836</v>
      </c>
      <c r="R829" s="349">
        <f t="shared" si="12"/>
        <v>13</v>
      </c>
      <c r="S829" s="352"/>
      <c r="T829" s="352"/>
      <c r="U829" s="352"/>
      <c r="V829" s="353"/>
      <c r="W829" s="352"/>
      <c r="X829" s="176"/>
      <c r="Y829" s="176"/>
      <c r="Z829" s="352"/>
      <c r="AA829" s="352"/>
      <c r="AB829" s="352"/>
      <c r="AC829" s="352"/>
      <c r="AD829" s="352"/>
    </row>
    <row r="830" spans="1:30" ht="38.450000000000003" hidden="1" x14ac:dyDescent="0.35">
      <c r="A830" s="349">
        <v>829</v>
      </c>
      <c r="B830" s="352" t="s">
        <v>2373</v>
      </c>
      <c r="C830" s="351" t="s">
        <v>1286</v>
      </c>
      <c r="D830" s="352" t="s">
        <v>1286</v>
      </c>
      <c r="E830" s="352" t="s">
        <v>745</v>
      </c>
      <c r="F830" s="353">
        <v>1.3443000000000001</v>
      </c>
      <c r="G830" s="352" t="s">
        <v>3034</v>
      </c>
      <c r="H830" s="176" t="s">
        <v>3219</v>
      </c>
      <c r="I830" s="176" t="s">
        <v>1123</v>
      </c>
      <c r="J830" s="352" t="s">
        <v>2375</v>
      </c>
      <c r="K830" s="352">
        <v>100</v>
      </c>
      <c r="L830" s="352" t="s">
        <v>2376</v>
      </c>
      <c r="M830" s="352">
        <v>4</v>
      </c>
      <c r="N830" s="352" t="s">
        <v>2377</v>
      </c>
      <c r="O830" s="351">
        <v>100</v>
      </c>
      <c r="P830" s="349" t="s">
        <v>1850</v>
      </c>
      <c r="R830" s="349">
        <f t="shared" si="12"/>
        <v>10</v>
      </c>
      <c r="S830" s="352"/>
      <c r="T830" s="352"/>
      <c r="U830" s="352"/>
      <c r="V830" s="353"/>
      <c r="W830" s="352"/>
      <c r="X830" s="176"/>
      <c r="Y830" s="176"/>
      <c r="Z830" s="352"/>
      <c r="AA830" s="352"/>
      <c r="AB830" s="352"/>
      <c r="AC830" s="352"/>
      <c r="AD830" s="352"/>
    </row>
    <row r="831" spans="1:30" ht="38.450000000000003" hidden="1" x14ac:dyDescent="0.35">
      <c r="A831" s="349">
        <v>830</v>
      </c>
      <c r="B831" s="352" t="s">
        <v>2373</v>
      </c>
      <c r="C831" s="351" t="s">
        <v>1286</v>
      </c>
      <c r="D831" s="352" t="s">
        <v>1286</v>
      </c>
      <c r="E831" s="352" t="s">
        <v>745</v>
      </c>
      <c r="F831" s="353">
        <v>2.7766999999999999</v>
      </c>
      <c r="G831" s="352" t="s">
        <v>3034</v>
      </c>
      <c r="H831" s="176" t="s">
        <v>3219</v>
      </c>
      <c r="I831" s="176" t="s">
        <v>1123</v>
      </c>
      <c r="J831" s="352" t="s">
        <v>2375</v>
      </c>
      <c r="K831" s="352">
        <v>250</v>
      </c>
      <c r="L831" s="352" t="s">
        <v>2376</v>
      </c>
      <c r="M831" s="352">
        <v>4</v>
      </c>
      <c r="N831" s="352" t="s">
        <v>2377</v>
      </c>
      <c r="O831" s="351">
        <v>250</v>
      </c>
      <c r="P831" s="349" t="s">
        <v>1850</v>
      </c>
      <c r="R831" s="349">
        <f t="shared" si="12"/>
        <v>10</v>
      </c>
      <c r="S831" s="352"/>
      <c r="T831" s="352"/>
      <c r="U831" s="352"/>
      <c r="V831" s="353"/>
      <c r="W831" s="352"/>
      <c r="X831" s="176"/>
      <c r="Y831" s="176"/>
      <c r="Z831" s="352"/>
      <c r="AA831" s="352"/>
      <c r="AB831" s="352"/>
      <c r="AC831" s="352"/>
      <c r="AD831" s="352"/>
    </row>
    <row r="832" spans="1:30" ht="38.450000000000003" hidden="1" x14ac:dyDescent="0.35">
      <c r="A832" s="349">
        <v>831</v>
      </c>
      <c r="B832" s="352" t="s">
        <v>2373</v>
      </c>
      <c r="C832" s="351" t="s">
        <v>1286</v>
      </c>
      <c r="D832" s="352" t="s">
        <v>1286</v>
      </c>
      <c r="E832" s="352" t="s">
        <v>743</v>
      </c>
      <c r="F832" s="353">
        <v>21.64</v>
      </c>
      <c r="G832" s="352" t="s">
        <v>3034</v>
      </c>
      <c r="H832" s="176" t="s">
        <v>3219</v>
      </c>
      <c r="I832" s="176" t="s">
        <v>1123</v>
      </c>
      <c r="J832" s="352" t="s">
        <v>744</v>
      </c>
      <c r="K832" s="352">
        <v>100</v>
      </c>
      <c r="L832" s="352" t="s">
        <v>2902</v>
      </c>
      <c r="M832" s="352">
        <v>60</v>
      </c>
      <c r="N832" s="352" t="s">
        <v>1656</v>
      </c>
      <c r="O832" s="351">
        <v>100</v>
      </c>
      <c r="P832" s="349" t="s">
        <v>1850</v>
      </c>
      <c r="R832" s="349">
        <f t="shared" si="12"/>
        <v>10</v>
      </c>
      <c r="S832" s="352"/>
      <c r="T832" s="352"/>
      <c r="U832" s="352"/>
      <c r="V832" s="353"/>
      <c r="W832" s="352"/>
      <c r="X832" s="176"/>
      <c r="Y832" s="176"/>
      <c r="Z832" s="352"/>
      <c r="AA832" s="352"/>
      <c r="AB832" s="352"/>
      <c r="AC832" s="352"/>
      <c r="AD832" s="352"/>
    </row>
    <row r="833" spans="1:30" ht="38.450000000000003" hidden="1" x14ac:dyDescent="0.35">
      <c r="A833" s="349">
        <v>832</v>
      </c>
      <c r="B833" s="352" t="s">
        <v>2373</v>
      </c>
      <c r="C833" s="351" t="s">
        <v>1286</v>
      </c>
      <c r="D833" s="352" t="s">
        <v>1286</v>
      </c>
      <c r="E833" s="352" t="s">
        <v>743</v>
      </c>
      <c r="F833" s="353">
        <v>41.628100000000003</v>
      </c>
      <c r="G833" s="352" t="s">
        <v>3034</v>
      </c>
      <c r="H833" s="176" t="s">
        <v>3219</v>
      </c>
      <c r="I833" s="176" t="s">
        <v>1123</v>
      </c>
      <c r="J833" s="352" t="s">
        <v>744</v>
      </c>
      <c r="K833" s="352">
        <v>250</v>
      </c>
      <c r="L833" s="352" t="s">
        <v>2376</v>
      </c>
      <c r="M833" s="352">
        <v>60</v>
      </c>
      <c r="N833" s="352" t="s">
        <v>1656</v>
      </c>
      <c r="O833" s="351">
        <v>250</v>
      </c>
      <c r="P833" s="349" t="s">
        <v>1850</v>
      </c>
      <c r="R833" s="349">
        <f t="shared" si="12"/>
        <v>10</v>
      </c>
      <c r="S833" s="352"/>
      <c r="T833" s="352"/>
      <c r="U833" s="352"/>
      <c r="V833" s="353"/>
      <c r="W833" s="352"/>
      <c r="X833" s="176"/>
      <c r="Y833" s="176"/>
      <c r="Z833" s="352"/>
      <c r="AA833" s="352"/>
      <c r="AB833" s="352"/>
      <c r="AC833" s="351"/>
      <c r="AD833" s="351"/>
    </row>
    <row r="834" spans="1:30" ht="38.450000000000003" hidden="1" x14ac:dyDescent="0.35">
      <c r="A834" s="349">
        <v>833</v>
      </c>
      <c r="B834" s="352" t="s">
        <v>2373</v>
      </c>
      <c r="C834" s="351" t="s">
        <v>1286</v>
      </c>
      <c r="D834" s="352" t="s">
        <v>1286</v>
      </c>
      <c r="E834" s="352" t="s">
        <v>743</v>
      </c>
      <c r="F834" s="353">
        <v>83.234099999999998</v>
      </c>
      <c r="G834" s="352" t="s">
        <v>3034</v>
      </c>
      <c r="H834" s="176" t="s">
        <v>3219</v>
      </c>
      <c r="I834" s="176" t="s">
        <v>1123</v>
      </c>
      <c r="J834" s="352" t="s">
        <v>744</v>
      </c>
      <c r="K834" s="352">
        <v>500</v>
      </c>
      <c r="L834" s="352" t="s">
        <v>2376</v>
      </c>
      <c r="M834" s="352">
        <v>60</v>
      </c>
      <c r="N834" s="352" t="s">
        <v>1656</v>
      </c>
      <c r="O834" s="351">
        <v>500</v>
      </c>
      <c r="P834" s="349" t="s">
        <v>1850</v>
      </c>
      <c r="R834" s="349">
        <f t="shared" si="12"/>
        <v>10</v>
      </c>
      <c r="S834" s="352"/>
      <c r="T834" s="352"/>
      <c r="U834" s="352"/>
      <c r="V834" s="353"/>
      <c r="W834" s="352"/>
      <c r="X834" s="176"/>
      <c r="Y834" s="176"/>
      <c r="Z834" s="352"/>
      <c r="AA834" s="352"/>
      <c r="AB834" s="352"/>
      <c r="AC834" s="351"/>
      <c r="AD834" s="351"/>
    </row>
    <row r="835" spans="1:30" ht="76.900000000000006" hidden="1" x14ac:dyDescent="0.35">
      <c r="A835" s="349">
        <v>834</v>
      </c>
      <c r="B835" s="352" t="s">
        <v>2373</v>
      </c>
      <c r="C835" s="351" t="s">
        <v>1286</v>
      </c>
      <c r="D835" s="352" t="s">
        <v>1286</v>
      </c>
      <c r="E835" s="352" t="s">
        <v>742</v>
      </c>
      <c r="F835" s="353">
        <v>29.485600000000002</v>
      </c>
      <c r="G835" s="352" t="s">
        <v>3034</v>
      </c>
      <c r="H835" s="176" t="s">
        <v>1124</v>
      </c>
      <c r="I835" s="176" t="s">
        <v>1121</v>
      </c>
      <c r="J835" s="352" t="s">
        <v>3215</v>
      </c>
      <c r="K835" s="352">
        <v>50</v>
      </c>
      <c r="L835" s="352" t="s">
        <v>3216</v>
      </c>
      <c r="M835" s="352">
        <v>120</v>
      </c>
      <c r="N835" s="352" t="s">
        <v>1656</v>
      </c>
      <c r="O835" s="351">
        <v>50</v>
      </c>
      <c r="P835" s="349" t="s">
        <v>1850</v>
      </c>
      <c r="R835" s="349">
        <f t="shared" ref="R835:R898" si="13">LEN(D835)</f>
        <v>10</v>
      </c>
      <c r="S835" s="352"/>
      <c r="T835" s="352"/>
      <c r="U835" s="352"/>
      <c r="V835" s="353"/>
      <c r="W835" s="352"/>
      <c r="X835" s="176"/>
      <c r="Y835" s="176"/>
      <c r="Z835" s="352"/>
      <c r="AA835" s="352"/>
      <c r="AB835" s="352"/>
      <c r="AC835" s="351"/>
      <c r="AD835" s="351"/>
    </row>
    <row r="836" spans="1:30" ht="64.099999999999994" hidden="1" x14ac:dyDescent="0.35">
      <c r="A836" s="349">
        <v>835</v>
      </c>
      <c r="B836" s="352" t="s">
        <v>2373</v>
      </c>
      <c r="C836" s="351" t="s">
        <v>1286</v>
      </c>
      <c r="D836" s="352" t="s">
        <v>1286</v>
      </c>
      <c r="E836" s="352" t="s">
        <v>742</v>
      </c>
      <c r="F836" s="353">
        <v>29.485600000000002</v>
      </c>
      <c r="G836" s="352" t="s">
        <v>3034</v>
      </c>
      <c r="H836" s="176"/>
      <c r="I836" s="176" t="s">
        <v>1121</v>
      </c>
      <c r="J836" s="352" t="s">
        <v>3215</v>
      </c>
      <c r="K836" s="352">
        <v>50</v>
      </c>
      <c r="L836" s="352" t="s">
        <v>3216</v>
      </c>
      <c r="M836" s="352">
        <v>120</v>
      </c>
      <c r="N836" s="352" t="s">
        <v>1656</v>
      </c>
      <c r="O836" s="351">
        <v>50</v>
      </c>
      <c r="P836" s="349" t="s">
        <v>1850</v>
      </c>
      <c r="R836" s="349">
        <f t="shared" si="13"/>
        <v>10</v>
      </c>
      <c r="S836" s="352"/>
      <c r="T836" s="352"/>
      <c r="U836" s="352"/>
      <c r="V836" s="353"/>
      <c r="W836" s="352"/>
      <c r="X836" s="176"/>
      <c r="Y836" s="176"/>
      <c r="Z836" s="352"/>
      <c r="AA836" s="352"/>
      <c r="AB836" s="352"/>
      <c r="AC836" s="351"/>
      <c r="AD836" s="351"/>
    </row>
    <row r="837" spans="1:30" ht="76.900000000000006" hidden="1" x14ac:dyDescent="0.35">
      <c r="A837" s="349">
        <v>836</v>
      </c>
      <c r="B837" s="352" t="s">
        <v>2373</v>
      </c>
      <c r="C837" s="351" t="s">
        <v>1286</v>
      </c>
      <c r="D837" s="352" t="s">
        <v>1286</v>
      </c>
      <c r="E837" s="352" t="s">
        <v>742</v>
      </c>
      <c r="F837" s="353">
        <v>40.944899999999997</v>
      </c>
      <c r="G837" s="352" t="s">
        <v>3034</v>
      </c>
      <c r="H837" s="176" t="s">
        <v>1124</v>
      </c>
      <c r="I837" s="176" t="s">
        <v>1121</v>
      </c>
      <c r="J837" s="352" t="s">
        <v>3215</v>
      </c>
      <c r="K837" s="352">
        <v>125</v>
      </c>
      <c r="L837" s="352" t="s">
        <v>3216</v>
      </c>
      <c r="M837" s="352">
        <v>120</v>
      </c>
      <c r="N837" s="352" t="s">
        <v>1656</v>
      </c>
      <c r="O837" s="351">
        <v>125</v>
      </c>
      <c r="P837" s="349" t="s">
        <v>1850</v>
      </c>
      <c r="R837" s="349">
        <f t="shared" si="13"/>
        <v>10</v>
      </c>
      <c r="S837" s="352"/>
      <c r="T837" s="352"/>
      <c r="U837" s="352"/>
      <c r="V837" s="353"/>
      <c r="W837" s="352"/>
      <c r="X837" s="176"/>
      <c r="Y837" s="176"/>
      <c r="Z837" s="352"/>
      <c r="AA837" s="352"/>
      <c r="AB837" s="352"/>
      <c r="AC837" s="351"/>
      <c r="AD837" s="351"/>
    </row>
    <row r="838" spans="1:30" ht="64.099999999999994" hidden="1" x14ac:dyDescent="0.35">
      <c r="A838" s="349">
        <v>837</v>
      </c>
      <c r="B838" s="352" t="s">
        <v>2373</v>
      </c>
      <c r="C838" s="351" t="s">
        <v>1286</v>
      </c>
      <c r="D838" s="352" t="s">
        <v>1286</v>
      </c>
      <c r="E838" s="352" t="s">
        <v>742</v>
      </c>
      <c r="F838" s="353">
        <v>40.944899999999997</v>
      </c>
      <c r="G838" s="352" t="s">
        <v>3034</v>
      </c>
      <c r="H838" s="37"/>
      <c r="I838" s="176" t="s">
        <v>1121</v>
      </c>
      <c r="J838" s="352" t="s">
        <v>3215</v>
      </c>
      <c r="K838" s="352">
        <v>125</v>
      </c>
      <c r="L838" s="352" t="s">
        <v>3216</v>
      </c>
      <c r="M838" s="352">
        <v>120</v>
      </c>
      <c r="N838" s="352" t="s">
        <v>1656</v>
      </c>
      <c r="O838" s="351">
        <v>125</v>
      </c>
      <c r="P838" s="349" t="s">
        <v>1850</v>
      </c>
      <c r="R838" s="349">
        <f t="shared" si="13"/>
        <v>10</v>
      </c>
      <c r="S838" s="352"/>
      <c r="T838" s="352"/>
      <c r="U838" s="352"/>
      <c r="V838" s="353"/>
      <c r="W838" s="352"/>
      <c r="X838" s="176"/>
      <c r="Y838" s="176"/>
      <c r="Z838" s="352"/>
      <c r="AA838" s="352"/>
      <c r="AB838" s="352"/>
      <c r="AC838" s="351"/>
      <c r="AD838" s="351"/>
    </row>
    <row r="839" spans="1:30" ht="64.099999999999994" hidden="1" x14ac:dyDescent="0.35">
      <c r="A839" s="349">
        <v>838</v>
      </c>
      <c r="B839" s="352" t="s">
        <v>2373</v>
      </c>
      <c r="C839" s="351" t="s">
        <v>1286</v>
      </c>
      <c r="D839" s="352" t="s">
        <v>1286</v>
      </c>
      <c r="E839" s="352" t="s">
        <v>742</v>
      </c>
      <c r="F839" s="353">
        <v>81.867800000000003</v>
      </c>
      <c r="G839" s="352" t="s">
        <v>3034</v>
      </c>
      <c r="H839" s="176"/>
      <c r="I839" s="176" t="s">
        <v>1121</v>
      </c>
      <c r="J839" s="352" t="s">
        <v>3215</v>
      </c>
      <c r="K839" s="352">
        <v>250</v>
      </c>
      <c r="L839" s="352" t="s">
        <v>3216</v>
      </c>
      <c r="M839" s="352">
        <v>120</v>
      </c>
      <c r="N839" s="352" t="s">
        <v>1656</v>
      </c>
      <c r="O839" s="351">
        <v>250</v>
      </c>
      <c r="P839" s="349" t="s">
        <v>1850</v>
      </c>
      <c r="R839" s="349">
        <f t="shared" si="13"/>
        <v>10</v>
      </c>
      <c r="S839" s="352"/>
      <c r="T839" s="352"/>
      <c r="U839" s="352"/>
      <c r="V839" s="353"/>
      <c r="W839" s="352"/>
      <c r="X839" s="176"/>
      <c r="Y839" s="176"/>
      <c r="Z839" s="352"/>
      <c r="AA839" s="352"/>
      <c r="AB839" s="352"/>
      <c r="AC839" s="351"/>
      <c r="AD839" s="351"/>
    </row>
    <row r="840" spans="1:30" ht="76.900000000000006" hidden="1" x14ac:dyDescent="0.35">
      <c r="A840" s="349">
        <v>839</v>
      </c>
      <c r="B840" s="352" t="s">
        <v>2373</v>
      </c>
      <c r="C840" s="351" t="s">
        <v>1286</v>
      </c>
      <c r="D840" s="352" t="s">
        <v>1286</v>
      </c>
      <c r="E840" s="352" t="s">
        <v>742</v>
      </c>
      <c r="F840" s="353">
        <v>81.867800000000003</v>
      </c>
      <c r="G840" s="352" t="s">
        <v>3034</v>
      </c>
      <c r="H840" s="176" t="s">
        <v>1124</v>
      </c>
      <c r="I840" s="176" t="s">
        <v>1121</v>
      </c>
      <c r="J840" s="352" t="s">
        <v>3215</v>
      </c>
      <c r="K840" s="352">
        <v>250</v>
      </c>
      <c r="L840" s="352" t="s">
        <v>3216</v>
      </c>
      <c r="M840" s="352">
        <v>120</v>
      </c>
      <c r="N840" s="352" t="s">
        <v>1656</v>
      </c>
      <c r="O840" s="351">
        <v>250</v>
      </c>
      <c r="P840" s="349" t="s">
        <v>1850</v>
      </c>
      <c r="R840" s="349">
        <f t="shared" si="13"/>
        <v>10</v>
      </c>
      <c r="S840" s="352"/>
      <c r="T840" s="352"/>
      <c r="U840" s="352"/>
      <c r="V840" s="353"/>
      <c r="W840" s="352"/>
      <c r="X840" s="176"/>
      <c r="Y840" s="176"/>
      <c r="Z840" s="352"/>
      <c r="AA840" s="352"/>
      <c r="AB840" s="352"/>
      <c r="AC840" s="351"/>
      <c r="AD840" s="351"/>
    </row>
    <row r="841" spans="1:30" ht="64.099999999999994" hidden="1" x14ac:dyDescent="0.35">
      <c r="A841" s="349">
        <v>840</v>
      </c>
      <c r="B841" s="352" t="s">
        <v>1792</v>
      </c>
      <c r="C841" s="351" t="s">
        <v>1286</v>
      </c>
      <c r="D841" s="352" t="s">
        <v>1286</v>
      </c>
      <c r="E841" s="352" t="s">
        <v>1793</v>
      </c>
      <c r="F841" s="353">
        <v>12.85</v>
      </c>
      <c r="G841" s="352" t="s">
        <v>34</v>
      </c>
      <c r="H841" s="37" t="s">
        <v>738</v>
      </c>
      <c r="I841" s="176" t="s">
        <v>4729</v>
      </c>
      <c r="J841" s="352" t="s">
        <v>29</v>
      </c>
      <c r="K841" s="352">
        <v>0.5</v>
      </c>
      <c r="L841" s="352" t="s">
        <v>1311</v>
      </c>
      <c r="M841" s="352">
        <v>30</v>
      </c>
      <c r="N841" s="352" t="s">
        <v>31</v>
      </c>
      <c r="O841" s="351">
        <v>0.5</v>
      </c>
      <c r="P841" s="349" t="s">
        <v>1836</v>
      </c>
      <c r="R841" s="349">
        <f t="shared" si="13"/>
        <v>10</v>
      </c>
      <c r="S841" s="352"/>
      <c r="T841" s="352"/>
      <c r="U841" s="352"/>
      <c r="V841" s="353"/>
      <c r="W841" s="352"/>
      <c r="X841" s="176"/>
      <c r="Y841" s="176"/>
      <c r="Z841" s="352"/>
      <c r="AA841" s="352"/>
      <c r="AB841" s="352"/>
      <c r="AC841" s="351"/>
      <c r="AD841" s="351"/>
    </row>
    <row r="842" spans="1:30" ht="89.75" hidden="1" x14ac:dyDescent="0.35">
      <c r="A842" s="349">
        <v>841</v>
      </c>
      <c r="B842" s="352" t="s">
        <v>739</v>
      </c>
      <c r="C842" s="351" t="s">
        <v>1286</v>
      </c>
      <c r="D842" s="352" t="s">
        <v>1286</v>
      </c>
      <c r="E842" s="352" t="s">
        <v>740</v>
      </c>
      <c r="F842" s="353">
        <v>42.9283</v>
      </c>
      <c r="G842" s="352" t="s">
        <v>34</v>
      </c>
      <c r="H842" s="176" t="s">
        <v>2688</v>
      </c>
      <c r="I842" s="176" t="s">
        <v>2687</v>
      </c>
      <c r="J842" s="352" t="s">
        <v>741</v>
      </c>
      <c r="K842" s="352">
        <v>50</v>
      </c>
      <c r="L842" s="352" t="s">
        <v>2902</v>
      </c>
      <c r="M842" s="352">
        <v>150</v>
      </c>
      <c r="N842" s="352" t="s">
        <v>1656</v>
      </c>
      <c r="O842" s="351">
        <v>50</v>
      </c>
      <c r="P842" s="349" t="s">
        <v>1850</v>
      </c>
      <c r="R842" s="349">
        <f t="shared" si="13"/>
        <v>10</v>
      </c>
      <c r="S842" s="352"/>
      <c r="T842" s="352"/>
      <c r="U842" s="352"/>
      <c r="V842" s="353"/>
      <c r="W842" s="352"/>
      <c r="X842" s="176"/>
      <c r="Y842" s="176"/>
      <c r="Z842" s="352"/>
      <c r="AA842" s="352"/>
      <c r="AB842" s="352"/>
      <c r="AC842" s="351"/>
      <c r="AD842" s="351"/>
    </row>
    <row r="843" spans="1:30" ht="25.65" hidden="1" x14ac:dyDescent="0.35">
      <c r="A843" s="349">
        <v>842</v>
      </c>
      <c r="B843" s="352" t="s">
        <v>739</v>
      </c>
      <c r="C843" s="351" t="s">
        <v>1286</v>
      </c>
      <c r="D843" s="352" t="s">
        <v>1286</v>
      </c>
      <c r="E843" s="352" t="s">
        <v>740</v>
      </c>
      <c r="F843" s="353">
        <v>42.9283</v>
      </c>
      <c r="G843" s="352" t="s">
        <v>34</v>
      </c>
      <c r="H843" s="176"/>
      <c r="I843" s="176" t="s">
        <v>2687</v>
      </c>
      <c r="J843" s="352" t="s">
        <v>741</v>
      </c>
      <c r="K843" s="352">
        <v>50</v>
      </c>
      <c r="L843" s="352" t="s">
        <v>2902</v>
      </c>
      <c r="M843" s="351">
        <v>150</v>
      </c>
      <c r="N843" s="351" t="s">
        <v>1656</v>
      </c>
      <c r="O843" s="351">
        <v>50</v>
      </c>
      <c r="P843" s="349" t="s">
        <v>1850</v>
      </c>
      <c r="R843" s="349">
        <f t="shared" si="13"/>
        <v>10</v>
      </c>
      <c r="S843" s="352"/>
      <c r="T843" s="352"/>
      <c r="U843" s="352"/>
      <c r="V843" s="353"/>
      <c r="W843" s="352"/>
      <c r="X843" s="176"/>
      <c r="Y843" s="176"/>
      <c r="Z843" s="352"/>
      <c r="AA843" s="352"/>
      <c r="AB843" s="352"/>
      <c r="AC843" s="351"/>
      <c r="AD843" s="351"/>
    </row>
    <row r="844" spans="1:30" ht="64.099999999999994" hidden="1" x14ac:dyDescent="0.35">
      <c r="A844" s="349">
        <v>843</v>
      </c>
      <c r="B844" s="352" t="s">
        <v>1792</v>
      </c>
      <c r="C844" s="351" t="s">
        <v>1286</v>
      </c>
      <c r="D844" s="352" t="s">
        <v>1286</v>
      </c>
      <c r="E844" s="352" t="s">
        <v>1134</v>
      </c>
      <c r="F844" s="353">
        <v>33.937100000000001</v>
      </c>
      <c r="G844" s="352" t="s">
        <v>34</v>
      </c>
      <c r="H844" s="176" t="s">
        <v>738</v>
      </c>
      <c r="I844" s="176" t="s">
        <v>4729</v>
      </c>
      <c r="J844" s="352" t="s">
        <v>2131</v>
      </c>
      <c r="K844" s="352">
        <v>0.05</v>
      </c>
      <c r="L844" s="352" t="s">
        <v>1311</v>
      </c>
      <c r="M844" s="351">
        <v>100</v>
      </c>
      <c r="N844" s="351" t="s">
        <v>31</v>
      </c>
      <c r="O844" s="351">
        <v>0.05</v>
      </c>
      <c r="P844" s="349" t="s">
        <v>1836</v>
      </c>
      <c r="R844" s="349">
        <f t="shared" si="13"/>
        <v>10</v>
      </c>
      <c r="S844" s="352"/>
      <c r="T844" s="352"/>
      <c r="U844" s="352"/>
      <c r="V844" s="353"/>
      <c r="W844" s="352"/>
      <c r="X844" s="176"/>
      <c r="Y844" s="176"/>
      <c r="Z844" s="352"/>
      <c r="AA844" s="352"/>
      <c r="AB844" s="352"/>
      <c r="AC844" s="351"/>
      <c r="AD844" s="351"/>
    </row>
    <row r="845" spans="1:30" hidden="1" x14ac:dyDescent="0.35">
      <c r="A845" s="349">
        <v>844</v>
      </c>
      <c r="B845" s="352" t="s">
        <v>760</v>
      </c>
      <c r="C845" s="351" t="s">
        <v>4277</v>
      </c>
      <c r="D845" s="352" t="s">
        <v>2869</v>
      </c>
      <c r="E845" s="352" t="s">
        <v>3209</v>
      </c>
      <c r="F845" s="353">
        <v>7.1620999999999997</v>
      </c>
      <c r="G845" s="352" t="s">
        <v>34</v>
      </c>
      <c r="H845" s="176" t="s">
        <v>2647</v>
      </c>
      <c r="I845" s="176" t="s">
        <v>2870</v>
      </c>
      <c r="J845" s="352" t="s">
        <v>4025</v>
      </c>
      <c r="K845" s="352">
        <v>1</v>
      </c>
      <c r="L845" s="352" t="s">
        <v>1116</v>
      </c>
      <c r="M845" s="351">
        <v>5</v>
      </c>
      <c r="N845" s="351" t="s">
        <v>1109</v>
      </c>
      <c r="O845" s="351">
        <v>1</v>
      </c>
      <c r="P845" s="349" t="s">
        <v>1836</v>
      </c>
      <c r="R845" s="349">
        <f t="shared" si="13"/>
        <v>13</v>
      </c>
      <c r="S845" s="352"/>
      <c r="T845" s="352"/>
      <c r="U845" s="352"/>
      <c r="V845" s="353"/>
      <c r="W845" s="352"/>
      <c r="X845" s="176"/>
      <c r="Y845" s="176"/>
      <c r="Z845" s="352"/>
      <c r="AA845" s="352"/>
      <c r="AB845" s="352"/>
      <c r="AC845" s="351"/>
      <c r="AD845" s="351"/>
    </row>
    <row r="846" spans="1:30" ht="51.3" hidden="1" x14ac:dyDescent="0.35">
      <c r="A846" s="349">
        <v>845</v>
      </c>
      <c r="B846" s="352" t="s">
        <v>829</v>
      </c>
      <c r="C846" s="351" t="s">
        <v>282</v>
      </c>
      <c r="D846" s="352" t="s">
        <v>282</v>
      </c>
      <c r="E846" s="352" t="s">
        <v>1995</v>
      </c>
      <c r="F846" s="353">
        <v>0.15429999999999999</v>
      </c>
      <c r="G846" s="352" t="s">
        <v>2126</v>
      </c>
      <c r="H846" s="176" t="s">
        <v>2290</v>
      </c>
      <c r="I846" s="176" t="s">
        <v>2291</v>
      </c>
      <c r="J846" s="352" t="s">
        <v>3580</v>
      </c>
      <c r="K846" s="351">
        <v>5</v>
      </c>
      <c r="L846" s="351" t="s">
        <v>3581</v>
      </c>
      <c r="M846" s="352"/>
      <c r="N846" s="352"/>
      <c r="O846" s="351">
        <v>5</v>
      </c>
      <c r="P846" s="349" t="s">
        <v>1836</v>
      </c>
      <c r="R846" s="349">
        <f t="shared" si="13"/>
        <v>10</v>
      </c>
      <c r="S846" s="352"/>
      <c r="T846" s="352"/>
      <c r="U846" s="352"/>
      <c r="V846" s="353"/>
      <c r="W846" s="352"/>
      <c r="X846" s="176"/>
      <c r="Y846" s="176"/>
      <c r="Z846" s="352"/>
      <c r="AA846" s="352"/>
      <c r="AB846" s="352"/>
      <c r="AC846" s="351"/>
      <c r="AD846" s="351"/>
    </row>
    <row r="847" spans="1:30" ht="102.55" hidden="1" x14ac:dyDescent="0.35">
      <c r="A847" s="349">
        <v>846</v>
      </c>
      <c r="B847" s="352" t="s">
        <v>830</v>
      </c>
      <c r="C847" s="351" t="s">
        <v>282</v>
      </c>
      <c r="D847" s="352" t="s">
        <v>282</v>
      </c>
      <c r="E847" s="352" t="s">
        <v>1995</v>
      </c>
      <c r="F847" s="353">
        <v>0.15</v>
      </c>
      <c r="G847" s="352" t="s">
        <v>2126</v>
      </c>
      <c r="H847" s="176" t="s">
        <v>100</v>
      </c>
      <c r="I847" s="176" t="s">
        <v>101</v>
      </c>
      <c r="J847" s="352" t="s">
        <v>3580</v>
      </c>
      <c r="K847" s="352">
        <v>0.5</v>
      </c>
      <c r="L847" s="352" t="s">
        <v>3581</v>
      </c>
      <c r="M847" s="351"/>
      <c r="N847" s="351"/>
      <c r="O847" s="351">
        <v>0.5</v>
      </c>
      <c r="P847" s="349" t="s">
        <v>1836</v>
      </c>
      <c r="R847" s="349">
        <f t="shared" si="13"/>
        <v>10</v>
      </c>
      <c r="S847" s="352"/>
      <c r="T847" s="352"/>
      <c r="U847" s="352"/>
      <c r="V847" s="353"/>
      <c r="W847" s="352"/>
      <c r="X847" s="176"/>
      <c r="Y847" s="176"/>
      <c r="Z847" s="352"/>
      <c r="AA847" s="352"/>
      <c r="AB847" s="352"/>
      <c r="AC847" s="351"/>
      <c r="AD847" s="351"/>
    </row>
    <row r="848" spans="1:30" ht="102.55" hidden="1" x14ac:dyDescent="0.35">
      <c r="A848" s="349">
        <v>847</v>
      </c>
      <c r="B848" s="352" t="s">
        <v>830</v>
      </c>
      <c r="C848" s="351" t="s">
        <v>282</v>
      </c>
      <c r="D848" s="352" t="s">
        <v>282</v>
      </c>
      <c r="E848" s="352" t="s">
        <v>1995</v>
      </c>
      <c r="F848" s="353">
        <v>0.15429999999999999</v>
      </c>
      <c r="G848" s="352" t="s">
        <v>2126</v>
      </c>
      <c r="H848" s="176" t="s">
        <v>100</v>
      </c>
      <c r="I848" s="176" t="s">
        <v>101</v>
      </c>
      <c r="J848" s="352" t="s">
        <v>3580</v>
      </c>
      <c r="K848" s="352">
        <v>5</v>
      </c>
      <c r="L848" s="352" t="s">
        <v>3581</v>
      </c>
      <c r="M848" s="351"/>
      <c r="N848" s="351"/>
      <c r="O848" s="351">
        <v>5</v>
      </c>
      <c r="P848" s="349" t="s">
        <v>1836</v>
      </c>
      <c r="R848" s="349">
        <f t="shared" si="13"/>
        <v>10</v>
      </c>
      <c r="S848" s="352"/>
      <c r="T848" s="352"/>
      <c r="U848" s="352"/>
      <c r="V848" s="353"/>
      <c r="W848" s="352"/>
      <c r="X848" s="176"/>
      <c r="Y848" s="176"/>
      <c r="Z848" s="352"/>
      <c r="AA848" s="352"/>
      <c r="AB848" s="352"/>
      <c r="AC848" s="351"/>
      <c r="AD848" s="351"/>
    </row>
    <row r="849" spans="1:30" ht="64.099999999999994" hidden="1" x14ac:dyDescent="0.35">
      <c r="A849" s="349">
        <v>848</v>
      </c>
      <c r="B849" s="352" t="s">
        <v>4045</v>
      </c>
      <c r="C849" s="351" t="s">
        <v>4278</v>
      </c>
      <c r="D849" s="352" t="s">
        <v>4039</v>
      </c>
      <c r="E849" s="352" t="s">
        <v>4046</v>
      </c>
      <c r="F849" s="353">
        <v>24.42</v>
      </c>
      <c r="G849" s="352" t="s">
        <v>2058</v>
      </c>
      <c r="H849" s="176" t="s">
        <v>650</v>
      </c>
      <c r="I849" s="176" t="s">
        <v>2724</v>
      </c>
      <c r="J849" s="352" t="s">
        <v>3035</v>
      </c>
      <c r="K849" s="352"/>
      <c r="L849" s="352"/>
      <c r="M849" s="351">
        <v>100</v>
      </c>
      <c r="N849" s="351" t="s">
        <v>1109</v>
      </c>
      <c r="O849" s="351">
        <v>0</v>
      </c>
      <c r="P849" s="349" t="s">
        <v>1837</v>
      </c>
      <c r="R849" s="349">
        <f t="shared" si="13"/>
        <v>10</v>
      </c>
      <c r="S849" s="352"/>
      <c r="T849" s="352"/>
      <c r="U849" s="352"/>
      <c r="V849" s="353"/>
      <c r="W849" s="352"/>
      <c r="X849" s="176"/>
      <c r="Y849" s="176"/>
      <c r="Z849" s="352"/>
      <c r="AA849" s="352"/>
      <c r="AB849" s="352"/>
      <c r="AC849" s="351"/>
      <c r="AD849" s="351"/>
    </row>
    <row r="850" spans="1:30" ht="230.7" hidden="1" x14ac:dyDescent="0.35">
      <c r="A850" s="349">
        <v>849</v>
      </c>
      <c r="B850" s="352" t="s">
        <v>550</v>
      </c>
      <c r="C850" s="351" t="s">
        <v>4279</v>
      </c>
      <c r="D850" s="352" t="s">
        <v>1288</v>
      </c>
      <c r="E850" s="352" t="s">
        <v>1997</v>
      </c>
      <c r="F850" s="353">
        <v>19.899999999999999</v>
      </c>
      <c r="G850" s="352" t="s">
        <v>1107</v>
      </c>
      <c r="H850" s="176" t="s">
        <v>2083</v>
      </c>
      <c r="I850" s="176" t="s">
        <v>4851</v>
      </c>
      <c r="J850" s="352" t="s">
        <v>1115</v>
      </c>
      <c r="K850" s="352">
        <v>1</v>
      </c>
      <c r="L850" s="352" t="s">
        <v>3252</v>
      </c>
      <c r="M850" s="351"/>
      <c r="N850" s="351"/>
      <c r="O850" s="351">
        <v>1000</v>
      </c>
      <c r="P850" s="349" t="s">
        <v>1836</v>
      </c>
      <c r="R850" s="349">
        <f t="shared" si="13"/>
        <v>10</v>
      </c>
      <c r="S850" s="352"/>
      <c r="T850" s="352"/>
      <c r="U850" s="352"/>
      <c r="V850" s="353"/>
      <c r="W850" s="352"/>
      <c r="X850" s="176"/>
      <c r="Y850" s="176"/>
      <c r="Z850" s="352"/>
      <c r="AA850" s="352"/>
      <c r="AB850" s="352"/>
      <c r="AC850" s="351"/>
      <c r="AD850" s="351"/>
    </row>
    <row r="851" spans="1:30" ht="230.7" hidden="1" x14ac:dyDescent="0.35">
      <c r="A851" s="349">
        <v>850</v>
      </c>
      <c r="B851" s="352" t="s">
        <v>550</v>
      </c>
      <c r="C851" s="351" t="s">
        <v>4279</v>
      </c>
      <c r="D851" s="352" t="s">
        <v>1288</v>
      </c>
      <c r="E851" s="352" t="s">
        <v>1997</v>
      </c>
      <c r="F851" s="353">
        <v>39.799999999999997</v>
      </c>
      <c r="G851" s="352" t="s">
        <v>1107</v>
      </c>
      <c r="H851" s="176" t="s">
        <v>2083</v>
      </c>
      <c r="I851" s="176" t="s">
        <v>4851</v>
      </c>
      <c r="J851" s="352" t="s">
        <v>1115</v>
      </c>
      <c r="K851" s="352">
        <v>2</v>
      </c>
      <c r="L851" s="352" t="s">
        <v>3252</v>
      </c>
      <c r="M851" s="352"/>
      <c r="N851" s="352"/>
      <c r="O851" s="351">
        <v>2000</v>
      </c>
      <c r="P851" s="349" t="s">
        <v>1836</v>
      </c>
      <c r="R851" s="349">
        <f t="shared" si="13"/>
        <v>10</v>
      </c>
      <c r="S851" s="352"/>
      <c r="T851" s="352"/>
      <c r="U851" s="352"/>
      <c r="V851" s="353"/>
      <c r="W851" s="352"/>
      <c r="X851" s="176"/>
      <c r="Y851" s="176"/>
      <c r="Z851" s="352"/>
      <c r="AA851" s="352"/>
      <c r="AB851" s="352"/>
      <c r="AC851" s="352"/>
      <c r="AD851" s="352"/>
    </row>
    <row r="852" spans="1:30" ht="230.7" hidden="1" x14ac:dyDescent="0.35">
      <c r="A852" s="349">
        <v>851</v>
      </c>
      <c r="B852" s="352" t="s">
        <v>550</v>
      </c>
      <c r="C852" s="351" t="s">
        <v>4279</v>
      </c>
      <c r="D852" s="352" t="s">
        <v>1288</v>
      </c>
      <c r="E852" s="352" t="s">
        <v>1997</v>
      </c>
      <c r="F852" s="353">
        <v>11.65</v>
      </c>
      <c r="G852" s="352" t="s">
        <v>1107</v>
      </c>
      <c r="H852" s="176" t="s">
        <v>2083</v>
      </c>
      <c r="I852" s="176" t="s">
        <v>4851</v>
      </c>
      <c r="J852" s="352" t="s">
        <v>1115</v>
      </c>
      <c r="K852" s="352">
        <v>500</v>
      </c>
      <c r="L852" s="352" t="s">
        <v>1464</v>
      </c>
      <c r="M852" s="352"/>
      <c r="N852" s="352"/>
      <c r="O852" s="351">
        <v>500</v>
      </c>
      <c r="P852" s="349" t="s">
        <v>1836</v>
      </c>
      <c r="R852" s="349">
        <f t="shared" si="13"/>
        <v>10</v>
      </c>
      <c r="S852" s="352"/>
      <c r="T852" s="352"/>
      <c r="U852" s="352"/>
      <c r="V852" s="353"/>
      <c r="W852" s="352"/>
      <c r="X852" s="176"/>
      <c r="Y852" s="176"/>
      <c r="Z852" s="352"/>
      <c r="AA852" s="352"/>
      <c r="AB852" s="352"/>
      <c r="AC852" s="352"/>
      <c r="AD852" s="352"/>
    </row>
    <row r="853" spans="1:30" ht="64.099999999999994" hidden="1" x14ac:dyDescent="0.35">
      <c r="A853" s="349">
        <v>852</v>
      </c>
      <c r="B853" s="352" t="s">
        <v>1308</v>
      </c>
      <c r="C853" s="351" t="s">
        <v>4280</v>
      </c>
      <c r="D853" s="352" t="s">
        <v>1309</v>
      </c>
      <c r="E853" s="352" t="s">
        <v>1995</v>
      </c>
      <c r="F853" s="353">
        <v>2.65</v>
      </c>
      <c r="G853" s="352" t="s">
        <v>2126</v>
      </c>
      <c r="H853" s="37" t="s">
        <v>1798</v>
      </c>
      <c r="I853" s="176" t="s">
        <v>3788</v>
      </c>
      <c r="J853" s="352" t="s">
        <v>3580</v>
      </c>
      <c r="K853" s="351">
        <v>10</v>
      </c>
      <c r="L853" s="351" t="s">
        <v>3581</v>
      </c>
      <c r="M853" s="352"/>
      <c r="N853" s="352"/>
      <c r="O853" s="351">
        <v>10</v>
      </c>
      <c r="P853" s="349" t="s">
        <v>1836</v>
      </c>
      <c r="R853" s="349">
        <f t="shared" si="13"/>
        <v>15</v>
      </c>
      <c r="S853" s="352"/>
      <c r="T853" s="352"/>
      <c r="U853" s="352"/>
      <c r="V853" s="353"/>
      <c r="W853" s="352"/>
      <c r="X853" s="176"/>
      <c r="Y853" s="176"/>
      <c r="Z853" s="352"/>
      <c r="AA853" s="352"/>
      <c r="AB853" s="352"/>
      <c r="AC853" s="351"/>
      <c r="AD853" s="351"/>
    </row>
    <row r="854" spans="1:30" ht="89.75" hidden="1" x14ac:dyDescent="0.35">
      <c r="A854" s="349">
        <v>853</v>
      </c>
      <c r="B854" s="352" t="s">
        <v>4100</v>
      </c>
      <c r="C854" s="351" t="s">
        <v>2422</v>
      </c>
      <c r="D854" s="352" t="s">
        <v>2422</v>
      </c>
      <c r="E854" s="352" t="s">
        <v>747</v>
      </c>
      <c r="F854" s="353">
        <v>102.8471</v>
      </c>
      <c r="G854" s="352" t="s">
        <v>1107</v>
      </c>
      <c r="H854" s="37" t="s">
        <v>4224</v>
      </c>
      <c r="I854" s="176" t="s">
        <v>1633</v>
      </c>
      <c r="J854" s="352" t="s">
        <v>1115</v>
      </c>
      <c r="K854" s="351">
        <v>24</v>
      </c>
      <c r="L854" s="351" t="s">
        <v>1116</v>
      </c>
      <c r="M854" s="352">
        <v>250</v>
      </c>
      <c r="N854" s="352" t="s">
        <v>1109</v>
      </c>
      <c r="O854" s="351">
        <v>24</v>
      </c>
      <c r="P854" s="349" t="s">
        <v>1836</v>
      </c>
      <c r="R854" s="349">
        <f t="shared" si="13"/>
        <v>9</v>
      </c>
      <c r="S854" s="352"/>
      <c r="T854" s="352"/>
      <c r="U854" s="352"/>
      <c r="V854" s="353"/>
      <c r="W854" s="352"/>
      <c r="X854" s="176"/>
      <c r="Y854" s="176"/>
      <c r="Z854" s="352"/>
      <c r="AA854" s="352"/>
      <c r="AB854" s="352"/>
      <c r="AC854" s="351"/>
      <c r="AD854" s="351"/>
    </row>
    <row r="855" spans="1:30" ht="89.75" hidden="1" x14ac:dyDescent="0.35">
      <c r="A855" s="349">
        <v>854</v>
      </c>
      <c r="B855" s="352" t="s">
        <v>4100</v>
      </c>
      <c r="C855" s="351" t="s">
        <v>4281</v>
      </c>
      <c r="D855" s="352" t="s">
        <v>2422</v>
      </c>
      <c r="E855" s="352" t="s">
        <v>747</v>
      </c>
      <c r="F855" s="353">
        <v>102.8471</v>
      </c>
      <c r="G855" s="352" t="s">
        <v>1107</v>
      </c>
      <c r="H855" s="37" t="s">
        <v>4224</v>
      </c>
      <c r="I855" s="176" t="s">
        <v>1633</v>
      </c>
      <c r="J855" s="352" t="s">
        <v>1115</v>
      </c>
      <c r="K855" s="351">
        <v>24</v>
      </c>
      <c r="L855" s="351" t="s">
        <v>1116</v>
      </c>
      <c r="M855" s="352">
        <v>250</v>
      </c>
      <c r="N855" s="352" t="s">
        <v>1109</v>
      </c>
      <c r="O855" s="351">
        <v>24</v>
      </c>
      <c r="P855" s="349" t="s">
        <v>1836</v>
      </c>
      <c r="R855" s="349">
        <f t="shared" si="13"/>
        <v>9</v>
      </c>
      <c r="S855" s="352"/>
      <c r="T855" s="352"/>
      <c r="U855" s="352"/>
      <c r="V855" s="353"/>
      <c r="W855" s="352"/>
      <c r="X855" s="176"/>
      <c r="Y855" s="176"/>
      <c r="Z855" s="352"/>
      <c r="AA855" s="352"/>
      <c r="AB855" s="352"/>
      <c r="AC855" s="352"/>
      <c r="AD855" s="352"/>
    </row>
    <row r="856" spans="1:30" ht="38.450000000000003" hidden="1" x14ac:dyDescent="0.35">
      <c r="A856" s="349">
        <v>855</v>
      </c>
      <c r="B856" s="352" t="s">
        <v>1442</v>
      </c>
      <c r="C856" s="351" t="s">
        <v>2663</v>
      </c>
      <c r="D856" s="352" t="s">
        <v>1410</v>
      </c>
      <c r="E856" s="352" t="s">
        <v>1443</v>
      </c>
      <c r="F856" s="353">
        <v>3.5920000000000001</v>
      </c>
      <c r="G856" s="352" t="s">
        <v>1107</v>
      </c>
      <c r="H856" s="37"/>
      <c r="I856" s="176" t="s">
        <v>236</v>
      </c>
      <c r="J856" s="352" t="s">
        <v>1108</v>
      </c>
      <c r="K856" s="351"/>
      <c r="L856" s="351"/>
      <c r="M856" s="352">
        <v>100</v>
      </c>
      <c r="N856" s="352" t="s">
        <v>1109</v>
      </c>
      <c r="O856" s="351">
        <v>0</v>
      </c>
      <c r="P856" s="349" t="s">
        <v>1837</v>
      </c>
      <c r="R856" s="349">
        <f t="shared" si="13"/>
        <v>29</v>
      </c>
      <c r="S856" s="352"/>
      <c r="T856" s="352"/>
      <c r="U856" s="352"/>
      <c r="V856" s="353"/>
      <c r="W856" s="352"/>
      <c r="X856" s="176"/>
      <c r="Y856" s="176"/>
      <c r="Z856" s="352"/>
      <c r="AA856" s="352"/>
      <c r="AB856" s="352"/>
      <c r="AC856" s="352"/>
      <c r="AD856" s="352"/>
    </row>
    <row r="857" spans="1:30" ht="38.450000000000003" hidden="1" x14ac:dyDescent="0.35">
      <c r="A857" s="349">
        <v>856</v>
      </c>
      <c r="B857" s="352" t="s">
        <v>1442</v>
      </c>
      <c r="C857" s="351" t="s">
        <v>2663</v>
      </c>
      <c r="D857" s="352" t="s">
        <v>1410</v>
      </c>
      <c r="E857" s="352" t="s">
        <v>1444</v>
      </c>
      <c r="F857" s="353">
        <v>5.64</v>
      </c>
      <c r="G857" s="352" t="s">
        <v>1107</v>
      </c>
      <c r="H857" s="176"/>
      <c r="I857" s="176" t="s">
        <v>236</v>
      </c>
      <c r="J857" s="352" t="s">
        <v>1445</v>
      </c>
      <c r="K857" s="351"/>
      <c r="L857" s="351"/>
      <c r="M857" s="352">
        <v>1000</v>
      </c>
      <c r="N857" s="352" t="s">
        <v>1109</v>
      </c>
      <c r="O857" s="351">
        <v>0</v>
      </c>
      <c r="P857" s="349" t="s">
        <v>1837</v>
      </c>
      <c r="R857" s="349">
        <f t="shared" si="13"/>
        <v>29</v>
      </c>
      <c r="S857" s="352"/>
      <c r="T857" s="352"/>
      <c r="U857" s="352"/>
      <c r="V857" s="353"/>
      <c r="W857" s="352"/>
      <c r="X857" s="176"/>
      <c r="Y857" s="176"/>
      <c r="Z857" s="352"/>
      <c r="AA857" s="352"/>
      <c r="AB857" s="352"/>
      <c r="AC857" s="352"/>
      <c r="AD857" s="352"/>
    </row>
    <row r="858" spans="1:30" ht="38.450000000000003" hidden="1" x14ac:dyDescent="0.35">
      <c r="A858" s="349">
        <v>857</v>
      </c>
      <c r="B858" s="352" t="s">
        <v>1442</v>
      </c>
      <c r="C858" s="351" t="s">
        <v>2663</v>
      </c>
      <c r="D858" s="352" t="s">
        <v>1410</v>
      </c>
      <c r="E858" s="352" t="s">
        <v>1443</v>
      </c>
      <c r="F858" s="353">
        <v>3.5920000000000001</v>
      </c>
      <c r="G858" s="352" t="s">
        <v>1107</v>
      </c>
      <c r="H858" s="176"/>
      <c r="I858" s="176" t="s">
        <v>236</v>
      </c>
      <c r="J858" s="352" t="s">
        <v>1108</v>
      </c>
      <c r="K858" s="351"/>
      <c r="L858" s="351"/>
      <c r="M858" s="352">
        <v>100</v>
      </c>
      <c r="N858" s="352" t="s">
        <v>1109</v>
      </c>
      <c r="O858" s="351">
        <v>0</v>
      </c>
      <c r="P858" s="349" t="s">
        <v>1837</v>
      </c>
      <c r="R858" s="349">
        <f t="shared" si="13"/>
        <v>29</v>
      </c>
      <c r="S858" s="352"/>
      <c r="T858" s="352"/>
      <c r="U858" s="352"/>
      <c r="V858" s="353"/>
      <c r="W858" s="352"/>
      <c r="X858" s="176"/>
      <c r="Y858" s="176"/>
      <c r="Z858" s="352"/>
      <c r="AA858" s="352"/>
      <c r="AB858" s="352"/>
      <c r="AC858" s="352"/>
      <c r="AD858" s="352"/>
    </row>
    <row r="859" spans="1:30" ht="38.450000000000003" hidden="1" x14ac:dyDescent="0.35">
      <c r="A859" s="349">
        <v>858</v>
      </c>
      <c r="B859" s="352" t="s">
        <v>1442</v>
      </c>
      <c r="C859" s="351" t="s">
        <v>2663</v>
      </c>
      <c r="D859" s="352" t="s">
        <v>1410</v>
      </c>
      <c r="E859" s="352" t="s">
        <v>1444</v>
      </c>
      <c r="F859" s="353">
        <v>5.64</v>
      </c>
      <c r="G859" s="352" t="s">
        <v>1107</v>
      </c>
      <c r="H859" s="176"/>
      <c r="I859" s="176" t="s">
        <v>236</v>
      </c>
      <c r="J859" s="352" t="s">
        <v>1445</v>
      </c>
      <c r="K859" s="352"/>
      <c r="L859" s="352"/>
      <c r="M859" s="352">
        <v>1000</v>
      </c>
      <c r="N859" s="352" t="s">
        <v>1109</v>
      </c>
      <c r="O859" s="351">
        <v>0</v>
      </c>
      <c r="P859" s="349" t="s">
        <v>1837</v>
      </c>
      <c r="R859" s="349">
        <f t="shared" si="13"/>
        <v>29</v>
      </c>
      <c r="S859" s="352"/>
      <c r="T859" s="352"/>
      <c r="U859" s="352"/>
      <c r="V859" s="353"/>
      <c r="W859" s="352"/>
      <c r="X859" s="176"/>
      <c r="Y859" s="176"/>
      <c r="Z859" s="352"/>
      <c r="AA859" s="352"/>
      <c r="AB859" s="352"/>
      <c r="AC859" s="352"/>
      <c r="AD859" s="352"/>
    </row>
    <row r="860" spans="1:30" ht="115.35" hidden="1" x14ac:dyDescent="0.35">
      <c r="A860" s="349">
        <v>859</v>
      </c>
      <c r="B860" s="352" t="s">
        <v>965</v>
      </c>
      <c r="C860" s="351" t="s">
        <v>4282</v>
      </c>
      <c r="D860" s="352" t="s">
        <v>4070</v>
      </c>
      <c r="E860" s="352" t="s">
        <v>1446</v>
      </c>
      <c r="F860" s="353">
        <v>1.1000000000000001</v>
      </c>
      <c r="G860" s="352" t="s">
        <v>967</v>
      </c>
      <c r="H860" s="176" t="s">
        <v>1714</v>
      </c>
      <c r="I860" s="176" t="s">
        <v>4588</v>
      </c>
      <c r="J860" s="352" t="s">
        <v>806</v>
      </c>
      <c r="K860" s="352"/>
      <c r="L860" s="352"/>
      <c r="M860" s="352">
        <v>130</v>
      </c>
      <c r="N860" s="352" t="s">
        <v>1109</v>
      </c>
      <c r="O860" s="351">
        <v>0</v>
      </c>
      <c r="P860" s="349" t="s">
        <v>1837</v>
      </c>
      <c r="R860" s="349">
        <f t="shared" si="13"/>
        <v>14</v>
      </c>
      <c r="S860" s="352"/>
      <c r="T860" s="352"/>
      <c r="U860" s="352"/>
      <c r="V860" s="353"/>
      <c r="W860" s="352"/>
      <c r="X860" s="176"/>
      <c r="Y860" s="176"/>
      <c r="Z860" s="352"/>
      <c r="AA860" s="352"/>
      <c r="AB860" s="352"/>
      <c r="AC860" s="352"/>
      <c r="AD860" s="352"/>
    </row>
    <row r="861" spans="1:30" ht="115.35" hidden="1" x14ac:dyDescent="0.35">
      <c r="A861" s="349">
        <v>860</v>
      </c>
      <c r="B861" s="352" t="s">
        <v>965</v>
      </c>
      <c r="C861" s="351" t="s">
        <v>4282</v>
      </c>
      <c r="D861" s="352" t="s">
        <v>4070</v>
      </c>
      <c r="E861" s="352" t="s">
        <v>1446</v>
      </c>
      <c r="F861" s="353">
        <v>1.1000000000000001</v>
      </c>
      <c r="G861" s="352" t="s">
        <v>967</v>
      </c>
      <c r="H861" s="176" t="s">
        <v>1714</v>
      </c>
      <c r="I861" s="176" t="s">
        <v>4588</v>
      </c>
      <c r="J861" s="352" t="s">
        <v>806</v>
      </c>
      <c r="K861" s="352"/>
      <c r="L861" s="352"/>
      <c r="M861" s="352">
        <v>130</v>
      </c>
      <c r="N861" s="352" t="s">
        <v>1109</v>
      </c>
      <c r="O861" s="351">
        <v>0</v>
      </c>
      <c r="P861" s="349" t="s">
        <v>1837</v>
      </c>
      <c r="R861" s="349">
        <f t="shared" si="13"/>
        <v>14</v>
      </c>
      <c r="S861" s="352"/>
      <c r="T861" s="352"/>
      <c r="U861" s="352"/>
      <c r="V861" s="353"/>
      <c r="W861" s="352"/>
      <c r="X861" s="176"/>
      <c r="Y861" s="176"/>
      <c r="Z861" s="352"/>
      <c r="AA861" s="352"/>
      <c r="AB861" s="352"/>
      <c r="AC861" s="352"/>
      <c r="AD861" s="352"/>
    </row>
    <row r="862" spans="1:30" ht="76.900000000000006" hidden="1" x14ac:dyDescent="0.35">
      <c r="A862" s="349">
        <v>861</v>
      </c>
      <c r="B862" s="352" t="s">
        <v>1447</v>
      </c>
      <c r="C862" s="351" t="s">
        <v>2987</v>
      </c>
      <c r="D862" s="352" t="s">
        <v>1411</v>
      </c>
      <c r="E862" s="352" t="s">
        <v>2129</v>
      </c>
      <c r="F862" s="353">
        <v>1.4984999999999999</v>
      </c>
      <c r="G862" s="352" t="s">
        <v>2126</v>
      </c>
      <c r="H862" s="176" t="s">
        <v>2988</v>
      </c>
      <c r="I862" s="176" t="s">
        <v>1606</v>
      </c>
      <c r="J862" s="352" t="s">
        <v>3579</v>
      </c>
      <c r="K862" s="352">
        <v>1</v>
      </c>
      <c r="L862" s="352" t="s">
        <v>1607</v>
      </c>
      <c r="M862" s="352">
        <v>100</v>
      </c>
      <c r="N862" s="352" t="s">
        <v>1109</v>
      </c>
      <c r="O862" s="351">
        <v>1</v>
      </c>
      <c r="P862" s="349" t="s">
        <v>1837</v>
      </c>
      <c r="R862" s="349">
        <f t="shared" si="13"/>
        <v>16</v>
      </c>
      <c r="S862" s="352"/>
      <c r="T862" s="352"/>
      <c r="U862" s="352"/>
      <c r="V862" s="353"/>
      <c r="W862" s="352"/>
      <c r="X862" s="176"/>
      <c r="Y862" s="176"/>
      <c r="Z862" s="352"/>
      <c r="AA862" s="352"/>
      <c r="AB862" s="352"/>
      <c r="AC862" s="352"/>
      <c r="AD862" s="352"/>
    </row>
    <row r="863" spans="1:30" ht="76.900000000000006" hidden="1" x14ac:dyDescent="0.35">
      <c r="A863" s="349">
        <v>862</v>
      </c>
      <c r="B863" s="352" t="s">
        <v>1447</v>
      </c>
      <c r="C863" s="351" t="s">
        <v>4283</v>
      </c>
      <c r="D863" s="352" t="s">
        <v>1411</v>
      </c>
      <c r="E863" s="352" t="s">
        <v>2129</v>
      </c>
      <c r="F863" s="353">
        <v>1.4984999999999999</v>
      </c>
      <c r="G863" s="352" t="s">
        <v>2126</v>
      </c>
      <c r="H863" s="176" t="s">
        <v>2988</v>
      </c>
      <c r="I863" s="176" t="s">
        <v>1606</v>
      </c>
      <c r="J863" s="352" t="s">
        <v>3579</v>
      </c>
      <c r="K863" s="352">
        <v>1</v>
      </c>
      <c r="L863" s="352" t="s">
        <v>1607</v>
      </c>
      <c r="M863" s="352">
        <v>100</v>
      </c>
      <c r="N863" s="352" t="s">
        <v>1109</v>
      </c>
      <c r="O863" s="351">
        <v>1</v>
      </c>
      <c r="P863" s="349" t="s">
        <v>1837</v>
      </c>
      <c r="R863" s="349">
        <f t="shared" si="13"/>
        <v>16</v>
      </c>
      <c r="S863" s="352"/>
      <c r="T863" s="352"/>
      <c r="U863" s="352"/>
      <c r="V863" s="353"/>
      <c r="W863" s="352"/>
      <c r="X863" s="176"/>
      <c r="Y863" s="176"/>
      <c r="Z863" s="352"/>
      <c r="AA863" s="352"/>
      <c r="AB863" s="352"/>
      <c r="AC863" s="352"/>
      <c r="AD863" s="352"/>
    </row>
    <row r="864" spans="1:30" ht="128.19999999999999" hidden="1" x14ac:dyDescent="0.35">
      <c r="A864" s="349">
        <v>863</v>
      </c>
      <c r="B864" s="352" t="s">
        <v>698</v>
      </c>
      <c r="C864" s="351" t="s">
        <v>4284</v>
      </c>
      <c r="D864" s="352" t="s">
        <v>3439</v>
      </c>
      <c r="E864" s="352" t="s">
        <v>2855</v>
      </c>
      <c r="F864" s="353">
        <v>6.3246000000000002</v>
      </c>
      <c r="G864" s="352" t="s">
        <v>699</v>
      </c>
      <c r="H864" s="176" t="s">
        <v>2558</v>
      </c>
      <c r="I864" s="176" t="s">
        <v>4595</v>
      </c>
      <c r="J864" s="352" t="s">
        <v>828</v>
      </c>
      <c r="K864" s="352">
        <v>10000</v>
      </c>
      <c r="L864" s="352" t="s">
        <v>732</v>
      </c>
      <c r="M864" s="351">
        <v>1</v>
      </c>
      <c r="N864" s="351" t="s">
        <v>1109</v>
      </c>
      <c r="O864" s="351">
        <v>10000</v>
      </c>
      <c r="P864" s="349" t="s">
        <v>2030</v>
      </c>
      <c r="R864" s="349">
        <f t="shared" si="13"/>
        <v>11</v>
      </c>
      <c r="S864" s="352"/>
      <c r="T864" s="352"/>
      <c r="U864" s="352"/>
      <c r="V864" s="353"/>
      <c r="W864" s="352"/>
      <c r="X864" s="176"/>
      <c r="Y864" s="176"/>
      <c r="Z864" s="352"/>
      <c r="AA864" s="352"/>
      <c r="AB864" s="352"/>
      <c r="AC864" s="351"/>
      <c r="AD864" s="351"/>
    </row>
    <row r="865" spans="1:30" ht="128.19999999999999" hidden="1" x14ac:dyDescent="0.35">
      <c r="A865" s="349">
        <v>864</v>
      </c>
      <c r="B865" s="352" t="s">
        <v>698</v>
      </c>
      <c r="C865" s="351" t="s">
        <v>4284</v>
      </c>
      <c r="D865" s="352" t="s">
        <v>3439</v>
      </c>
      <c r="E865" s="352" t="s">
        <v>700</v>
      </c>
      <c r="F865" s="353">
        <v>1.4104000000000001</v>
      </c>
      <c r="G865" s="352" t="s">
        <v>699</v>
      </c>
      <c r="H865" s="176" t="s">
        <v>2558</v>
      </c>
      <c r="I865" s="176" t="s">
        <v>4595</v>
      </c>
      <c r="J865" s="352" t="s">
        <v>964</v>
      </c>
      <c r="K865" s="352">
        <v>2500</v>
      </c>
      <c r="L865" s="352" t="s">
        <v>701</v>
      </c>
      <c r="M865" s="351">
        <v>0.2</v>
      </c>
      <c r="N865" s="351" t="s">
        <v>1109</v>
      </c>
      <c r="O865" s="351">
        <v>2500</v>
      </c>
      <c r="P865" s="349" t="s">
        <v>2030</v>
      </c>
      <c r="R865" s="349">
        <f t="shared" si="13"/>
        <v>11</v>
      </c>
      <c r="S865" s="352"/>
      <c r="T865" s="352"/>
      <c r="U865" s="352"/>
      <c r="V865" s="353"/>
      <c r="W865" s="352"/>
      <c r="X865" s="176"/>
      <c r="Y865" s="176"/>
      <c r="Z865" s="352"/>
      <c r="AA865" s="351"/>
      <c r="AB865" s="351"/>
      <c r="AC865" s="352"/>
      <c r="AD865" s="352"/>
    </row>
    <row r="866" spans="1:30" ht="128.19999999999999" hidden="1" x14ac:dyDescent="0.35">
      <c r="A866" s="349">
        <v>865</v>
      </c>
      <c r="B866" s="352" t="s">
        <v>698</v>
      </c>
      <c r="C866" s="351" t="s">
        <v>4284</v>
      </c>
      <c r="D866" s="352" t="s">
        <v>3439</v>
      </c>
      <c r="E866" s="352" t="s">
        <v>700</v>
      </c>
      <c r="F866" s="353">
        <v>2.6665000000000001</v>
      </c>
      <c r="G866" s="352" t="s">
        <v>699</v>
      </c>
      <c r="H866" s="176" t="s">
        <v>2558</v>
      </c>
      <c r="I866" s="176" t="s">
        <v>4595</v>
      </c>
      <c r="J866" s="352" t="s">
        <v>964</v>
      </c>
      <c r="K866" s="352">
        <v>5000</v>
      </c>
      <c r="L866" s="352" t="s">
        <v>701</v>
      </c>
      <c r="M866" s="352">
        <v>0.2</v>
      </c>
      <c r="N866" s="352" t="s">
        <v>1109</v>
      </c>
      <c r="O866" s="351">
        <v>5000</v>
      </c>
      <c r="P866" s="349" t="s">
        <v>2030</v>
      </c>
      <c r="R866" s="349">
        <f t="shared" si="13"/>
        <v>11</v>
      </c>
      <c r="S866" s="352"/>
      <c r="T866" s="352"/>
      <c r="U866" s="352"/>
      <c r="V866" s="353"/>
      <c r="W866" s="352"/>
      <c r="X866" s="176"/>
      <c r="Y866" s="176"/>
      <c r="Z866" s="352"/>
      <c r="AA866" s="351"/>
      <c r="AB866" s="351"/>
      <c r="AC866" s="352"/>
      <c r="AD866" s="352"/>
    </row>
    <row r="867" spans="1:30" ht="38.450000000000003" hidden="1" x14ac:dyDescent="0.35">
      <c r="A867" s="349">
        <v>866</v>
      </c>
      <c r="B867" s="352" t="s">
        <v>3248</v>
      </c>
      <c r="C867" s="351" t="s">
        <v>1240</v>
      </c>
      <c r="D867" s="352" t="s">
        <v>1240</v>
      </c>
      <c r="E867" s="352" t="s">
        <v>2014</v>
      </c>
      <c r="F867" s="353">
        <v>1.5</v>
      </c>
      <c r="G867" s="352" t="s">
        <v>28</v>
      </c>
      <c r="H867" s="176" t="s">
        <v>277</v>
      </c>
      <c r="I867" s="176" t="s">
        <v>2828</v>
      </c>
      <c r="J867" s="352" t="s">
        <v>1448</v>
      </c>
      <c r="K867" s="352">
        <v>1</v>
      </c>
      <c r="L867" s="352" t="s">
        <v>470</v>
      </c>
      <c r="M867" s="352"/>
      <c r="N867" s="352"/>
      <c r="O867" s="351">
        <v>1</v>
      </c>
      <c r="P867" s="349" t="s">
        <v>1838</v>
      </c>
      <c r="R867" s="349">
        <f t="shared" si="13"/>
        <v>11</v>
      </c>
      <c r="S867" s="352"/>
      <c r="T867" s="352"/>
      <c r="U867" s="352"/>
      <c r="V867" s="353"/>
      <c r="W867" s="352"/>
      <c r="X867" s="176"/>
      <c r="Y867" s="176"/>
      <c r="Z867" s="352"/>
      <c r="AA867" s="352"/>
      <c r="AB867" s="352"/>
      <c r="AC867" s="352"/>
      <c r="AD867" s="352"/>
    </row>
    <row r="868" spans="1:30" ht="51.3" hidden="1" x14ac:dyDescent="0.35">
      <c r="A868" s="349">
        <v>867</v>
      </c>
      <c r="B868" s="352" t="s">
        <v>1787</v>
      </c>
      <c r="C868" s="351" t="s">
        <v>4285</v>
      </c>
      <c r="D868" s="352" t="s">
        <v>980</v>
      </c>
      <c r="E868" s="352" t="s">
        <v>1995</v>
      </c>
      <c r="F868" s="353">
        <v>0.4</v>
      </c>
      <c r="G868" s="352" t="s">
        <v>2126</v>
      </c>
      <c r="H868" s="176" t="s">
        <v>2653</v>
      </c>
      <c r="I868" s="176" t="s">
        <v>431</v>
      </c>
      <c r="J868" s="352" t="s">
        <v>3580</v>
      </c>
      <c r="K868" s="352">
        <v>10</v>
      </c>
      <c r="L868" s="352" t="s">
        <v>3581</v>
      </c>
      <c r="M868" s="352"/>
      <c r="N868" s="352"/>
      <c r="O868" s="351">
        <v>10</v>
      </c>
      <c r="P868" s="349" t="s">
        <v>1836</v>
      </c>
      <c r="R868" s="349">
        <f t="shared" si="13"/>
        <v>8</v>
      </c>
      <c r="S868" s="352"/>
      <c r="T868" s="352"/>
      <c r="U868" s="352"/>
      <c r="V868" s="353"/>
      <c r="W868" s="352"/>
      <c r="X868" s="176"/>
      <c r="Y868" s="176"/>
      <c r="Z868" s="352"/>
      <c r="AA868" s="351"/>
      <c r="AB868" s="351"/>
      <c r="AC868" s="352"/>
      <c r="AD868" s="352"/>
    </row>
    <row r="869" spans="1:30" hidden="1" x14ac:dyDescent="0.35">
      <c r="A869" s="349">
        <v>868</v>
      </c>
      <c r="B869" s="352" t="s">
        <v>3090</v>
      </c>
      <c r="C869" s="351" t="s">
        <v>4286</v>
      </c>
      <c r="D869" s="352" t="s">
        <v>1289</v>
      </c>
      <c r="E869" s="352" t="s">
        <v>758</v>
      </c>
      <c r="F869" s="353">
        <v>7.91</v>
      </c>
      <c r="G869" s="352" t="s">
        <v>28</v>
      </c>
      <c r="H869" s="176" t="s">
        <v>135</v>
      </c>
      <c r="I869" s="176" t="s">
        <v>4552</v>
      </c>
      <c r="J869" s="352" t="s">
        <v>29</v>
      </c>
      <c r="K869" s="352">
        <v>20</v>
      </c>
      <c r="L869" s="352" t="s">
        <v>1311</v>
      </c>
      <c r="M869" s="352">
        <v>15</v>
      </c>
      <c r="N869" s="352" t="s">
        <v>31</v>
      </c>
      <c r="O869" s="351">
        <v>20</v>
      </c>
      <c r="P869" s="349" t="s">
        <v>1836</v>
      </c>
      <c r="R869" s="349">
        <f t="shared" si="13"/>
        <v>12</v>
      </c>
      <c r="S869" s="352"/>
      <c r="T869" s="352"/>
      <c r="U869" s="352"/>
      <c r="V869" s="353"/>
      <c r="W869" s="352"/>
      <c r="X869" s="176"/>
      <c r="Y869" s="176"/>
      <c r="Z869" s="352"/>
      <c r="AA869" s="351"/>
      <c r="AB869" s="351"/>
      <c r="AC869" s="352"/>
      <c r="AD869" s="352"/>
    </row>
    <row r="870" spans="1:30" hidden="1" x14ac:dyDescent="0.35">
      <c r="A870" s="349">
        <v>869</v>
      </c>
      <c r="B870" s="352" t="s">
        <v>2132</v>
      </c>
      <c r="C870" s="351" t="s">
        <v>4286</v>
      </c>
      <c r="D870" s="352" t="s">
        <v>1289</v>
      </c>
      <c r="E870" s="352" t="s">
        <v>758</v>
      </c>
      <c r="F870" s="353">
        <v>7.9333999999999998</v>
      </c>
      <c r="G870" s="352" t="s">
        <v>34</v>
      </c>
      <c r="H870" s="176" t="s">
        <v>3513</v>
      </c>
      <c r="I870" s="176" t="s">
        <v>4552</v>
      </c>
      <c r="J870" s="352" t="s">
        <v>29</v>
      </c>
      <c r="K870" s="352">
        <v>2</v>
      </c>
      <c r="L870" s="352" t="s">
        <v>470</v>
      </c>
      <c r="M870" s="352">
        <v>15</v>
      </c>
      <c r="N870" s="352" t="s">
        <v>31</v>
      </c>
      <c r="O870" s="351">
        <v>2</v>
      </c>
      <c r="P870" s="349" t="s">
        <v>1838</v>
      </c>
      <c r="R870" s="349">
        <f t="shared" si="13"/>
        <v>12</v>
      </c>
      <c r="S870" s="352"/>
      <c r="T870" s="352"/>
      <c r="U870" s="352"/>
      <c r="V870" s="353"/>
      <c r="W870" s="352"/>
      <c r="X870" s="176"/>
      <c r="Y870" s="176"/>
      <c r="Z870" s="352"/>
      <c r="AA870" s="352"/>
      <c r="AB870" s="352"/>
      <c r="AC870" s="352"/>
      <c r="AD870" s="352"/>
    </row>
    <row r="871" spans="1:30" hidden="1" x14ac:dyDescent="0.35">
      <c r="A871" s="349">
        <v>870</v>
      </c>
      <c r="B871" s="352" t="s">
        <v>2132</v>
      </c>
      <c r="C871" s="351" t="s">
        <v>4286</v>
      </c>
      <c r="D871" s="352" t="s">
        <v>1289</v>
      </c>
      <c r="E871" s="352" t="s">
        <v>2389</v>
      </c>
      <c r="F871" s="353">
        <v>16.4176</v>
      </c>
      <c r="G871" s="352" t="s">
        <v>34</v>
      </c>
      <c r="H871" s="176" t="s">
        <v>3513</v>
      </c>
      <c r="I871" s="176" t="s">
        <v>4552</v>
      </c>
      <c r="J871" s="352" t="s">
        <v>2131</v>
      </c>
      <c r="K871" s="352">
        <v>2</v>
      </c>
      <c r="L871" s="352" t="s">
        <v>470</v>
      </c>
      <c r="M871" s="351">
        <v>30</v>
      </c>
      <c r="N871" s="351" t="s">
        <v>31</v>
      </c>
      <c r="O871" s="351">
        <v>2</v>
      </c>
      <c r="P871" s="349" t="s">
        <v>1838</v>
      </c>
      <c r="R871" s="349">
        <f t="shared" si="13"/>
        <v>12</v>
      </c>
      <c r="S871" s="352"/>
      <c r="T871" s="352"/>
      <c r="U871" s="352"/>
      <c r="V871" s="353"/>
      <c r="W871" s="352"/>
      <c r="X871" s="176"/>
      <c r="Y871" s="176"/>
      <c r="Z871" s="352"/>
      <c r="AA871" s="352"/>
      <c r="AB871" s="352"/>
      <c r="AC871" s="352"/>
      <c r="AD871" s="352"/>
    </row>
    <row r="872" spans="1:30" ht="51.3" hidden="1" x14ac:dyDescent="0.35">
      <c r="A872" s="349">
        <v>871</v>
      </c>
      <c r="B872" s="352" t="s">
        <v>32</v>
      </c>
      <c r="C872" s="351" t="s">
        <v>4287</v>
      </c>
      <c r="D872" s="352" t="s">
        <v>1289</v>
      </c>
      <c r="E872" s="352" t="s">
        <v>1449</v>
      </c>
      <c r="F872" s="353">
        <v>9.0792999999999999</v>
      </c>
      <c r="G872" s="352" t="s">
        <v>34</v>
      </c>
      <c r="H872" s="176" t="s">
        <v>3284</v>
      </c>
      <c r="I872" s="176" t="s">
        <v>3825</v>
      </c>
      <c r="J872" s="352" t="s">
        <v>3358</v>
      </c>
      <c r="K872" s="352">
        <v>10</v>
      </c>
      <c r="L872" s="352" t="s">
        <v>30</v>
      </c>
      <c r="M872" s="351">
        <v>5</v>
      </c>
      <c r="N872" s="351" t="s">
        <v>31</v>
      </c>
      <c r="O872" s="351">
        <v>10</v>
      </c>
      <c r="P872" s="349" t="s">
        <v>1836</v>
      </c>
      <c r="R872" s="349">
        <f t="shared" si="13"/>
        <v>12</v>
      </c>
      <c r="S872" s="352"/>
      <c r="T872" s="352"/>
      <c r="U872" s="352"/>
      <c r="V872" s="353"/>
      <c r="W872" s="352"/>
      <c r="X872" s="176"/>
      <c r="Y872" s="176"/>
      <c r="Z872" s="352"/>
      <c r="AA872" s="352"/>
      <c r="AB872" s="352"/>
      <c r="AC872" s="351"/>
      <c r="AD872" s="351"/>
    </row>
    <row r="873" spans="1:30" ht="230.7" hidden="1" x14ac:dyDescent="0.35">
      <c r="A873" s="349">
        <v>872</v>
      </c>
      <c r="B873" s="352" t="s">
        <v>3582</v>
      </c>
      <c r="C873" s="351" t="s">
        <v>4288</v>
      </c>
      <c r="D873" s="352" t="s">
        <v>1379</v>
      </c>
      <c r="E873" s="352" t="s">
        <v>1997</v>
      </c>
      <c r="F873" s="353">
        <v>16.53</v>
      </c>
      <c r="G873" s="352" t="s">
        <v>1107</v>
      </c>
      <c r="H873" s="176" t="s">
        <v>149</v>
      </c>
      <c r="I873" s="176" t="s">
        <v>4471</v>
      </c>
      <c r="J873" s="352" t="s">
        <v>1115</v>
      </c>
      <c r="K873" s="352">
        <v>50</v>
      </c>
      <c r="L873" s="352" t="s">
        <v>1464</v>
      </c>
      <c r="M873" s="352"/>
      <c r="N873" s="352"/>
      <c r="O873" s="351">
        <v>50</v>
      </c>
      <c r="P873" s="349" t="s">
        <v>1836</v>
      </c>
      <c r="R873" s="349">
        <f t="shared" si="13"/>
        <v>14</v>
      </c>
      <c r="S873" s="352"/>
      <c r="T873" s="352"/>
      <c r="U873" s="352"/>
      <c r="V873" s="353"/>
      <c r="W873" s="352"/>
      <c r="X873" s="176"/>
      <c r="Y873" s="176"/>
      <c r="Z873" s="352"/>
      <c r="AA873" s="352"/>
      <c r="AB873" s="352"/>
      <c r="AC873" s="352"/>
      <c r="AD873" s="352"/>
    </row>
    <row r="874" spans="1:30" ht="230.7" hidden="1" x14ac:dyDescent="0.35">
      <c r="A874" s="349">
        <v>873</v>
      </c>
      <c r="B874" s="352" t="s">
        <v>3582</v>
      </c>
      <c r="C874" s="351" t="s">
        <v>4288</v>
      </c>
      <c r="D874" s="352" t="s">
        <v>1379</v>
      </c>
      <c r="E874" s="352" t="s">
        <v>2016</v>
      </c>
      <c r="F874" s="353">
        <v>0.3</v>
      </c>
      <c r="G874" s="352" t="s">
        <v>34</v>
      </c>
      <c r="H874" s="176" t="s">
        <v>58</v>
      </c>
      <c r="I874" s="176" t="s">
        <v>4471</v>
      </c>
      <c r="J874" s="352" t="s">
        <v>893</v>
      </c>
      <c r="K874" s="352">
        <v>10</v>
      </c>
      <c r="L874" s="352" t="s">
        <v>3581</v>
      </c>
      <c r="M874" s="351"/>
      <c r="N874" s="351"/>
      <c r="O874" s="351">
        <v>10</v>
      </c>
      <c r="P874" s="349" t="s">
        <v>1836</v>
      </c>
      <c r="R874" s="349">
        <f t="shared" si="13"/>
        <v>14</v>
      </c>
      <c r="S874" s="352"/>
      <c r="T874" s="352"/>
      <c r="U874" s="352"/>
      <c r="V874" s="353"/>
      <c r="W874" s="352"/>
      <c r="X874" s="176"/>
      <c r="Y874" s="176"/>
      <c r="Z874" s="352"/>
      <c r="AA874" s="352"/>
      <c r="AB874" s="352"/>
      <c r="AC874" s="352"/>
      <c r="AD874" s="352"/>
    </row>
    <row r="875" spans="1:30" ht="230.7" hidden="1" x14ac:dyDescent="0.35">
      <c r="A875" s="349">
        <v>874</v>
      </c>
      <c r="B875" s="352" t="s">
        <v>3582</v>
      </c>
      <c r="C875" s="351" t="s">
        <v>4288</v>
      </c>
      <c r="D875" s="352" t="s">
        <v>1379</v>
      </c>
      <c r="E875" s="352" t="s">
        <v>894</v>
      </c>
      <c r="F875" s="353">
        <v>8.5500000000000007</v>
      </c>
      <c r="G875" s="352" t="s">
        <v>2126</v>
      </c>
      <c r="H875" s="176" t="s">
        <v>338</v>
      </c>
      <c r="I875" s="176" t="s">
        <v>4471</v>
      </c>
      <c r="J875" s="352" t="s">
        <v>3579</v>
      </c>
      <c r="K875" s="352">
        <v>100</v>
      </c>
      <c r="L875" s="352" t="s">
        <v>1116</v>
      </c>
      <c r="M875" s="351">
        <v>40</v>
      </c>
      <c r="N875" s="351" t="s">
        <v>1109</v>
      </c>
      <c r="O875" s="351">
        <v>100</v>
      </c>
      <c r="P875" s="349" t="s">
        <v>1836</v>
      </c>
      <c r="R875" s="349">
        <f t="shared" si="13"/>
        <v>14</v>
      </c>
      <c r="S875" s="352"/>
      <c r="T875" s="352"/>
      <c r="U875" s="352"/>
      <c r="V875" s="353"/>
      <c r="W875" s="352"/>
      <c r="X875" s="176"/>
      <c r="Y875" s="176"/>
      <c r="Z875" s="352"/>
      <c r="AA875" s="352"/>
      <c r="AB875" s="352"/>
      <c r="AC875" s="352"/>
      <c r="AD875" s="352"/>
    </row>
    <row r="876" spans="1:30" ht="230.7" hidden="1" x14ac:dyDescent="0.35">
      <c r="A876" s="349">
        <v>875</v>
      </c>
      <c r="B876" s="352" t="s">
        <v>3582</v>
      </c>
      <c r="C876" s="351" t="s">
        <v>4288</v>
      </c>
      <c r="D876" s="352" t="s">
        <v>1379</v>
      </c>
      <c r="E876" s="352" t="s">
        <v>1995</v>
      </c>
      <c r="F876" s="353">
        <v>0.99</v>
      </c>
      <c r="G876" s="352" t="s">
        <v>2126</v>
      </c>
      <c r="H876" s="176" t="s">
        <v>338</v>
      </c>
      <c r="I876" s="176" t="s">
        <v>4471</v>
      </c>
      <c r="J876" s="352" t="s">
        <v>3580</v>
      </c>
      <c r="K876" s="352">
        <v>100</v>
      </c>
      <c r="L876" s="352" t="s">
        <v>3581</v>
      </c>
      <c r="M876" s="351"/>
      <c r="N876" s="351"/>
      <c r="O876" s="351">
        <v>100</v>
      </c>
      <c r="P876" s="349" t="s">
        <v>1836</v>
      </c>
      <c r="R876" s="349">
        <f t="shared" si="13"/>
        <v>14</v>
      </c>
      <c r="S876" s="352"/>
      <c r="T876" s="352"/>
      <c r="U876" s="352"/>
      <c r="V876" s="353"/>
      <c r="W876" s="352"/>
      <c r="X876" s="176"/>
      <c r="Y876" s="176"/>
      <c r="Z876" s="352"/>
      <c r="AA876" s="352"/>
      <c r="AB876" s="352"/>
      <c r="AC876" s="351"/>
      <c r="AD876" s="351"/>
    </row>
    <row r="877" spans="1:30" ht="153.80000000000001" hidden="1" x14ac:dyDescent="0.35">
      <c r="A877" s="349">
        <v>876</v>
      </c>
      <c r="B877" s="352" t="s">
        <v>3090</v>
      </c>
      <c r="C877" s="351" t="s">
        <v>4289</v>
      </c>
      <c r="D877" s="352" t="s">
        <v>3368</v>
      </c>
      <c r="E877" s="352" t="s">
        <v>1998</v>
      </c>
      <c r="F877" s="353">
        <v>0.4</v>
      </c>
      <c r="G877" s="352" t="s">
        <v>2126</v>
      </c>
      <c r="H877" s="176" t="s">
        <v>136</v>
      </c>
      <c r="I877" s="176" t="s">
        <v>4553</v>
      </c>
      <c r="J877" s="352" t="s">
        <v>22</v>
      </c>
      <c r="K877" s="352">
        <v>50</v>
      </c>
      <c r="L877" s="352" t="s">
        <v>23</v>
      </c>
      <c r="M877" s="351"/>
      <c r="N877" s="351"/>
      <c r="O877" s="351">
        <v>50</v>
      </c>
      <c r="P877" s="349" t="s">
        <v>1836</v>
      </c>
      <c r="R877" s="349">
        <f t="shared" si="13"/>
        <v>15</v>
      </c>
      <c r="S877" s="352"/>
      <c r="T877" s="352"/>
      <c r="U877" s="352"/>
      <c r="V877" s="353"/>
      <c r="W877" s="352"/>
      <c r="X877" s="176"/>
      <c r="Y877" s="176"/>
      <c r="Z877" s="352"/>
      <c r="AA877" s="352"/>
      <c r="AB877" s="352"/>
      <c r="AC877" s="351"/>
      <c r="AD877" s="351"/>
    </row>
    <row r="878" spans="1:30" ht="153.80000000000001" hidden="1" x14ac:dyDescent="0.35">
      <c r="A878" s="349">
        <v>877</v>
      </c>
      <c r="B878" s="352" t="s">
        <v>3090</v>
      </c>
      <c r="C878" s="351" t="s">
        <v>4289</v>
      </c>
      <c r="D878" s="352" t="s">
        <v>3368</v>
      </c>
      <c r="E878" s="352" t="s">
        <v>1998</v>
      </c>
      <c r="F878" s="353">
        <v>0.4</v>
      </c>
      <c r="G878" s="352" t="s">
        <v>2126</v>
      </c>
      <c r="H878" s="176" t="s">
        <v>136</v>
      </c>
      <c r="I878" s="176" t="s">
        <v>4553</v>
      </c>
      <c r="J878" s="352" t="s">
        <v>22</v>
      </c>
      <c r="K878" s="352">
        <v>100</v>
      </c>
      <c r="L878" s="352" t="s">
        <v>23</v>
      </c>
      <c r="M878" s="351"/>
      <c r="N878" s="351"/>
      <c r="O878" s="351">
        <v>100</v>
      </c>
      <c r="P878" s="349" t="s">
        <v>1836</v>
      </c>
      <c r="R878" s="349">
        <f t="shared" si="13"/>
        <v>15</v>
      </c>
      <c r="S878" s="352"/>
      <c r="T878" s="352"/>
      <c r="U878" s="352"/>
      <c r="V878" s="353"/>
      <c r="W878" s="352"/>
      <c r="X878" s="176"/>
      <c r="Y878" s="176"/>
      <c r="Z878" s="352"/>
      <c r="AA878" s="352"/>
      <c r="AB878" s="352"/>
      <c r="AC878" s="352"/>
      <c r="AD878" s="352"/>
    </row>
    <row r="879" spans="1:30" ht="141" hidden="1" x14ac:dyDescent="0.35">
      <c r="A879" s="349">
        <v>878</v>
      </c>
      <c r="B879" s="352" t="s">
        <v>1463</v>
      </c>
      <c r="C879" s="351" t="s">
        <v>1906</v>
      </c>
      <c r="D879" s="352" t="s">
        <v>1906</v>
      </c>
      <c r="E879" s="352" t="s">
        <v>762</v>
      </c>
      <c r="F879" s="353">
        <v>0.55000000000000004</v>
      </c>
      <c r="G879" s="352" t="s">
        <v>1107</v>
      </c>
      <c r="H879" s="176" t="s">
        <v>682</v>
      </c>
      <c r="I879" s="176" t="s">
        <v>4663</v>
      </c>
      <c r="J879" s="352" t="s">
        <v>828</v>
      </c>
      <c r="K879" s="352">
        <v>10</v>
      </c>
      <c r="L879" s="352" t="s">
        <v>1116</v>
      </c>
      <c r="M879" s="351">
        <v>2</v>
      </c>
      <c r="N879" s="351" t="s">
        <v>1109</v>
      </c>
      <c r="O879" s="351">
        <v>10</v>
      </c>
      <c r="P879" s="349" t="s">
        <v>1836</v>
      </c>
      <c r="R879" s="349">
        <f t="shared" si="13"/>
        <v>10</v>
      </c>
      <c r="S879" s="352"/>
      <c r="T879" s="352"/>
      <c r="U879" s="352"/>
      <c r="V879" s="353"/>
      <c r="W879" s="352"/>
      <c r="X879" s="176"/>
      <c r="Y879" s="176"/>
      <c r="Z879" s="352"/>
      <c r="AA879" s="352"/>
      <c r="AB879" s="352"/>
      <c r="AC879" s="351"/>
      <c r="AD879" s="351"/>
    </row>
    <row r="880" spans="1:30" ht="141" hidden="1" x14ac:dyDescent="0.35">
      <c r="A880" s="349">
        <v>879</v>
      </c>
      <c r="B880" s="352" t="s">
        <v>1463</v>
      </c>
      <c r="C880" s="351" t="s">
        <v>1906</v>
      </c>
      <c r="D880" s="352" t="s">
        <v>1906</v>
      </c>
      <c r="E880" s="352" t="s">
        <v>1450</v>
      </c>
      <c r="F880" s="353">
        <v>8.35</v>
      </c>
      <c r="G880" s="352" t="s">
        <v>1107</v>
      </c>
      <c r="H880" s="176" t="s">
        <v>682</v>
      </c>
      <c r="I880" s="176" t="s">
        <v>4663</v>
      </c>
      <c r="J880" s="352" t="s">
        <v>828</v>
      </c>
      <c r="K880" s="352">
        <v>10</v>
      </c>
      <c r="L880" s="352" t="s">
        <v>1116</v>
      </c>
      <c r="M880" s="351">
        <v>25</v>
      </c>
      <c r="N880" s="351" t="s">
        <v>1109</v>
      </c>
      <c r="O880" s="351">
        <v>10</v>
      </c>
      <c r="P880" s="349" t="s">
        <v>1836</v>
      </c>
      <c r="R880" s="349">
        <f t="shared" si="13"/>
        <v>10</v>
      </c>
      <c r="S880" s="352"/>
      <c r="T880" s="352"/>
      <c r="U880" s="352"/>
      <c r="V880" s="353"/>
      <c r="W880" s="352"/>
      <c r="X880" s="176"/>
      <c r="Y880" s="176"/>
      <c r="Z880" s="352"/>
      <c r="AA880" s="352"/>
      <c r="AB880" s="352"/>
      <c r="AC880" s="351"/>
      <c r="AD880" s="351"/>
    </row>
    <row r="881" spans="1:30" ht="115.35" hidden="1" x14ac:dyDescent="0.35">
      <c r="A881" s="349">
        <v>880</v>
      </c>
      <c r="B881" s="352" t="s">
        <v>1463</v>
      </c>
      <c r="C881" s="351" t="s">
        <v>1906</v>
      </c>
      <c r="D881" s="352" t="s">
        <v>1906</v>
      </c>
      <c r="E881" s="352" t="s">
        <v>1998</v>
      </c>
      <c r="F881" s="353">
        <v>0.05</v>
      </c>
      <c r="G881" s="352" t="s">
        <v>2126</v>
      </c>
      <c r="H881" s="176" t="s">
        <v>205</v>
      </c>
      <c r="I881" s="176" t="s">
        <v>4662</v>
      </c>
      <c r="J881" s="352" t="s">
        <v>22</v>
      </c>
      <c r="K881" s="352">
        <v>1</v>
      </c>
      <c r="L881" s="352" t="s">
        <v>23</v>
      </c>
      <c r="M881" s="351"/>
      <c r="N881" s="351"/>
      <c r="O881" s="351">
        <v>1</v>
      </c>
      <c r="P881" s="349" t="s">
        <v>1836</v>
      </c>
      <c r="R881" s="349">
        <f t="shared" si="13"/>
        <v>10</v>
      </c>
      <c r="S881" s="352"/>
      <c r="T881" s="352"/>
      <c r="U881" s="352"/>
      <c r="V881" s="353"/>
      <c r="W881" s="352"/>
      <c r="X881" s="176"/>
      <c r="Y881" s="176"/>
      <c r="Z881" s="352"/>
      <c r="AA881" s="351"/>
      <c r="AB881" s="351"/>
      <c r="AC881" s="352"/>
      <c r="AD881" s="352"/>
    </row>
    <row r="882" spans="1:30" ht="115.35" hidden="1" x14ac:dyDescent="0.35">
      <c r="A882" s="349">
        <v>881</v>
      </c>
      <c r="B882" s="352" t="s">
        <v>1463</v>
      </c>
      <c r="C882" s="351" t="s">
        <v>1906</v>
      </c>
      <c r="D882" s="352" t="s">
        <v>1906</v>
      </c>
      <c r="E882" s="352" t="s">
        <v>1998</v>
      </c>
      <c r="F882" s="353">
        <v>0.05</v>
      </c>
      <c r="G882" s="352" t="s">
        <v>2126</v>
      </c>
      <c r="H882" s="176" t="s">
        <v>205</v>
      </c>
      <c r="I882" s="176" t="s">
        <v>4662</v>
      </c>
      <c r="J882" s="352" t="s">
        <v>22</v>
      </c>
      <c r="K882" s="352">
        <v>2</v>
      </c>
      <c r="L882" s="352" t="s">
        <v>23</v>
      </c>
      <c r="M882" s="351"/>
      <c r="N882" s="351"/>
      <c r="O882" s="351">
        <v>2</v>
      </c>
      <c r="P882" s="349" t="s">
        <v>1836</v>
      </c>
      <c r="R882" s="349">
        <f t="shared" si="13"/>
        <v>10</v>
      </c>
      <c r="S882" s="352"/>
      <c r="T882" s="352"/>
      <c r="U882" s="352"/>
      <c r="V882" s="353"/>
      <c r="W882" s="352"/>
      <c r="X882" s="176"/>
      <c r="Y882" s="176"/>
      <c r="Z882" s="352"/>
      <c r="AA882" s="351"/>
      <c r="AB882" s="351"/>
      <c r="AC882" s="352"/>
      <c r="AD882" s="352"/>
    </row>
    <row r="883" spans="1:30" ht="115.35" hidden="1" x14ac:dyDescent="0.35">
      <c r="A883" s="349">
        <v>882</v>
      </c>
      <c r="B883" s="352" t="s">
        <v>1463</v>
      </c>
      <c r="C883" s="351" t="s">
        <v>1906</v>
      </c>
      <c r="D883" s="352" t="s">
        <v>1906</v>
      </c>
      <c r="E883" s="352" t="s">
        <v>1998</v>
      </c>
      <c r="F883" s="353">
        <v>0.05</v>
      </c>
      <c r="G883" s="352" t="s">
        <v>2126</v>
      </c>
      <c r="H883" s="176" t="s">
        <v>205</v>
      </c>
      <c r="I883" s="176" t="s">
        <v>4662</v>
      </c>
      <c r="J883" s="352" t="s">
        <v>22</v>
      </c>
      <c r="K883" s="352">
        <v>5</v>
      </c>
      <c r="L883" s="352" t="s">
        <v>23</v>
      </c>
      <c r="M883" s="351"/>
      <c r="N883" s="351"/>
      <c r="O883" s="351">
        <v>5</v>
      </c>
      <c r="P883" s="349" t="s">
        <v>1836</v>
      </c>
      <c r="R883" s="349">
        <f t="shared" si="13"/>
        <v>10</v>
      </c>
      <c r="S883" s="352"/>
      <c r="T883" s="352"/>
      <c r="U883" s="352"/>
      <c r="V883" s="353"/>
      <c r="W883" s="352"/>
      <c r="X883" s="176"/>
      <c r="Y883" s="176"/>
      <c r="Z883" s="352"/>
      <c r="AA883" s="352"/>
      <c r="AB883" s="352"/>
      <c r="AC883" s="352"/>
      <c r="AD883" s="352"/>
    </row>
    <row r="884" spans="1:30" ht="115.35" hidden="1" x14ac:dyDescent="0.35">
      <c r="A884" s="349">
        <v>883</v>
      </c>
      <c r="B884" s="352" t="s">
        <v>1463</v>
      </c>
      <c r="C884" s="351" t="s">
        <v>1906</v>
      </c>
      <c r="D884" s="352" t="s">
        <v>1906</v>
      </c>
      <c r="E884" s="352" t="s">
        <v>1998</v>
      </c>
      <c r="F884" s="353">
        <v>0.05</v>
      </c>
      <c r="G884" s="352" t="s">
        <v>2126</v>
      </c>
      <c r="H884" s="176" t="s">
        <v>205</v>
      </c>
      <c r="I884" s="176" t="s">
        <v>4662</v>
      </c>
      <c r="J884" s="352" t="s">
        <v>22</v>
      </c>
      <c r="K884" s="352">
        <v>10</v>
      </c>
      <c r="L884" s="352" t="s">
        <v>23</v>
      </c>
      <c r="M884" s="351"/>
      <c r="N884" s="351"/>
      <c r="O884" s="351">
        <v>10</v>
      </c>
      <c r="P884" s="349" t="s">
        <v>1836</v>
      </c>
      <c r="R884" s="349">
        <f t="shared" si="13"/>
        <v>10</v>
      </c>
      <c r="S884" s="352"/>
      <c r="T884" s="352"/>
      <c r="U884" s="352"/>
      <c r="V884" s="353"/>
      <c r="W884" s="352"/>
      <c r="X884" s="176"/>
      <c r="Y884" s="176"/>
      <c r="Z884" s="352"/>
      <c r="AA884" s="352"/>
      <c r="AB884" s="352"/>
      <c r="AC884" s="352"/>
      <c r="AD884" s="352"/>
    </row>
    <row r="885" spans="1:30" ht="115.35" hidden="1" x14ac:dyDescent="0.35">
      <c r="A885" s="349">
        <v>884</v>
      </c>
      <c r="B885" s="352" t="s">
        <v>1463</v>
      </c>
      <c r="C885" s="351" t="s">
        <v>1906</v>
      </c>
      <c r="D885" s="352" t="s">
        <v>1906</v>
      </c>
      <c r="E885" s="352" t="s">
        <v>1995</v>
      </c>
      <c r="F885" s="353">
        <v>0.2</v>
      </c>
      <c r="G885" s="352" t="s">
        <v>2126</v>
      </c>
      <c r="H885" s="176" t="s">
        <v>205</v>
      </c>
      <c r="I885" s="176" t="s">
        <v>4662</v>
      </c>
      <c r="J885" s="352" t="s">
        <v>3580</v>
      </c>
      <c r="K885" s="352">
        <v>20</v>
      </c>
      <c r="L885" s="352" t="s">
        <v>3581</v>
      </c>
      <c r="M885" s="351"/>
      <c r="N885" s="351"/>
      <c r="O885" s="351">
        <v>20</v>
      </c>
      <c r="P885" s="349" t="s">
        <v>1836</v>
      </c>
      <c r="R885" s="349">
        <f t="shared" si="13"/>
        <v>10</v>
      </c>
      <c r="S885" s="352"/>
      <c r="T885" s="352"/>
      <c r="U885" s="352"/>
      <c r="V885" s="353"/>
      <c r="W885" s="352"/>
      <c r="X885" s="176"/>
      <c r="Y885" s="176"/>
      <c r="Z885" s="352"/>
      <c r="AA885" s="351"/>
      <c r="AB885" s="351"/>
      <c r="AC885" s="352"/>
      <c r="AD885" s="352"/>
    </row>
    <row r="886" spans="1:30" ht="115.35" hidden="1" x14ac:dyDescent="0.35">
      <c r="A886" s="349">
        <v>885</v>
      </c>
      <c r="B886" s="352" t="s">
        <v>1463</v>
      </c>
      <c r="C886" s="351" t="s">
        <v>1906</v>
      </c>
      <c r="D886" s="352" t="s">
        <v>1906</v>
      </c>
      <c r="E886" s="352" t="s">
        <v>1995</v>
      </c>
      <c r="F886" s="353">
        <v>0.1</v>
      </c>
      <c r="G886" s="352" t="s">
        <v>2126</v>
      </c>
      <c r="H886" s="176" t="s">
        <v>205</v>
      </c>
      <c r="I886" s="176" t="s">
        <v>4662</v>
      </c>
      <c r="J886" s="352" t="s">
        <v>3580</v>
      </c>
      <c r="K886" s="352">
        <v>40</v>
      </c>
      <c r="L886" s="352" t="s">
        <v>3581</v>
      </c>
      <c r="M886" s="351"/>
      <c r="N886" s="351"/>
      <c r="O886" s="351">
        <v>40</v>
      </c>
      <c r="P886" s="349" t="s">
        <v>1836</v>
      </c>
      <c r="R886" s="349">
        <f t="shared" si="13"/>
        <v>10</v>
      </c>
      <c r="S886" s="352"/>
      <c r="T886" s="352"/>
      <c r="U886" s="352"/>
      <c r="V886" s="353"/>
      <c r="W886" s="352"/>
      <c r="X886" s="176"/>
      <c r="Y886" s="176"/>
      <c r="Z886" s="352"/>
      <c r="AA886" s="351"/>
      <c r="AB886" s="351"/>
      <c r="AC886" s="352"/>
      <c r="AD886" s="352"/>
    </row>
    <row r="887" spans="1:30" ht="115.35" hidden="1" x14ac:dyDescent="0.35">
      <c r="A887" s="349">
        <v>886</v>
      </c>
      <c r="B887" s="352" t="s">
        <v>1463</v>
      </c>
      <c r="C887" s="351" t="s">
        <v>1906</v>
      </c>
      <c r="D887" s="352" t="s">
        <v>1906</v>
      </c>
      <c r="E887" s="352" t="s">
        <v>1998</v>
      </c>
      <c r="F887" s="353">
        <v>0.05</v>
      </c>
      <c r="G887" s="352" t="s">
        <v>2126</v>
      </c>
      <c r="H887" s="176" t="s">
        <v>205</v>
      </c>
      <c r="I887" s="176" t="s">
        <v>4662</v>
      </c>
      <c r="J887" s="352" t="s">
        <v>22</v>
      </c>
      <c r="K887" s="352">
        <v>1</v>
      </c>
      <c r="L887" s="352" t="s">
        <v>23</v>
      </c>
      <c r="M887" s="351"/>
      <c r="N887" s="351"/>
      <c r="O887" s="351">
        <v>1</v>
      </c>
      <c r="P887" s="349" t="s">
        <v>1836</v>
      </c>
      <c r="R887" s="349">
        <f t="shared" si="13"/>
        <v>10</v>
      </c>
      <c r="S887" s="352"/>
      <c r="T887" s="352"/>
      <c r="U887" s="352"/>
      <c r="V887" s="353"/>
      <c r="W887" s="352"/>
      <c r="X887" s="176"/>
      <c r="Y887" s="176"/>
      <c r="Z887" s="352"/>
      <c r="AA887" s="352"/>
      <c r="AB887" s="352"/>
      <c r="AC887" s="352"/>
      <c r="AD887" s="352"/>
    </row>
    <row r="888" spans="1:30" ht="115.35" hidden="1" x14ac:dyDescent="0.35">
      <c r="A888" s="349">
        <v>887</v>
      </c>
      <c r="B888" s="352" t="s">
        <v>1463</v>
      </c>
      <c r="C888" s="351" t="s">
        <v>1906</v>
      </c>
      <c r="D888" s="352" t="s">
        <v>1906</v>
      </c>
      <c r="E888" s="352" t="s">
        <v>1998</v>
      </c>
      <c r="F888" s="353">
        <v>0.05</v>
      </c>
      <c r="G888" s="352" t="s">
        <v>2126</v>
      </c>
      <c r="H888" s="176" t="s">
        <v>205</v>
      </c>
      <c r="I888" s="176" t="s">
        <v>4662</v>
      </c>
      <c r="J888" s="352" t="s">
        <v>22</v>
      </c>
      <c r="K888" s="352">
        <v>2</v>
      </c>
      <c r="L888" s="352" t="s">
        <v>23</v>
      </c>
      <c r="M888" s="352"/>
      <c r="N888" s="352"/>
      <c r="O888" s="351">
        <v>2</v>
      </c>
      <c r="P888" s="349" t="s">
        <v>1836</v>
      </c>
      <c r="R888" s="349">
        <f t="shared" si="13"/>
        <v>10</v>
      </c>
      <c r="S888" s="352"/>
      <c r="T888" s="352"/>
      <c r="U888" s="352"/>
      <c r="V888" s="353"/>
      <c r="W888" s="352"/>
      <c r="X888" s="176"/>
      <c r="Y888" s="176"/>
      <c r="Z888" s="352"/>
      <c r="AA888" s="352"/>
      <c r="AB888" s="352"/>
      <c r="AC888" s="352"/>
      <c r="AD888" s="352"/>
    </row>
    <row r="889" spans="1:30" ht="115.35" hidden="1" x14ac:dyDescent="0.35">
      <c r="A889" s="349">
        <v>888</v>
      </c>
      <c r="B889" s="352" t="s">
        <v>1463</v>
      </c>
      <c r="C889" s="351" t="s">
        <v>1906</v>
      </c>
      <c r="D889" s="352" t="s">
        <v>1906</v>
      </c>
      <c r="E889" s="352" t="s">
        <v>1998</v>
      </c>
      <c r="F889" s="353">
        <v>0.05</v>
      </c>
      <c r="G889" s="352" t="s">
        <v>2126</v>
      </c>
      <c r="H889" s="176" t="s">
        <v>205</v>
      </c>
      <c r="I889" s="176" t="s">
        <v>4662</v>
      </c>
      <c r="J889" s="352" t="s">
        <v>22</v>
      </c>
      <c r="K889" s="352">
        <v>5</v>
      </c>
      <c r="L889" s="352" t="s">
        <v>23</v>
      </c>
      <c r="M889" s="352"/>
      <c r="N889" s="352"/>
      <c r="O889" s="351">
        <v>5</v>
      </c>
      <c r="P889" s="349" t="s">
        <v>1836</v>
      </c>
      <c r="R889" s="349">
        <f t="shared" si="13"/>
        <v>10</v>
      </c>
      <c r="S889" s="352"/>
      <c r="T889" s="352"/>
      <c r="U889" s="352"/>
      <c r="V889" s="353"/>
      <c r="W889" s="352"/>
      <c r="X889" s="176"/>
      <c r="Y889" s="176"/>
      <c r="Z889" s="352"/>
      <c r="AA889" s="352"/>
      <c r="AB889" s="352"/>
      <c r="AC889" s="352"/>
      <c r="AD889" s="352"/>
    </row>
    <row r="890" spans="1:30" ht="115.35" hidden="1" x14ac:dyDescent="0.35">
      <c r="A890" s="349">
        <v>889</v>
      </c>
      <c r="B890" s="352" t="s">
        <v>1463</v>
      </c>
      <c r="C890" s="351" t="s">
        <v>1906</v>
      </c>
      <c r="D890" s="352" t="s">
        <v>1906</v>
      </c>
      <c r="E890" s="352" t="s">
        <v>1998</v>
      </c>
      <c r="F890" s="353">
        <v>0.05</v>
      </c>
      <c r="G890" s="352" t="s">
        <v>2126</v>
      </c>
      <c r="H890" s="176" t="s">
        <v>205</v>
      </c>
      <c r="I890" s="176" t="s">
        <v>4662</v>
      </c>
      <c r="J890" s="352" t="s">
        <v>22</v>
      </c>
      <c r="K890" s="352">
        <v>10</v>
      </c>
      <c r="L890" s="352" t="s">
        <v>23</v>
      </c>
      <c r="M890" s="352"/>
      <c r="N890" s="352"/>
      <c r="O890" s="351">
        <v>10</v>
      </c>
      <c r="P890" s="349" t="s">
        <v>1836</v>
      </c>
      <c r="R890" s="349">
        <f t="shared" si="13"/>
        <v>10</v>
      </c>
      <c r="S890" s="352"/>
      <c r="T890" s="352"/>
      <c r="U890" s="352"/>
      <c r="V890" s="353"/>
      <c r="W890" s="352"/>
      <c r="X890" s="176"/>
      <c r="Y890" s="176"/>
      <c r="Z890" s="352"/>
      <c r="AA890" s="352"/>
      <c r="AB890" s="352"/>
      <c r="AC890" s="352"/>
      <c r="AD890" s="352"/>
    </row>
    <row r="891" spans="1:30" ht="115.35" hidden="1" x14ac:dyDescent="0.35">
      <c r="A891" s="349">
        <v>890</v>
      </c>
      <c r="B891" s="352" t="s">
        <v>1463</v>
      </c>
      <c r="C891" s="351" t="s">
        <v>1906</v>
      </c>
      <c r="D891" s="352" t="s">
        <v>1906</v>
      </c>
      <c r="E891" s="352" t="s">
        <v>1995</v>
      </c>
      <c r="F891" s="353">
        <v>0.2</v>
      </c>
      <c r="G891" s="352" t="s">
        <v>2126</v>
      </c>
      <c r="H891" s="176" t="s">
        <v>205</v>
      </c>
      <c r="I891" s="176" t="s">
        <v>4662</v>
      </c>
      <c r="J891" s="352" t="s">
        <v>3580</v>
      </c>
      <c r="K891" s="352">
        <v>20</v>
      </c>
      <c r="L891" s="352" t="s">
        <v>3581</v>
      </c>
      <c r="M891" s="352"/>
      <c r="N891" s="352"/>
      <c r="O891" s="351">
        <v>20</v>
      </c>
      <c r="P891" s="349" t="s">
        <v>1836</v>
      </c>
      <c r="R891" s="349">
        <f t="shared" si="13"/>
        <v>10</v>
      </c>
      <c r="S891" s="352"/>
      <c r="T891" s="352"/>
      <c r="U891" s="352"/>
      <c r="V891" s="353"/>
      <c r="W891" s="352"/>
      <c r="X891" s="176"/>
      <c r="Y891" s="176"/>
      <c r="Z891" s="352"/>
      <c r="AA891" s="352"/>
      <c r="AB891" s="352"/>
      <c r="AC891" s="352"/>
      <c r="AD891" s="352"/>
    </row>
    <row r="892" spans="1:30" ht="115.35" hidden="1" x14ac:dyDescent="0.35">
      <c r="A892" s="349">
        <v>891</v>
      </c>
      <c r="B892" s="352" t="s">
        <v>1463</v>
      </c>
      <c r="C892" s="351" t="s">
        <v>1906</v>
      </c>
      <c r="D892" s="352" t="s">
        <v>1906</v>
      </c>
      <c r="E892" s="352" t="s">
        <v>1995</v>
      </c>
      <c r="F892" s="353">
        <v>0.1</v>
      </c>
      <c r="G892" s="352" t="s">
        <v>2126</v>
      </c>
      <c r="H892" s="176" t="s">
        <v>205</v>
      </c>
      <c r="I892" s="176" t="s">
        <v>4662</v>
      </c>
      <c r="J892" s="352" t="s">
        <v>3580</v>
      </c>
      <c r="K892" s="352">
        <v>40</v>
      </c>
      <c r="L892" s="352" t="s">
        <v>3581</v>
      </c>
      <c r="M892" s="352"/>
      <c r="N892" s="352"/>
      <c r="O892" s="351">
        <v>40</v>
      </c>
      <c r="P892" s="349" t="s">
        <v>1836</v>
      </c>
      <c r="R892" s="349">
        <f t="shared" si="13"/>
        <v>10</v>
      </c>
      <c r="S892" s="352"/>
      <c r="T892" s="352"/>
      <c r="U892" s="352"/>
      <c r="V892" s="353"/>
      <c r="W892" s="352"/>
      <c r="X892" s="176"/>
      <c r="Y892" s="176"/>
      <c r="Z892" s="352"/>
      <c r="AA892" s="352"/>
      <c r="AB892" s="352"/>
      <c r="AC892" s="352"/>
      <c r="AD892" s="352"/>
    </row>
    <row r="893" spans="1:30" hidden="1" x14ac:dyDescent="0.35">
      <c r="A893" s="349">
        <v>892</v>
      </c>
      <c r="B893" s="352" t="s">
        <v>3090</v>
      </c>
      <c r="C893" s="351" t="s">
        <v>1289</v>
      </c>
      <c r="D893" s="352" t="s">
        <v>1289</v>
      </c>
      <c r="E893" s="352" t="s">
        <v>758</v>
      </c>
      <c r="F893" s="353">
        <v>7.91</v>
      </c>
      <c r="G893" s="352" t="s">
        <v>28</v>
      </c>
      <c r="H893" s="176" t="s">
        <v>135</v>
      </c>
      <c r="I893" s="176" t="s">
        <v>4552</v>
      </c>
      <c r="J893" s="352" t="s">
        <v>29</v>
      </c>
      <c r="K893" s="352">
        <v>20</v>
      </c>
      <c r="L893" s="352" t="s">
        <v>1311</v>
      </c>
      <c r="M893" s="352">
        <v>15</v>
      </c>
      <c r="N893" s="352" t="s">
        <v>31</v>
      </c>
      <c r="O893" s="351">
        <v>20</v>
      </c>
      <c r="P893" s="349" t="s">
        <v>1836</v>
      </c>
      <c r="R893" s="349">
        <f t="shared" si="13"/>
        <v>12</v>
      </c>
      <c r="S893" s="352"/>
      <c r="T893" s="352"/>
      <c r="U893" s="352"/>
      <c r="V893" s="353"/>
      <c r="W893" s="352"/>
      <c r="X893" s="176"/>
      <c r="Y893" s="176"/>
      <c r="Z893" s="352"/>
      <c r="AA893" s="352"/>
      <c r="AB893" s="352"/>
      <c r="AC893" s="352"/>
      <c r="AD893" s="352"/>
    </row>
    <row r="894" spans="1:30" hidden="1" x14ac:dyDescent="0.35">
      <c r="A894" s="349">
        <v>893</v>
      </c>
      <c r="B894" s="352" t="s">
        <v>2132</v>
      </c>
      <c r="C894" s="351" t="s">
        <v>1289</v>
      </c>
      <c r="D894" s="352" t="s">
        <v>1289</v>
      </c>
      <c r="E894" s="352" t="s">
        <v>758</v>
      </c>
      <c r="F894" s="353">
        <v>7.9333999999999998</v>
      </c>
      <c r="G894" s="352" t="s">
        <v>34</v>
      </c>
      <c r="H894" s="37" t="s">
        <v>3513</v>
      </c>
      <c r="I894" s="176" t="s">
        <v>4552</v>
      </c>
      <c r="J894" s="352" t="s">
        <v>29</v>
      </c>
      <c r="K894" s="352">
        <v>2</v>
      </c>
      <c r="L894" s="352" t="s">
        <v>470</v>
      </c>
      <c r="M894" s="352">
        <v>15</v>
      </c>
      <c r="N894" s="352" t="s">
        <v>31</v>
      </c>
      <c r="O894" s="351">
        <v>2</v>
      </c>
      <c r="P894" s="349" t="s">
        <v>1838</v>
      </c>
      <c r="R894" s="349">
        <f t="shared" si="13"/>
        <v>12</v>
      </c>
      <c r="S894" s="352"/>
      <c r="T894" s="352"/>
      <c r="U894" s="352"/>
      <c r="V894" s="353"/>
      <c r="W894" s="352"/>
      <c r="X894" s="176"/>
      <c r="Y894" s="176"/>
      <c r="Z894" s="352"/>
      <c r="AA894" s="352"/>
      <c r="AB894" s="352"/>
      <c r="AC894" s="352"/>
      <c r="AD894" s="352"/>
    </row>
    <row r="895" spans="1:30" ht="51.3" hidden="1" x14ac:dyDescent="0.35">
      <c r="A895" s="349">
        <v>894</v>
      </c>
      <c r="B895" s="352" t="s">
        <v>32</v>
      </c>
      <c r="C895" s="351" t="s">
        <v>1289</v>
      </c>
      <c r="D895" s="352" t="s">
        <v>1289</v>
      </c>
      <c r="E895" s="352" t="s">
        <v>1449</v>
      </c>
      <c r="F895" s="353">
        <v>9.0792999999999999</v>
      </c>
      <c r="G895" s="352" t="s">
        <v>34</v>
      </c>
      <c r="H895" s="176" t="s">
        <v>3284</v>
      </c>
      <c r="I895" s="176" t="s">
        <v>3825</v>
      </c>
      <c r="J895" s="352" t="s">
        <v>3358</v>
      </c>
      <c r="K895" s="351">
        <v>10</v>
      </c>
      <c r="L895" s="351" t="s">
        <v>30</v>
      </c>
      <c r="M895" s="352">
        <v>5</v>
      </c>
      <c r="N895" s="352" t="s">
        <v>31</v>
      </c>
      <c r="O895" s="351">
        <v>10</v>
      </c>
      <c r="P895" s="349" t="s">
        <v>1836</v>
      </c>
      <c r="R895" s="349">
        <f t="shared" si="13"/>
        <v>12</v>
      </c>
      <c r="S895" s="352"/>
      <c r="T895" s="352"/>
      <c r="U895" s="352"/>
      <c r="V895" s="353"/>
      <c r="W895" s="352"/>
      <c r="X895" s="176"/>
      <c r="Y895" s="176"/>
      <c r="Z895" s="352"/>
      <c r="AA895" s="352"/>
      <c r="AB895" s="352"/>
      <c r="AC895" s="352"/>
      <c r="AD895" s="352"/>
    </row>
    <row r="896" spans="1:30" hidden="1" x14ac:dyDescent="0.35">
      <c r="A896" s="349">
        <v>895</v>
      </c>
      <c r="B896" s="352" t="s">
        <v>2132</v>
      </c>
      <c r="C896" s="351" t="s">
        <v>1289</v>
      </c>
      <c r="D896" s="352" t="s">
        <v>1289</v>
      </c>
      <c r="E896" s="352" t="s">
        <v>2389</v>
      </c>
      <c r="F896" s="353">
        <v>16.4176</v>
      </c>
      <c r="G896" s="352" t="s">
        <v>34</v>
      </c>
      <c r="H896" s="176" t="s">
        <v>3513</v>
      </c>
      <c r="I896" s="176" t="s">
        <v>4552</v>
      </c>
      <c r="J896" s="352" t="s">
        <v>2131</v>
      </c>
      <c r="K896" s="352">
        <v>2</v>
      </c>
      <c r="L896" s="352" t="s">
        <v>470</v>
      </c>
      <c r="M896" s="352">
        <v>30</v>
      </c>
      <c r="N896" s="352" t="s">
        <v>31</v>
      </c>
      <c r="O896" s="351">
        <v>2</v>
      </c>
      <c r="P896" s="349" t="s">
        <v>1838</v>
      </c>
      <c r="R896" s="349">
        <f t="shared" si="13"/>
        <v>12</v>
      </c>
      <c r="S896" s="352"/>
      <c r="T896" s="352"/>
      <c r="U896" s="352"/>
      <c r="V896" s="353"/>
      <c r="W896" s="352"/>
      <c r="X896" s="176"/>
      <c r="Y896" s="176"/>
      <c r="Z896" s="352"/>
      <c r="AA896" s="351"/>
      <c r="AB896" s="351"/>
      <c r="AC896" s="352"/>
      <c r="AD896" s="352"/>
    </row>
    <row r="897" spans="1:30" ht="38.450000000000003" hidden="1" x14ac:dyDescent="0.35">
      <c r="A897" s="349">
        <v>896</v>
      </c>
      <c r="B897" s="352" t="s">
        <v>1451</v>
      </c>
      <c r="C897" s="351" t="s">
        <v>4290</v>
      </c>
      <c r="D897" s="352" t="s">
        <v>3442</v>
      </c>
      <c r="E897" s="352" t="s">
        <v>1443</v>
      </c>
      <c r="F897" s="353">
        <v>2.2000000000000002</v>
      </c>
      <c r="G897" s="352" t="s">
        <v>1107</v>
      </c>
      <c r="H897" s="176"/>
      <c r="I897" s="176" t="s">
        <v>1886</v>
      </c>
      <c r="J897" s="352" t="s">
        <v>1108</v>
      </c>
      <c r="K897" s="352">
        <v>0.9</v>
      </c>
      <c r="L897" s="352" t="s">
        <v>470</v>
      </c>
      <c r="M897" s="352">
        <v>100</v>
      </c>
      <c r="N897" s="352" t="s">
        <v>1109</v>
      </c>
      <c r="O897" s="351">
        <v>0.9</v>
      </c>
      <c r="P897" s="349" t="s">
        <v>1838</v>
      </c>
      <c r="R897" s="349">
        <f t="shared" si="13"/>
        <v>15</v>
      </c>
      <c r="S897" s="352"/>
      <c r="T897" s="352"/>
      <c r="U897" s="352"/>
      <c r="V897" s="353"/>
      <c r="W897" s="352"/>
      <c r="X897" s="176"/>
      <c r="Y897" s="176"/>
      <c r="Z897" s="352"/>
      <c r="AA897" s="352"/>
      <c r="AB897" s="352"/>
      <c r="AC897" s="352"/>
      <c r="AD897" s="352"/>
    </row>
    <row r="898" spans="1:30" ht="38.450000000000003" hidden="1" x14ac:dyDescent="0.35">
      <c r="A898" s="349">
        <v>897</v>
      </c>
      <c r="B898" s="352" t="s">
        <v>965</v>
      </c>
      <c r="C898" s="351" t="s">
        <v>2760</v>
      </c>
      <c r="D898" s="352" t="s">
        <v>1412</v>
      </c>
      <c r="E898" s="352" t="s">
        <v>1452</v>
      </c>
      <c r="F898" s="353">
        <v>0.66110000000000002</v>
      </c>
      <c r="G898" s="352" t="s">
        <v>967</v>
      </c>
      <c r="H898" s="176" t="s">
        <v>2391</v>
      </c>
      <c r="I898" s="176" t="s">
        <v>4551</v>
      </c>
      <c r="J898" s="352" t="s">
        <v>806</v>
      </c>
      <c r="K898" s="352"/>
      <c r="L898" s="352"/>
      <c r="M898" s="352">
        <v>10</v>
      </c>
      <c r="N898" s="352" t="s">
        <v>1109</v>
      </c>
      <c r="O898" s="351">
        <v>0</v>
      </c>
      <c r="P898" s="349" t="s">
        <v>1837</v>
      </c>
      <c r="R898" s="349">
        <f t="shared" si="13"/>
        <v>17</v>
      </c>
      <c r="S898" s="352"/>
      <c r="T898" s="352"/>
      <c r="U898" s="352"/>
      <c r="V898" s="353"/>
      <c r="W898" s="352"/>
      <c r="X898" s="176"/>
      <c r="Y898" s="176"/>
      <c r="Z898" s="352"/>
      <c r="AA898" s="352"/>
      <c r="AB898" s="352"/>
      <c r="AC898" s="352"/>
      <c r="AD898" s="352"/>
    </row>
    <row r="899" spans="1:30" ht="51.3" hidden="1" x14ac:dyDescent="0.35">
      <c r="A899" s="349">
        <v>898</v>
      </c>
      <c r="B899" s="352" t="s">
        <v>1113</v>
      </c>
      <c r="C899" s="351" t="s">
        <v>1813</v>
      </c>
      <c r="D899" s="352" t="s">
        <v>1413</v>
      </c>
      <c r="E899" s="352" t="s">
        <v>762</v>
      </c>
      <c r="F899" s="353">
        <v>0.9</v>
      </c>
      <c r="G899" s="352" t="s">
        <v>1107</v>
      </c>
      <c r="H899" s="176" t="s">
        <v>2934</v>
      </c>
      <c r="I899" s="176" t="s">
        <v>4661</v>
      </c>
      <c r="J899" s="352" t="s">
        <v>828</v>
      </c>
      <c r="K899" s="352">
        <v>2</v>
      </c>
      <c r="L899" s="352" t="s">
        <v>1116</v>
      </c>
      <c r="M899" s="352">
        <v>2</v>
      </c>
      <c r="N899" s="352" t="s">
        <v>1109</v>
      </c>
      <c r="O899" s="351">
        <v>2</v>
      </c>
      <c r="P899" s="349" t="s">
        <v>1836</v>
      </c>
      <c r="R899" s="349">
        <f t="shared" ref="R899:R962" si="14">LEN(D899)</f>
        <v>20</v>
      </c>
      <c r="S899" s="352"/>
      <c r="T899" s="352"/>
      <c r="U899" s="352"/>
      <c r="V899" s="353"/>
      <c r="W899" s="352"/>
      <c r="X899" s="176"/>
      <c r="Y899" s="176"/>
      <c r="Z899" s="352"/>
      <c r="AA899" s="352"/>
      <c r="AB899" s="352"/>
      <c r="AC899" s="352"/>
      <c r="AD899" s="352"/>
    </row>
    <row r="900" spans="1:30" ht="51.3" hidden="1" x14ac:dyDescent="0.35">
      <c r="A900" s="349">
        <v>899</v>
      </c>
      <c r="B900" s="352" t="s">
        <v>1113</v>
      </c>
      <c r="C900" s="351" t="s">
        <v>1813</v>
      </c>
      <c r="D900" s="352" t="s">
        <v>1413</v>
      </c>
      <c r="E900" s="352" t="s">
        <v>762</v>
      </c>
      <c r="F900" s="353">
        <v>0.9</v>
      </c>
      <c r="G900" s="352" t="s">
        <v>1107</v>
      </c>
      <c r="H900" s="176" t="s">
        <v>2934</v>
      </c>
      <c r="I900" s="176" t="s">
        <v>4661</v>
      </c>
      <c r="J900" s="352" t="s">
        <v>828</v>
      </c>
      <c r="K900" s="352">
        <v>2</v>
      </c>
      <c r="L900" s="352" t="s">
        <v>1116</v>
      </c>
      <c r="M900" s="352">
        <v>2</v>
      </c>
      <c r="N900" s="352" t="s">
        <v>1109</v>
      </c>
      <c r="O900" s="351">
        <v>2</v>
      </c>
      <c r="P900" s="349" t="s">
        <v>1836</v>
      </c>
      <c r="R900" s="349">
        <f t="shared" si="14"/>
        <v>20</v>
      </c>
      <c r="S900" s="352"/>
      <c r="T900" s="352"/>
      <c r="U900" s="352"/>
      <c r="V900" s="353"/>
      <c r="W900" s="352"/>
      <c r="X900" s="176"/>
      <c r="Y900" s="176"/>
      <c r="Z900" s="352"/>
      <c r="AA900" s="352"/>
      <c r="AB900" s="352"/>
      <c r="AC900" s="352"/>
      <c r="AD900" s="352"/>
    </row>
    <row r="901" spans="1:30" ht="192.25" hidden="1" x14ac:dyDescent="0.35">
      <c r="A901" s="349">
        <v>900</v>
      </c>
      <c r="B901" s="352" t="s">
        <v>2127</v>
      </c>
      <c r="C901" s="351" t="s">
        <v>416</v>
      </c>
      <c r="D901" s="352" t="s">
        <v>416</v>
      </c>
      <c r="E901" s="352" t="s">
        <v>1453</v>
      </c>
      <c r="F901" s="353">
        <v>2.15</v>
      </c>
      <c r="G901" s="352" t="s">
        <v>1501</v>
      </c>
      <c r="H901" s="176" t="s">
        <v>4047</v>
      </c>
      <c r="I901" s="176" t="s">
        <v>4591</v>
      </c>
      <c r="J901" s="352" t="s">
        <v>828</v>
      </c>
      <c r="K901" s="352">
        <v>10</v>
      </c>
      <c r="L901" s="352" t="s">
        <v>1116</v>
      </c>
      <c r="M901" s="352">
        <v>0.2</v>
      </c>
      <c r="N901" s="352" t="s">
        <v>1109</v>
      </c>
      <c r="O901" s="351">
        <v>10</v>
      </c>
      <c r="P901" s="349" t="s">
        <v>1836</v>
      </c>
      <c r="R901" s="349">
        <f t="shared" si="14"/>
        <v>12</v>
      </c>
      <c r="S901" s="352"/>
      <c r="T901" s="352"/>
      <c r="U901" s="352"/>
      <c r="V901" s="353"/>
      <c r="W901" s="352"/>
      <c r="X901" s="176"/>
      <c r="Y901" s="176"/>
      <c r="Z901" s="352"/>
      <c r="AA901" s="352"/>
      <c r="AB901" s="352"/>
      <c r="AC901" s="352"/>
      <c r="AD901" s="352"/>
    </row>
    <row r="902" spans="1:30" ht="192.25" hidden="1" x14ac:dyDescent="0.35">
      <c r="A902" s="349">
        <v>901</v>
      </c>
      <c r="B902" s="352" t="s">
        <v>2127</v>
      </c>
      <c r="C902" s="351" t="s">
        <v>416</v>
      </c>
      <c r="D902" s="352" t="s">
        <v>416</v>
      </c>
      <c r="E902" s="352" t="s">
        <v>2855</v>
      </c>
      <c r="F902" s="353">
        <v>1.6</v>
      </c>
      <c r="G902" s="352" t="s">
        <v>1501</v>
      </c>
      <c r="H902" s="176" t="s">
        <v>4047</v>
      </c>
      <c r="I902" s="176" t="s">
        <v>4591</v>
      </c>
      <c r="J902" s="352" t="s">
        <v>828</v>
      </c>
      <c r="K902" s="351">
        <v>10</v>
      </c>
      <c r="L902" s="351" t="s">
        <v>1116</v>
      </c>
      <c r="M902" s="352">
        <v>1</v>
      </c>
      <c r="N902" s="352" t="s">
        <v>1109</v>
      </c>
      <c r="O902" s="351">
        <v>10</v>
      </c>
      <c r="P902" s="349" t="s">
        <v>1836</v>
      </c>
      <c r="R902" s="349">
        <f t="shared" si="14"/>
        <v>12</v>
      </c>
      <c r="S902" s="352"/>
      <c r="T902" s="352"/>
      <c r="U902" s="352"/>
      <c r="V902" s="353"/>
      <c r="W902" s="352"/>
      <c r="X902" s="176"/>
      <c r="Y902" s="176"/>
      <c r="Z902" s="352"/>
      <c r="AA902" s="352"/>
      <c r="AB902" s="352"/>
      <c r="AC902" s="352"/>
      <c r="AD902" s="352"/>
    </row>
    <row r="903" spans="1:30" ht="64.099999999999994" hidden="1" x14ac:dyDescent="0.35">
      <c r="A903" s="349">
        <v>902</v>
      </c>
      <c r="B903" s="352" t="s">
        <v>2127</v>
      </c>
      <c r="C903" s="351" t="s">
        <v>416</v>
      </c>
      <c r="D903" s="352" t="s">
        <v>416</v>
      </c>
      <c r="E903" s="352" t="s">
        <v>702</v>
      </c>
      <c r="F903" s="353">
        <v>10.269299999999999</v>
      </c>
      <c r="G903" s="352" t="s">
        <v>2126</v>
      </c>
      <c r="H903" s="176" t="s">
        <v>1746</v>
      </c>
      <c r="I903" s="176" t="s">
        <v>1747</v>
      </c>
      <c r="J903" s="352" t="s">
        <v>4031</v>
      </c>
      <c r="K903" s="351">
        <v>5</v>
      </c>
      <c r="L903" s="351" t="s">
        <v>4026</v>
      </c>
      <c r="M903" s="352">
        <v>25</v>
      </c>
      <c r="N903" s="352" t="s">
        <v>1109</v>
      </c>
      <c r="O903" s="351">
        <v>5</v>
      </c>
      <c r="P903" s="349" t="s">
        <v>1850</v>
      </c>
      <c r="R903" s="349">
        <f t="shared" si="14"/>
        <v>12</v>
      </c>
      <c r="S903" s="352"/>
      <c r="T903" s="352"/>
      <c r="U903" s="352"/>
      <c r="V903" s="353"/>
      <c r="W903" s="352"/>
      <c r="X903" s="176"/>
      <c r="Y903" s="176"/>
      <c r="Z903" s="352"/>
      <c r="AA903" s="352"/>
      <c r="AB903" s="352"/>
      <c r="AC903" s="352"/>
      <c r="AD903" s="352"/>
    </row>
    <row r="904" spans="1:30" ht="205.1" hidden="1" x14ac:dyDescent="0.35">
      <c r="A904" s="349">
        <v>903</v>
      </c>
      <c r="B904" s="352" t="s">
        <v>2127</v>
      </c>
      <c r="C904" s="351" t="s">
        <v>416</v>
      </c>
      <c r="D904" s="352" t="s">
        <v>416</v>
      </c>
      <c r="E904" s="352" t="s">
        <v>702</v>
      </c>
      <c r="F904" s="353">
        <v>18.555199999999999</v>
      </c>
      <c r="G904" s="352" t="s">
        <v>2126</v>
      </c>
      <c r="H904" s="176" t="s">
        <v>4667</v>
      </c>
      <c r="I904" s="176" t="s">
        <v>4592</v>
      </c>
      <c r="J904" s="352" t="s">
        <v>4031</v>
      </c>
      <c r="K904" s="352">
        <v>10</v>
      </c>
      <c r="L904" s="352" t="s">
        <v>1311</v>
      </c>
      <c r="M904" s="351">
        <v>25</v>
      </c>
      <c r="N904" s="351" t="s">
        <v>1109</v>
      </c>
      <c r="O904" s="351">
        <v>10</v>
      </c>
      <c r="P904" s="349" t="s">
        <v>1836</v>
      </c>
      <c r="R904" s="349">
        <f t="shared" si="14"/>
        <v>12</v>
      </c>
      <c r="S904" s="352"/>
      <c r="T904" s="352"/>
      <c r="U904" s="352"/>
      <c r="V904" s="353"/>
      <c r="W904" s="352"/>
      <c r="X904" s="176"/>
      <c r="Y904" s="176"/>
      <c r="Z904" s="352"/>
      <c r="AA904" s="352"/>
      <c r="AB904" s="352"/>
      <c r="AC904" s="352"/>
      <c r="AD904" s="352"/>
    </row>
    <row r="905" spans="1:30" hidden="1" x14ac:dyDescent="0.35">
      <c r="A905" s="349">
        <v>904</v>
      </c>
      <c r="B905" s="352" t="s">
        <v>1585</v>
      </c>
      <c r="C905" s="351" t="s">
        <v>4291</v>
      </c>
      <c r="D905" s="352" t="s">
        <v>5034</v>
      </c>
      <c r="E905" s="352" t="s">
        <v>1586</v>
      </c>
      <c r="F905" s="353">
        <v>44.096200000000003</v>
      </c>
      <c r="G905" s="352" t="s">
        <v>1107</v>
      </c>
      <c r="H905" s="176" t="s">
        <v>650</v>
      </c>
      <c r="I905" s="176" t="s">
        <v>3007</v>
      </c>
      <c r="J905" s="352" t="s">
        <v>1115</v>
      </c>
      <c r="K905" s="352"/>
      <c r="L905" s="352"/>
      <c r="M905" s="351">
        <v>100</v>
      </c>
      <c r="N905" s="351" t="s">
        <v>1109</v>
      </c>
      <c r="O905" s="351">
        <v>0</v>
      </c>
      <c r="P905" s="349" t="s">
        <v>1837</v>
      </c>
      <c r="R905" s="349">
        <f t="shared" si="14"/>
        <v>21</v>
      </c>
      <c r="S905" s="352"/>
      <c r="T905" s="352"/>
      <c r="U905" s="352"/>
      <c r="V905" s="353"/>
      <c r="W905" s="352"/>
      <c r="X905" s="176"/>
      <c r="Y905" s="176"/>
      <c r="Z905" s="352"/>
      <c r="AA905" s="352"/>
      <c r="AB905" s="352"/>
      <c r="AC905" s="352"/>
      <c r="AD905" s="352"/>
    </row>
    <row r="906" spans="1:30" hidden="1" x14ac:dyDescent="0.35">
      <c r="A906" s="349">
        <v>905</v>
      </c>
      <c r="B906" s="352" t="s">
        <v>1585</v>
      </c>
      <c r="C906" s="351" t="s">
        <v>4291</v>
      </c>
      <c r="D906" s="352" t="s">
        <v>5034</v>
      </c>
      <c r="E906" s="352" t="s">
        <v>747</v>
      </c>
      <c r="F906" s="353">
        <v>77.173900000000003</v>
      </c>
      <c r="G906" s="352" t="s">
        <v>1107</v>
      </c>
      <c r="H906" s="176" t="s">
        <v>650</v>
      </c>
      <c r="I906" s="176" t="s">
        <v>3007</v>
      </c>
      <c r="J906" s="352" t="s">
        <v>1115</v>
      </c>
      <c r="K906" s="352"/>
      <c r="L906" s="352"/>
      <c r="M906" s="351">
        <v>250</v>
      </c>
      <c r="N906" s="351" t="s">
        <v>1109</v>
      </c>
      <c r="O906" s="351">
        <v>0</v>
      </c>
      <c r="P906" s="349" t="s">
        <v>1837</v>
      </c>
      <c r="R906" s="349">
        <f t="shared" si="14"/>
        <v>21</v>
      </c>
      <c r="S906" s="352"/>
      <c r="T906" s="352"/>
      <c r="U906" s="352"/>
      <c r="V906" s="353"/>
      <c r="W906" s="352"/>
      <c r="X906" s="176"/>
      <c r="Y906" s="176"/>
      <c r="Z906" s="352"/>
      <c r="AA906" s="352"/>
      <c r="AB906" s="352"/>
      <c r="AC906" s="352"/>
      <c r="AD906" s="352"/>
    </row>
    <row r="907" spans="1:30" ht="102.55" hidden="1" x14ac:dyDescent="0.35">
      <c r="A907" s="349">
        <v>906</v>
      </c>
      <c r="B907" s="352" t="s">
        <v>4100</v>
      </c>
      <c r="C907" s="351" t="s">
        <v>1704</v>
      </c>
      <c r="D907" s="352" t="s">
        <v>1704</v>
      </c>
      <c r="E907" s="352" t="s">
        <v>1997</v>
      </c>
      <c r="F907" s="353">
        <v>57.208300000000001</v>
      </c>
      <c r="G907" s="352" t="s">
        <v>1107</v>
      </c>
      <c r="H907" s="176" t="s">
        <v>1580</v>
      </c>
      <c r="I907" s="176" t="s">
        <v>4474</v>
      </c>
      <c r="J907" s="352" t="s">
        <v>1115</v>
      </c>
      <c r="K907" s="351">
        <v>500</v>
      </c>
      <c r="L907" s="351" t="s">
        <v>1464</v>
      </c>
      <c r="M907" s="352"/>
      <c r="N907" s="352"/>
      <c r="O907" s="351">
        <v>500</v>
      </c>
      <c r="P907" s="349" t="s">
        <v>1836</v>
      </c>
      <c r="R907" s="349">
        <f t="shared" si="14"/>
        <v>11</v>
      </c>
      <c r="S907" s="352"/>
      <c r="T907" s="352"/>
      <c r="U907" s="352"/>
      <c r="V907" s="353"/>
      <c r="W907" s="352"/>
      <c r="X907" s="176"/>
      <c r="Y907" s="176"/>
      <c r="Z907" s="352"/>
      <c r="AA907" s="351"/>
      <c r="AB907" s="351"/>
      <c r="AC907" s="352"/>
      <c r="AD907" s="352"/>
    </row>
    <row r="908" spans="1:30" ht="102.55" hidden="1" x14ac:dyDescent="0.35">
      <c r="A908" s="349">
        <v>907</v>
      </c>
      <c r="B908" s="352" t="s">
        <v>4100</v>
      </c>
      <c r="C908" s="351" t="s">
        <v>1704</v>
      </c>
      <c r="D908" s="352" t="s">
        <v>1704</v>
      </c>
      <c r="E908" s="352" t="s">
        <v>1998</v>
      </c>
      <c r="F908" s="353">
        <v>8.4621999999999993</v>
      </c>
      <c r="G908" s="352" t="s">
        <v>2126</v>
      </c>
      <c r="H908" s="176" t="s">
        <v>3742</v>
      </c>
      <c r="I908" s="176" t="s">
        <v>4474</v>
      </c>
      <c r="J908" s="352" t="s">
        <v>22</v>
      </c>
      <c r="K908" s="351">
        <v>250</v>
      </c>
      <c r="L908" s="351" t="s">
        <v>23</v>
      </c>
      <c r="M908" s="351"/>
      <c r="N908" s="351"/>
      <c r="O908" s="351">
        <v>250</v>
      </c>
      <c r="P908" s="349" t="s">
        <v>1836</v>
      </c>
      <c r="R908" s="349">
        <f t="shared" si="14"/>
        <v>11</v>
      </c>
      <c r="S908" s="352"/>
      <c r="T908" s="352"/>
      <c r="U908" s="352"/>
      <c r="V908" s="353"/>
      <c r="W908" s="352"/>
      <c r="X908" s="176"/>
      <c r="Y908" s="176"/>
      <c r="Z908" s="352"/>
      <c r="AA908" s="352"/>
      <c r="AB908" s="352"/>
      <c r="AC908" s="352"/>
      <c r="AD908" s="352"/>
    </row>
    <row r="909" spans="1:30" ht="51.3" hidden="1" x14ac:dyDescent="0.35">
      <c r="A909" s="349">
        <v>908</v>
      </c>
      <c r="B909" s="352" t="s">
        <v>3248</v>
      </c>
      <c r="C909" s="351" t="s">
        <v>4292</v>
      </c>
      <c r="D909" s="352" t="s">
        <v>1814</v>
      </c>
      <c r="E909" s="352" t="s">
        <v>2015</v>
      </c>
      <c r="F909" s="353">
        <v>314.8</v>
      </c>
      <c r="G909" s="352" t="s">
        <v>1454</v>
      </c>
      <c r="H909" s="176" t="s">
        <v>1538</v>
      </c>
      <c r="I909" s="176" t="s">
        <v>956</v>
      </c>
      <c r="J909" s="352" t="s">
        <v>1455</v>
      </c>
      <c r="K909" s="351">
        <v>130</v>
      </c>
      <c r="L909" s="351" t="s">
        <v>1536</v>
      </c>
      <c r="M909" s="352"/>
      <c r="N909" s="352"/>
      <c r="O909" s="351">
        <v>130</v>
      </c>
      <c r="P909" s="349" t="s">
        <v>1836</v>
      </c>
      <c r="R909" s="349">
        <f t="shared" si="14"/>
        <v>11</v>
      </c>
      <c r="S909" s="352"/>
      <c r="T909" s="352"/>
      <c r="U909" s="352"/>
      <c r="V909" s="353"/>
      <c r="W909" s="352"/>
      <c r="X909" s="176"/>
      <c r="Y909" s="176"/>
      <c r="Z909" s="352"/>
      <c r="AA909" s="352"/>
      <c r="AB909" s="352"/>
      <c r="AC909" s="352"/>
      <c r="AD909" s="352"/>
    </row>
    <row r="910" spans="1:30" ht="64.099999999999994" hidden="1" x14ac:dyDescent="0.35">
      <c r="A910" s="349">
        <v>909</v>
      </c>
      <c r="B910" s="352" t="s">
        <v>1610</v>
      </c>
      <c r="C910" s="351" t="s">
        <v>4293</v>
      </c>
      <c r="D910" s="352" t="s">
        <v>1386</v>
      </c>
      <c r="E910" s="352" t="s">
        <v>2129</v>
      </c>
      <c r="F910" s="353">
        <v>6.3</v>
      </c>
      <c r="G910" s="352" t="s">
        <v>2126</v>
      </c>
      <c r="H910" s="176" t="s">
        <v>2827</v>
      </c>
      <c r="I910" s="176" t="s">
        <v>1623</v>
      </c>
      <c r="J910" s="352" t="s">
        <v>3579</v>
      </c>
      <c r="K910" s="351"/>
      <c r="L910" s="351"/>
      <c r="M910" s="351">
        <v>100</v>
      </c>
      <c r="N910" s="351" t="s">
        <v>1109</v>
      </c>
      <c r="O910" s="351">
        <v>0</v>
      </c>
      <c r="P910" s="349" t="s">
        <v>1837</v>
      </c>
      <c r="R910" s="349">
        <f t="shared" si="14"/>
        <v>20</v>
      </c>
      <c r="S910" s="352"/>
      <c r="T910" s="352"/>
      <c r="U910" s="352"/>
      <c r="V910" s="353"/>
      <c r="W910" s="352"/>
      <c r="X910" s="176"/>
      <c r="Y910" s="176"/>
      <c r="Z910" s="352"/>
      <c r="AA910" s="352"/>
      <c r="AB910" s="352"/>
      <c r="AC910" s="352"/>
      <c r="AD910" s="352"/>
    </row>
    <row r="911" spans="1:30" ht="64.099999999999994" hidden="1" x14ac:dyDescent="0.35">
      <c r="A911" s="349">
        <v>910</v>
      </c>
      <c r="B911" s="352" t="s">
        <v>1610</v>
      </c>
      <c r="C911" s="351" t="s">
        <v>4293</v>
      </c>
      <c r="D911" s="352" t="s">
        <v>1386</v>
      </c>
      <c r="E911" s="352" t="s">
        <v>2021</v>
      </c>
      <c r="F911" s="353">
        <v>0.3</v>
      </c>
      <c r="G911" s="352" t="s">
        <v>2126</v>
      </c>
      <c r="H911" s="176" t="s">
        <v>2827</v>
      </c>
      <c r="I911" s="176" t="s">
        <v>1623</v>
      </c>
      <c r="J911" s="352" t="s">
        <v>4028</v>
      </c>
      <c r="K911" s="352"/>
      <c r="L911" s="352"/>
      <c r="M911" s="352"/>
      <c r="N911" s="352"/>
      <c r="O911" s="351">
        <v>0</v>
      </c>
      <c r="P911" s="349" t="s">
        <v>2313</v>
      </c>
      <c r="R911" s="349">
        <f t="shared" si="14"/>
        <v>20</v>
      </c>
      <c r="S911" s="352"/>
      <c r="T911" s="352"/>
      <c r="U911" s="352"/>
      <c r="V911" s="353"/>
      <c r="W911" s="352"/>
      <c r="X911" s="176"/>
      <c r="Y911" s="176"/>
      <c r="Z911" s="352"/>
      <c r="AA911" s="352"/>
      <c r="AB911" s="352"/>
      <c r="AC911" s="352"/>
      <c r="AD911" s="352"/>
    </row>
    <row r="912" spans="1:30" ht="64.099999999999994" hidden="1" x14ac:dyDescent="0.35">
      <c r="A912" s="349">
        <v>911</v>
      </c>
      <c r="B912" s="352" t="s">
        <v>1610</v>
      </c>
      <c r="C912" s="351" t="s">
        <v>1883</v>
      </c>
      <c r="D912" s="352" t="s">
        <v>1386</v>
      </c>
      <c r="E912" s="352" t="s">
        <v>2129</v>
      </c>
      <c r="F912" s="353">
        <v>6.3</v>
      </c>
      <c r="G912" s="352" t="s">
        <v>2126</v>
      </c>
      <c r="H912" s="176" t="s">
        <v>2827</v>
      </c>
      <c r="I912" s="176" t="s">
        <v>1623</v>
      </c>
      <c r="J912" s="352" t="s">
        <v>3579</v>
      </c>
      <c r="K912" s="352"/>
      <c r="L912" s="352"/>
      <c r="M912" s="352">
        <v>100</v>
      </c>
      <c r="N912" s="352" t="s">
        <v>1109</v>
      </c>
      <c r="O912" s="351">
        <v>0</v>
      </c>
      <c r="P912" s="349" t="s">
        <v>1837</v>
      </c>
      <c r="R912" s="349">
        <f t="shared" si="14"/>
        <v>20</v>
      </c>
      <c r="S912" s="352"/>
      <c r="T912" s="352"/>
      <c r="U912" s="352"/>
      <c r="V912" s="353"/>
      <c r="W912" s="352"/>
      <c r="X912" s="176"/>
      <c r="Y912" s="176"/>
      <c r="Z912" s="352"/>
      <c r="AA912" s="352"/>
      <c r="AB912" s="352"/>
      <c r="AC912" s="352"/>
      <c r="AD912" s="352"/>
    </row>
    <row r="913" spans="1:30" ht="64.099999999999994" hidden="1" x14ac:dyDescent="0.35">
      <c r="A913" s="349">
        <v>912</v>
      </c>
      <c r="B913" s="352" t="s">
        <v>1610</v>
      </c>
      <c r="C913" s="351" t="s">
        <v>1883</v>
      </c>
      <c r="D913" s="352" t="s">
        <v>1386</v>
      </c>
      <c r="E913" s="352" t="s">
        <v>2021</v>
      </c>
      <c r="F913" s="353">
        <v>0.3</v>
      </c>
      <c r="G913" s="352" t="s">
        <v>2126</v>
      </c>
      <c r="H913" s="176" t="s">
        <v>2827</v>
      </c>
      <c r="I913" s="176" t="s">
        <v>1623</v>
      </c>
      <c r="J913" s="352" t="s">
        <v>4028</v>
      </c>
      <c r="K913" s="352"/>
      <c r="L913" s="352"/>
      <c r="M913" s="352"/>
      <c r="N913" s="352"/>
      <c r="O913" s="351">
        <v>0</v>
      </c>
      <c r="P913" s="349" t="s">
        <v>2313</v>
      </c>
      <c r="R913" s="349">
        <f t="shared" si="14"/>
        <v>20</v>
      </c>
      <c r="S913" s="352"/>
      <c r="T913" s="352"/>
      <c r="U913" s="352"/>
      <c r="V913" s="353"/>
      <c r="W913" s="352"/>
      <c r="X913" s="37"/>
      <c r="Y913" s="176"/>
      <c r="Z913" s="352"/>
      <c r="AA913" s="352"/>
      <c r="AB913" s="352"/>
      <c r="AC913" s="351"/>
      <c r="AD913" s="351"/>
    </row>
    <row r="914" spans="1:30" ht="25.65" hidden="1" x14ac:dyDescent="0.35">
      <c r="A914" s="349">
        <v>913</v>
      </c>
      <c r="B914" s="352" t="s">
        <v>1585</v>
      </c>
      <c r="C914" s="351" t="s">
        <v>3074</v>
      </c>
      <c r="D914" s="352" t="s">
        <v>1414</v>
      </c>
      <c r="E914" s="352" t="s">
        <v>1611</v>
      </c>
      <c r="F914" s="353">
        <v>10.1371</v>
      </c>
      <c r="G914" s="352" t="s">
        <v>1107</v>
      </c>
      <c r="H914" s="176" t="s">
        <v>650</v>
      </c>
      <c r="I914" s="176" t="s">
        <v>935</v>
      </c>
      <c r="J914" s="352" t="s">
        <v>1612</v>
      </c>
      <c r="K914" s="352">
        <v>40</v>
      </c>
      <c r="L914" s="352" t="s">
        <v>1116</v>
      </c>
      <c r="M914" s="352">
        <v>500</v>
      </c>
      <c r="N914" s="352" t="s">
        <v>1109</v>
      </c>
      <c r="O914" s="351">
        <v>40</v>
      </c>
      <c r="P914" s="349" t="s">
        <v>1836</v>
      </c>
      <c r="R914" s="349">
        <f t="shared" si="14"/>
        <v>22</v>
      </c>
      <c r="S914" s="352"/>
      <c r="T914" s="352"/>
      <c r="U914" s="352"/>
      <c r="V914" s="353"/>
      <c r="W914" s="352"/>
      <c r="X914" s="37"/>
      <c r="Y914" s="176"/>
      <c r="Z914" s="352"/>
      <c r="AA914" s="352"/>
      <c r="AB914" s="352"/>
      <c r="AC914" s="351"/>
      <c r="AD914" s="351"/>
    </row>
    <row r="915" spans="1:30" ht="25.65" hidden="1" x14ac:dyDescent="0.35">
      <c r="A915" s="349">
        <v>914</v>
      </c>
      <c r="B915" s="352" t="s">
        <v>1585</v>
      </c>
      <c r="C915" s="351" t="s">
        <v>4294</v>
      </c>
      <c r="D915" s="352" t="s">
        <v>1414</v>
      </c>
      <c r="E915" s="352" t="s">
        <v>1611</v>
      </c>
      <c r="F915" s="353">
        <v>10.1371</v>
      </c>
      <c r="G915" s="352" t="s">
        <v>1107</v>
      </c>
      <c r="H915" s="176" t="s">
        <v>650</v>
      </c>
      <c r="I915" s="176" t="s">
        <v>935</v>
      </c>
      <c r="J915" s="352" t="s">
        <v>1612</v>
      </c>
      <c r="K915" s="352">
        <v>40</v>
      </c>
      <c r="L915" s="352" t="s">
        <v>1116</v>
      </c>
      <c r="M915" s="352">
        <v>500</v>
      </c>
      <c r="N915" s="352" t="s">
        <v>1109</v>
      </c>
      <c r="O915" s="351">
        <v>40</v>
      </c>
      <c r="P915" s="349" t="s">
        <v>1836</v>
      </c>
      <c r="R915" s="349">
        <f t="shared" si="14"/>
        <v>22</v>
      </c>
      <c r="S915" s="352"/>
      <c r="T915" s="352"/>
      <c r="U915" s="352"/>
      <c r="V915" s="353"/>
      <c r="W915" s="352"/>
      <c r="X915" s="176"/>
      <c r="Y915" s="176"/>
      <c r="Z915" s="352"/>
      <c r="AA915" s="352"/>
      <c r="AB915" s="352"/>
      <c r="AC915" s="352"/>
      <c r="AD915" s="352"/>
    </row>
    <row r="916" spans="1:30" ht="38.450000000000003" hidden="1" x14ac:dyDescent="0.35">
      <c r="A916" s="349">
        <v>915</v>
      </c>
      <c r="B916" s="352" t="s">
        <v>3248</v>
      </c>
      <c r="C916" s="351" t="s">
        <v>1814</v>
      </c>
      <c r="D916" s="352" t="s">
        <v>1814</v>
      </c>
      <c r="E916" s="352" t="s">
        <v>1613</v>
      </c>
      <c r="F916" s="353">
        <v>244.66</v>
      </c>
      <c r="G916" s="352" t="s">
        <v>1454</v>
      </c>
      <c r="H916" s="176" t="s">
        <v>3766</v>
      </c>
      <c r="I916" s="176" t="s">
        <v>3254</v>
      </c>
      <c r="J916" s="352" t="s">
        <v>1614</v>
      </c>
      <c r="K916" s="352">
        <v>7.5</v>
      </c>
      <c r="L916" s="352" t="s">
        <v>1615</v>
      </c>
      <c r="M916" s="352">
        <v>30</v>
      </c>
      <c r="N916" s="352" t="s">
        <v>1616</v>
      </c>
      <c r="O916" s="351">
        <v>7.5</v>
      </c>
      <c r="P916" s="349" t="s">
        <v>1836</v>
      </c>
      <c r="R916" s="349">
        <f t="shared" si="14"/>
        <v>11</v>
      </c>
      <c r="S916" s="352"/>
      <c r="T916" s="352"/>
      <c r="U916" s="352"/>
      <c r="V916" s="353"/>
      <c r="W916" s="352"/>
      <c r="X916" s="37"/>
      <c r="Y916" s="176"/>
      <c r="Z916" s="352"/>
      <c r="AA916" s="352"/>
      <c r="AB916" s="352"/>
      <c r="AC916" s="352"/>
      <c r="AD916" s="352"/>
    </row>
    <row r="917" spans="1:30" ht="38.450000000000003" hidden="1" x14ac:dyDescent="0.35">
      <c r="A917" s="349">
        <v>916</v>
      </c>
      <c r="B917" s="352" t="s">
        <v>3248</v>
      </c>
      <c r="C917" s="351" t="s">
        <v>1814</v>
      </c>
      <c r="D917" s="352" t="s">
        <v>1814</v>
      </c>
      <c r="E917" s="352" t="s">
        <v>1617</v>
      </c>
      <c r="F917" s="353">
        <v>104.15</v>
      </c>
      <c r="G917" s="352" t="s">
        <v>1454</v>
      </c>
      <c r="H917" s="176" t="s">
        <v>3766</v>
      </c>
      <c r="I917" s="176" t="s">
        <v>3254</v>
      </c>
      <c r="J917" s="352" t="s">
        <v>1618</v>
      </c>
      <c r="K917" s="352">
        <v>2.8</v>
      </c>
      <c r="L917" s="352" t="s">
        <v>1615</v>
      </c>
      <c r="M917" s="352">
        <v>10</v>
      </c>
      <c r="N917" s="352" t="s">
        <v>1616</v>
      </c>
      <c r="O917" s="351">
        <v>2.8</v>
      </c>
      <c r="P917" s="349" t="s">
        <v>1836</v>
      </c>
      <c r="R917" s="349">
        <f t="shared" si="14"/>
        <v>11</v>
      </c>
      <c r="S917" s="352"/>
      <c r="T917" s="352"/>
      <c r="U917" s="352"/>
      <c r="V917" s="353"/>
      <c r="W917" s="352"/>
      <c r="X917" s="37"/>
      <c r="Y917" s="176"/>
      <c r="Z917" s="352"/>
      <c r="AA917" s="352"/>
      <c r="AB917" s="352"/>
      <c r="AC917" s="352"/>
      <c r="AD917" s="352"/>
    </row>
    <row r="918" spans="1:30" ht="51.3" hidden="1" x14ac:dyDescent="0.35">
      <c r="A918" s="349">
        <v>917</v>
      </c>
      <c r="B918" s="352" t="s">
        <v>3248</v>
      </c>
      <c r="C918" s="351" t="s">
        <v>1814</v>
      </c>
      <c r="D918" s="352" t="s">
        <v>1814</v>
      </c>
      <c r="E918" s="352" t="s">
        <v>2015</v>
      </c>
      <c r="F918" s="353">
        <v>314.8</v>
      </c>
      <c r="G918" s="352" t="s">
        <v>1454</v>
      </c>
      <c r="H918" s="176" t="s">
        <v>1538</v>
      </c>
      <c r="I918" s="176" t="s">
        <v>956</v>
      </c>
      <c r="J918" s="352" t="s">
        <v>1455</v>
      </c>
      <c r="K918" s="352">
        <v>130</v>
      </c>
      <c r="L918" s="352" t="s">
        <v>1536</v>
      </c>
      <c r="M918" s="352"/>
      <c r="N918" s="352"/>
      <c r="O918" s="351">
        <v>130</v>
      </c>
      <c r="P918" s="349" t="s">
        <v>1836</v>
      </c>
      <c r="R918" s="349">
        <f t="shared" si="14"/>
        <v>11</v>
      </c>
      <c r="S918" s="352"/>
      <c r="T918" s="352"/>
      <c r="U918" s="352"/>
      <c r="V918" s="353"/>
      <c r="W918" s="352"/>
      <c r="X918" s="37"/>
      <c r="Y918" s="176"/>
      <c r="Z918" s="352"/>
      <c r="AA918" s="352"/>
      <c r="AB918" s="352"/>
      <c r="AC918" s="352"/>
      <c r="AD918" s="352"/>
    </row>
    <row r="919" spans="1:30" ht="230.7" hidden="1" x14ac:dyDescent="0.35">
      <c r="A919" s="349">
        <v>918</v>
      </c>
      <c r="B919" s="352" t="s">
        <v>3248</v>
      </c>
      <c r="C919" s="351" t="s">
        <v>1814</v>
      </c>
      <c r="D919" s="352" t="s">
        <v>1814</v>
      </c>
      <c r="E919" s="352" t="s">
        <v>762</v>
      </c>
      <c r="F919" s="353">
        <v>0.77</v>
      </c>
      <c r="G919" s="352" t="s">
        <v>1107</v>
      </c>
      <c r="H919" s="176" t="s">
        <v>3934</v>
      </c>
      <c r="I919" s="176" t="s">
        <v>4708</v>
      </c>
      <c r="J919" s="352" t="s">
        <v>828</v>
      </c>
      <c r="K919" s="352">
        <v>40</v>
      </c>
      <c r="L919" s="352" t="s">
        <v>1116</v>
      </c>
      <c r="M919" s="352">
        <v>2</v>
      </c>
      <c r="N919" s="352" t="s">
        <v>1109</v>
      </c>
      <c r="O919" s="351">
        <v>40</v>
      </c>
      <c r="P919" s="349" t="s">
        <v>1836</v>
      </c>
      <c r="R919" s="349">
        <f t="shared" si="14"/>
        <v>11</v>
      </c>
      <c r="S919" s="352"/>
      <c r="T919" s="352"/>
      <c r="U919" s="352"/>
      <c r="V919" s="353"/>
      <c r="W919" s="352"/>
      <c r="X919" s="37"/>
      <c r="Y919" s="176"/>
      <c r="Z919" s="352"/>
      <c r="AA919" s="352"/>
      <c r="AB919" s="352"/>
      <c r="AC919" s="352"/>
      <c r="AD919" s="352"/>
    </row>
    <row r="920" spans="1:30" ht="230.7" hidden="1" x14ac:dyDescent="0.35">
      <c r="A920" s="349">
        <v>919</v>
      </c>
      <c r="B920" s="352" t="s">
        <v>3248</v>
      </c>
      <c r="C920" s="351" t="s">
        <v>1814</v>
      </c>
      <c r="D920" s="352" t="s">
        <v>1814</v>
      </c>
      <c r="E920" s="352" t="s">
        <v>1619</v>
      </c>
      <c r="F920" s="353">
        <v>0.85</v>
      </c>
      <c r="G920" s="352" t="s">
        <v>1107</v>
      </c>
      <c r="H920" s="176" t="s">
        <v>3934</v>
      </c>
      <c r="I920" s="176" t="s">
        <v>4708</v>
      </c>
      <c r="J920" s="352" t="s">
        <v>1620</v>
      </c>
      <c r="K920" s="352">
        <v>10</v>
      </c>
      <c r="L920" s="352" t="s">
        <v>1116</v>
      </c>
      <c r="M920" s="351">
        <v>2</v>
      </c>
      <c r="N920" s="351" t="s">
        <v>1109</v>
      </c>
      <c r="O920" s="351">
        <v>10</v>
      </c>
      <c r="P920" s="349" t="s">
        <v>1836</v>
      </c>
      <c r="R920" s="349">
        <f t="shared" si="14"/>
        <v>11</v>
      </c>
      <c r="S920" s="352"/>
      <c r="T920" s="352"/>
      <c r="U920" s="352"/>
      <c r="V920" s="353"/>
      <c r="W920" s="352"/>
      <c r="X920" s="37"/>
      <c r="Y920" s="176"/>
      <c r="Z920" s="352"/>
      <c r="AA920" s="352"/>
      <c r="AB920" s="352"/>
      <c r="AC920" s="351"/>
      <c r="AD920" s="351"/>
    </row>
    <row r="921" spans="1:30" ht="76.900000000000006" hidden="1" x14ac:dyDescent="0.35">
      <c r="A921" s="349">
        <v>920</v>
      </c>
      <c r="B921" s="352" t="s">
        <v>32</v>
      </c>
      <c r="C921" s="351" t="s">
        <v>1814</v>
      </c>
      <c r="D921" s="352" t="s">
        <v>1814</v>
      </c>
      <c r="E921" s="352" t="s">
        <v>3209</v>
      </c>
      <c r="F921" s="353">
        <v>4.6497999999999999</v>
      </c>
      <c r="G921" s="352" t="s">
        <v>34</v>
      </c>
      <c r="H921" s="176" t="s">
        <v>1980</v>
      </c>
      <c r="I921" s="176" t="s">
        <v>704</v>
      </c>
      <c r="J921" s="352" t="s">
        <v>4025</v>
      </c>
      <c r="K921" s="351">
        <v>3</v>
      </c>
      <c r="L921" s="351" t="s">
        <v>1116</v>
      </c>
      <c r="M921" s="352">
        <v>5</v>
      </c>
      <c r="N921" s="352" t="s">
        <v>1109</v>
      </c>
      <c r="O921" s="351">
        <v>3</v>
      </c>
      <c r="P921" s="349" t="s">
        <v>1836</v>
      </c>
      <c r="R921" s="349">
        <f t="shared" si="14"/>
        <v>11</v>
      </c>
      <c r="S921" s="352"/>
      <c r="T921" s="352"/>
      <c r="U921" s="352"/>
      <c r="V921" s="353"/>
      <c r="W921" s="352"/>
      <c r="X921" s="176"/>
      <c r="Y921" s="176"/>
      <c r="Z921" s="352"/>
      <c r="AA921" s="352"/>
      <c r="AB921" s="352"/>
      <c r="AC921" s="352"/>
      <c r="AD921" s="352"/>
    </row>
    <row r="922" spans="1:30" ht="230.7" hidden="1" x14ac:dyDescent="0.35">
      <c r="A922" s="349">
        <v>921</v>
      </c>
      <c r="B922" s="352" t="s">
        <v>3248</v>
      </c>
      <c r="C922" s="351" t="s">
        <v>1814</v>
      </c>
      <c r="D922" s="352" t="s">
        <v>1814</v>
      </c>
      <c r="E922" s="352" t="s">
        <v>762</v>
      </c>
      <c r="F922" s="353">
        <v>0.77</v>
      </c>
      <c r="G922" s="352" t="s">
        <v>1107</v>
      </c>
      <c r="H922" s="176" t="s">
        <v>3934</v>
      </c>
      <c r="I922" s="176" t="s">
        <v>4708</v>
      </c>
      <c r="J922" s="352" t="s">
        <v>828</v>
      </c>
      <c r="K922" s="352">
        <v>40</v>
      </c>
      <c r="L922" s="352" t="s">
        <v>1116</v>
      </c>
      <c r="M922" s="352">
        <v>2</v>
      </c>
      <c r="N922" s="352" t="s">
        <v>1109</v>
      </c>
      <c r="O922" s="351">
        <v>40</v>
      </c>
      <c r="P922" s="349" t="s">
        <v>1836</v>
      </c>
      <c r="R922" s="349">
        <f t="shared" si="14"/>
        <v>11</v>
      </c>
      <c r="S922" s="352"/>
      <c r="T922" s="352"/>
      <c r="U922" s="352"/>
      <c r="V922" s="353"/>
      <c r="W922" s="352"/>
      <c r="X922" s="37"/>
      <c r="Y922" s="176"/>
      <c r="Z922" s="352"/>
      <c r="AA922" s="352"/>
      <c r="AB922" s="352"/>
      <c r="AC922" s="351"/>
      <c r="AD922" s="351"/>
    </row>
    <row r="923" spans="1:30" ht="230.7" hidden="1" x14ac:dyDescent="0.35">
      <c r="A923" s="349">
        <v>922</v>
      </c>
      <c r="B923" s="352" t="s">
        <v>3248</v>
      </c>
      <c r="C923" s="351" t="s">
        <v>1814</v>
      </c>
      <c r="D923" s="352" t="s">
        <v>1814</v>
      </c>
      <c r="E923" s="352" t="s">
        <v>1619</v>
      </c>
      <c r="F923" s="353">
        <v>0.85</v>
      </c>
      <c r="G923" s="352" t="s">
        <v>1107</v>
      </c>
      <c r="H923" s="176" t="s">
        <v>3934</v>
      </c>
      <c r="I923" s="176" t="s">
        <v>4708</v>
      </c>
      <c r="J923" s="352" t="s">
        <v>1620</v>
      </c>
      <c r="K923" s="352">
        <v>10</v>
      </c>
      <c r="L923" s="352" t="s">
        <v>1116</v>
      </c>
      <c r="M923" s="351">
        <v>2</v>
      </c>
      <c r="N923" s="351" t="s">
        <v>1109</v>
      </c>
      <c r="O923" s="351">
        <v>10</v>
      </c>
      <c r="P923" s="349" t="s">
        <v>1836</v>
      </c>
      <c r="R923" s="349">
        <f t="shared" si="14"/>
        <v>11</v>
      </c>
      <c r="S923" s="352"/>
      <c r="T923" s="352"/>
      <c r="U923" s="352"/>
      <c r="V923" s="353"/>
      <c r="W923" s="352"/>
      <c r="X923" s="37"/>
      <c r="Y923" s="37"/>
      <c r="Z923" s="352"/>
      <c r="AA923" s="352"/>
      <c r="AB923" s="352"/>
      <c r="AC923" s="351"/>
      <c r="AD923" s="351"/>
    </row>
    <row r="924" spans="1:30" ht="102.55" hidden="1" x14ac:dyDescent="0.35">
      <c r="A924" s="349">
        <v>923</v>
      </c>
      <c r="B924" s="352" t="s">
        <v>32</v>
      </c>
      <c r="C924" s="351" t="s">
        <v>3824</v>
      </c>
      <c r="D924" s="352" t="s">
        <v>5041</v>
      </c>
      <c r="E924" s="352" t="s">
        <v>3209</v>
      </c>
      <c r="F924" s="353">
        <v>13.22</v>
      </c>
      <c r="G924" s="352" t="s">
        <v>34</v>
      </c>
      <c r="H924" s="176" t="s">
        <v>1980</v>
      </c>
      <c r="I924" s="176" t="s">
        <v>4749</v>
      </c>
      <c r="J924" s="352" t="s">
        <v>4025</v>
      </c>
      <c r="K924" s="352"/>
      <c r="L924" s="352"/>
      <c r="M924" s="352">
        <v>5</v>
      </c>
      <c r="N924" s="352" t="s">
        <v>1109</v>
      </c>
      <c r="O924" s="351">
        <v>0</v>
      </c>
      <c r="P924" s="349" t="s">
        <v>1837</v>
      </c>
      <c r="R924" s="349">
        <f t="shared" si="14"/>
        <v>24</v>
      </c>
      <c r="S924" s="352"/>
      <c r="T924" s="352"/>
      <c r="U924" s="352"/>
      <c r="V924" s="353"/>
      <c r="W924" s="352"/>
      <c r="X924" s="176"/>
      <c r="Y924" s="176"/>
      <c r="Z924" s="352"/>
      <c r="AA924" s="352"/>
      <c r="AB924" s="352"/>
      <c r="AC924" s="352"/>
      <c r="AD924" s="352"/>
    </row>
    <row r="925" spans="1:30" ht="76.900000000000006" hidden="1" x14ac:dyDescent="0.35">
      <c r="A925" s="349">
        <v>924</v>
      </c>
      <c r="B925" s="352" t="s">
        <v>32</v>
      </c>
      <c r="C925" s="351" t="s">
        <v>4295</v>
      </c>
      <c r="D925" s="352" t="s">
        <v>1814</v>
      </c>
      <c r="E925" s="352" t="s">
        <v>3209</v>
      </c>
      <c r="F925" s="353">
        <v>4.6497999999999999</v>
      </c>
      <c r="G925" s="352" t="s">
        <v>34</v>
      </c>
      <c r="H925" s="176" t="s">
        <v>1980</v>
      </c>
      <c r="I925" s="176" t="s">
        <v>704</v>
      </c>
      <c r="J925" s="352" t="s">
        <v>4025</v>
      </c>
      <c r="K925" s="352">
        <v>3</v>
      </c>
      <c r="L925" s="352" t="s">
        <v>1116</v>
      </c>
      <c r="M925" s="352">
        <v>5</v>
      </c>
      <c r="N925" s="352" t="s">
        <v>1109</v>
      </c>
      <c r="O925" s="351">
        <v>3</v>
      </c>
      <c r="P925" s="349" t="s">
        <v>1836</v>
      </c>
      <c r="R925" s="349">
        <f t="shared" si="14"/>
        <v>11</v>
      </c>
      <c r="S925" s="352"/>
      <c r="T925" s="352"/>
      <c r="U925" s="352"/>
      <c r="V925" s="353"/>
      <c r="W925" s="352"/>
      <c r="X925" s="176"/>
      <c r="Y925" s="176"/>
      <c r="Z925" s="352"/>
      <c r="AA925" s="352"/>
      <c r="AB925" s="352"/>
      <c r="AC925" s="351"/>
      <c r="AD925" s="351"/>
    </row>
    <row r="926" spans="1:30" ht="128.19999999999999" hidden="1" x14ac:dyDescent="0.35">
      <c r="A926" s="349">
        <v>925</v>
      </c>
      <c r="B926" s="352" t="s">
        <v>19</v>
      </c>
      <c r="C926" s="351" t="s">
        <v>4296</v>
      </c>
      <c r="D926" s="352" t="s">
        <v>3004</v>
      </c>
      <c r="E926" s="352" t="s">
        <v>1998</v>
      </c>
      <c r="F926" s="353">
        <v>0.77</v>
      </c>
      <c r="G926" s="352" t="s">
        <v>2126</v>
      </c>
      <c r="H926" s="176" t="s">
        <v>4649</v>
      </c>
      <c r="I926" s="176" t="s">
        <v>3317</v>
      </c>
      <c r="J926" s="352" t="s">
        <v>22</v>
      </c>
      <c r="K926" s="352">
        <v>150</v>
      </c>
      <c r="L926" s="352" t="s">
        <v>23</v>
      </c>
      <c r="M926" s="351"/>
      <c r="N926" s="351"/>
      <c r="O926" s="351">
        <v>150</v>
      </c>
      <c r="P926" s="349" t="s">
        <v>1836</v>
      </c>
      <c r="R926" s="349">
        <f t="shared" si="14"/>
        <v>15</v>
      </c>
      <c r="S926" s="352"/>
      <c r="T926" s="352"/>
      <c r="U926" s="352"/>
      <c r="V926" s="353"/>
      <c r="W926" s="352"/>
      <c r="X926" s="37"/>
      <c r="Y926" s="176"/>
      <c r="Z926" s="352"/>
      <c r="AA926" s="352"/>
      <c r="AB926" s="352"/>
      <c r="AC926" s="351"/>
      <c r="AD926" s="351"/>
    </row>
    <row r="927" spans="1:30" ht="89.75" hidden="1" x14ac:dyDescent="0.35">
      <c r="A927" s="349">
        <v>926</v>
      </c>
      <c r="B927" s="352" t="s">
        <v>32</v>
      </c>
      <c r="C927" s="351" t="s">
        <v>4297</v>
      </c>
      <c r="D927" s="352" t="s">
        <v>544</v>
      </c>
      <c r="E927" s="352" t="s">
        <v>3209</v>
      </c>
      <c r="F927" s="353">
        <v>4.05</v>
      </c>
      <c r="G927" s="352" t="s">
        <v>34</v>
      </c>
      <c r="H927" s="176" t="s">
        <v>705</v>
      </c>
      <c r="I927" s="176" t="s">
        <v>4750</v>
      </c>
      <c r="J927" s="352" t="s">
        <v>4025</v>
      </c>
      <c r="K927" s="352">
        <v>2.5</v>
      </c>
      <c r="L927" s="352" t="s">
        <v>1116</v>
      </c>
      <c r="M927" s="351">
        <v>5</v>
      </c>
      <c r="N927" s="351" t="s">
        <v>1109</v>
      </c>
      <c r="O927" s="351">
        <v>2.5</v>
      </c>
      <c r="P927" s="349" t="s">
        <v>1836</v>
      </c>
      <c r="R927" s="349">
        <f t="shared" si="14"/>
        <v>15</v>
      </c>
      <c r="S927" s="352"/>
      <c r="T927" s="352"/>
      <c r="U927" s="352"/>
      <c r="V927" s="353"/>
      <c r="W927" s="352"/>
      <c r="X927" s="37"/>
      <c r="Y927" s="176"/>
      <c r="Z927" s="352"/>
      <c r="AA927" s="352"/>
      <c r="AB927" s="352"/>
      <c r="AC927" s="351"/>
      <c r="AD927" s="351"/>
    </row>
    <row r="928" spans="1:30" ht="89.75" hidden="1" x14ac:dyDescent="0.35">
      <c r="A928" s="349">
        <v>927</v>
      </c>
      <c r="B928" s="352" t="s">
        <v>32</v>
      </c>
      <c r="C928" s="351" t="s">
        <v>4297</v>
      </c>
      <c r="D928" s="352" t="s">
        <v>544</v>
      </c>
      <c r="E928" s="352" t="s">
        <v>1069</v>
      </c>
      <c r="F928" s="353">
        <v>3.3056000000000001</v>
      </c>
      <c r="G928" s="352" t="s">
        <v>34</v>
      </c>
      <c r="H928" s="176" t="s">
        <v>705</v>
      </c>
      <c r="I928" s="176" t="s">
        <v>4750</v>
      </c>
      <c r="J928" s="352" t="s">
        <v>35</v>
      </c>
      <c r="K928" s="352">
        <v>10</v>
      </c>
      <c r="L928" s="352" t="s">
        <v>30</v>
      </c>
      <c r="M928" s="351">
        <v>5</v>
      </c>
      <c r="N928" s="351" t="s">
        <v>31</v>
      </c>
      <c r="O928" s="351">
        <v>10</v>
      </c>
      <c r="P928" s="349" t="s">
        <v>1836</v>
      </c>
      <c r="R928" s="349">
        <f t="shared" si="14"/>
        <v>15</v>
      </c>
      <c r="S928" s="352"/>
      <c r="T928" s="352"/>
      <c r="U928" s="352"/>
      <c r="V928" s="353"/>
      <c r="W928" s="352"/>
      <c r="X928" s="37"/>
      <c r="Y928" s="176"/>
      <c r="Z928" s="352"/>
      <c r="AA928" s="352"/>
      <c r="AB928" s="352"/>
      <c r="AC928" s="352"/>
      <c r="AD928" s="352"/>
    </row>
    <row r="929" spans="1:30" ht="153.80000000000001" hidden="1" x14ac:dyDescent="0.35">
      <c r="A929" s="349">
        <v>928</v>
      </c>
      <c r="B929" s="352" t="s">
        <v>1512</v>
      </c>
      <c r="C929" s="351" t="s">
        <v>4298</v>
      </c>
      <c r="D929" s="352" t="s">
        <v>1815</v>
      </c>
      <c r="E929" s="352" t="s">
        <v>1997</v>
      </c>
      <c r="F929" s="353">
        <v>50.354799999999997</v>
      </c>
      <c r="G929" s="352" t="s">
        <v>471</v>
      </c>
      <c r="H929" s="176" t="s">
        <v>1128</v>
      </c>
      <c r="I929" s="176" t="s">
        <v>1129</v>
      </c>
      <c r="J929" s="352" t="s">
        <v>1115</v>
      </c>
      <c r="K929" s="352">
        <v>1</v>
      </c>
      <c r="L929" s="352" t="s">
        <v>1464</v>
      </c>
      <c r="M929" s="351"/>
      <c r="N929" s="351"/>
      <c r="O929" s="351">
        <v>1</v>
      </c>
      <c r="P929" s="349" t="s">
        <v>1836</v>
      </c>
      <c r="R929" s="349">
        <f t="shared" si="14"/>
        <v>8</v>
      </c>
      <c r="S929" s="352"/>
      <c r="T929" s="352"/>
      <c r="U929" s="352"/>
      <c r="V929" s="353"/>
      <c r="W929" s="352"/>
      <c r="X929" s="37"/>
      <c r="Y929" s="176"/>
      <c r="Z929" s="352"/>
      <c r="AA929" s="352"/>
      <c r="AB929" s="352"/>
      <c r="AC929" s="352"/>
      <c r="AD929" s="352"/>
    </row>
    <row r="930" spans="1:30" ht="89.75" hidden="1" x14ac:dyDescent="0.35">
      <c r="A930" s="349">
        <v>929</v>
      </c>
      <c r="B930" s="352" t="s">
        <v>729</v>
      </c>
      <c r="C930" s="351" t="s">
        <v>4298</v>
      </c>
      <c r="D930" s="352" t="s">
        <v>1815</v>
      </c>
      <c r="E930" s="352" t="s">
        <v>1997</v>
      </c>
      <c r="F930" s="353">
        <v>50.35</v>
      </c>
      <c r="G930" s="352" t="s">
        <v>471</v>
      </c>
      <c r="H930" s="176" t="s">
        <v>1468</v>
      </c>
      <c r="I930" s="176" t="s">
        <v>1129</v>
      </c>
      <c r="J930" s="352" t="s">
        <v>1115</v>
      </c>
      <c r="K930" s="352">
        <v>1</v>
      </c>
      <c r="L930" s="352" t="s">
        <v>1464</v>
      </c>
      <c r="M930" s="352"/>
      <c r="N930" s="352"/>
      <c r="O930" s="351">
        <v>1</v>
      </c>
      <c r="P930" s="349" t="s">
        <v>1836</v>
      </c>
      <c r="R930" s="349">
        <f t="shared" si="14"/>
        <v>8</v>
      </c>
      <c r="S930" s="352"/>
      <c r="T930" s="352"/>
      <c r="U930" s="352"/>
      <c r="V930" s="353"/>
      <c r="W930" s="352"/>
      <c r="X930" s="37"/>
      <c r="Y930" s="176"/>
      <c r="Z930" s="352"/>
      <c r="AA930" s="352"/>
      <c r="AB930" s="352"/>
      <c r="AC930" s="351"/>
      <c r="AD930" s="351"/>
    </row>
    <row r="931" spans="1:30" ht="153.80000000000001" hidden="1" x14ac:dyDescent="0.35">
      <c r="A931" s="349">
        <v>930</v>
      </c>
      <c r="B931" s="352" t="s">
        <v>1512</v>
      </c>
      <c r="C931" s="351" t="s">
        <v>1815</v>
      </c>
      <c r="D931" s="352" t="s">
        <v>1815</v>
      </c>
      <c r="E931" s="352" t="s">
        <v>1997</v>
      </c>
      <c r="F931" s="353">
        <v>50.354799999999997</v>
      </c>
      <c r="G931" s="352" t="s">
        <v>471</v>
      </c>
      <c r="H931" s="176" t="s">
        <v>1128</v>
      </c>
      <c r="I931" s="176" t="s">
        <v>1129</v>
      </c>
      <c r="J931" s="352" t="s">
        <v>1115</v>
      </c>
      <c r="K931" s="352">
        <v>1</v>
      </c>
      <c r="L931" s="352" t="s">
        <v>1464</v>
      </c>
      <c r="M931" s="352"/>
      <c r="N931" s="352"/>
      <c r="O931" s="351">
        <v>1</v>
      </c>
      <c r="P931" s="349" t="s">
        <v>1836</v>
      </c>
      <c r="R931" s="349">
        <f t="shared" si="14"/>
        <v>8</v>
      </c>
      <c r="S931" s="352"/>
      <c r="T931" s="352"/>
      <c r="U931" s="352"/>
      <c r="V931" s="353"/>
      <c r="W931" s="352"/>
      <c r="X931" s="176"/>
      <c r="Y931" s="176"/>
      <c r="Z931" s="352"/>
      <c r="AA931" s="352"/>
      <c r="AB931" s="352"/>
      <c r="AC931" s="351"/>
      <c r="AD931" s="351"/>
    </row>
    <row r="932" spans="1:30" ht="89.75" hidden="1" x14ac:dyDescent="0.35">
      <c r="A932" s="349">
        <v>931</v>
      </c>
      <c r="B932" s="352" t="s">
        <v>729</v>
      </c>
      <c r="C932" s="351" t="s">
        <v>1815</v>
      </c>
      <c r="D932" s="352" t="s">
        <v>1815</v>
      </c>
      <c r="E932" s="352" t="s">
        <v>1997</v>
      </c>
      <c r="F932" s="353">
        <v>50.35</v>
      </c>
      <c r="G932" s="352" t="s">
        <v>471</v>
      </c>
      <c r="H932" s="176" t="s">
        <v>1468</v>
      </c>
      <c r="I932" s="176" t="s">
        <v>1129</v>
      </c>
      <c r="J932" s="352" t="s">
        <v>1115</v>
      </c>
      <c r="K932" s="352">
        <v>1</v>
      </c>
      <c r="L932" s="352" t="s">
        <v>1464</v>
      </c>
      <c r="M932" s="352"/>
      <c r="N932" s="352"/>
      <c r="O932" s="351">
        <v>1</v>
      </c>
      <c r="P932" s="349" t="s">
        <v>1836</v>
      </c>
      <c r="R932" s="349">
        <f t="shared" si="14"/>
        <v>8</v>
      </c>
      <c r="S932" s="352"/>
      <c r="T932" s="352"/>
      <c r="U932" s="352"/>
      <c r="V932" s="353"/>
      <c r="W932" s="352"/>
      <c r="X932" s="37"/>
      <c r="Y932" s="176"/>
      <c r="Z932" s="352"/>
      <c r="AA932" s="352"/>
      <c r="AB932" s="352"/>
      <c r="AC932" s="352"/>
      <c r="AD932" s="352"/>
    </row>
    <row r="933" spans="1:30" ht="115.35" hidden="1" x14ac:dyDescent="0.35">
      <c r="A933" s="349">
        <v>932</v>
      </c>
      <c r="B933" s="352" t="s">
        <v>472</v>
      </c>
      <c r="C933" s="351" t="s">
        <v>2098</v>
      </c>
      <c r="D933" s="352" t="s">
        <v>2098</v>
      </c>
      <c r="E933" s="352" t="s">
        <v>1443</v>
      </c>
      <c r="F933" s="353">
        <v>1.8511</v>
      </c>
      <c r="G933" s="352" t="s">
        <v>1107</v>
      </c>
      <c r="H933" s="176" t="s">
        <v>2450</v>
      </c>
      <c r="I933" s="176" t="s">
        <v>2451</v>
      </c>
      <c r="J933" s="352" t="s">
        <v>1108</v>
      </c>
      <c r="K933" s="352">
        <v>5</v>
      </c>
      <c r="L933" s="352" t="s">
        <v>470</v>
      </c>
      <c r="M933" s="352">
        <v>100</v>
      </c>
      <c r="N933" s="352" t="s">
        <v>1109</v>
      </c>
      <c r="O933" s="351">
        <v>5</v>
      </c>
      <c r="P933" s="349" t="s">
        <v>1838</v>
      </c>
      <c r="R933" s="349">
        <f t="shared" si="14"/>
        <v>7</v>
      </c>
      <c r="S933" s="352"/>
      <c r="T933" s="352"/>
      <c r="U933" s="352"/>
      <c r="V933" s="353"/>
      <c r="W933" s="352"/>
      <c r="X933" s="37"/>
      <c r="Y933" s="176"/>
      <c r="Z933" s="352"/>
      <c r="AA933" s="352"/>
      <c r="AB933" s="352"/>
      <c r="AC933" s="352"/>
      <c r="AD933" s="352"/>
    </row>
    <row r="934" spans="1:30" ht="115.35" hidden="1" x14ac:dyDescent="0.35">
      <c r="A934" s="349">
        <v>933</v>
      </c>
      <c r="B934" s="352" t="s">
        <v>472</v>
      </c>
      <c r="C934" s="351" t="s">
        <v>2098</v>
      </c>
      <c r="D934" s="352" t="s">
        <v>2098</v>
      </c>
      <c r="E934" s="352" t="s">
        <v>1443</v>
      </c>
      <c r="F934" s="353">
        <v>2.8647999999999998</v>
      </c>
      <c r="G934" s="352" t="s">
        <v>1107</v>
      </c>
      <c r="H934" s="176" t="s">
        <v>2450</v>
      </c>
      <c r="I934" s="176" t="s">
        <v>2451</v>
      </c>
      <c r="J934" s="352" t="s">
        <v>1108</v>
      </c>
      <c r="K934" s="352">
        <v>10</v>
      </c>
      <c r="L934" s="352" t="s">
        <v>470</v>
      </c>
      <c r="M934" s="352">
        <v>100</v>
      </c>
      <c r="N934" s="352" t="s">
        <v>1109</v>
      </c>
      <c r="O934" s="351">
        <v>10</v>
      </c>
      <c r="P934" s="349" t="s">
        <v>1838</v>
      </c>
      <c r="R934" s="349">
        <f t="shared" si="14"/>
        <v>7</v>
      </c>
      <c r="S934" s="352"/>
      <c r="T934" s="352"/>
      <c r="U934" s="352"/>
      <c r="V934" s="353"/>
      <c r="W934" s="352"/>
      <c r="X934" s="176"/>
      <c r="Y934" s="176"/>
      <c r="Z934" s="352"/>
      <c r="AA934" s="352"/>
      <c r="AB934" s="352"/>
      <c r="AC934" s="352"/>
      <c r="AD934" s="352"/>
    </row>
    <row r="935" spans="1:30" ht="115.35" hidden="1" x14ac:dyDescent="0.35">
      <c r="A935" s="349">
        <v>934</v>
      </c>
      <c r="B935" s="352" t="s">
        <v>472</v>
      </c>
      <c r="C935" s="351" t="s">
        <v>2098</v>
      </c>
      <c r="D935" s="352" t="s">
        <v>2098</v>
      </c>
      <c r="E935" s="352" t="s">
        <v>1443</v>
      </c>
      <c r="F935" s="353">
        <v>2.5499999999999998</v>
      </c>
      <c r="G935" s="352" t="s">
        <v>1107</v>
      </c>
      <c r="H935" s="176" t="s">
        <v>2450</v>
      </c>
      <c r="I935" s="176" t="s">
        <v>2451</v>
      </c>
      <c r="J935" s="352" t="s">
        <v>1108</v>
      </c>
      <c r="K935" s="352">
        <v>15</v>
      </c>
      <c r="L935" s="352" t="s">
        <v>470</v>
      </c>
      <c r="M935" s="352">
        <v>100</v>
      </c>
      <c r="N935" s="352" t="s">
        <v>1109</v>
      </c>
      <c r="O935" s="351">
        <v>15</v>
      </c>
      <c r="P935" s="349" t="s">
        <v>1838</v>
      </c>
      <c r="R935" s="349">
        <f t="shared" si="14"/>
        <v>7</v>
      </c>
      <c r="S935" s="352"/>
      <c r="T935" s="352"/>
      <c r="U935" s="352"/>
      <c r="V935" s="353"/>
      <c r="W935" s="352"/>
      <c r="X935" s="37"/>
      <c r="Y935" s="176"/>
      <c r="Z935" s="352"/>
      <c r="AA935" s="352"/>
      <c r="AB935" s="352"/>
      <c r="AC935" s="352"/>
      <c r="AD935" s="352"/>
    </row>
    <row r="936" spans="1:30" ht="115.35" hidden="1" x14ac:dyDescent="0.35">
      <c r="A936" s="349">
        <v>935</v>
      </c>
      <c r="B936" s="352" t="s">
        <v>472</v>
      </c>
      <c r="C936" s="351" t="s">
        <v>2098</v>
      </c>
      <c r="D936" s="352" t="s">
        <v>2098</v>
      </c>
      <c r="E936" s="352" t="s">
        <v>1443</v>
      </c>
      <c r="F936" s="353">
        <v>3.1</v>
      </c>
      <c r="G936" s="352" t="s">
        <v>1107</v>
      </c>
      <c r="H936" s="176" t="s">
        <v>2450</v>
      </c>
      <c r="I936" s="176" t="s">
        <v>2451</v>
      </c>
      <c r="J936" s="352" t="s">
        <v>1108</v>
      </c>
      <c r="K936" s="352">
        <v>20</v>
      </c>
      <c r="L936" s="352" t="s">
        <v>470</v>
      </c>
      <c r="M936" s="352">
        <v>100</v>
      </c>
      <c r="N936" s="352" t="s">
        <v>1109</v>
      </c>
      <c r="O936" s="351">
        <v>20</v>
      </c>
      <c r="P936" s="349" t="s">
        <v>1838</v>
      </c>
      <c r="R936" s="349">
        <f t="shared" si="14"/>
        <v>7</v>
      </c>
      <c r="S936" s="352"/>
      <c r="T936" s="352"/>
      <c r="U936" s="352"/>
      <c r="V936" s="353"/>
      <c r="W936" s="352"/>
      <c r="X936" s="176"/>
      <c r="Y936" s="176"/>
      <c r="Z936" s="352"/>
      <c r="AA936" s="352"/>
      <c r="AB936" s="352"/>
      <c r="AC936" s="352"/>
      <c r="AD936" s="352"/>
    </row>
    <row r="937" spans="1:30" ht="115.35" hidden="1" x14ac:dyDescent="0.35">
      <c r="A937" s="349">
        <v>936</v>
      </c>
      <c r="B937" s="352" t="s">
        <v>472</v>
      </c>
      <c r="C937" s="351" t="s">
        <v>2098</v>
      </c>
      <c r="D937" s="352" t="s">
        <v>2098</v>
      </c>
      <c r="E937" s="352" t="s">
        <v>1443</v>
      </c>
      <c r="F937" s="353">
        <v>3.2</v>
      </c>
      <c r="G937" s="352" t="s">
        <v>1107</v>
      </c>
      <c r="H937" s="176" t="s">
        <v>2450</v>
      </c>
      <c r="I937" s="176" t="s">
        <v>2451</v>
      </c>
      <c r="J937" s="352" t="s">
        <v>1108</v>
      </c>
      <c r="K937" s="352">
        <v>50</v>
      </c>
      <c r="L937" s="352" t="s">
        <v>470</v>
      </c>
      <c r="M937" s="352">
        <v>100</v>
      </c>
      <c r="N937" s="352" t="s">
        <v>1109</v>
      </c>
      <c r="O937" s="351">
        <v>50</v>
      </c>
      <c r="P937" s="349" t="s">
        <v>1838</v>
      </c>
      <c r="R937" s="349">
        <f t="shared" si="14"/>
        <v>7</v>
      </c>
      <c r="S937" s="352"/>
      <c r="T937" s="352"/>
      <c r="U937" s="352"/>
      <c r="V937" s="353"/>
      <c r="W937" s="352"/>
      <c r="X937" s="37"/>
      <c r="Y937" s="176"/>
      <c r="Z937" s="352"/>
      <c r="AA937" s="352"/>
      <c r="AB937" s="352"/>
      <c r="AC937" s="352"/>
      <c r="AD937" s="352"/>
    </row>
    <row r="938" spans="1:30" ht="64.099999999999994" hidden="1" x14ac:dyDescent="0.35">
      <c r="A938" s="349">
        <v>937</v>
      </c>
      <c r="B938" s="352" t="s">
        <v>1512</v>
      </c>
      <c r="C938" s="351" t="s">
        <v>2098</v>
      </c>
      <c r="D938" s="352" t="s">
        <v>2098</v>
      </c>
      <c r="E938" s="352" t="s">
        <v>92</v>
      </c>
      <c r="F938" s="353">
        <v>1.21</v>
      </c>
      <c r="G938" s="352" t="s">
        <v>2126</v>
      </c>
      <c r="H938" s="176" t="s">
        <v>2549</v>
      </c>
      <c r="I938" s="176" t="s">
        <v>2550</v>
      </c>
      <c r="J938" s="352" t="s">
        <v>3579</v>
      </c>
      <c r="K938" s="352">
        <v>25</v>
      </c>
      <c r="L938" s="352" t="s">
        <v>470</v>
      </c>
      <c r="M938" s="352">
        <v>300</v>
      </c>
      <c r="N938" s="352" t="s">
        <v>1109</v>
      </c>
      <c r="O938" s="351">
        <v>25</v>
      </c>
      <c r="P938" s="349" t="s">
        <v>1838</v>
      </c>
      <c r="R938" s="349">
        <f t="shared" si="14"/>
        <v>7</v>
      </c>
      <c r="S938" s="352"/>
      <c r="T938" s="352"/>
      <c r="U938" s="352"/>
      <c r="V938" s="353"/>
      <c r="W938" s="352"/>
      <c r="X938" s="176"/>
      <c r="Y938" s="176"/>
      <c r="Z938" s="352"/>
      <c r="AA938" s="352"/>
      <c r="AB938" s="352"/>
      <c r="AC938" s="352"/>
      <c r="AD938" s="352"/>
    </row>
    <row r="939" spans="1:30" ht="115.35" hidden="1" x14ac:dyDescent="0.35">
      <c r="A939" s="349">
        <v>938</v>
      </c>
      <c r="B939" s="352" t="s">
        <v>472</v>
      </c>
      <c r="C939" s="351" t="s">
        <v>2098</v>
      </c>
      <c r="D939" s="352" t="s">
        <v>2098</v>
      </c>
      <c r="E939" s="352" t="s">
        <v>1443</v>
      </c>
      <c r="F939" s="353">
        <v>1.8511</v>
      </c>
      <c r="G939" s="352" t="s">
        <v>1107</v>
      </c>
      <c r="H939" s="176" t="s">
        <v>2450</v>
      </c>
      <c r="I939" s="176" t="s">
        <v>2451</v>
      </c>
      <c r="J939" s="352" t="s">
        <v>1108</v>
      </c>
      <c r="K939" s="352">
        <v>5</v>
      </c>
      <c r="L939" s="352" t="s">
        <v>470</v>
      </c>
      <c r="M939" s="352">
        <v>100</v>
      </c>
      <c r="N939" s="352" t="s">
        <v>1109</v>
      </c>
      <c r="O939" s="351">
        <v>5</v>
      </c>
      <c r="P939" s="349" t="s">
        <v>1838</v>
      </c>
      <c r="R939" s="349">
        <f t="shared" si="14"/>
        <v>7</v>
      </c>
      <c r="S939" s="352"/>
      <c r="T939" s="352"/>
      <c r="U939" s="352"/>
      <c r="V939" s="353"/>
      <c r="W939" s="352"/>
      <c r="X939" s="176"/>
      <c r="Y939" s="176"/>
      <c r="Z939" s="352"/>
      <c r="AA939" s="352"/>
      <c r="AB939" s="352"/>
      <c r="AC939" s="352"/>
      <c r="AD939" s="352"/>
    </row>
    <row r="940" spans="1:30" ht="115.35" hidden="1" x14ac:dyDescent="0.35">
      <c r="A940" s="349">
        <v>939</v>
      </c>
      <c r="B940" s="352" t="s">
        <v>472</v>
      </c>
      <c r="C940" s="351" t="s">
        <v>2098</v>
      </c>
      <c r="D940" s="352" t="s">
        <v>2098</v>
      </c>
      <c r="E940" s="352" t="s">
        <v>1443</v>
      </c>
      <c r="F940" s="353">
        <v>2.8647999999999998</v>
      </c>
      <c r="G940" s="352" t="s">
        <v>1107</v>
      </c>
      <c r="H940" s="176" t="s">
        <v>2450</v>
      </c>
      <c r="I940" s="176" t="s">
        <v>2451</v>
      </c>
      <c r="J940" s="352" t="s">
        <v>1108</v>
      </c>
      <c r="K940" s="352">
        <v>10</v>
      </c>
      <c r="L940" s="352" t="s">
        <v>470</v>
      </c>
      <c r="M940" s="352">
        <v>100</v>
      </c>
      <c r="N940" s="352" t="s">
        <v>1109</v>
      </c>
      <c r="O940" s="351">
        <v>10</v>
      </c>
      <c r="P940" s="349" t="s">
        <v>1838</v>
      </c>
      <c r="R940" s="349">
        <f t="shared" si="14"/>
        <v>7</v>
      </c>
      <c r="S940" s="352"/>
      <c r="T940" s="352"/>
      <c r="U940" s="352"/>
      <c r="V940" s="353"/>
      <c r="W940" s="352"/>
      <c r="X940" s="176"/>
      <c r="Y940" s="176"/>
      <c r="Z940" s="352"/>
      <c r="AA940" s="352"/>
      <c r="AB940" s="352"/>
      <c r="AC940" s="352"/>
      <c r="AD940" s="352"/>
    </row>
    <row r="941" spans="1:30" ht="115.35" hidden="1" x14ac:dyDescent="0.35">
      <c r="A941" s="349">
        <v>940</v>
      </c>
      <c r="B941" s="352" t="s">
        <v>472</v>
      </c>
      <c r="C941" s="351" t="s">
        <v>2098</v>
      </c>
      <c r="D941" s="352" t="s">
        <v>2098</v>
      </c>
      <c r="E941" s="352" t="s">
        <v>1443</v>
      </c>
      <c r="F941" s="353">
        <v>2.5499999999999998</v>
      </c>
      <c r="G941" s="352" t="s">
        <v>1107</v>
      </c>
      <c r="H941" s="176" t="s">
        <v>2450</v>
      </c>
      <c r="I941" s="176" t="s">
        <v>2451</v>
      </c>
      <c r="J941" s="352" t="s">
        <v>1108</v>
      </c>
      <c r="K941" s="352">
        <v>15</v>
      </c>
      <c r="L941" s="352" t="s">
        <v>470</v>
      </c>
      <c r="M941" s="352">
        <v>100</v>
      </c>
      <c r="N941" s="352" t="s">
        <v>1109</v>
      </c>
      <c r="O941" s="351">
        <v>15</v>
      </c>
      <c r="P941" s="349" t="s">
        <v>1838</v>
      </c>
      <c r="R941" s="349">
        <f t="shared" si="14"/>
        <v>7</v>
      </c>
      <c r="S941" s="352"/>
      <c r="T941" s="352"/>
      <c r="U941" s="352"/>
      <c r="V941" s="353"/>
      <c r="W941" s="352"/>
      <c r="X941" s="37"/>
      <c r="Y941" s="176"/>
      <c r="Z941" s="352"/>
      <c r="AA941" s="352"/>
      <c r="AB941" s="352"/>
      <c r="AC941" s="352"/>
      <c r="AD941" s="352"/>
    </row>
    <row r="942" spans="1:30" ht="115.35" hidden="1" x14ac:dyDescent="0.35">
      <c r="A942" s="349">
        <v>941</v>
      </c>
      <c r="B942" s="352" t="s">
        <v>472</v>
      </c>
      <c r="C942" s="351" t="s">
        <v>2098</v>
      </c>
      <c r="D942" s="352" t="s">
        <v>2098</v>
      </c>
      <c r="E942" s="352" t="s">
        <v>1443</v>
      </c>
      <c r="F942" s="353">
        <v>3.1</v>
      </c>
      <c r="G942" s="352" t="s">
        <v>1107</v>
      </c>
      <c r="H942" s="37" t="s">
        <v>2450</v>
      </c>
      <c r="I942" s="176" t="s">
        <v>2451</v>
      </c>
      <c r="J942" s="352" t="s">
        <v>1108</v>
      </c>
      <c r="K942" s="351">
        <v>20</v>
      </c>
      <c r="L942" s="351" t="s">
        <v>470</v>
      </c>
      <c r="M942" s="352">
        <v>100</v>
      </c>
      <c r="N942" s="352" t="s">
        <v>1109</v>
      </c>
      <c r="O942" s="351">
        <v>20</v>
      </c>
      <c r="P942" s="349" t="s">
        <v>1838</v>
      </c>
      <c r="R942" s="349">
        <f t="shared" si="14"/>
        <v>7</v>
      </c>
      <c r="S942" s="352"/>
      <c r="T942" s="352"/>
      <c r="U942" s="352"/>
      <c r="V942" s="353"/>
      <c r="W942" s="352"/>
      <c r="X942" s="176"/>
      <c r="Y942" s="176"/>
      <c r="Z942" s="352"/>
      <c r="AA942" s="352"/>
      <c r="AB942" s="352"/>
      <c r="AC942" s="352"/>
      <c r="AD942" s="352"/>
    </row>
    <row r="943" spans="1:30" ht="115.35" hidden="1" x14ac:dyDescent="0.35">
      <c r="A943" s="349">
        <v>942</v>
      </c>
      <c r="B943" s="352" t="s">
        <v>472</v>
      </c>
      <c r="C943" s="351" t="s">
        <v>2098</v>
      </c>
      <c r="D943" s="352" t="s">
        <v>2098</v>
      </c>
      <c r="E943" s="352" t="s">
        <v>1443</v>
      </c>
      <c r="F943" s="353">
        <v>3.2</v>
      </c>
      <c r="G943" s="352" t="s">
        <v>1107</v>
      </c>
      <c r="H943" s="37" t="s">
        <v>2450</v>
      </c>
      <c r="I943" s="176" t="s">
        <v>2451</v>
      </c>
      <c r="J943" s="352" t="s">
        <v>1108</v>
      </c>
      <c r="K943" s="351">
        <v>50</v>
      </c>
      <c r="L943" s="351" t="s">
        <v>470</v>
      </c>
      <c r="M943" s="352">
        <v>100</v>
      </c>
      <c r="N943" s="352" t="s">
        <v>1109</v>
      </c>
      <c r="O943" s="351">
        <v>50</v>
      </c>
      <c r="P943" s="349" t="s">
        <v>1838</v>
      </c>
      <c r="R943" s="349">
        <f t="shared" si="14"/>
        <v>7</v>
      </c>
      <c r="S943" s="352"/>
      <c r="T943" s="352"/>
      <c r="U943" s="352"/>
      <c r="V943" s="353"/>
      <c r="W943" s="352"/>
      <c r="X943" s="37"/>
      <c r="Y943" s="176"/>
      <c r="Z943" s="352"/>
      <c r="AA943" s="352"/>
      <c r="AB943" s="352"/>
      <c r="AC943" s="352"/>
      <c r="AD943" s="352"/>
    </row>
    <row r="944" spans="1:30" ht="64.099999999999994" hidden="1" x14ac:dyDescent="0.35">
      <c r="A944" s="349">
        <v>943</v>
      </c>
      <c r="B944" s="352" t="s">
        <v>1512</v>
      </c>
      <c r="C944" s="351" t="s">
        <v>4299</v>
      </c>
      <c r="D944" s="352" t="s">
        <v>2098</v>
      </c>
      <c r="E944" s="352" t="s">
        <v>92</v>
      </c>
      <c r="F944" s="353">
        <v>1.21</v>
      </c>
      <c r="G944" s="352" t="s">
        <v>2126</v>
      </c>
      <c r="H944" s="37" t="s">
        <v>2549</v>
      </c>
      <c r="I944" s="176" t="s">
        <v>2550</v>
      </c>
      <c r="J944" s="352" t="s">
        <v>3579</v>
      </c>
      <c r="K944" s="351">
        <v>25</v>
      </c>
      <c r="L944" s="351" t="s">
        <v>470</v>
      </c>
      <c r="M944" s="352">
        <v>300</v>
      </c>
      <c r="N944" s="352" t="s">
        <v>1109</v>
      </c>
      <c r="O944" s="351">
        <v>25</v>
      </c>
      <c r="P944" s="349" t="s">
        <v>1838</v>
      </c>
      <c r="R944" s="349">
        <f t="shared" si="14"/>
        <v>7</v>
      </c>
      <c r="S944" s="352"/>
      <c r="T944" s="352"/>
      <c r="U944" s="352"/>
      <c r="V944" s="353"/>
      <c r="W944" s="352"/>
      <c r="X944" s="176"/>
      <c r="Y944" s="176"/>
      <c r="Z944" s="352"/>
      <c r="AA944" s="352"/>
      <c r="AB944" s="352"/>
      <c r="AC944" s="352"/>
      <c r="AD944" s="352"/>
    </row>
    <row r="945" spans="1:30" ht="25.65" hidden="1" x14ac:dyDescent="0.35">
      <c r="A945" s="349">
        <v>944</v>
      </c>
      <c r="B945" s="352" t="s">
        <v>1105</v>
      </c>
      <c r="C945" s="351" t="s">
        <v>1549</v>
      </c>
      <c r="D945" s="352" t="s">
        <v>1549</v>
      </c>
      <c r="E945" s="352" t="s">
        <v>1110</v>
      </c>
      <c r="F945" s="353">
        <v>3.9</v>
      </c>
      <c r="G945" s="352" t="s">
        <v>1107</v>
      </c>
      <c r="H945" s="37"/>
      <c r="I945" s="176" t="s">
        <v>2453</v>
      </c>
      <c r="J945" s="352" t="s">
        <v>1108</v>
      </c>
      <c r="K945" s="351"/>
      <c r="L945" s="351"/>
      <c r="M945" s="352">
        <v>1000</v>
      </c>
      <c r="N945" s="352" t="s">
        <v>1109</v>
      </c>
      <c r="O945" s="351">
        <v>0</v>
      </c>
      <c r="P945" s="349" t="s">
        <v>1837</v>
      </c>
      <c r="R945" s="349">
        <f t="shared" si="14"/>
        <v>12</v>
      </c>
      <c r="S945" s="352"/>
      <c r="T945" s="352"/>
      <c r="U945" s="352"/>
      <c r="V945" s="353"/>
      <c r="W945" s="352"/>
      <c r="X945" s="176"/>
      <c r="Y945" s="176"/>
      <c r="Z945" s="352"/>
      <c r="AA945" s="352"/>
      <c r="AB945" s="352"/>
      <c r="AC945" s="352"/>
      <c r="AD945" s="352"/>
    </row>
    <row r="946" spans="1:30" ht="51.3" hidden="1" x14ac:dyDescent="0.35">
      <c r="A946" s="349">
        <v>945</v>
      </c>
      <c r="B946" s="352" t="s">
        <v>1105</v>
      </c>
      <c r="C946" s="351" t="s">
        <v>1549</v>
      </c>
      <c r="D946" s="352" t="s">
        <v>1549</v>
      </c>
      <c r="E946" s="352" t="s">
        <v>1111</v>
      </c>
      <c r="F946" s="353">
        <v>2.6</v>
      </c>
      <c r="G946" s="352" t="s">
        <v>1107</v>
      </c>
      <c r="H946" s="37"/>
      <c r="I946" s="176" t="s">
        <v>2454</v>
      </c>
      <c r="J946" s="352" t="s">
        <v>1108</v>
      </c>
      <c r="K946" s="351"/>
      <c r="L946" s="351"/>
      <c r="M946" s="352">
        <v>250</v>
      </c>
      <c r="N946" s="352" t="s">
        <v>1109</v>
      </c>
      <c r="O946" s="351">
        <v>0</v>
      </c>
      <c r="P946" s="349" t="s">
        <v>1837</v>
      </c>
      <c r="R946" s="349">
        <f t="shared" si="14"/>
        <v>12</v>
      </c>
      <c r="S946" s="352"/>
      <c r="T946" s="352"/>
      <c r="U946" s="352"/>
      <c r="V946" s="353"/>
      <c r="W946" s="352"/>
      <c r="X946" s="37"/>
      <c r="Y946" s="176"/>
      <c r="Z946" s="352"/>
      <c r="AA946" s="352"/>
      <c r="AB946" s="352"/>
      <c r="AC946" s="352"/>
      <c r="AD946" s="352"/>
    </row>
    <row r="947" spans="1:30" ht="51.3" hidden="1" x14ac:dyDescent="0.35">
      <c r="A947" s="349">
        <v>946</v>
      </c>
      <c r="B947" s="352" t="s">
        <v>1105</v>
      </c>
      <c r="C947" s="351" t="s">
        <v>1549</v>
      </c>
      <c r="D947" s="352" t="s">
        <v>1549</v>
      </c>
      <c r="E947" s="352" t="s">
        <v>1112</v>
      </c>
      <c r="F947" s="353">
        <v>2.6</v>
      </c>
      <c r="G947" s="352" t="s">
        <v>1107</v>
      </c>
      <c r="H947" s="176"/>
      <c r="I947" s="176" t="s">
        <v>2454</v>
      </c>
      <c r="J947" s="352" t="s">
        <v>1108</v>
      </c>
      <c r="K947" s="351"/>
      <c r="L947" s="351"/>
      <c r="M947" s="351">
        <v>400</v>
      </c>
      <c r="N947" s="351" t="s">
        <v>1109</v>
      </c>
      <c r="O947" s="351">
        <v>0</v>
      </c>
      <c r="P947" s="349" t="s">
        <v>1837</v>
      </c>
      <c r="R947" s="349">
        <f t="shared" si="14"/>
        <v>12</v>
      </c>
      <c r="S947" s="352"/>
      <c r="T947" s="352"/>
      <c r="U947" s="352"/>
      <c r="V947" s="353"/>
      <c r="W947" s="352"/>
      <c r="X947" s="37"/>
      <c r="Y947" s="176"/>
      <c r="Z947" s="352"/>
      <c r="AA947" s="352"/>
      <c r="AB947" s="352"/>
      <c r="AC947" s="352"/>
      <c r="AD947" s="352"/>
    </row>
    <row r="948" spans="1:30" ht="25.65" hidden="1" x14ac:dyDescent="0.35">
      <c r="A948" s="349">
        <v>947</v>
      </c>
      <c r="B948" s="352" t="s">
        <v>1105</v>
      </c>
      <c r="C948" s="351" t="s">
        <v>1549</v>
      </c>
      <c r="D948" s="352" t="s">
        <v>1549</v>
      </c>
      <c r="E948" s="352" t="s">
        <v>1106</v>
      </c>
      <c r="F948" s="353">
        <v>1.5867</v>
      </c>
      <c r="G948" s="352" t="s">
        <v>1107</v>
      </c>
      <c r="H948" s="176"/>
      <c r="I948" s="176" t="s">
        <v>2452</v>
      </c>
      <c r="J948" s="352" t="s">
        <v>1108</v>
      </c>
      <c r="K948" s="351"/>
      <c r="L948" s="351"/>
      <c r="M948" s="351">
        <v>500</v>
      </c>
      <c r="N948" s="351" t="s">
        <v>1109</v>
      </c>
      <c r="O948" s="351">
        <v>0</v>
      </c>
      <c r="P948" s="349" t="s">
        <v>1837</v>
      </c>
      <c r="R948" s="349">
        <f t="shared" si="14"/>
        <v>12</v>
      </c>
      <c r="S948" s="352"/>
      <c r="T948" s="352"/>
      <c r="U948" s="352"/>
      <c r="V948" s="353"/>
      <c r="W948" s="352"/>
      <c r="X948" s="37"/>
      <c r="Y948" s="176"/>
      <c r="Z948" s="352"/>
      <c r="AA948" s="352"/>
      <c r="AB948" s="352"/>
      <c r="AC948" s="351"/>
      <c r="AD948" s="351"/>
    </row>
    <row r="949" spans="1:30" ht="25.65" hidden="1" x14ac:dyDescent="0.35">
      <c r="A949" s="349">
        <v>948</v>
      </c>
      <c r="B949" s="352" t="s">
        <v>1105</v>
      </c>
      <c r="C949" s="351" t="s">
        <v>1549</v>
      </c>
      <c r="D949" s="352" t="s">
        <v>1549</v>
      </c>
      <c r="E949" s="352" t="s">
        <v>1106</v>
      </c>
      <c r="F949" s="353">
        <v>2.6</v>
      </c>
      <c r="G949" s="352" t="s">
        <v>1107</v>
      </c>
      <c r="H949" s="176"/>
      <c r="I949" s="176" t="s">
        <v>2453</v>
      </c>
      <c r="J949" s="352" t="s">
        <v>1108</v>
      </c>
      <c r="K949" s="351"/>
      <c r="L949" s="351"/>
      <c r="M949" s="351">
        <v>500</v>
      </c>
      <c r="N949" s="351" t="s">
        <v>1109</v>
      </c>
      <c r="O949" s="351">
        <v>0</v>
      </c>
      <c r="P949" s="349" t="s">
        <v>1837</v>
      </c>
      <c r="R949" s="349">
        <f t="shared" si="14"/>
        <v>12</v>
      </c>
      <c r="S949" s="352"/>
      <c r="T949" s="352"/>
      <c r="U949" s="352"/>
      <c r="V949" s="353"/>
      <c r="W949" s="352"/>
      <c r="X949" s="37"/>
      <c r="Y949" s="176"/>
      <c r="Z949" s="352"/>
      <c r="AA949" s="352"/>
      <c r="AB949" s="352"/>
      <c r="AC949" s="351"/>
      <c r="AD949" s="351"/>
    </row>
    <row r="950" spans="1:30" hidden="1" x14ac:dyDescent="0.35">
      <c r="A950" s="349">
        <v>949</v>
      </c>
      <c r="B950" s="352" t="s">
        <v>466</v>
      </c>
      <c r="C950" s="351" t="s">
        <v>2852</v>
      </c>
      <c r="D950" s="352" t="s">
        <v>2852</v>
      </c>
      <c r="E950" s="352" t="s">
        <v>473</v>
      </c>
      <c r="F950" s="353">
        <v>6.3467000000000002</v>
      </c>
      <c r="G950" s="352" t="s">
        <v>474</v>
      </c>
      <c r="H950" s="176" t="s">
        <v>942</v>
      </c>
      <c r="I950" s="176" t="s">
        <v>2218</v>
      </c>
      <c r="J950" s="352" t="s">
        <v>475</v>
      </c>
      <c r="K950" s="351">
        <v>2.1</v>
      </c>
      <c r="L950" s="351" t="s">
        <v>470</v>
      </c>
      <c r="M950" s="351">
        <v>3</v>
      </c>
      <c r="N950" s="351" t="s">
        <v>3330</v>
      </c>
      <c r="O950" s="351">
        <v>2.1</v>
      </c>
      <c r="P950" s="349" t="s">
        <v>1838</v>
      </c>
      <c r="R950" s="349">
        <f t="shared" si="14"/>
        <v>7</v>
      </c>
      <c r="S950" s="352"/>
      <c r="T950" s="352"/>
      <c r="U950" s="352"/>
      <c r="V950" s="353"/>
      <c r="W950" s="352"/>
      <c r="X950" s="176"/>
      <c r="Y950" s="176"/>
      <c r="Z950" s="352"/>
      <c r="AA950" s="352"/>
      <c r="AB950" s="352"/>
      <c r="AC950" s="351"/>
      <c r="AD950" s="351"/>
    </row>
    <row r="951" spans="1:30" ht="51.3" hidden="1" x14ac:dyDescent="0.35">
      <c r="A951" s="349">
        <v>950</v>
      </c>
      <c r="B951" s="352" t="s">
        <v>2284</v>
      </c>
      <c r="C951" s="351" t="s">
        <v>2852</v>
      </c>
      <c r="D951" s="352" t="s">
        <v>2852</v>
      </c>
      <c r="E951" s="352" t="s">
        <v>2004</v>
      </c>
      <c r="F951" s="353">
        <v>0.13220000000000001</v>
      </c>
      <c r="G951" s="352" t="s">
        <v>2126</v>
      </c>
      <c r="H951" s="176" t="s">
        <v>3837</v>
      </c>
      <c r="I951" s="176" t="s">
        <v>3838</v>
      </c>
      <c r="J951" s="352" t="s">
        <v>3577</v>
      </c>
      <c r="K951" s="352"/>
      <c r="L951" s="352"/>
      <c r="M951" s="352"/>
      <c r="N951" s="352"/>
      <c r="O951" s="351">
        <v>0</v>
      </c>
      <c r="P951" s="349" t="s">
        <v>2313</v>
      </c>
      <c r="R951" s="349">
        <f t="shared" si="14"/>
        <v>7</v>
      </c>
      <c r="S951" s="352"/>
      <c r="T951" s="352"/>
      <c r="U951" s="352"/>
      <c r="V951" s="353"/>
      <c r="W951" s="352"/>
      <c r="X951" s="37"/>
      <c r="Y951" s="37"/>
      <c r="Z951" s="352"/>
      <c r="AA951" s="352"/>
      <c r="AB951" s="352"/>
      <c r="AC951" s="351"/>
      <c r="AD951" s="351"/>
    </row>
    <row r="952" spans="1:30" ht="25.65" hidden="1" x14ac:dyDescent="0.35">
      <c r="A952" s="349">
        <v>951</v>
      </c>
      <c r="B952" s="352" t="s">
        <v>1018</v>
      </c>
      <c r="C952" s="351" t="s">
        <v>2852</v>
      </c>
      <c r="D952" s="352" t="s">
        <v>2852</v>
      </c>
      <c r="E952" s="352" t="s">
        <v>2004</v>
      </c>
      <c r="F952" s="353">
        <v>0.13220000000000001</v>
      </c>
      <c r="G952" s="352" t="s">
        <v>2126</v>
      </c>
      <c r="H952" s="176" t="s">
        <v>157</v>
      </c>
      <c r="I952" s="176" t="s">
        <v>158</v>
      </c>
      <c r="J952" s="352" t="s">
        <v>3577</v>
      </c>
      <c r="K952" s="352"/>
      <c r="L952" s="352"/>
      <c r="M952" s="352"/>
      <c r="N952" s="352"/>
      <c r="O952" s="351">
        <v>0</v>
      </c>
      <c r="P952" s="349" t="s">
        <v>2313</v>
      </c>
      <c r="R952" s="349">
        <f t="shared" si="14"/>
        <v>7</v>
      </c>
      <c r="S952" s="352"/>
      <c r="T952" s="352"/>
      <c r="U952" s="352"/>
      <c r="V952" s="353"/>
      <c r="W952" s="352"/>
      <c r="X952" s="37"/>
      <c r="Y952" s="176"/>
      <c r="Z952" s="352"/>
      <c r="AA952" s="352"/>
      <c r="AB952" s="352"/>
      <c r="AC952" s="351"/>
      <c r="AD952" s="351"/>
    </row>
    <row r="953" spans="1:30" hidden="1" x14ac:dyDescent="0.35">
      <c r="A953" s="349">
        <v>952</v>
      </c>
      <c r="B953" s="352" t="s">
        <v>466</v>
      </c>
      <c r="C953" s="351" t="s">
        <v>2852</v>
      </c>
      <c r="D953" s="352" t="s">
        <v>2852</v>
      </c>
      <c r="E953" s="352" t="s">
        <v>473</v>
      </c>
      <c r="F953" s="353">
        <v>6.3467000000000002</v>
      </c>
      <c r="G953" s="352" t="s">
        <v>474</v>
      </c>
      <c r="H953" s="176" t="s">
        <v>942</v>
      </c>
      <c r="I953" s="176" t="s">
        <v>2218</v>
      </c>
      <c r="J953" s="352" t="s">
        <v>475</v>
      </c>
      <c r="K953" s="352">
        <v>2.1</v>
      </c>
      <c r="L953" s="352" t="s">
        <v>470</v>
      </c>
      <c r="M953" s="351">
        <v>3</v>
      </c>
      <c r="N953" s="351" t="s">
        <v>3330</v>
      </c>
      <c r="O953" s="351">
        <v>2.1</v>
      </c>
      <c r="P953" s="349" t="s">
        <v>1838</v>
      </c>
      <c r="R953" s="349">
        <f t="shared" si="14"/>
        <v>7</v>
      </c>
      <c r="S953" s="352"/>
      <c r="T953" s="352"/>
      <c r="U953" s="352"/>
      <c r="V953" s="353"/>
      <c r="W953" s="352"/>
      <c r="X953" s="37"/>
      <c r="Y953" s="176"/>
      <c r="Z953" s="352"/>
      <c r="AA953" s="352"/>
      <c r="AB953" s="352"/>
      <c r="AC953" s="351"/>
      <c r="AD953" s="351"/>
    </row>
    <row r="954" spans="1:30" ht="51.3" hidden="1" x14ac:dyDescent="0.35">
      <c r="A954" s="349">
        <v>953</v>
      </c>
      <c r="B954" s="352" t="s">
        <v>2284</v>
      </c>
      <c r="C954" s="351" t="s">
        <v>2852</v>
      </c>
      <c r="D954" s="352" t="s">
        <v>2852</v>
      </c>
      <c r="E954" s="352" t="s">
        <v>2004</v>
      </c>
      <c r="F954" s="351">
        <v>0.13220000000000001</v>
      </c>
      <c r="G954" s="352" t="s">
        <v>2126</v>
      </c>
      <c r="H954" s="176" t="s">
        <v>3837</v>
      </c>
      <c r="I954" s="176" t="s">
        <v>3838</v>
      </c>
      <c r="J954" s="352" t="s">
        <v>3577</v>
      </c>
      <c r="K954" s="351"/>
      <c r="L954" s="351"/>
      <c r="M954" s="352"/>
      <c r="N954" s="352"/>
      <c r="O954" s="351">
        <v>0</v>
      </c>
      <c r="P954" s="349" t="s">
        <v>2313</v>
      </c>
      <c r="R954" s="349">
        <f t="shared" si="14"/>
        <v>7</v>
      </c>
      <c r="S954" s="352"/>
      <c r="T954" s="352"/>
      <c r="U954" s="352"/>
      <c r="V954" s="353"/>
      <c r="W954" s="352"/>
      <c r="X954" s="37"/>
      <c r="Y954" s="176"/>
      <c r="Z954" s="352"/>
      <c r="AA954" s="352"/>
      <c r="AB954" s="352"/>
      <c r="AC954" s="351"/>
      <c r="AD954" s="351"/>
    </row>
    <row r="955" spans="1:30" ht="25.65" hidden="1" x14ac:dyDescent="0.35">
      <c r="A955" s="349">
        <v>954</v>
      </c>
      <c r="B955" s="352" t="s">
        <v>1018</v>
      </c>
      <c r="C955" s="351" t="s">
        <v>2852</v>
      </c>
      <c r="D955" s="352" t="s">
        <v>2852</v>
      </c>
      <c r="E955" s="352" t="s">
        <v>2004</v>
      </c>
      <c r="F955" s="353">
        <v>0.13220000000000001</v>
      </c>
      <c r="G955" s="352" t="s">
        <v>2126</v>
      </c>
      <c r="H955" s="176" t="s">
        <v>157</v>
      </c>
      <c r="I955" s="176" t="s">
        <v>158</v>
      </c>
      <c r="J955" s="352" t="s">
        <v>3577</v>
      </c>
      <c r="K955" s="352"/>
      <c r="L955" s="352"/>
      <c r="M955" s="352"/>
      <c r="N955" s="352"/>
      <c r="O955" s="351">
        <v>0</v>
      </c>
      <c r="P955" s="349" t="s">
        <v>2313</v>
      </c>
      <c r="R955" s="349">
        <f t="shared" si="14"/>
        <v>7</v>
      </c>
      <c r="S955" s="352"/>
      <c r="T955" s="352"/>
      <c r="U955" s="352"/>
      <c r="V955" s="353"/>
      <c r="W955" s="352"/>
      <c r="X955" s="37"/>
      <c r="Y955" s="176"/>
      <c r="Z955" s="352"/>
      <c r="AA955" s="352"/>
      <c r="AB955" s="352"/>
      <c r="AC955" s="351"/>
      <c r="AD955" s="351"/>
    </row>
    <row r="956" spans="1:30" ht="64.099999999999994" hidden="1" x14ac:dyDescent="0.35">
      <c r="A956" s="349">
        <v>955</v>
      </c>
      <c r="B956" s="352" t="s">
        <v>2891</v>
      </c>
      <c r="C956" s="351" t="s">
        <v>1960</v>
      </c>
      <c r="D956" s="352" t="s">
        <v>1960</v>
      </c>
      <c r="E956" s="352" t="s">
        <v>1997</v>
      </c>
      <c r="F956" s="353">
        <v>58.464399999999998</v>
      </c>
      <c r="G956" s="352" t="s">
        <v>731</v>
      </c>
      <c r="H956" s="176" t="s">
        <v>4155</v>
      </c>
      <c r="I956" s="176" t="s">
        <v>122</v>
      </c>
      <c r="J956" s="352" t="s">
        <v>1115</v>
      </c>
      <c r="K956" s="352">
        <v>100</v>
      </c>
      <c r="L956" s="352" t="s">
        <v>768</v>
      </c>
      <c r="M956" s="352"/>
      <c r="N956" s="352"/>
      <c r="O956" s="351">
        <v>100</v>
      </c>
      <c r="P956" s="349" t="s">
        <v>1850</v>
      </c>
      <c r="R956" s="349">
        <f t="shared" si="14"/>
        <v>12</v>
      </c>
      <c r="S956" s="352"/>
      <c r="T956" s="352"/>
      <c r="U956" s="352"/>
      <c r="V956" s="353"/>
      <c r="W956" s="352"/>
      <c r="X956" s="37"/>
      <c r="Y956" s="176"/>
      <c r="Z956" s="352"/>
      <c r="AA956" s="352"/>
      <c r="AB956" s="352"/>
      <c r="AC956" s="351"/>
      <c r="AD956" s="351"/>
    </row>
    <row r="957" spans="1:30" ht="243.55" hidden="1" x14ac:dyDescent="0.35">
      <c r="A957" s="349">
        <v>956</v>
      </c>
      <c r="B957" s="352" t="s">
        <v>314</v>
      </c>
      <c r="C957" s="351" t="s">
        <v>4209</v>
      </c>
      <c r="D957" s="352" t="s">
        <v>1415</v>
      </c>
      <c r="E957" s="352" t="s">
        <v>2562</v>
      </c>
      <c r="F957" s="353"/>
      <c r="G957" s="352" t="s">
        <v>2384</v>
      </c>
      <c r="H957" s="176" t="s">
        <v>4936</v>
      </c>
      <c r="I957" s="176" t="s">
        <v>1629</v>
      </c>
      <c r="J957" s="352" t="s">
        <v>828</v>
      </c>
      <c r="K957" s="352"/>
      <c r="L957" s="352"/>
      <c r="M957" s="352">
        <v>0.5</v>
      </c>
      <c r="N957" s="352" t="s">
        <v>1109</v>
      </c>
      <c r="O957" s="351">
        <v>0</v>
      </c>
      <c r="P957" s="349" t="s">
        <v>1837</v>
      </c>
      <c r="R957" s="349">
        <f t="shared" si="14"/>
        <v>31</v>
      </c>
      <c r="S957" s="352"/>
      <c r="T957" s="352"/>
      <c r="U957" s="352"/>
      <c r="V957" s="353"/>
      <c r="W957" s="352"/>
      <c r="X957" s="37"/>
      <c r="Y957" s="176"/>
      <c r="Z957" s="352"/>
      <c r="AA957" s="352"/>
      <c r="AB957" s="352"/>
      <c r="AC957" s="351"/>
      <c r="AD957" s="351"/>
    </row>
    <row r="958" spans="1:30" ht="76.900000000000006" hidden="1" x14ac:dyDescent="0.35">
      <c r="A958" s="349">
        <v>957</v>
      </c>
      <c r="B958" s="352" t="s">
        <v>1006</v>
      </c>
      <c r="C958" s="351" t="s">
        <v>4300</v>
      </c>
      <c r="D958" s="352" t="s">
        <v>3180</v>
      </c>
      <c r="E958" s="352" t="s">
        <v>2855</v>
      </c>
      <c r="F958" s="353">
        <v>2.4681999999999999</v>
      </c>
      <c r="G958" s="352" t="s">
        <v>1501</v>
      </c>
      <c r="H958" s="176" t="s">
        <v>3636</v>
      </c>
      <c r="I958" s="176" t="s">
        <v>3010</v>
      </c>
      <c r="J958" s="352" t="s">
        <v>828</v>
      </c>
      <c r="K958" s="352">
        <v>5</v>
      </c>
      <c r="L958" s="352" t="s">
        <v>1116</v>
      </c>
      <c r="M958" s="352">
        <v>1</v>
      </c>
      <c r="N958" s="352" t="s">
        <v>1109</v>
      </c>
      <c r="O958" s="351">
        <v>5</v>
      </c>
      <c r="P958" s="349" t="s">
        <v>1836</v>
      </c>
      <c r="R958" s="349">
        <f t="shared" si="14"/>
        <v>11</v>
      </c>
      <c r="S958" s="352"/>
      <c r="T958" s="352"/>
      <c r="U958" s="352"/>
      <c r="V958" s="353"/>
      <c r="W958" s="352"/>
      <c r="X958" s="37"/>
      <c r="Y958" s="176"/>
      <c r="Z958" s="352"/>
      <c r="AA958" s="352"/>
      <c r="AB958" s="352"/>
      <c r="AC958" s="351"/>
      <c r="AD958" s="351"/>
    </row>
    <row r="959" spans="1:30" ht="76.900000000000006" hidden="1" x14ac:dyDescent="0.35">
      <c r="A959" s="349">
        <v>958</v>
      </c>
      <c r="B959" s="352" t="s">
        <v>1006</v>
      </c>
      <c r="C959" s="351" t="s">
        <v>4300</v>
      </c>
      <c r="D959" s="352" t="s">
        <v>3180</v>
      </c>
      <c r="E959" s="352" t="s">
        <v>697</v>
      </c>
      <c r="F959" s="353">
        <v>3.1293000000000002</v>
      </c>
      <c r="G959" s="352" t="s">
        <v>2126</v>
      </c>
      <c r="H959" s="176" t="s">
        <v>3011</v>
      </c>
      <c r="I959" s="176" t="s">
        <v>3010</v>
      </c>
      <c r="J959" s="352" t="s">
        <v>3579</v>
      </c>
      <c r="K959" s="352">
        <v>2</v>
      </c>
      <c r="L959" s="352" t="s">
        <v>1116</v>
      </c>
      <c r="M959" s="352">
        <v>15</v>
      </c>
      <c r="N959" s="352" t="s">
        <v>1109</v>
      </c>
      <c r="O959" s="351">
        <v>2</v>
      </c>
      <c r="P959" s="349" t="s">
        <v>1836</v>
      </c>
      <c r="R959" s="349">
        <f t="shared" si="14"/>
        <v>11</v>
      </c>
      <c r="S959" s="352"/>
      <c r="T959" s="352"/>
      <c r="U959" s="352"/>
      <c r="V959" s="353"/>
      <c r="W959" s="352"/>
      <c r="X959" s="37"/>
      <c r="Y959" s="176"/>
      <c r="Z959" s="352"/>
      <c r="AA959" s="352"/>
      <c r="AB959" s="352"/>
      <c r="AC959" s="351"/>
      <c r="AD959" s="351"/>
    </row>
    <row r="960" spans="1:30" ht="76.900000000000006" hidden="1" x14ac:dyDescent="0.35">
      <c r="A960" s="349">
        <v>959</v>
      </c>
      <c r="B960" s="352" t="s">
        <v>1006</v>
      </c>
      <c r="C960" s="351" t="s">
        <v>4300</v>
      </c>
      <c r="D960" s="352" t="s">
        <v>3180</v>
      </c>
      <c r="E960" s="352" t="s">
        <v>1995</v>
      </c>
      <c r="F960" s="353">
        <v>0.17630000000000001</v>
      </c>
      <c r="G960" s="352" t="s">
        <v>2126</v>
      </c>
      <c r="H960" s="176" t="s">
        <v>3011</v>
      </c>
      <c r="I960" s="176" t="s">
        <v>3010</v>
      </c>
      <c r="J960" s="352" t="s">
        <v>3580</v>
      </c>
      <c r="K960" s="352">
        <v>1</v>
      </c>
      <c r="L960" s="352" t="s">
        <v>3581</v>
      </c>
      <c r="M960" s="352"/>
      <c r="N960" s="352"/>
      <c r="O960" s="351">
        <v>1</v>
      </c>
      <c r="P960" s="349" t="s">
        <v>1836</v>
      </c>
      <c r="R960" s="349">
        <f t="shared" si="14"/>
        <v>11</v>
      </c>
      <c r="S960" s="352"/>
      <c r="T960" s="352"/>
      <c r="U960" s="352"/>
      <c r="V960" s="353"/>
      <c r="W960" s="352"/>
      <c r="X960" s="37"/>
      <c r="Y960" s="176"/>
      <c r="Z960" s="352"/>
      <c r="AA960" s="352"/>
      <c r="AB960" s="352"/>
      <c r="AC960" s="351"/>
      <c r="AD960" s="351"/>
    </row>
    <row r="961" spans="1:30" ht="76.900000000000006" hidden="1" x14ac:dyDescent="0.35">
      <c r="A961" s="349">
        <v>960</v>
      </c>
      <c r="B961" s="352" t="s">
        <v>1006</v>
      </c>
      <c r="C961" s="351" t="s">
        <v>3180</v>
      </c>
      <c r="D961" s="352" t="s">
        <v>3180</v>
      </c>
      <c r="E961" s="352" t="s">
        <v>2855</v>
      </c>
      <c r="F961" s="353">
        <v>2.4681999999999999</v>
      </c>
      <c r="G961" s="352" t="s">
        <v>1501</v>
      </c>
      <c r="H961" s="176" t="s">
        <v>3636</v>
      </c>
      <c r="I961" s="176" t="s">
        <v>3010</v>
      </c>
      <c r="J961" s="352" t="s">
        <v>828</v>
      </c>
      <c r="K961" s="352">
        <v>5</v>
      </c>
      <c r="L961" s="352" t="s">
        <v>1116</v>
      </c>
      <c r="M961" s="352">
        <v>1</v>
      </c>
      <c r="N961" s="352" t="s">
        <v>1109</v>
      </c>
      <c r="O961" s="351">
        <v>5</v>
      </c>
      <c r="P961" s="349" t="s">
        <v>1836</v>
      </c>
      <c r="R961" s="349">
        <f t="shared" si="14"/>
        <v>11</v>
      </c>
      <c r="S961" s="352"/>
      <c r="T961" s="352"/>
      <c r="U961" s="352"/>
      <c r="V961" s="353"/>
      <c r="W961" s="352"/>
      <c r="X961" s="37"/>
      <c r="Y961" s="176"/>
      <c r="Z961" s="352"/>
      <c r="AA961" s="352"/>
      <c r="AB961" s="352"/>
      <c r="AC961" s="351"/>
      <c r="AD961" s="351"/>
    </row>
    <row r="962" spans="1:30" ht="76.900000000000006" hidden="1" x14ac:dyDescent="0.35">
      <c r="A962" s="349">
        <v>961</v>
      </c>
      <c r="B962" s="352" t="s">
        <v>1006</v>
      </c>
      <c r="C962" s="351" t="s">
        <v>3180</v>
      </c>
      <c r="D962" s="352" t="s">
        <v>3180</v>
      </c>
      <c r="E962" s="352" t="s">
        <v>697</v>
      </c>
      <c r="F962" s="353">
        <v>3.1293000000000002</v>
      </c>
      <c r="G962" s="352" t="s">
        <v>2126</v>
      </c>
      <c r="H962" s="176" t="s">
        <v>3011</v>
      </c>
      <c r="I962" s="176" t="s">
        <v>3010</v>
      </c>
      <c r="J962" s="352" t="s">
        <v>3579</v>
      </c>
      <c r="K962" s="352">
        <v>2</v>
      </c>
      <c r="L962" s="352" t="s">
        <v>1116</v>
      </c>
      <c r="M962" s="352">
        <v>15</v>
      </c>
      <c r="N962" s="352" t="s">
        <v>1109</v>
      </c>
      <c r="O962" s="351">
        <v>2</v>
      </c>
      <c r="P962" s="349" t="s">
        <v>1836</v>
      </c>
      <c r="R962" s="349">
        <f t="shared" si="14"/>
        <v>11</v>
      </c>
      <c r="S962" s="352"/>
      <c r="T962" s="352"/>
      <c r="U962" s="352"/>
      <c r="V962" s="353"/>
      <c r="W962" s="352"/>
      <c r="X962" s="37"/>
      <c r="Y962" s="176"/>
      <c r="Z962" s="352"/>
      <c r="AA962" s="352"/>
      <c r="AB962" s="352"/>
      <c r="AC962" s="351"/>
      <c r="AD962" s="351"/>
    </row>
    <row r="963" spans="1:30" ht="76.900000000000006" hidden="1" x14ac:dyDescent="0.35">
      <c r="A963" s="349">
        <v>962</v>
      </c>
      <c r="B963" s="352" t="s">
        <v>1006</v>
      </c>
      <c r="C963" s="351" t="s">
        <v>3180</v>
      </c>
      <c r="D963" s="352" t="s">
        <v>3180</v>
      </c>
      <c r="E963" s="352" t="s">
        <v>1995</v>
      </c>
      <c r="F963" s="353">
        <v>0.17630000000000001</v>
      </c>
      <c r="G963" s="352" t="s">
        <v>2126</v>
      </c>
      <c r="H963" s="176" t="s">
        <v>3011</v>
      </c>
      <c r="I963" s="37" t="s">
        <v>3010</v>
      </c>
      <c r="J963" s="352" t="s">
        <v>3580</v>
      </c>
      <c r="K963" s="352">
        <v>1</v>
      </c>
      <c r="L963" s="352" t="s">
        <v>3581</v>
      </c>
      <c r="M963" s="352"/>
      <c r="N963" s="352"/>
      <c r="O963" s="351">
        <v>1</v>
      </c>
      <c r="P963" s="349" t="s">
        <v>1836</v>
      </c>
      <c r="R963" s="349">
        <f t="shared" ref="R963:R1026" si="15">LEN(D963)</f>
        <v>11</v>
      </c>
      <c r="S963" s="352"/>
      <c r="T963" s="352"/>
      <c r="U963" s="352"/>
      <c r="V963" s="353"/>
      <c r="W963" s="352"/>
      <c r="X963" s="37"/>
      <c r="Y963" s="176"/>
      <c r="Z963" s="352"/>
      <c r="AA963" s="352"/>
      <c r="AB963" s="352"/>
      <c r="AC963" s="351"/>
      <c r="AD963" s="351"/>
    </row>
    <row r="964" spans="1:30" ht="64.099999999999994" hidden="1" x14ac:dyDescent="0.35">
      <c r="A964" s="349">
        <v>963</v>
      </c>
      <c r="B964" s="352" t="s">
        <v>314</v>
      </c>
      <c r="C964" s="351" t="s">
        <v>4301</v>
      </c>
      <c r="D964" s="352" t="s">
        <v>1417</v>
      </c>
      <c r="E964" s="352" t="s">
        <v>767</v>
      </c>
      <c r="F964" s="353">
        <v>45.6</v>
      </c>
      <c r="G964" s="352" t="s">
        <v>2384</v>
      </c>
      <c r="H964" s="176" t="s">
        <v>2338</v>
      </c>
      <c r="I964" s="176" t="s">
        <v>1079</v>
      </c>
      <c r="J964" s="352" t="s">
        <v>1115</v>
      </c>
      <c r="K964" s="352">
        <v>720</v>
      </c>
      <c r="L964" s="352" t="s">
        <v>476</v>
      </c>
      <c r="M964" s="352">
        <v>1</v>
      </c>
      <c r="N964" s="352" t="s">
        <v>1109</v>
      </c>
      <c r="O964" s="351">
        <v>720</v>
      </c>
      <c r="P964" s="349" t="s">
        <v>817</v>
      </c>
      <c r="R964" s="349">
        <f t="shared" si="15"/>
        <v>18</v>
      </c>
      <c r="S964" s="352"/>
      <c r="T964" s="352"/>
      <c r="U964" s="352"/>
      <c r="V964" s="353"/>
      <c r="W964" s="352"/>
      <c r="X964" s="37"/>
      <c r="Y964" s="176"/>
      <c r="Z964" s="352"/>
      <c r="AA964" s="352"/>
      <c r="AB964" s="352"/>
      <c r="AC964" s="351"/>
      <c r="AD964" s="351"/>
    </row>
    <row r="965" spans="1:30" ht="102.55" hidden="1" x14ac:dyDescent="0.35">
      <c r="A965" s="349">
        <v>964</v>
      </c>
      <c r="B965" s="352" t="s">
        <v>314</v>
      </c>
      <c r="C965" s="351" t="s">
        <v>4302</v>
      </c>
      <c r="D965" s="352" t="s">
        <v>1419</v>
      </c>
      <c r="E965" s="352" t="s">
        <v>2855</v>
      </c>
      <c r="F965" s="353">
        <v>32.460599999999999</v>
      </c>
      <c r="G965" s="352" t="s">
        <v>2384</v>
      </c>
      <c r="H965" s="176" t="s">
        <v>1031</v>
      </c>
      <c r="I965" s="176" t="s">
        <v>1625</v>
      </c>
      <c r="J965" s="352" t="s">
        <v>828</v>
      </c>
      <c r="K965" s="352">
        <v>10</v>
      </c>
      <c r="L965" s="352" t="s">
        <v>4022</v>
      </c>
      <c r="M965" s="352">
        <v>1</v>
      </c>
      <c r="N965" s="352" t="s">
        <v>1109</v>
      </c>
      <c r="O965" s="351">
        <v>10</v>
      </c>
      <c r="P965" s="349" t="s">
        <v>1850</v>
      </c>
      <c r="R965" s="349">
        <f t="shared" si="15"/>
        <v>18</v>
      </c>
      <c r="S965" s="352"/>
      <c r="T965" s="352"/>
      <c r="U965" s="352"/>
      <c r="V965" s="353"/>
      <c r="W965" s="352"/>
      <c r="X965" s="176"/>
      <c r="Y965" s="176"/>
      <c r="Z965" s="352"/>
      <c r="AA965" s="352"/>
      <c r="AB965" s="352"/>
      <c r="AC965" s="352"/>
      <c r="AD965" s="352"/>
    </row>
    <row r="966" spans="1:30" ht="51.3" hidden="1" x14ac:dyDescent="0.35">
      <c r="A966" s="349">
        <v>965</v>
      </c>
      <c r="B966" s="352" t="s">
        <v>698</v>
      </c>
      <c r="C966" s="351" t="s">
        <v>4303</v>
      </c>
      <c r="D966" s="352" t="s">
        <v>1416</v>
      </c>
      <c r="E966" s="352" t="s">
        <v>477</v>
      </c>
      <c r="F966" s="353">
        <v>1.45</v>
      </c>
      <c r="G966" s="352" t="s">
        <v>315</v>
      </c>
      <c r="H966" s="176" t="s">
        <v>146</v>
      </c>
      <c r="I966" s="176" t="s">
        <v>2313</v>
      </c>
      <c r="J966" s="352" t="s">
        <v>828</v>
      </c>
      <c r="K966" s="352">
        <v>10000</v>
      </c>
      <c r="L966" s="352" t="s">
        <v>478</v>
      </c>
      <c r="M966" s="352">
        <v>0.4</v>
      </c>
      <c r="N966" s="352" t="s">
        <v>1109</v>
      </c>
      <c r="O966" s="351">
        <v>10000</v>
      </c>
      <c r="P966" s="349" t="s">
        <v>2030</v>
      </c>
      <c r="R966" s="349">
        <f t="shared" si="15"/>
        <v>16</v>
      </c>
      <c r="S966" s="352"/>
      <c r="T966" s="352"/>
      <c r="U966" s="352"/>
      <c r="V966" s="353"/>
      <c r="W966" s="352"/>
      <c r="X966" s="37"/>
      <c r="Y966" s="176"/>
      <c r="Z966" s="352"/>
      <c r="AA966" s="352"/>
      <c r="AB966" s="352"/>
      <c r="AC966" s="351"/>
      <c r="AD966" s="351"/>
    </row>
    <row r="967" spans="1:30" ht="166.65" hidden="1" x14ac:dyDescent="0.35">
      <c r="A967" s="349">
        <v>966</v>
      </c>
      <c r="B967" s="352" t="s">
        <v>698</v>
      </c>
      <c r="C967" s="351" t="s">
        <v>4304</v>
      </c>
      <c r="D967" s="352" t="s">
        <v>1416</v>
      </c>
      <c r="E967" s="352" t="s">
        <v>2857</v>
      </c>
      <c r="F967" s="353">
        <v>0.8</v>
      </c>
      <c r="G967" s="352" t="s">
        <v>1107</v>
      </c>
      <c r="H967" s="176" t="s">
        <v>3325</v>
      </c>
      <c r="I967" s="37" t="s">
        <v>1456</v>
      </c>
      <c r="J967" s="352" t="s">
        <v>828</v>
      </c>
      <c r="K967" s="352">
        <v>25</v>
      </c>
      <c r="L967" s="352" t="s">
        <v>732</v>
      </c>
      <c r="M967" s="352">
        <v>10</v>
      </c>
      <c r="N967" s="352" t="s">
        <v>1109</v>
      </c>
      <c r="O967" s="351">
        <v>25</v>
      </c>
      <c r="P967" s="349" t="s">
        <v>2030</v>
      </c>
      <c r="R967" s="349">
        <f t="shared" si="15"/>
        <v>16</v>
      </c>
      <c r="S967" s="352"/>
      <c r="T967" s="352"/>
      <c r="U967" s="352"/>
      <c r="V967" s="353"/>
      <c r="W967" s="352"/>
      <c r="X967" s="37"/>
      <c r="Y967" s="176"/>
      <c r="Z967" s="352"/>
      <c r="AA967" s="352"/>
      <c r="AB967" s="352"/>
      <c r="AC967" s="351"/>
      <c r="AD967" s="351"/>
    </row>
    <row r="968" spans="1:30" ht="166.65" hidden="1" x14ac:dyDescent="0.35">
      <c r="A968" s="349">
        <v>967</v>
      </c>
      <c r="B968" s="352" t="s">
        <v>698</v>
      </c>
      <c r="C968" s="351" t="s">
        <v>4304</v>
      </c>
      <c r="D968" s="352" t="s">
        <v>1416</v>
      </c>
      <c r="E968" s="352" t="s">
        <v>2857</v>
      </c>
      <c r="F968" s="353">
        <v>0.8</v>
      </c>
      <c r="G968" s="352" t="s">
        <v>1107</v>
      </c>
      <c r="H968" s="176" t="s">
        <v>3325</v>
      </c>
      <c r="I968" s="176" t="s">
        <v>1456</v>
      </c>
      <c r="J968" s="352" t="s">
        <v>828</v>
      </c>
      <c r="K968" s="352">
        <v>100</v>
      </c>
      <c r="L968" s="352" t="s">
        <v>732</v>
      </c>
      <c r="M968" s="352">
        <v>10</v>
      </c>
      <c r="N968" s="352" t="s">
        <v>1109</v>
      </c>
      <c r="O968" s="351">
        <v>100</v>
      </c>
      <c r="P968" s="349" t="s">
        <v>2030</v>
      </c>
      <c r="R968" s="349">
        <f t="shared" si="15"/>
        <v>16</v>
      </c>
      <c r="S968" s="352"/>
      <c r="T968" s="352"/>
      <c r="U968" s="352"/>
      <c r="V968" s="353"/>
      <c r="W968" s="352"/>
      <c r="X968" s="37"/>
      <c r="Y968" s="176"/>
      <c r="Z968" s="352"/>
      <c r="AA968" s="352"/>
      <c r="AB968" s="352"/>
      <c r="AC968" s="351"/>
      <c r="AD968" s="351"/>
    </row>
    <row r="969" spans="1:30" ht="166.65" hidden="1" x14ac:dyDescent="0.35">
      <c r="A969" s="349">
        <v>968</v>
      </c>
      <c r="B969" s="352" t="s">
        <v>698</v>
      </c>
      <c r="C969" s="351" t="s">
        <v>4304</v>
      </c>
      <c r="D969" s="352" t="s">
        <v>1416</v>
      </c>
      <c r="E969" s="352" t="s">
        <v>827</v>
      </c>
      <c r="F969" s="353">
        <v>0.65</v>
      </c>
      <c r="G969" s="352" t="s">
        <v>1107</v>
      </c>
      <c r="H969" s="176" t="s">
        <v>3325</v>
      </c>
      <c r="I969" s="176" t="s">
        <v>1456</v>
      </c>
      <c r="J969" s="352" t="s">
        <v>828</v>
      </c>
      <c r="K969" s="352">
        <v>2.5</v>
      </c>
      <c r="L969" s="352" t="s">
        <v>732</v>
      </c>
      <c r="M969" s="352">
        <v>5</v>
      </c>
      <c r="N969" s="352" t="s">
        <v>1109</v>
      </c>
      <c r="O969" s="351">
        <v>2.5</v>
      </c>
      <c r="P969" s="349" t="s">
        <v>2030</v>
      </c>
      <c r="R969" s="349">
        <f t="shared" si="15"/>
        <v>16</v>
      </c>
      <c r="S969" s="352"/>
      <c r="T969" s="352"/>
      <c r="U969" s="352"/>
      <c r="V969" s="353"/>
      <c r="W969" s="352"/>
      <c r="X969" s="37"/>
      <c r="Y969" s="176"/>
      <c r="Z969" s="352"/>
      <c r="AA969" s="352"/>
      <c r="AB969" s="352"/>
      <c r="AC969" s="351"/>
      <c r="AD969" s="351"/>
    </row>
    <row r="970" spans="1:30" ht="115.35" hidden="1" x14ac:dyDescent="0.35">
      <c r="A970" s="349">
        <v>969</v>
      </c>
      <c r="B970" s="352" t="s">
        <v>698</v>
      </c>
      <c r="C970" s="351" t="s">
        <v>3040</v>
      </c>
      <c r="D970" s="352" t="s">
        <v>1416</v>
      </c>
      <c r="E970" s="352" t="s">
        <v>2855</v>
      </c>
      <c r="F970" s="353">
        <v>0.55000000000000004</v>
      </c>
      <c r="G970" s="352" t="s">
        <v>1107</v>
      </c>
      <c r="H970" s="176" t="s">
        <v>1457</v>
      </c>
      <c r="I970" s="176" t="s">
        <v>3552</v>
      </c>
      <c r="J970" s="352" t="s">
        <v>828</v>
      </c>
      <c r="K970" s="352">
        <v>1000</v>
      </c>
      <c r="L970" s="352" t="s">
        <v>732</v>
      </c>
      <c r="M970" s="352">
        <v>1</v>
      </c>
      <c r="N970" s="352" t="s">
        <v>1109</v>
      </c>
      <c r="O970" s="351">
        <v>1000</v>
      </c>
      <c r="P970" s="349" t="s">
        <v>2030</v>
      </c>
      <c r="R970" s="349">
        <f t="shared" si="15"/>
        <v>16</v>
      </c>
      <c r="S970" s="352"/>
      <c r="T970" s="352"/>
      <c r="U970" s="352"/>
      <c r="V970" s="353"/>
      <c r="W970" s="352"/>
      <c r="X970" s="37"/>
      <c r="Y970" s="176"/>
      <c r="Z970" s="352"/>
      <c r="AA970" s="352"/>
      <c r="AB970" s="352"/>
      <c r="AC970" s="351"/>
      <c r="AD970" s="351"/>
    </row>
    <row r="971" spans="1:30" ht="166.65" hidden="1" x14ac:dyDescent="0.35">
      <c r="A971" s="349">
        <v>970</v>
      </c>
      <c r="B971" s="352" t="s">
        <v>698</v>
      </c>
      <c r="C971" s="351" t="s">
        <v>3040</v>
      </c>
      <c r="D971" s="352" t="s">
        <v>1416</v>
      </c>
      <c r="E971" s="352" t="s">
        <v>2857</v>
      </c>
      <c r="F971" s="353">
        <v>0.8</v>
      </c>
      <c r="G971" s="352" t="s">
        <v>1107</v>
      </c>
      <c r="H971" s="176" t="s">
        <v>3325</v>
      </c>
      <c r="I971" s="176" t="s">
        <v>1456</v>
      </c>
      <c r="J971" s="352" t="s">
        <v>828</v>
      </c>
      <c r="K971" s="352">
        <v>25</v>
      </c>
      <c r="L971" s="352" t="s">
        <v>732</v>
      </c>
      <c r="M971" s="352">
        <v>10</v>
      </c>
      <c r="N971" s="352" t="s">
        <v>1109</v>
      </c>
      <c r="O971" s="351">
        <v>25</v>
      </c>
      <c r="P971" s="349" t="s">
        <v>2030</v>
      </c>
      <c r="R971" s="349">
        <f t="shared" si="15"/>
        <v>16</v>
      </c>
      <c r="S971" s="352"/>
      <c r="T971" s="352"/>
      <c r="U971" s="352"/>
      <c r="V971" s="353"/>
      <c r="W971" s="352"/>
      <c r="X971" s="37"/>
      <c r="Y971" s="176"/>
      <c r="Z971" s="352"/>
      <c r="AA971" s="352"/>
      <c r="AB971" s="352"/>
      <c r="AC971" s="351"/>
      <c r="AD971" s="351"/>
    </row>
    <row r="972" spans="1:30" ht="166.65" hidden="1" x14ac:dyDescent="0.35">
      <c r="A972" s="349">
        <v>971</v>
      </c>
      <c r="B972" s="352" t="s">
        <v>698</v>
      </c>
      <c r="C972" s="351" t="s">
        <v>3040</v>
      </c>
      <c r="D972" s="352" t="s">
        <v>1416</v>
      </c>
      <c r="E972" s="352" t="s">
        <v>2857</v>
      </c>
      <c r="F972" s="353">
        <v>0.8</v>
      </c>
      <c r="G972" s="352" t="s">
        <v>1107</v>
      </c>
      <c r="H972" s="176" t="s">
        <v>3325</v>
      </c>
      <c r="I972" s="176" t="s">
        <v>1456</v>
      </c>
      <c r="J972" s="352" t="s">
        <v>828</v>
      </c>
      <c r="K972" s="352">
        <v>100</v>
      </c>
      <c r="L972" s="352" t="s">
        <v>732</v>
      </c>
      <c r="M972" s="352">
        <v>10</v>
      </c>
      <c r="N972" s="352" t="s">
        <v>1109</v>
      </c>
      <c r="O972" s="351">
        <v>100</v>
      </c>
      <c r="P972" s="349" t="s">
        <v>2030</v>
      </c>
      <c r="R972" s="349">
        <f t="shared" si="15"/>
        <v>16</v>
      </c>
      <c r="S972" s="352"/>
      <c r="T972" s="352"/>
      <c r="U972" s="352"/>
      <c r="V972" s="353"/>
      <c r="W972" s="352"/>
      <c r="X972" s="37"/>
      <c r="Y972" s="176"/>
      <c r="Z972" s="352"/>
      <c r="AA972" s="352"/>
      <c r="AB972" s="352"/>
      <c r="AC972" s="351"/>
      <c r="AD972" s="351"/>
    </row>
    <row r="973" spans="1:30" ht="115.35" hidden="1" x14ac:dyDescent="0.35">
      <c r="A973" s="349">
        <v>972</v>
      </c>
      <c r="B973" s="352" t="s">
        <v>698</v>
      </c>
      <c r="C973" s="351" t="s">
        <v>3040</v>
      </c>
      <c r="D973" s="352" t="s">
        <v>1416</v>
      </c>
      <c r="E973" s="352" t="s">
        <v>2857</v>
      </c>
      <c r="F973" s="353">
        <v>0.8</v>
      </c>
      <c r="G973" s="352" t="s">
        <v>1107</v>
      </c>
      <c r="H973" s="176" t="s">
        <v>1457</v>
      </c>
      <c r="I973" s="176" t="s">
        <v>3552</v>
      </c>
      <c r="J973" s="352" t="s">
        <v>828</v>
      </c>
      <c r="K973" s="352">
        <v>100</v>
      </c>
      <c r="L973" s="352" t="s">
        <v>732</v>
      </c>
      <c r="M973" s="352">
        <v>10</v>
      </c>
      <c r="N973" s="352" t="s">
        <v>1109</v>
      </c>
      <c r="O973" s="351">
        <v>100</v>
      </c>
      <c r="P973" s="349" t="s">
        <v>2030</v>
      </c>
      <c r="R973" s="349">
        <f t="shared" si="15"/>
        <v>16</v>
      </c>
      <c r="S973" s="352"/>
      <c r="T973" s="352"/>
      <c r="U973" s="352"/>
      <c r="V973" s="353"/>
      <c r="W973" s="352"/>
      <c r="X973" s="37"/>
      <c r="Y973" s="176"/>
      <c r="Z973" s="352"/>
      <c r="AA973" s="352"/>
      <c r="AB973" s="352"/>
      <c r="AC973" s="351"/>
      <c r="AD973" s="351"/>
    </row>
    <row r="974" spans="1:30" ht="166.65" hidden="1" x14ac:dyDescent="0.35">
      <c r="A974" s="349">
        <v>973</v>
      </c>
      <c r="B974" s="352" t="s">
        <v>698</v>
      </c>
      <c r="C974" s="351" t="s">
        <v>3040</v>
      </c>
      <c r="D974" s="352" t="s">
        <v>1416</v>
      </c>
      <c r="E974" s="352" t="s">
        <v>827</v>
      </c>
      <c r="F974" s="353">
        <v>0.65</v>
      </c>
      <c r="G974" s="352" t="s">
        <v>1107</v>
      </c>
      <c r="H974" s="176" t="s">
        <v>3325</v>
      </c>
      <c r="I974" s="176" t="s">
        <v>1456</v>
      </c>
      <c r="J974" s="352" t="s">
        <v>828</v>
      </c>
      <c r="K974" s="352">
        <v>2.5</v>
      </c>
      <c r="L974" s="352" t="s">
        <v>732</v>
      </c>
      <c r="M974" s="352">
        <v>5</v>
      </c>
      <c r="N974" s="352" t="s">
        <v>1109</v>
      </c>
      <c r="O974" s="351">
        <v>2.5</v>
      </c>
      <c r="P974" s="349" t="s">
        <v>2030</v>
      </c>
      <c r="R974" s="349">
        <f t="shared" si="15"/>
        <v>16</v>
      </c>
      <c r="S974" s="352"/>
      <c r="T974" s="352"/>
      <c r="U974" s="352"/>
      <c r="V974" s="353"/>
      <c r="W974" s="352"/>
      <c r="X974" s="37"/>
      <c r="Y974" s="176"/>
      <c r="Z974" s="352"/>
      <c r="AA974" s="352"/>
      <c r="AB974" s="352"/>
      <c r="AC974" s="351"/>
      <c r="AD974" s="351"/>
    </row>
    <row r="975" spans="1:30" ht="115.35" hidden="1" x14ac:dyDescent="0.35">
      <c r="A975" s="349">
        <v>974</v>
      </c>
      <c r="B975" s="352" t="s">
        <v>698</v>
      </c>
      <c r="C975" s="351" t="s">
        <v>3040</v>
      </c>
      <c r="D975" s="352" t="s">
        <v>1416</v>
      </c>
      <c r="E975" s="352" t="s">
        <v>1114</v>
      </c>
      <c r="F975" s="353">
        <v>4.0107999999999997</v>
      </c>
      <c r="G975" s="352" t="s">
        <v>1107</v>
      </c>
      <c r="H975" s="176" t="s">
        <v>1457</v>
      </c>
      <c r="I975" s="176" t="s">
        <v>3552</v>
      </c>
      <c r="J975" s="352" t="s">
        <v>1115</v>
      </c>
      <c r="K975" s="352">
        <v>5000</v>
      </c>
      <c r="L975" s="352" t="s">
        <v>732</v>
      </c>
      <c r="M975" s="352">
        <v>5</v>
      </c>
      <c r="N975" s="352" t="s">
        <v>1109</v>
      </c>
      <c r="O975" s="351">
        <v>5000</v>
      </c>
      <c r="P975" s="349" t="s">
        <v>2030</v>
      </c>
      <c r="R975" s="349">
        <f t="shared" si="15"/>
        <v>16</v>
      </c>
      <c r="S975" s="352"/>
      <c r="T975" s="352"/>
      <c r="U975" s="352"/>
      <c r="V975" s="353"/>
      <c r="W975" s="352"/>
      <c r="X975" s="37"/>
      <c r="Y975" s="176"/>
      <c r="Z975" s="352"/>
      <c r="AA975" s="352"/>
      <c r="AB975" s="352"/>
      <c r="AC975" s="351"/>
      <c r="AD975" s="351"/>
    </row>
    <row r="976" spans="1:30" ht="51.3" hidden="1" x14ac:dyDescent="0.35">
      <c r="A976" s="349">
        <v>975</v>
      </c>
      <c r="B976" s="352" t="s">
        <v>698</v>
      </c>
      <c r="C976" s="351" t="s">
        <v>3040</v>
      </c>
      <c r="D976" s="352" t="s">
        <v>1416</v>
      </c>
      <c r="E976" s="352" t="s">
        <v>477</v>
      </c>
      <c r="F976" s="353">
        <v>1.45</v>
      </c>
      <c r="G976" s="352" t="s">
        <v>315</v>
      </c>
      <c r="H976" s="176" t="s">
        <v>146</v>
      </c>
      <c r="I976" s="176" t="s">
        <v>2313</v>
      </c>
      <c r="J976" s="352" t="s">
        <v>828</v>
      </c>
      <c r="K976" s="352">
        <v>10000</v>
      </c>
      <c r="L976" s="352" t="s">
        <v>478</v>
      </c>
      <c r="M976" s="352">
        <v>0.4</v>
      </c>
      <c r="N976" s="352" t="s">
        <v>1109</v>
      </c>
      <c r="O976" s="351">
        <v>10000</v>
      </c>
      <c r="P976" s="349" t="s">
        <v>2030</v>
      </c>
      <c r="R976" s="349">
        <f t="shared" si="15"/>
        <v>16</v>
      </c>
      <c r="S976" s="352"/>
      <c r="T976" s="352"/>
      <c r="U976" s="352"/>
      <c r="V976" s="353"/>
      <c r="W976" s="352"/>
      <c r="X976" s="37"/>
      <c r="Y976" s="176"/>
      <c r="Z976" s="352"/>
      <c r="AA976" s="352"/>
      <c r="AB976" s="352"/>
      <c r="AC976" s="351"/>
      <c r="AD976" s="351"/>
    </row>
    <row r="977" spans="1:30" ht="115.35" hidden="1" x14ac:dyDescent="0.35">
      <c r="A977" s="349">
        <v>976</v>
      </c>
      <c r="B977" s="352" t="s">
        <v>698</v>
      </c>
      <c r="C977" s="351" t="s">
        <v>4305</v>
      </c>
      <c r="D977" s="352" t="s">
        <v>1416</v>
      </c>
      <c r="E977" s="352" t="s">
        <v>2855</v>
      </c>
      <c r="F977" s="353">
        <v>0.55000000000000004</v>
      </c>
      <c r="G977" s="352" t="s">
        <v>1107</v>
      </c>
      <c r="H977" s="176" t="s">
        <v>1457</v>
      </c>
      <c r="I977" s="176" t="s">
        <v>3552</v>
      </c>
      <c r="J977" s="352" t="s">
        <v>828</v>
      </c>
      <c r="K977" s="352">
        <v>1000</v>
      </c>
      <c r="L977" s="352" t="s">
        <v>732</v>
      </c>
      <c r="M977" s="352">
        <v>1</v>
      </c>
      <c r="N977" s="352" t="s">
        <v>1109</v>
      </c>
      <c r="O977" s="351">
        <v>1000</v>
      </c>
      <c r="P977" s="349" t="s">
        <v>2030</v>
      </c>
      <c r="R977" s="349">
        <f t="shared" si="15"/>
        <v>16</v>
      </c>
      <c r="S977" s="352"/>
      <c r="T977" s="352"/>
      <c r="U977" s="352"/>
      <c r="V977" s="353"/>
      <c r="W977" s="352"/>
      <c r="X977" s="37"/>
      <c r="Y977" s="176"/>
      <c r="Z977" s="352"/>
      <c r="AA977" s="352"/>
      <c r="AB977" s="352"/>
      <c r="AC977" s="351"/>
      <c r="AD977" s="351"/>
    </row>
    <row r="978" spans="1:30" ht="115.35" hidden="1" x14ac:dyDescent="0.35">
      <c r="A978" s="349">
        <v>977</v>
      </c>
      <c r="B978" s="352" t="s">
        <v>698</v>
      </c>
      <c r="C978" s="351" t="s">
        <v>4305</v>
      </c>
      <c r="D978" s="352" t="s">
        <v>1416</v>
      </c>
      <c r="E978" s="352" t="s">
        <v>2857</v>
      </c>
      <c r="F978" s="353">
        <v>0.8</v>
      </c>
      <c r="G978" s="352" t="s">
        <v>1107</v>
      </c>
      <c r="H978" s="176" t="s">
        <v>1457</v>
      </c>
      <c r="I978" s="176" t="s">
        <v>3552</v>
      </c>
      <c r="J978" s="352" t="s">
        <v>828</v>
      </c>
      <c r="K978" s="352">
        <v>100</v>
      </c>
      <c r="L978" s="352" t="s">
        <v>732</v>
      </c>
      <c r="M978" s="352">
        <v>10</v>
      </c>
      <c r="N978" s="352" t="s">
        <v>1109</v>
      </c>
      <c r="O978" s="351">
        <v>100</v>
      </c>
      <c r="P978" s="349" t="s">
        <v>2030</v>
      </c>
      <c r="R978" s="349">
        <f t="shared" si="15"/>
        <v>16</v>
      </c>
      <c r="S978" s="352"/>
      <c r="T978" s="352"/>
      <c r="U978" s="352"/>
      <c r="V978" s="353"/>
      <c r="W978" s="352"/>
      <c r="X978" s="37"/>
      <c r="Y978" s="176"/>
      <c r="Z978" s="352"/>
      <c r="AA978" s="352"/>
      <c r="AB978" s="352"/>
      <c r="AC978" s="351"/>
      <c r="AD978" s="351"/>
    </row>
    <row r="979" spans="1:30" ht="115.35" hidden="1" x14ac:dyDescent="0.35">
      <c r="A979" s="349">
        <v>978</v>
      </c>
      <c r="B979" s="352" t="s">
        <v>698</v>
      </c>
      <c r="C979" s="351" t="s">
        <v>4305</v>
      </c>
      <c r="D979" s="352" t="s">
        <v>1416</v>
      </c>
      <c r="E979" s="352" t="s">
        <v>1114</v>
      </c>
      <c r="F979" s="353">
        <v>4.0107999999999997</v>
      </c>
      <c r="G979" s="352" t="s">
        <v>1107</v>
      </c>
      <c r="H979" s="176" t="s">
        <v>1457</v>
      </c>
      <c r="I979" s="176" t="s">
        <v>3552</v>
      </c>
      <c r="J979" s="352" t="s">
        <v>1115</v>
      </c>
      <c r="K979" s="352">
        <v>5000</v>
      </c>
      <c r="L979" s="352" t="s">
        <v>732</v>
      </c>
      <c r="M979" s="352">
        <v>5</v>
      </c>
      <c r="N979" s="352" t="s">
        <v>1109</v>
      </c>
      <c r="O979" s="351">
        <v>5000</v>
      </c>
      <c r="P979" s="349" t="s">
        <v>2030</v>
      </c>
      <c r="R979" s="349">
        <f t="shared" si="15"/>
        <v>16</v>
      </c>
      <c r="S979" s="352"/>
      <c r="T979" s="352"/>
      <c r="U979" s="352"/>
      <c r="V979" s="353"/>
      <c r="W979" s="352"/>
      <c r="X979" s="37"/>
      <c r="Y979" s="176"/>
      <c r="Z979" s="352"/>
      <c r="AA979" s="352"/>
      <c r="AB979" s="352"/>
      <c r="AC979" s="351"/>
      <c r="AD979" s="351"/>
    </row>
    <row r="980" spans="1:30" ht="64.099999999999994" hidden="1" x14ac:dyDescent="0.35">
      <c r="A980" s="349">
        <v>979</v>
      </c>
      <c r="B980" s="352" t="s">
        <v>314</v>
      </c>
      <c r="C980" s="351" t="s">
        <v>3643</v>
      </c>
      <c r="D980" s="352" t="s">
        <v>1417</v>
      </c>
      <c r="E980" s="352" t="s">
        <v>767</v>
      </c>
      <c r="F980" s="353">
        <v>45.6</v>
      </c>
      <c r="G980" s="352" t="s">
        <v>2384</v>
      </c>
      <c r="H980" s="176" t="s">
        <v>2338</v>
      </c>
      <c r="I980" s="176" t="s">
        <v>1079</v>
      </c>
      <c r="J980" s="352" t="s">
        <v>1115</v>
      </c>
      <c r="K980" s="352">
        <v>720</v>
      </c>
      <c r="L980" s="352" t="s">
        <v>476</v>
      </c>
      <c r="M980" s="352">
        <v>1</v>
      </c>
      <c r="N980" s="352" t="s">
        <v>1109</v>
      </c>
      <c r="O980" s="351">
        <v>720</v>
      </c>
      <c r="P980" s="349" t="s">
        <v>817</v>
      </c>
      <c r="R980" s="349">
        <f t="shared" si="15"/>
        <v>18</v>
      </c>
      <c r="S980" s="352"/>
      <c r="T980" s="352"/>
      <c r="U980" s="352"/>
      <c r="V980" s="353"/>
      <c r="W980" s="352"/>
      <c r="X980" s="37"/>
      <c r="Y980" s="176"/>
      <c r="Z980" s="352"/>
      <c r="AA980" s="352"/>
      <c r="AB980" s="352"/>
      <c r="AC980" s="351"/>
      <c r="AD980" s="351"/>
    </row>
    <row r="981" spans="1:30" ht="128.19999999999999" hidden="1" x14ac:dyDescent="0.35">
      <c r="A981" s="349">
        <v>980</v>
      </c>
      <c r="B981" s="352" t="s">
        <v>314</v>
      </c>
      <c r="C981" s="351" t="s">
        <v>1626</v>
      </c>
      <c r="D981" s="352" t="s">
        <v>1418</v>
      </c>
      <c r="E981" s="352" t="s">
        <v>479</v>
      </c>
      <c r="F981" s="353">
        <v>178.1</v>
      </c>
      <c r="G981" s="352" t="s">
        <v>2384</v>
      </c>
      <c r="H981" s="176" t="s">
        <v>1627</v>
      </c>
      <c r="I981" s="176" t="s">
        <v>1628</v>
      </c>
      <c r="J981" s="352" t="s">
        <v>828</v>
      </c>
      <c r="K981" s="352">
        <v>200</v>
      </c>
      <c r="L981" s="352" t="s">
        <v>732</v>
      </c>
      <c r="M981" s="352">
        <v>1.5</v>
      </c>
      <c r="N981" s="352" t="s">
        <v>1109</v>
      </c>
      <c r="O981" s="351">
        <v>200</v>
      </c>
      <c r="P981" s="349" t="s">
        <v>2030</v>
      </c>
      <c r="R981" s="349">
        <f t="shared" si="15"/>
        <v>27</v>
      </c>
      <c r="S981" s="352"/>
      <c r="T981" s="352"/>
      <c r="U981" s="352"/>
      <c r="V981" s="353"/>
      <c r="W981" s="352"/>
      <c r="X981" s="37"/>
      <c r="Y981" s="176"/>
      <c r="Z981" s="352"/>
      <c r="AA981" s="352"/>
      <c r="AB981" s="352"/>
      <c r="AC981" s="351"/>
      <c r="AD981" s="351"/>
    </row>
    <row r="982" spans="1:30" ht="128.19999999999999" hidden="1" x14ac:dyDescent="0.35">
      <c r="A982" s="349">
        <v>981</v>
      </c>
      <c r="B982" s="352" t="s">
        <v>314</v>
      </c>
      <c r="C982" s="351" t="s">
        <v>1626</v>
      </c>
      <c r="D982" s="352" t="s">
        <v>1418</v>
      </c>
      <c r="E982" s="352" t="s">
        <v>827</v>
      </c>
      <c r="F982" s="353">
        <v>270.9461</v>
      </c>
      <c r="G982" s="352" t="s">
        <v>2384</v>
      </c>
      <c r="H982" s="176" t="s">
        <v>1627</v>
      </c>
      <c r="I982" s="176" t="s">
        <v>1628</v>
      </c>
      <c r="J982" s="352" t="s">
        <v>828</v>
      </c>
      <c r="K982" s="352">
        <v>100</v>
      </c>
      <c r="L982" s="352" t="s">
        <v>732</v>
      </c>
      <c r="M982" s="352">
        <v>5</v>
      </c>
      <c r="N982" s="352" t="s">
        <v>1109</v>
      </c>
      <c r="O982" s="351">
        <v>100</v>
      </c>
      <c r="P982" s="349" t="s">
        <v>2030</v>
      </c>
      <c r="R982" s="349">
        <f t="shared" si="15"/>
        <v>27</v>
      </c>
      <c r="S982" s="352"/>
      <c r="T982" s="352"/>
      <c r="U982" s="352"/>
      <c r="V982" s="353"/>
      <c r="W982" s="352"/>
      <c r="X982" s="37"/>
      <c r="Y982" s="176"/>
      <c r="Z982" s="352"/>
      <c r="AA982" s="352"/>
      <c r="AB982" s="352"/>
      <c r="AC982" s="351"/>
      <c r="AD982" s="351"/>
    </row>
    <row r="983" spans="1:30" ht="128.19999999999999" hidden="1" x14ac:dyDescent="0.35">
      <c r="A983" s="349">
        <v>982</v>
      </c>
      <c r="B983" s="352" t="s">
        <v>314</v>
      </c>
      <c r="C983" s="351" t="s">
        <v>1626</v>
      </c>
      <c r="D983" s="352" t="s">
        <v>1418</v>
      </c>
      <c r="E983" s="352" t="s">
        <v>479</v>
      </c>
      <c r="F983" s="353">
        <v>178.1</v>
      </c>
      <c r="G983" s="352" t="s">
        <v>2384</v>
      </c>
      <c r="H983" s="176" t="s">
        <v>1627</v>
      </c>
      <c r="I983" s="176" t="s">
        <v>1628</v>
      </c>
      <c r="J983" s="352" t="s">
        <v>828</v>
      </c>
      <c r="K983" s="352">
        <v>200</v>
      </c>
      <c r="L983" s="352" t="s">
        <v>732</v>
      </c>
      <c r="M983" s="352">
        <v>1.5</v>
      </c>
      <c r="N983" s="352" t="s">
        <v>1109</v>
      </c>
      <c r="O983" s="351">
        <v>200</v>
      </c>
      <c r="P983" s="349" t="s">
        <v>2030</v>
      </c>
      <c r="R983" s="349">
        <f t="shared" si="15"/>
        <v>27</v>
      </c>
      <c r="S983" s="352"/>
      <c r="T983" s="352"/>
      <c r="U983" s="352"/>
      <c r="V983" s="353"/>
      <c r="W983" s="352"/>
      <c r="X983" s="37"/>
      <c r="Y983" s="176"/>
      <c r="Z983" s="352"/>
      <c r="AA983" s="352"/>
      <c r="AB983" s="352"/>
      <c r="AC983" s="351"/>
      <c r="AD983" s="351"/>
    </row>
    <row r="984" spans="1:30" ht="128.19999999999999" hidden="1" x14ac:dyDescent="0.35">
      <c r="A984" s="349">
        <v>983</v>
      </c>
      <c r="B984" s="352" t="s">
        <v>314</v>
      </c>
      <c r="C984" s="351" t="s">
        <v>1626</v>
      </c>
      <c r="D984" s="352" t="s">
        <v>1418</v>
      </c>
      <c r="E984" s="352" t="s">
        <v>827</v>
      </c>
      <c r="F984" s="351">
        <v>270.9461</v>
      </c>
      <c r="G984" s="352" t="s">
        <v>2384</v>
      </c>
      <c r="H984" s="176" t="s">
        <v>1627</v>
      </c>
      <c r="I984" s="176" t="s">
        <v>1628</v>
      </c>
      <c r="J984" s="352" t="s">
        <v>828</v>
      </c>
      <c r="K984" s="351">
        <v>100</v>
      </c>
      <c r="L984" s="351" t="s">
        <v>732</v>
      </c>
      <c r="M984" s="352">
        <v>5</v>
      </c>
      <c r="N984" s="352" t="s">
        <v>1109</v>
      </c>
      <c r="O984" s="351">
        <v>100</v>
      </c>
      <c r="P984" s="349" t="s">
        <v>2030</v>
      </c>
      <c r="R984" s="349">
        <f t="shared" si="15"/>
        <v>27</v>
      </c>
      <c r="S984" s="352"/>
      <c r="T984" s="352"/>
      <c r="U984" s="352"/>
      <c r="V984" s="353"/>
      <c r="W984" s="352"/>
      <c r="X984" s="176"/>
      <c r="Y984" s="176"/>
      <c r="Z984" s="352"/>
      <c r="AA984" s="352"/>
      <c r="AB984" s="352"/>
      <c r="AC984" s="351"/>
      <c r="AD984" s="351"/>
    </row>
    <row r="985" spans="1:30" ht="89.75" hidden="1" x14ac:dyDescent="0.35">
      <c r="A985" s="349">
        <v>984</v>
      </c>
      <c r="B985" s="352" t="s">
        <v>314</v>
      </c>
      <c r="C985" s="351" t="s">
        <v>651</v>
      </c>
      <c r="D985" s="352" t="s">
        <v>1419</v>
      </c>
      <c r="E985" s="352" t="s">
        <v>2855</v>
      </c>
      <c r="F985" s="353">
        <v>37.65</v>
      </c>
      <c r="G985" s="352" t="s">
        <v>2384</v>
      </c>
      <c r="H985" s="37" t="s">
        <v>2336</v>
      </c>
      <c r="I985" s="176" t="s">
        <v>2337</v>
      </c>
      <c r="J985" s="352" t="s">
        <v>828</v>
      </c>
      <c r="K985" s="351">
        <v>20</v>
      </c>
      <c r="L985" s="351" t="s">
        <v>4022</v>
      </c>
      <c r="M985" s="352">
        <v>1</v>
      </c>
      <c r="N985" s="352" t="s">
        <v>1109</v>
      </c>
      <c r="O985" s="351">
        <v>20</v>
      </c>
      <c r="P985" s="349" t="s">
        <v>1850</v>
      </c>
      <c r="R985" s="349">
        <f t="shared" si="15"/>
        <v>18</v>
      </c>
      <c r="S985" s="352"/>
      <c r="T985" s="352"/>
      <c r="U985" s="352"/>
      <c r="V985" s="353"/>
      <c r="W985" s="352"/>
      <c r="X985" s="37"/>
      <c r="Y985" s="176"/>
      <c r="Z985" s="352"/>
      <c r="AA985" s="352"/>
      <c r="AB985" s="352"/>
      <c r="AC985" s="351"/>
      <c r="AD985" s="351"/>
    </row>
    <row r="986" spans="1:30" ht="102.55" hidden="1" x14ac:dyDescent="0.35">
      <c r="A986" s="349">
        <v>985</v>
      </c>
      <c r="B986" s="352" t="s">
        <v>314</v>
      </c>
      <c r="C986" s="351" t="s">
        <v>651</v>
      </c>
      <c r="D986" s="352" t="s">
        <v>1419</v>
      </c>
      <c r="E986" s="352" t="s">
        <v>2855</v>
      </c>
      <c r="F986" s="353">
        <v>32.460599999999999</v>
      </c>
      <c r="G986" s="352" t="s">
        <v>2384</v>
      </c>
      <c r="H986" s="37" t="s">
        <v>1031</v>
      </c>
      <c r="I986" s="176" t="s">
        <v>1625</v>
      </c>
      <c r="J986" s="352" t="s">
        <v>828</v>
      </c>
      <c r="K986" s="352">
        <v>10</v>
      </c>
      <c r="L986" s="352" t="s">
        <v>4022</v>
      </c>
      <c r="M986" s="352">
        <v>1</v>
      </c>
      <c r="N986" s="352" t="s">
        <v>1109</v>
      </c>
      <c r="O986" s="351">
        <v>10</v>
      </c>
      <c r="P986" s="349" t="s">
        <v>1850</v>
      </c>
      <c r="R986" s="349">
        <f t="shared" si="15"/>
        <v>18</v>
      </c>
      <c r="S986" s="352"/>
      <c r="T986" s="352"/>
      <c r="U986" s="352"/>
      <c r="V986" s="353"/>
      <c r="W986" s="352"/>
      <c r="X986" s="176"/>
      <c r="Y986" s="176"/>
      <c r="Z986" s="352"/>
      <c r="AA986" s="352"/>
      <c r="AB986" s="352"/>
      <c r="AC986" s="351"/>
      <c r="AD986" s="351"/>
    </row>
    <row r="987" spans="1:30" ht="243.55" hidden="1" x14ac:dyDescent="0.35">
      <c r="A987" s="349">
        <v>986</v>
      </c>
      <c r="B987" s="352" t="s">
        <v>314</v>
      </c>
      <c r="C987" s="351" t="s">
        <v>4306</v>
      </c>
      <c r="D987" s="352" t="s">
        <v>1415</v>
      </c>
      <c r="E987" s="352" t="s">
        <v>2562</v>
      </c>
      <c r="F987" s="353"/>
      <c r="G987" s="352" t="s">
        <v>2384</v>
      </c>
      <c r="H987" s="176" t="s">
        <v>4936</v>
      </c>
      <c r="I987" s="176" t="s">
        <v>1629</v>
      </c>
      <c r="J987" s="352" t="s">
        <v>828</v>
      </c>
      <c r="K987" s="352"/>
      <c r="L987" s="352"/>
      <c r="M987" s="351">
        <v>0.5</v>
      </c>
      <c r="N987" s="351" t="s">
        <v>1109</v>
      </c>
      <c r="O987" s="351">
        <v>0</v>
      </c>
      <c r="P987" s="349" t="s">
        <v>1837</v>
      </c>
      <c r="R987" s="349">
        <f t="shared" si="15"/>
        <v>31</v>
      </c>
      <c r="S987" s="352"/>
      <c r="T987" s="352"/>
      <c r="U987" s="352"/>
      <c r="V987" s="353"/>
      <c r="W987" s="352"/>
      <c r="X987" s="176"/>
      <c r="Y987" s="176"/>
      <c r="Z987" s="352"/>
      <c r="AA987" s="352"/>
      <c r="AB987" s="352"/>
      <c r="AC987" s="351"/>
      <c r="AD987" s="351"/>
    </row>
    <row r="988" spans="1:30" ht="38.450000000000003" hidden="1" x14ac:dyDescent="0.35">
      <c r="A988" s="349">
        <v>987</v>
      </c>
      <c r="B988" s="352" t="s">
        <v>1322</v>
      </c>
      <c r="C988" s="351" t="s">
        <v>4307</v>
      </c>
      <c r="D988" s="352" t="s">
        <v>4035</v>
      </c>
      <c r="E988" s="352" t="s">
        <v>467</v>
      </c>
      <c r="F988" s="353">
        <v>1.4104000000000001</v>
      </c>
      <c r="G988" s="352" t="s">
        <v>34</v>
      </c>
      <c r="H988" s="37"/>
      <c r="I988" s="176" t="s">
        <v>1766</v>
      </c>
      <c r="J988" s="352" t="s">
        <v>469</v>
      </c>
      <c r="K988" s="352"/>
      <c r="L988" s="352"/>
      <c r="M988" s="351">
        <v>50</v>
      </c>
      <c r="N988" s="351" t="s">
        <v>1109</v>
      </c>
      <c r="O988" s="351">
        <v>0</v>
      </c>
      <c r="P988" s="349" t="s">
        <v>1837</v>
      </c>
      <c r="R988" s="349">
        <f t="shared" si="15"/>
        <v>14</v>
      </c>
      <c r="S988" s="352"/>
      <c r="T988" s="352"/>
      <c r="U988" s="352"/>
      <c r="V988" s="353"/>
      <c r="W988" s="352"/>
      <c r="X988" s="176"/>
      <c r="Y988" s="176"/>
      <c r="Z988" s="352"/>
      <c r="AA988" s="352"/>
      <c r="AB988" s="352"/>
      <c r="AC988" s="351"/>
      <c r="AD988" s="351"/>
    </row>
    <row r="989" spans="1:30" ht="38.450000000000003" hidden="1" x14ac:dyDescent="0.35">
      <c r="A989" s="349">
        <v>988</v>
      </c>
      <c r="B989" s="352" t="s">
        <v>1322</v>
      </c>
      <c r="C989" s="351" t="s">
        <v>4308</v>
      </c>
      <c r="D989" s="352" t="s">
        <v>4035</v>
      </c>
      <c r="E989" s="352" t="s">
        <v>1071</v>
      </c>
      <c r="F989" s="353">
        <v>15.514099999999999</v>
      </c>
      <c r="G989" s="352" t="s">
        <v>34</v>
      </c>
      <c r="H989" s="37"/>
      <c r="I989" s="176" t="s">
        <v>3217</v>
      </c>
      <c r="J989" s="352" t="s">
        <v>1072</v>
      </c>
      <c r="K989" s="352">
        <v>4</v>
      </c>
      <c r="L989" s="352" t="s">
        <v>470</v>
      </c>
      <c r="M989" s="351">
        <v>500</v>
      </c>
      <c r="N989" s="351" t="s">
        <v>1109</v>
      </c>
      <c r="O989" s="351">
        <v>4</v>
      </c>
      <c r="P989" s="349" t="s">
        <v>1838</v>
      </c>
      <c r="R989" s="349">
        <f t="shared" si="15"/>
        <v>14</v>
      </c>
      <c r="S989" s="352"/>
      <c r="T989" s="352"/>
      <c r="U989" s="352"/>
      <c r="V989" s="353"/>
      <c r="W989" s="352"/>
      <c r="X989" s="176"/>
      <c r="Y989" s="176"/>
      <c r="Z989" s="352"/>
      <c r="AA989" s="352"/>
      <c r="AB989" s="352"/>
      <c r="AC989" s="351"/>
      <c r="AD989" s="351"/>
    </row>
    <row r="990" spans="1:30" hidden="1" x14ac:dyDescent="0.35">
      <c r="A990" s="349">
        <v>989</v>
      </c>
      <c r="B990" s="352" t="s">
        <v>1322</v>
      </c>
      <c r="C990" s="351" t="s">
        <v>4309</v>
      </c>
      <c r="D990" s="352" t="s">
        <v>4035</v>
      </c>
      <c r="E990" s="352" t="s">
        <v>2016</v>
      </c>
      <c r="F990" s="353">
        <v>0.28649999999999998</v>
      </c>
      <c r="G990" s="352" t="s">
        <v>2126</v>
      </c>
      <c r="H990" s="37" t="s">
        <v>584</v>
      </c>
      <c r="I990" s="176" t="s">
        <v>2554</v>
      </c>
      <c r="J990" s="352" t="s">
        <v>893</v>
      </c>
      <c r="K990" s="352">
        <v>2.5</v>
      </c>
      <c r="L990" s="352" t="s">
        <v>3581</v>
      </c>
      <c r="M990" s="351"/>
      <c r="N990" s="351"/>
      <c r="O990" s="351">
        <v>2.5</v>
      </c>
      <c r="P990" s="349" t="s">
        <v>1836</v>
      </c>
      <c r="R990" s="349">
        <f t="shared" si="15"/>
        <v>14</v>
      </c>
      <c r="S990" s="352"/>
      <c r="T990" s="352"/>
      <c r="U990" s="352"/>
      <c r="V990" s="353"/>
      <c r="W990" s="352"/>
      <c r="X990" s="37"/>
      <c r="Y990" s="176"/>
      <c r="Z990" s="352"/>
      <c r="AA990" s="352"/>
      <c r="AB990" s="352"/>
      <c r="AC990" s="351"/>
      <c r="AD990" s="351"/>
    </row>
    <row r="991" spans="1:30" ht="51.3" hidden="1" x14ac:dyDescent="0.35">
      <c r="A991" s="349">
        <v>990</v>
      </c>
      <c r="B991" s="352" t="s">
        <v>1080</v>
      </c>
      <c r="C991" s="351" t="s">
        <v>4310</v>
      </c>
      <c r="D991" s="352" t="s">
        <v>3687</v>
      </c>
      <c r="E991" s="352" t="s">
        <v>1997</v>
      </c>
      <c r="F991" s="353">
        <v>23.36</v>
      </c>
      <c r="G991" s="352" t="s">
        <v>1107</v>
      </c>
      <c r="H991" s="176"/>
      <c r="I991" s="176" t="s">
        <v>930</v>
      </c>
      <c r="J991" s="352" t="s">
        <v>1115</v>
      </c>
      <c r="K991" s="352">
        <v>500</v>
      </c>
      <c r="L991" s="352" t="s">
        <v>1464</v>
      </c>
      <c r="M991" s="352"/>
      <c r="N991" s="352"/>
      <c r="O991" s="351">
        <v>500</v>
      </c>
      <c r="P991" s="349" t="s">
        <v>1836</v>
      </c>
      <c r="R991" s="349">
        <f t="shared" si="15"/>
        <v>10</v>
      </c>
      <c r="S991" s="352"/>
      <c r="T991" s="352"/>
      <c r="U991" s="352"/>
      <c r="V991" s="353"/>
      <c r="W991" s="352"/>
      <c r="X991" s="37"/>
      <c r="Y991" s="176"/>
      <c r="Z991" s="352"/>
      <c r="AA991" s="352"/>
      <c r="AB991" s="352"/>
      <c r="AC991" s="351"/>
      <c r="AD991" s="351"/>
    </row>
    <row r="992" spans="1:30" ht="51.3" hidden="1" x14ac:dyDescent="0.35">
      <c r="A992" s="349">
        <v>991</v>
      </c>
      <c r="B992" s="352" t="s">
        <v>1080</v>
      </c>
      <c r="C992" s="351" t="s">
        <v>4310</v>
      </c>
      <c r="D992" s="352" t="s">
        <v>3687</v>
      </c>
      <c r="E992" s="352" t="s">
        <v>1997</v>
      </c>
      <c r="F992" s="353">
        <v>44.118299999999998</v>
      </c>
      <c r="G992" s="352" t="s">
        <v>1107</v>
      </c>
      <c r="H992" s="176"/>
      <c r="I992" s="176" t="s">
        <v>930</v>
      </c>
      <c r="J992" s="352" t="s">
        <v>1115</v>
      </c>
      <c r="K992" s="352">
        <v>1000</v>
      </c>
      <c r="L992" s="352" t="s">
        <v>1464</v>
      </c>
      <c r="M992" s="351"/>
      <c r="N992" s="351"/>
      <c r="O992" s="351">
        <v>1000</v>
      </c>
      <c r="P992" s="349" t="s">
        <v>1836</v>
      </c>
      <c r="R992" s="349">
        <f t="shared" si="15"/>
        <v>10</v>
      </c>
      <c r="S992" s="352"/>
      <c r="T992" s="352"/>
      <c r="U992" s="352"/>
      <c r="V992" s="353"/>
      <c r="W992" s="352"/>
      <c r="X992" s="37"/>
      <c r="Y992" s="176"/>
      <c r="Z992" s="352"/>
      <c r="AA992" s="352"/>
      <c r="AB992" s="352"/>
      <c r="AC992" s="351"/>
      <c r="AD992" s="351"/>
    </row>
    <row r="993" spans="1:30" ht="51.3" hidden="1" x14ac:dyDescent="0.35">
      <c r="A993" s="349">
        <v>992</v>
      </c>
      <c r="B993" s="352" t="s">
        <v>1080</v>
      </c>
      <c r="C993" s="351" t="s">
        <v>4310</v>
      </c>
      <c r="D993" s="352" t="s">
        <v>3687</v>
      </c>
      <c r="E993" s="352" t="s">
        <v>1997</v>
      </c>
      <c r="F993" s="353">
        <v>86.7821</v>
      </c>
      <c r="G993" s="352" t="s">
        <v>1107</v>
      </c>
      <c r="H993" s="176"/>
      <c r="I993" s="176" t="s">
        <v>930</v>
      </c>
      <c r="J993" s="352" t="s">
        <v>1115</v>
      </c>
      <c r="K993" s="352">
        <v>2000</v>
      </c>
      <c r="L993" s="352" t="s">
        <v>1464</v>
      </c>
      <c r="M993" s="351"/>
      <c r="N993" s="351"/>
      <c r="O993" s="351">
        <v>2000</v>
      </c>
      <c r="P993" s="349" t="s">
        <v>1836</v>
      </c>
      <c r="R993" s="349">
        <f t="shared" si="15"/>
        <v>10</v>
      </c>
      <c r="S993" s="352"/>
      <c r="T993" s="352"/>
      <c r="U993" s="352"/>
      <c r="V993" s="353"/>
      <c r="W993" s="352"/>
      <c r="X993" s="37"/>
      <c r="Y993" s="176"/>
      <c r="Z993" s="352"/>
      <c r="AA993" s="352"/>
      <c r="AB993" s="352"/>
      <c r="AC993" s="351"/>
      <c r="AD993" s="351"/>
    </row>
    <row r="994" spans="1:30" ht="25.65" hidden="1" x14ac:dyDescent="0.35">
      <c r="A994" s="349">
        <v>993</v>
      </c>
      <c r="B994" s="352" t="s">
        <v>729</v>
      </c>
      <c r="C994" s="351" t="s">
        <v>4311</v>
      </c>
      <c r="D994" s="352" t="s">
        <v>1423</v>
      </c>
      <c r="E994" s="352" t="s">
        <v>4201</v>
      </c>
      <c r="F994" s="353">
        <v>14.8</v>
      </c>
      <c r="G994" s="352" t="s">
        <v>315</v>
      </c>
      <c r="H994" s="176" t="s">
        <v>3486</v>
      </c>
      <c r="I994" s="176" t="s">
        <v>1469</v>
      </c>
      <c r="J994" s="352" t="s">
        <v>4202</v>
      </c>
      <c r="K994" s="352">
        <v>100</v>
      </c>
      <c r="L994" s="352" t="s">
        <v>732</v>
      </c>
      <c r="M994" s="351">
        <v>3</v>
      </c>
      <c r="N994" s="351" t="s">
        <v>1109</v>
      </c>
      <c r="O994" s="351">
        <v>100</v>
      </c>
      <c r="P994" s="349" t="s">
        <v>2030</v>
      </c>
      <c r="R994" s="349">
        <f t="shared" si="15"/>
        <v>15</v>
      </c>
      <c r="S994" s="352"/>
      <c r="T994" s="352"/>
      <c r="U994" s="352"/>
      <c r="V994" s="353"/>
      <c r="W994" s="352"/>
      <c r="X994" s="37"/>
      <c r="Y994" s="176"/>
      <c r="Z994" s="352"/>
      <c r="AA994" s="352"/>
      <c r="AB994" s="352"/>
      <c r="AC994" s="351"/>
      <c r="AD994" s="351"/>
    </row>
    <row r="995" spans="1:30" ht="38.450000000000003" hidden="1" x14ac:dyDescent="0.35">
      <c r="A995" s="349">
        <v>994</v>
      </c>
      <c r="B995" s="352" t="s">
        <v>3248</v>
      </c>
      <c r="C995" s="351" t="s">
        <v>4312</v>
      </c>
      <c r="D995" s="352" t="s">
        <v>3665</v>
      </c>
      <c r="E995" s="352" t="s">
        <v>1998</v>
      </c>
      <c r="F995" s="353">
        <v>1.85</v>
      </c>
      <c r="G995" s="352" t="s">
        <v>2126</v>
      </c>
      <c r="H995" s="176" t="s">
        <v>3764</v>
      </c>
      <c r="I995" s="176" t="s">
        <v>4730</v>
      </c>
      <c r="J995" s="352" t="s">
        <v>22</v>
      </c>
      <c r="K995" s="352">
        <v>250</v>
      </c>
      <c r="L995" s="352" t="s">
        <v>23</v>
      </c>
      <c r="M995" s="351"/>
      <c r="N995" s="351"/>
      <c r="O995" s="351">
        <v>250</v>
      </c>
      <c r="P995" s="349" t="s">
        <v>1836</v>
      </c>
      <c r="R995" s="349">
        <f t="shared" si="15"/>
        <v>12</v>
      </c>
      <c r="S995" s="352"/>
      <c r="T995" s="352"/>
      <c r="U995" s="352"/>
      <c r="V995" s="353"/>
      <c r="W995" s="352"/>
      <c r="X995" s="37"/>
      <c r="Y995" s="176"/>
      <c r="Z995" s="352"/>
      <c r="AA995" s="352"/>
      <c r="AB995" s="352"/>
      <c r="AC995" s="351"/>
      <c r="AD995" s="351"/>
    </row>
    <row r="996" spans="1:30" ht="38.450000000000003" hidden="1" x14ac:dyDescent="0.35">
      <c r="A996" s="349">
        <v>995</v>
      </c>
      <c r="B996" s="352" t="s">
        <v>1113</v>
      </c>
      <c r="C996" s="351" t="s">
        <v>1827</v>
      </c>
      <c r="D996" s="352" t="s">
        <v>1827</v>
      </c>
      <c r="E996" s="352" t="s">
        <v>1997</v>
      </c>
      <c r="F996" s="353">
        <v>20.27</v>
      </c>
      <c r="G996" s="352" t="s">
        <v>4203</v>
      </c>
      <c r="H996" s="176" t="s">
        <v>2504</v>
      </c>
      <c r="I996" s="176" t="s">
        <v>2505</v>
      </c>
      <c r="J996" s="352" t="s">
        <v>1115</v>
      </c>
      <c r="K996" s="352">
        <v>150</v>
      </c>
      <c r="L996" s="352" t="s">
        <v>2069</v>
      </c>
      <c r="M996" s="352"/>
      <c r="N996" s="352"/>
      <c r="O996" s="351">
        <v>150</v>
      </c>
      <c r="P996" s="349" t="s">
        <v>2030</v>
      </c>
      <c r="R996" s="349">
        <f t="shared" si="15"/>
        <v>13</v>
      </c>
      <c r="S996" s="352"/>
      <c r="T996" s="352"/>
      <c r="U996" s="352"/>
      <c r="V996" s="353"/>
      <c r="W996" s="352"/>
      <c r="X996" s="37"/>
      <c r="Y996" s="176"/>
      <c r="Z996" s="352"/>
      <c r="AA996" s="352"/>
      <c r="AB996" s="352"/>
      <c r="AC996" s="351"/>
      <c r="AD996" s="351"/>
    </row>
    <row r="997" spans="1:30" ht="38.450000000000003" hidden="1" x14ac:dyDescent="0.35">
      <c r="A997" s="349">
        <v>996</v>
      </c>
      <c r="B997" s="352" t="s">
        <v>1113</v>
      </c>
      <c r="C997" s="351" t="s">
        <v>4313</v>
      </c>
      <c r="D997" s="352" t="s">
        <v>1827</v>
      </c>
      <c r="E997" s="352" t="s">
        <v>1997</v>
      </c>
      <c r="F997" s="353">
        <v>20.27</v>
      </c>
      <c r="G997" s="352" t="s">
        <v>4203</v>
      </c>
      <c r="H997" s="176" t="s">
        <v>2504</v>
      </c>
      <c r="I997" s="176" t="s">
        <v>2505</v>
      </c>
      <c r="J997" s="352" t="s">
        <v>1115</v>
      </c>
      <c r="K997" s="352">
        <v>150</v>
      </c>
      <c r="L997" s="352" t="s">
        <v>2069</v>
      </c>
      <c r="M997" s="352"/>
      <c r="N997" s="352"/>
      <c r="O997" s="351">
        <v>150</v>
      </c>
      <c r="P997" s="349" t="s">
        <v>2030</v>
      </c>
      <c r="R997" s="349">
        <f t="shared" si="15"/>
        <v>13</v>
      </c>
      <c r="S997" s="352"/>
      <c r="T997" s="352"/>
      <c r="U997" s="352"/>
      <c r="V997" s="353"/>
      <c r="W997" s="352"/>
      <c r="X997" s="37"/>
      <c r="Y997" s="176"/>
      <c r="Z997" s="352"/>
      <c r="AA997" s="352"/>
      <c r="AB997" s="352"/>
      <c r="AC997" s="351"/>
      <c r="AD997" s="351"/>
    </row>
    <row r="998" spans="1:30" ht="115.35" hidden="1" x14ac:dyDescent="0.35">
      <c r="A998" s="349">
        <v>997</v>
      </c>
      <c r="B998" s="352" t="s">
        <v>1463</v>
      </c>
      <c r="C998" s="351" t="s">
        <v>1710</v>
      </c>
      <c r="D998" s="352" t="s">
        <v>1710</v>
      </c>
      <c r="E998" s="352" t="s">
        <v>1995</v>
      </c>
      <c r="F998" s="353">
        <v>0.1</v>
      </c>
      <c r="G998" s="352" t="s">
        <v>2126</v>
      </c>
      <c r="H998" s="176" t="s">
        <v>2684</v>
      </c>
      <c r="I998" s="176" t="s">
        <v>2685</v>
      </c>
      <c r="J998" s="352" t="s">
        <v>3580</v>
      </c>
      <c r="K998" s="352">
        <v>25</v>
      </c>
      <c r="L998" s="352" t="s">
        <v>3581</v>
      </c>
      <c r="M998" s="352"/>
      <c r="N998" s="352"/>
      <c r="O998" s="351">
        <v>25</v>
      </c>
      <c r="P998" s="349" t="s">
        <v>1836</v>
      </c>
      <c r="R998" s="349">
        <f t="shared" si="15"/>
        <v>19</v>
      </c>
      <c r="S998" s="352"/>
      <c r="T998" s="352"/>
      <c r="U998" s="352"/>
      <c r="V998" s="353"/>
      <c r="W998" s="352"/>
      <c r="X998" s="37"/>
      <c r="Y998" s="176"/>
      <c r="Z998" s="352"/>
      <c r="AA998" s="352"/>
      <c r="AB998" s="352"/>
      <c r="AC998" s="351"/>
      <c r="AD998" s="351"/>
    </row>
    <row r="999" spans="1:30" ht="89.75" hidden="1" x14ac:dyDescent="0.35">
      <c r="A999" s="349">
        <v>998</v>
      </c>
      <c r="B999" s="352" t="s">
        <v>1018</v>
      </c>
      <c r="C999" s="351" t="s">
        <v>4314</v>
      </c>
      <c r="D999" s="352" t="s">
        <v>1250</v>
      </c>
      <c r="E999" s="352" t="s">
        <v>762</v>
      </c>
      <c r="F999" s="353">
        <v>1.45</v>
      </c>
      <c r="G999" s="352" t="s">
        <v>2384</v>
      </c>
      <c r="H999" s="176" t="s">
        <v>2248</v>
      </c>
      <c r="I999" s="176" t="s">
        <v>2249</v>
      </c>
      <c r="J999" s="352" t="s">
        <v>828</v>
      </c>
      <c r="K999" s="351">
        <v>500</v>
      </c>
      <c r="L999" s="351" t="s">
        <v>4022</v>
      </c>
      <c r="M999" s="351">
        <v>2</v>
      </c>
      <c r="N999" s="351" t="s">
        <v>1109</v>
      </c>
      <c r="O999" s="351">
        <v>500</v>
      </c>
      <c r="P999" s="349" t="s">
        <v>1850</v>
      </c>
      <c r="R999" s="349">
        <f t="shared" si="15"/>
        <v>17</v>
      </c>
      <c r="S999" s="352"/>
      <c r="T999" s="352"/>
      <c r="U999" s="352"/>
      <c r="V999" s="353"/>
      <c r="W999" s="352"/>
      <c r="X999" s="176"/>
      <c r="Y999" s="176"/>
      <c r="Z999" s="352"/>
      <c r="AA999" s="352"/>
      <c r="AB999" s="352"/>
      <c r="AC999" s="352"/>
      <c r="AD999" s="352"/>
    </row>
    <row r="1000" spans="1:30" ht="76.900000000000006" hidden="1" x14ac:dyDescent="0.35">
      <c r="A1000" s="349">
        <v>999</v>
      </c>
      <c r="B1000" s="352" t="s">
        <v>830</v>
      </c>
      <c r="C1000" s="351" t="s">
        <v>4314</v>
      </c>
      <c r="D1000" s="352" t="s">
        <v>1250</v>
      </c>
      <c r="E1000" s="352" t="s">
        <v>762</v>
      </c>
      <c r="F1000" s="353">
        <v>1.45</v>
      </c>
      <c r="G1000" s="352" t="s">
        <v>4203</v>
      </c>
      <c r="H1000" s="176" t="s">
        <v>102</v>
      </c>
      <c r="I1000" s="176" t="s">
        <v>1159</v>
      </c>
      <c r="J1000" s="352" t="s">
        <v>828</v>
      </c>
      <c r="K1000" s="352">
        <v>500</v>
      </c>
      <c r="L1000" s="352" t="s">
        <v>4022</v>
      </c>
      <c r="M1000" s="351">
        <v>2</v>
      </c>
      <c r="N1000" s="351" t="s">
        <v>1109</v>
      </c>
      <c r="O1000" s="351">
        <v>500</v>
      </c>
      <c r="P1000" s="349" t="s">
        <v>1850</v>
      </c>
      <c r="R1000" s="349">
        <f t="shared" si="15"/>
        <v>17</v>
      </c>
      <c r="S1000" s="352"/>
      <c r="T1000" s="352"/>
      <c r="U1000" s="352"/>
      <c r="V1000" s="353"/>
      <c r="W1000" s="352"/>
      <c r="X1000" s="176"/>
      <c r="Y1000" s="176"/>
      <c r="Z1000" s="352"/>
      <c r="AA1000" s="351"/>
      <c r="AB1000" s="351"/>
      <c r="AC1000" s="352"/>
      <c r="AD1000" s="352"/>
    </row>
    <row r="1001" spans="1:30" ht="115.35" hidden="1" x14ac:dyDescent="0.35">
      <c r="A1001" s="349">
        <v>1000</v>
      </c>
      <c r="B1001" s="352" t="s">
        <v>778</v>
      </c>
      <c r="C1001" s="351" t="s">
        <v>3170</v>
      </c>
      <c r="D1001" s="352" t="s">
        <v>3170</v>
      </c>
      <c r="E1001" s="352" t="s">
        <v>1997</v>
      </c>
      <c r="F1001" s="353">
        <v>2.2000000000000002</v>
      </c>
      <c r="G1001" s="352" t="s">
        <v>1107</v>
      </c>
      <c r="H1001" s="176" t="s">
        <v>1655</v>
      </c>
      <c r="I1001" s="176" t="s">
        <v>1088</v>
      </c>
      <c r="J1001" s="352" t="s">
        <v>1115</v>
      </c>
      <c r="K1001" s="352">
        <v>100</v>
      </c>
      <c r="L1001" s="352" t="s">
        <v>1464</v>
      </c>
      <c r="M1001" s="351"/>
      <c r="N1001" s="351"/>
      <c r="O1001" s="351">
        <v>100</v>
      </c>
      <c r="P1001" s="349" t="s">
        <v>1836</v>
      </c>
      <c r="R1001" s="349">
        <f t="shared" si="15"/>
        <v>13</v>
      </c>
      <c r="S1001" s="352"/>
      <c r="T1001" s="352"/>
      <c r="U1001" s="352"/>
      <c r="V1001" s="353"/>
      <c r="W1001" s="352"/>
      <c r="X1001" s="176"/>
      <c r="Y1001" s="176"/>
      <c r="Z1001" s="352"/>
      <c r="AA1001" s="352"/>
      <c r="AB1001" s="352"/>
      <c r="AC1001" s="352"/>
      <c r="AD1001" s="352"/>
    </row>
    <row r="1002" spans="1:30" hidden="1" x14ac:dyDescent="0.35">
      <c r="A1002" s="349">
        <v>1001</v>
      </c>
      <c r="B1002" s="352" t="s">
        <v>1792</v>
      </c>
      <c r="C1002" s="351" t="s">
        <v>3170</v>
      </c>
      <c r="D1002" s="352" t="s">
        <v>3170</v>
      </c>
      <c r="E1002" s="352" t="s">
        <v>758</v>
      </c>
      <c r="F1002" s="353">
        <v>4.6939000000000002</v>
      </c>
      <c r="G1002" s="352" t="s">
        <v>34</v>
      </c>
      <c r="H1002" s="176" t="s">
        <v>1336</v>
      </c>
      <c r="I1002" s="176" t="s">
        <v>1337</v>
      </c>
      <c r="J1002" s="352" t="s">
        <v>29</v>
      </c>
      <c r="K1002" s="352">
        <v>1</v>
      </c>
      <c r="L1002" s="352" t="s">
        <v>470</v>
      </c>
      <c r="M1002" s="351">
        <v>15</v>
      </c>
      <c r="N1002" s="351" t="s">
        <v>31</v>
      </c>
      <c r="O1002" s="351">
        <v>1</v>
      </c>
      <c r="P1002" s="349" t="s">
        <v>1838</v>
      </c>
      <c r="R1002" s="349">
        <f t="shared" si="15"/>
        <v>13</v>
      </c>
      <c r="S1002" s="352"/>
      <c r="T1002" s="352"/>
      <c r="U1002" s="352"/>
      <c r="V1002" s="353"/>
      <c r="W1002" s="352"/>
      <c r="X1002" s="176"/>
      <c r="Y1002" s="176"/>
      <c r="Z1002" s="352"/>
      <c r="AA1002" s="351"/>
      <c r="AB1002" s="351"/>
      <c r="AC1002" s="352"/>
      <c r="AD1002" s="352"/>
    </row>
    <row r="1003" spans="1:30" ht="25.65" hidden="1" x14ac:dyDescent="0.35">
      <c r="A1003" s="349">
        <v>1002</v>
      </c>
      <c r="B1003" s="352" t="s">
        <v>1792</v>
      </c>
      <c r="C1003" s="351" t="s">
        <v>3170</v>
      </c>
      <c r="D1003" s="352" t="s">
        <v>3170</v>
      </c>
      <c r="E1003" s="352" t="s">
        <v>1793</v>
      </c>
      <c r="F1003" s="353">
        <v>2.5</v>
      </c>
      <c r="G1003" s="352" t="s">
        <v>34</v>
      </c>
      <c r="H1003" s="176" t="s">
        <v>1336</v>
      </c>
      <c r="I1003" s="176" t="s">
        <v>5082</v>
      </c>
      <c r="J1003" s="352" t="s">
        <v>29</v>
      </c>
      <c r="K1003" s="352">
        <v>1</v>
      </c>
      <c r="L1003" s="352" t="s">
        <v>470</v>
      </c>
      <c r="M1003" s="351">
        <v>30</v>
      </c>
      <c r="N1003" s="351" t="s">
        <v>31</v>
      </c>
      <c r="O1003" s="351">
        <v>1</v>
      </c>
      <c r="P1003" s="349" t="s">
        <v>1838</v>
      </c>
      <c r="R1003" s="349">
        <f t="shared" si="15"/>
        <v>13</v>
      </c>
      <c r="S1003" s="352"/>
      <c r="T1003" s="352"/>
      <c r="U1003" s="352"/>
      <c r="V1003" s="353"/>
      <c r="W1003" s="352"/>
      <c r="X1003" s="176"/>
      <c r="Y1003" s="176"/>
      <c r="Z1003" s="352"/>
      <c r="AA1003" s="352"/>
      <c r="AB1003" s="352"/>
      <c r="AC1003" s="352"/>
      <c r="AD1003" s="352"/>
    </row>
    <row r="1004" spans="1:30" hidden="1" x14ac:dyDescent="0.35">
      <c r="A1004" s="349">
        <v>1003</v>
      </c>
      <c r="B1004" s="352" t="s">
        <v>1792</v>
      </c>
      <c r="C1004" s="351" t="s">
        <v>3170</v>
      </c>
      <c r="D1004" s="352" t="s">
        <v>3170</v>
      </c>
      <c r="E1004" s="352" t="s">
        <v>2130</v>
      </c>
      <c r="F1004" s="353">
        <v>4.6939000000000002</v>
      </c>
      <c r="G1004" s="352" t="s">
        <v>34</v>
      </c>
      <c r="H1004" s="176" t="s">
        <v>1336</v>
      </c>
      <c r="I1004" s="176" t="s">
        <v>1337</v>
      </c>
      <c r="J1004" s="352" t="s">
        <v>2131</v>
      </c>
      <c r="K1004" s="352">
        <v>1</v>
      </c>
      <c r="L1004" s="352" t="s">
        <v>470</v>
      </c>
      <c r="M1004" s="351">
        <v>15</v>
      </c>
      <c r="N1004" s="351" t="s">
        <v>31</v>
      </c>
      <c r="O1004" s="351">
        <v>1</v>
      </c>
      <c r="P1004" s="349" t="s">
        <v>1838</v>
      </c>
      <c r="R1004" s="349">
        <f t="shared" si="15"/>
        <v>13</v>
      </c>
      <c r="S1004" s="352"/>
      <c r="T1004" s="352"/>
      <c r="U1004" s="352"/>
      <c r="V1004" s="353"/>
      <c r="W1004" s="352"/>
      <c r="X1004" s="176"/>
      <c r="Y1004" s="176"/>
      <c r="Z1004" s="352"/>
      <c r="AA1004" s="352"/>
      <c r="AB1004" s="352"/>
      <c r="AC1004" s="352"/>
      <c r="AD1004" s="352"/>
    </row>
    <row r="1005" spans="1:30" ht="25.65" hidden="1" x14ac:dyDescent="0.35">
      <c r="A1005" s="349">
        <v>1004</v>
      </c>
      <c r="B1005" s="352" t="s">
        <v>1792</v>
      </c>
      <c r="C1005" s="351" t="s">
        <v>3170</v>
      </c>
      <c r="D1005" s="352" t="s">
        <v>3170</v>
      </c>
      <c r="E1005" s="352" t="s">
        <v>2389</v>
      </c>
      <c r="F1005" s="353">
        <v>2.5</v>
      </c>
      <c r="G1005" s="352" t="s">
        <v>34</v>
      </c>
      <c r="H1005" s="176" t="s">
        <v>1336</v>
      </c>
      <c r="I1005" s="176" t="s">
        <v>5082</v>
      </c>
      <c r="J1005" s="352" t="s">
        <v>2131</v>
      </c>
      <c r="K1005" s="352">
        <v>1</v>
      </c>
      <c r="L1005" s="352" t="s">
        <v>470</v>
      </c>
      <c r="M1005" s="352">
        <v>30</v>
      </c>
      <c r="N1005" s="352" t="s">
        <v>31</v>
      </c>
      <c r="O1005" s="351">
        <v>1</v>
      </c>
      <c r="P1005" s="349" t="s">
        <v>1838</v>
      </c>
      <c r="R1005" s="349">
        <f t="shared" si="15"/>
        <v>13</v>
      </c>
      <c r="S1005" s="352"/>
      <c r="T1005" s="352"/>
      <c r="U1005" s="352"/>
      <c r="V1005" s="353"/>
      <c r="W1005" s="352"/>
      <c r="X1005" s="176"/>
      <c r="Y1005" s="176"/>
      <c r="Z1005" s="352"/>
      <c r="AA1005" s="351"/>
      <c r="AB1005" s="351"/>
      <c r="AC1005" s="352"/>
      <c r="AD1005" s="352"/>
    </row>
    <row r="1006" spans="1:30" ht="192.25" hidden="1" x14ac:dyDescent="0.35">
      <c r="A1006" s="349">
        <v>1005</v>
      </c>
      <c r="B1006" s="352" t="s">
        <v>778</v>
      </c>
      <c r="C1006" s="351" t="s">
        <v>3170</v>
      </c>
      <c r="D1006" s="352" t="s">
        <v>3170</v>
      </c>
      <c r="E1006" s="352" t="s">
        <v>1998</v>
      </c>
      <c r="F1006" s="353">
        <v>0.15</v>
      </c>
      <c r="G1006" s="352" t="s">
        <v>2126</v>
      </c>
      <c r="H1006" s="176" t="s">
        <v>4518</v>
      </c>
      <c r="I1006" s="176" t="s">
        <v>4796</v>
      </c>
      <c r="J1006" s="352" t="s">
        <v>22</v>
      </c>
      <c r="K1006" s="352">
        <v>0.25</v>
      </c>
      <c r="L1006" s="352" t="s">
        <v>23</v>
      </c>
      <c r="M1006" s="352"/>
      <c r="N1006" s="352"/>
      <c r="O1006" s="351">
        <v>0.25</v>
      </c>
      <c r="P1006" s="349" t="s">
        <v>1836</v>
      </c>
      <c r="R1006" s="349">
        <f t="shared" si="15"/>
        <v>13</v>
      </c>
      <c r="S1006" s="352"/>
      <c r="T1006" s="352"/>
      <c r="U1006" s="352"/>
      <c r="V1006" s="353"/>
      <c r="W1006" s="352"/>
      <c r="X1006" s="176"/>
      <c r="Y1006" s="176"/>
      <c r="Z1006" s="352"/>
      <c r="AA1006" s="351"/>
      <c r="AB1006" s="351"/>
      <c r="AC1006" s="352"/>
      <c r="AD1006" s="352"/>
    </row>
    <row r="1007" spans="1:30" ht="192.25" hidden="1" x14ac:dyDescent="0.35">
      <c r="A1007" s="349">
        <v>1006</v>
      </c>
      <c r="B1007" s="352" t="s">
        <v>778</v>
      </c>
      <c r="C1007" s="351" t="s">
        <v>3170</v>
      </c>
      <c r="D1007" s="352" t="s">
        <v>3170</v>
      </c>
      <c r="E1007" s="352" t="s">
        <v>1998</v>
      </c>
      <c r="F1007" s="353">
        <v>0.15</v>
      </c>
      <c r="G1007" s="352" t="s">
        <v>2126</v>
      </c>
      <c r="H1007" s="176" t="s">
        <v>4518</v>
      </c>
      <c r="I1007" s="176" t="s">
        <v>4796</v>
      </c>
      <c r="J1007" s="352" t="s">
        <v>22</v>
      </c>
      <c r="K1007" s="352">
        <v>1</v>
      </c>
      <c r="L1007" s="352" t="s">
        <v>23</v>
      </c>
      <c r="M1007" s="352"/>
      <c r="N1007" s="352"/>
      <c r="O1007" s="351">
        <v>1</v>
      </c>
      <c r="P1007" s="349" t="s">
        <v>1836</v>
      </c>
      <c r="R1007" s="349">
        <f t="shared" si="15"/>
        <v>13</v>
      </c>
      <c r="S1007" s="352"/>
      <c r="T1007" s="352"/>
      <c r="U1007" s="352"/>
      <c r="V1007" s="353"/>
      <c r="W1007" s="352"/>
      <c r="X1007" s="176"/>
      <c r="Y1007" s="37"/>
      <c r="Z1007" s="352"/>
      <c r="AA1007" s="352"/>
      <c r="AB1007" s="352"/>
      <c r="AC1007" s="352"/>
      <c r="AD1007" s="352"/>
    </row>
    <row r="1008" spans="1:30" ht="192.25" hidden="1" x14ac:dyDescent="0.35">
      <c r="A1008" s="349">
        <v>1007</v>
      </c>
      <c r="B1008" s="352" t="s">
        <v>778</v>
      </c>
      <c r="C1008" s="351" t="s">
        <v>3170</v>
      </c>
      <c r="D1008" s="352" t="s">
        <v>3170</v>
      </c>
      <c r="E1008" s="352" t="s">
        <v>1998</v>
      </c>
      <c r="F1008" s="353">
        <v>0.15</v>
      </c>
      <c r="G1008" s="352" t="s">
        <v>2126</v>
      </c>
      <c r="H1008" s="176" t="s">
        <v>4518</v>
      </c>
      <c r="I1008" s="176" t="s">
        <v>4796</v>
      </c>
      <c r="J1008" s="352" t="s">
        <v>22</v>
      </c>
      <c r="K1008" s="352">
        <v>1.5</v>
      </c>
      <c r="L1008" s="352" t="s">
        <v>23</v>
      </c>
      <c r="M1008" s="352"/>
      <c r="N1008" s="352"/>
      <c r="O1008" s="351">
        <v>1.5</v>
      </c>
      <c r="P1008" s="349" t="s">
        <v>1836</v>
      </c>
      <c r="R1008" s="349">
        <f t="shared" si="15"/>
        <v>13</v>
      </c>
      <c r="S1008" s="352"/>
      <c r="T1008" s="352"/>
      <c r="U1008" s="352"/>
      <c r="V1008" s="353"/>
      <c r="W1008" s="352"/>
      <c r="X1008" s="176"/>
      <c r="Y1008" s="37"/>
      <c r="Z1008" s="352"/>
      <c r="AA1008" s="352"/>
      <c r="AB1008" s="352"/>
      <c r="AC1008" s="352"/>
      <c r="AD1008" s="352"/>
    </row>
    <row r="1009" spans="1:30" ht="192.25" hidden="1" x14ac:dyDescent="0.35">
      <c r="A1009" s="349">
        <v>1008</v>
      </c>
      <c r="B1009" s="352" t="s">
        <v>778</v>
      </c>
      <c r="C1009" s="351" t="s">
        <v>3170</v>
      </c>
      <c r="D1009" s="352" t="s">
        <v>3170</v>
      </c>
      <c r="E1009" s="352" t="s">
        <v>1995</v>
      </c>
      <c r="F1009" s="353">
        <v>0.25</v>
      </c>
      <c r="G1009" s="352" t="s">
        <v>2126</v>
      </c>
      <c r="H1009" s="176" t="s">
        <v>4518</v>
      </c>
      <c r="I1009" s="176" t="s">
        <v>4796</v>
      </c>
      <c r="J1009" s="352" t="s">
        <v>3580</v>
      </c>
      <c r="K1009" s="352">
        <v>20</v>
      </c>
      <c r="L1009" s="352" t="s">
        <v>3581</v>
      </c>
      <c r="M1009" s="352"/>
      <c r="N1009" s="352"/>
      <c r="O1009" s="351">
        <v>20</v>
      </c>
      <c r="P1009" s="349" t="s">
        <v>1836</v>
      </c>
      <c r="R1009" s="349">
        <f t="shared" si="15"/>
        <v>13</v>
      </c>
      <c r="S1009" s="352"/>
      <c r="T1009" s="352"/>
      <c r="U1009" s="352"/>
      <c r="V1009" s="353"/>
      <c r="W1009" s="352"/>
      <c r="X1009" s="176"/>
      <c r="Y1009" s="176"/>
      <c r="Z1009" s="352"/>
      <c r="AA1009" s="351"/>
      <c r="AB1009" s="351"/>
      <c r="AC1009" s="352"/>
      <c r="AD1009" s="352"/>
    </row>
    <row r="1010" spans="1:30" ht="89.75" hidden="1" x14ac:dyDescent="0.35">
      <c r="A1010" s="349">
        <v>1009</v>
      </c>
      <c r="B1010" s="352" t="s">
        <v>1609</v>
      </c>
      <c r="C1010" s="351" t="s">
        <v>3170</v>
      </c>
      <c r="D1010" s="352" t="s">
        <v>3170</v>
      </c>
      <c r="E1010" s="352" t="s">
        <v>1007</v>
      </c>
      <c r="F1010" s="353">
        <v>1.8</v>
      </c>
      <c r="G1010" s="352" t="s">
        <v>967</v>
      </c>
      <c r="H1010" s="176" t="s">
        <v>2635</v>
      </c>
      <c r="I1010" s="176" t="s">
        <v>1719</v>
      </c>
      <c r="J1010" s="352" t="s">
        <v>806</v>
      </c>
      <c r="K1010" s="352">
        <v>1</v>
      </c>
      <c r="L1010" s="352" t="s">
        <v>1116</v>
      </c>
      <c r="M1010" s="352">
        <v>100</v>
      </c>
      <c r="N1010" s="352" t="s">
        <v>1109</v>
      </c>
      <c r="O1010" s="351">
        <v>1</v>
      </c>
      <c r="P1010" s="349" t="s">
        <v>1836</v>
      </c>
      <c r="R1010" s="349">
        <f t="shared" si="15"/>
        <v>13</v>
      </c>
      <c r="S1010" s="352"/>
      <c r="T1010" s="352"/>
      <c r="U1010" s="352"/>
      <c r="V1010" s="353"/>
      <c r="W1010" s="352"/>
      <c r="X1010" s="176"/>
      <c r="Y1010" s="176"/>
      <c r="Z1010" s="352"/>
      <c r="AA1010" s="352"/>
      <c r="AB1010" s="352"/>
      <c r="AC1010" s="352"/>
      <c r="AD1010" s="352"/>
    </row>
    <row r="1011" spans="1:30" ht="89.75" hidden="1" x14ac:dyDescent="0.35">
      <c r="A1011" s="349">
        <v>1010</v>
      </c>
      <c r="B1011" s="352" t="s">
        <v>778</v>
      </c>
      <c r="C1011" s="351" t="s">
        <v>3170</v>
      </c>
      <c r="D1011" s="352" t="s">
        <v>3170</v>
      </c>
      <c r="E1011" s="352" t="s">
        <v>1999</v>
      </c>
      <c r="F1011" s="353">
        <v>2.2000000000000002</v>
      </c>
      <c r="G1011" s="352" t="s">
        <v>967</v>
      </c>
      <c r="H1011" s="176" t="s">
        <v>234</v>
      </c>
      <c r="I1011" s="176" t="s">
        <v>4796</v>
      </c>
      <c r="J1011" s="352" t="s">
        <v>968</v>
      </c>
      <c r="K1011" s="352"/>
      <c r="L1011" s="352"/>
      <c r="M1011" s="351"/>
      <c r="N1011" s="351"/>
      <c r="O1011" s="351">
        <v>0</v>
      </c>
      <c r="P1011" s="349" t="s">
        <v>2313</v>
      </c>
      <c r="R1011" s="349">
        <f t="shared" si="15"/>
        <v>13</v>
      </c>
      <c r="S1011" s="352"/>
      <c r="T1011" s="352"/>
      <c r="U1011" s="352"/>
      <c r="V1011" s="353"/>
      <c r="W1011" s="352"/>
      <c r="X1011" s="176"/>
      <c r="Y1011" s="176"/>
      <c r="Z1011" s="352"/>
      <c r="AA1011" s="351"/>
      <c r="AB1011" s="351"/>
      <c r="AC1011" s="352"/>
      <c r="AD1011" s="352"/>
    </row>
    <row r="1012" spans="1:30" ht="25.65" hidden="1" x14ac:dyDescent="0.35">
      <c r="A1012" s="349">
        <v>1011</v>
      </c>
      <c r="B1012" s="352" t="s">
        <v>1609</v>
      </c>
      <c r="C1012" s="351" t="s">
        <v>3170</v>
      </c>
      <c r="D1012" s="352" t="s">
        <v>3170</v>
      </c>
      <c r="E1012" s="352" t="s">
        <v>1999</v>
      </c>
      <c r="F1012" s="353">
        <v>1.1000000000000001</v>
      </c>
      <c r="G1012" s="352" t="s">
        <v>967</v>
      </c>
      <c r="H1012" s="176" t="s">
        <v>2634</v>
      </c>
      <c r="I1012" s="176" t="s">
        <v>4072</v>
      </c>
      <c r="J1012" s="352" t="s">
        <v>968</v>
      </c>
      <c r="K1012" s="351">
        <v>100</v>
      </c>
      <c r="L1012" s="351" t="s">
        <v>969</v>
      </c>
      <c r="M1012" s="352"/>
      <c r="N1012" s="352"/>
      <c r="O1012" s="351">
        <v>100</v>
      </c>
      <c r="P1012" s="349" t="s">
        <v>1836</v>
      </c>
      <c r="R1012" s="349">
        <f t="shared" si="15"/>
        <v>13</v>
      </c>
      <c r="S1012" s="352"/>
      <c r="T1012" s="352"/>
      <c r="U1012" s="352"/>
      <c r="V1012" s="353"/>
      <c r="W1012" s="352"/>
      <c r="X1012" s="176"/>
      <c r="Y1012" s="176"/>
      <c r="Z1012" s="352"/>
      <c r="AA1012" s="351"/>
      <c r="AB1012" s="351"/>
      <c r="AC1012" s="352"/>
      <c r="AD1012" s="352"/>
    </row>
    <row r="1013" spans="1:30" ht="25.65" hidden="1" x14ac:dyDescent="0.35">
      <c r="A1013" s="349">
        <v>1012</v>
      </c>
      <c r="B1013" s="352" t="s">
        <v>1792</v>
      </c>
      <c r="C1013" s="351" t="s">
        <v>3170</v>
      </c>
      <c r="D1013" s="352" t="s">
        <v>3170</v>
      </c>
      <c r="E1013" s="352" t="s">
        <v>1793</v>
      </c>
      <c r="F1013" s="353">
        <v>2.5</v>
      </c>
      <c r="G1013" s="352" t="s">
        <v>34</v>
      </c>
      <c r="H1013" s="176" t="s">
        <v>1336</v>
      </c>
      <c r="I1013" s="176" t="s">
        <v>5082</v>
      </c>
      <c r="J1013" s="352" t="s">
        <v>29</v>
      </c>
      <c r="K1013" s="351">
        <v>1</v>
      </c>
      <c r="L1013" s="351" t="s">
        <v>470</v>
      </c>
      <c r="M1013" s="352">
        <v>30</v>
      </c>
      <c r="N1013" s="352" t="s">
        <v>31</v>
      </c>
      <c r="O1013" s="351">
        <v>1</v>
      </c>
      <c r="P1013" s="349" t="s">
        <v>1838</v>
      </c>
      <c r="R1013" s="349">
        <f t="shared" si="15"/>
        <v>13</v>
      </c>
      <c r="S1013" s="352"/>
      <c r="T1013" s="352"/>
      <c r="U1013" s="352"/>
      <c r="V1013" s="353"/>
      <c r="W1013" s="352"/>
      <c r="X1013" s="37"/>
      <c r="Y1013" s="176"/>
      <c r="Z1013" s="352"/>
      <c r="AA1013" s="351"/>
      <c r="AB1013" s="351"/>
      <c r="AC1013" s="352"/>
      <c r="AD1013" s="352"/>
    </row>
    <row r="1014" spans="1:30" ht="25.65" hidden="1" x14ac:dyDescent="0.35">
      <c r="A1014" s="349">
        <v>1013</v>
      </c>
      <c r="B1014" s="352" t="s">
        <v>1792</v>
      </c>
      <c r="C1014" s="351" t="s">
        <v>3170</v>
      </c>
      <c r="D1014" s="352" t="s">
        <v>3170</v>
      </c>
      <c r="E1014" s="352" t="s">
        <v>2389</v>
      </c>
      <c r="F1014" s="353">
        <v>2.5</v>
      </c>
      <c r="G1014" s="352" t="s">
        <v>34</v>
      </c>
      <c r="H1014" s="176" t="s">
        <v>1336</v>
      </c>
      <c r="I1014" s="176" t="s">
        <v>5082</v>
      </c>
      <c r="J1014" s="352" t="s">
        <v>2131</v>
      </c>
      <c r="K1014" s="352">
        <v>1</v>
      </c>
      <c r="L1014" s="352" t="s">
        <v>470</v>
      </c>
      <c r="M1014" s="351">
        <v>30</v>
      </c>
      <c r="N1014" s="351" t="s">
        <v>31</v>
      </c>
      <c r="O1014" s="351">
        <v>1</v>
      </c>
      <c r="P1014" s="349" t="s">
        <v>1838</v>
      </c>
      <c r="R1014" s="349">
        <f t="shared" si="15"/>
        <v>13</v>
      </c>
      <c r="S1014" s="352"/>
      <c r="T1014" s="352"/>
      <c r="U1014" s="352"/>
      <c r="V1014" s="353"/>
      <c r="W1014" s="352"/>
      <c r="X1014" s="176"/>
      <c r="Y1014" s="176"/>
      <c r="Z1014" s="352"/>
      <c r="AA1014" s="352"/>
      <c r="AB1014" s="352"/>
      <c r="AC1014" s="352"/>
      <c r="AD1014" s="352"/>
    </row>
    <row r="1015" spans="1:30" ht="51.3" hidden="1" x14ac:dyDescent="0.35">
      <c r="A1015" s="349">
        <v>1014</v>
      </c>
      <c r="B1015" s="352" t="s">
        <v>694</v>
      </c>
      <c r="C1015" s="351" t="s">
        <v>3332</v>
      </c>
      <c r="D1015" s="352" t="s">
        <v>5040</v>
      </c>
      <c r="E1015" s="352" t="s">
        <v>3209</v>
      </c>
      <c r="F1015" s="353">
        <v>8.77</v>
      </c>
      <c r="G1015" s="352" t="s">
        <v>34</v>
      </c>
      <c r="H1015" s="176" t="s">
        <v>250</v>
      </c>
      <c r="I1015" s="176" t="s">
        <v>3333</v>
      </c>
      <c r="J1015" s="352" t="s">
        <v>4025</v>
      </c>
      <c r="K1015" s="352"/>
      <c r="L1015" s="352"/>
      <c r="M1015" s="352">
        <v>5</v>
      </c>
      <c r="N1015" s="352" t="s">
        <v>1109</v>
      </c>
      <c r="O1015" s="351">
        <v>0</v>
      </c>
      <c r="P1015" s="349" t="s">
        <v>1837</v>
      </c>
      <c r="R1015" s="349">
        <f t="shared" si="15"/>
        <v>29</v>
      </c>
      <c r="S1015" s="352"/>
      <c r="T1015" s="352"/>
      <c r="U1015" s="352"/>
      <c r="V1015" s="353"/>
      <c r="W1015" s="352"/>
      <c r="X1015" s="176"/>
      <c r="Y1015" s="176"/>
      <c r="Z1015" s="352"/>
      <c r="AA1015" s="351"/>
      <c r="AB1015" s="351"/>
      <c r="AC1015" s="352"/>
      <c r="AD1015" s="352"/>
    </row>
    <row r="1016" spans="1:30" ht="102.55" hidden="1" x14ac:dyDescent="0.35">
      <c r="A1016" s="349">
        <v>1015</v>
      </c>
      <c r="B1016" s="352" t="s">
        <v>32</v>
      </c>
      <c r="C1016" s="351" t="s">
        <v>3332</v>
      </c>
      <c r="D1016" s="352" t="s">
        <v>5040</v>
      </c>
      <c r="E1016" s="352" t="s">
        <v>3209</v>
      </c>
      <c r="F1016" s="353">
        <v>8.77</v>
      </c>
      <c r="G1016" s="352" t="s">
        <v>34</v>
      </c>
      <c r="H1016" s="176" t="s">
        <v>609</v>
      </c>
      <c r="I1016" s="176" t="s">
        <v>4754</v>
      </c>
      <c r="J1016" s="352" t="s">
        <v>4025</v>
      </c>
      <c r="K1016" s="351"/>
      <c r="L1016" s="351"/>
      <c r="M1016" s="351">
        <v>5</v>
      </c>
      <c r="N1016" s="351" t="s">
        <v>1109</v>
      </c>
      <c r="O1016" s="351">
        <v>0</v>
      </c>
      <c r="P1016" s="349" t="s">
        <v>1837</v>
      </c>
      <c r="R1016" s="349">
        <f t="shared" si="15"/>
        <v>29</v>
      </c>
      <c r="S1016" s="352"/>
      <c r="T1016" s="352"/>
      <c r="U1016" s="352"/>
      <c r="V1016" s="353"/>
      <c r="W1016" s="352"/>
      <c r="X1016" s="176"/>
      <c r="Y1016" s="176"/>
      <c r="Z1016" s="352"/>
      <c r="AA1016" s="351"/>
      <c r="AB1016" s="351"/>
      <c r="AC1016" s="352"/>
      <c r="AD1016" s="352"/>
    </row>
    <row r="1017" spans="1:30" ht="25.65" hidden="1" x14ac:dyDescent="0.35">
      <c r="A1017" s="349">
        <v>1016</v>
      </c>
      <c r="B1017" s="352" t="s">
        <v>1609</v>
      </c>
      <c r="C1017" s="351" t="s">
        <v>4315</v>
      </c>
      <c r="D1017" s="352" t="s">
        <v>3170</v>
      </c>
      <c r="E1017" s="352" t="s">
        <v>1999</v>
      </c>
      <c r="F1017" s="353">
        <v>1.1000000000000001</v>
      </c>
      <c r="G1017" s="352" t="s">
        <v>967</v>
      </c>
      <c r="H1017" s="176" t="s">
        <v>2634</v>
      </c>
      <c r="I1017" s="176" t="s">
        <v>4072</v>
      </c>
      <c r="J1017" s="352" t="s">
        <v>968</v>
      </c>
      <c r="K1017" s="352">
        <v>100</v>
      </c>
      <c r="L1017" s="352" t="s">
        <v>969</v>
      </c>
      <c r="M1017" s="351"/>
      <c r="N1017" s="351"/>
      <c r="O1017" s="351">
        <v>100</v>
      </c>
      <c r="P1017" s="349" t="s">
        <v>1836</v>
      </c>
      <c r="R1017" s="349">
        <f t="shared" si="15"/>
        <v>13</v>
      </c>
      <c r="S1017" s="352"/>
      <c r="T1017" s="352"/>
      <c r="U1017" s="352"/>
      <c r="V1017" s="353"/>
      <c r="W1017" s="352"/>
      <c r="X1017" s="176"/>
      <c r="Y1017" s="176"/>
      <c r="Z1017" s="352"/>
      <c r="AA1017" s="351"/>
      <c r="AB1017" s="351"/>
      <c r="AC1017" s="352"/>
      <c r="AD1017" s="352"/>
    </row>
    <row r="1018" spans="1:30" ht="89.75" hidden="1" x14ac:dyDescent="0.35">
      <c r="A1018" s="349">
        <v>1017</v>
      </c>
      <c r="B1018" s="352" t="s">
        <v>1609</v>
      </c>
      <c r="C1018" s="351" t="s">
        <v>4316</v>
      </c>
      <c r="D1018" s="352" t="s">
        <v>3170</v>
      </c>
      <c r="E1018" s="352" t="s">
        <v>1007</v>
      </c>
      <c r="F1018" s="353">
        <v>1.8</v>
      </c>
      <c r="G1018" s="352" t="s">
        <v>967</v>
      </c>
      <c r="H1018" s="176" t="s">
        <v>2635</v>
      </c>
      <c r="I1018" s="176" t="s">
        <v>1719</v>
      </c>
      <c r="J1018" s="352" t="s">
        <v>806</v>
      </c>
      <c r="K1018" s="352">
        <v>1</v>
      </c>
      <c r="L1018" s="352" t="s">
        <v>1116</v>
      </c>
      <c r="M1018" s="351">
        <v>100</v>
      </c>
      <c r="N1018" s="351" t="s">
        <v>1109</v>
      </c>
      <c r="O1018" s="351">
        <v>1</v>
      </c>
      <c r="P1018" s="349" t="s">
        <v>1836</v>
      </c>
      <c r="R1018" s="349">
        <f t="shared" si="15"/>
        <v>13</v>
      </c>
      <c r="S1018" s="352"/>
      <c r="T1018" s="352"/>
      <c r="U1018" s="352"/>
      <c r="V1018" s="353"/>
      <c r="W1018" s="352"/>
      <c r="X1018" s="176"/>
      <c r="Y1018" s="176"/>
      <c r="Z1018" s="352"/>
      <c r="AA1018" s="351"/>
      <c r="AB1018" s="351"/>
      <c r="AC1018" s="352"/>
      <c r="AD1018" s="352"/>
    </row>
    <row r="1019" spans="1:30" ht="192.25" hidden="1" x14ac:dyDescent="0.35">
      <c r="A1019" s="349">
        <v>1018</v>
      </c>
      <c r="B1019" s="352" t="s">
        <v>778</v>
      </c>
      <c r="C1019" s="351" t="s">
        <v>4317</v>
      </c>
      <c r="D1019" s="352" t="s">
        <v>3170</v>
      </c>
      <c r="E1019" s="352" t="s">
        <v>1998</v>
      </c>
      <c r="F1019" s="353">
        <v>0.15</v>
      </c>
      <c r="G1019" s="352" t="s">
        <v>2126</v>
      </c>
      <c r="H1019" s="176" t="s">
        <v>4518</v>
      </c>
      <c r="I1019" s="176" t="s">
        <v>4796</v>
      </c>
      <c r="J1019" s="352" t="s">
        <v>22</v>
      </c>
      <c r="K1019" s="352">
        <v>0.25</v>
      </c>
      <c r="L1019" s="352" t="s">
        <v>23</v>
      </c>
      <c r="M1019" s="351"/>
      <c r="N1019" s="351"/>
      <c r="O1019" s="351">
        <v>0.25</v>
      </c>
      <c r="P1019" s="349" t="s">
        <v>1836</v>
      </c>
      <c r="R1019" s="349">
        <f t="shared" si="15"/>
        <v>13</v>
      </c>
      <c r="S1019" s="352"/>
      <c r="T1019" s="352"/>
      <c r="U1019" s="352"/>
      <c r="V1019" s="353"/>
      <c r="W1019" s="352"/>
      <c r="X1019" s="176"/>
      <c r="Y1019" s="176"/>
      <c r="Z1019" s="352"/>
      <c r="AA1019" s="352"/>
      <c r="AB1019" s="352"/>
      <c r="AC1019" s="352"/>
      <c r="AD1019" s="352"/>
    </row>
    <row r="1020" spans="1:30" ht="192.25" hidden="1" x14ac:dyDescent="0.35">
      <c r="A1020" s="349">
        <v>1019</v>
      </c>
      <c r="B1020" s="352" t="s">
        <v>778</v>
      </c>
      <c r="C1020" s="351" t="s">
        <v>4317</v>
      </c>
      <c r="D1020" s="352" t="s">
        <v>3170</v>
      </c>
      <c r="E1020" s="352" t="s">
        <v>1998</v>
      </c>
      <c r="F1020" s="353">
        <v>0.15</v>
      </c>
      <c r="G1020" s="352" t="s">
        <v>2126</v>
      </c>
      <c r="H1020" s="176" t="s">
        <v>4518</v>
      </c>
      <c r="I1020" s="176" t="s">
        <v>4796</v>
      </c>
      <c r="J1020" s="352" t="s">
        <v>22</v>
      </c>
      <c r="K1020" s="352">
        <v>1</v>
      </c>
      <c r="L1020" s="352" t="s">
        <v>23</v>
      </c>
      <c r="M1020" s="351"/>
      <c r="N1020" s="351"/>
      <c r="O1020" s="351">
        <v>1</v>
      </c>
      <c r="P1020" s="349" t="s">
        <v>1836</v>
      </c>
      <c r="R1020" s="349">
        <f t="shared" si="15"/>
        <v>13</v>
      </c>
      <c r="S1020" s="352"/>
      <c r="T1020" s="352"/>
      <c r="U1020" s="352"/>
      <c r="V1020" s="353"/>
      <c r="W1020" s="352"/>
      <c r="X1020" s="176"/>
      <c r="Y1020" s="176"/>
      <c r="Z1020" s="352"/>
      <c r="AA1020" s="352"/>
      <c r="AB1020" s="352"/>
      <c r="AC1020" s="352"/>
      <c r="AD1020" s="352"/>
    </row>
    <row r="1021" spans="1:30" ht="192.25" hidden="1" x14ac:dyDescent="0.35">
      <c r="A1021" s="349">
        <v>1020</v>
      </c>
      <c r="B1021" s="352" t="s">
        <v>778</v>
      </c>
      <c r="C1021" s="351" t="s">
        <v>4317</v>
      </c>
      <c r="D1021" s="352" t="s">
        <v>3170</v>
      </c>
      <c r="E1021" s="352" t="s">
        <v>1998</v>
      </c>
      <c r="F1021" s="353">
        <v>0.15</v>
      </c>
      <c r="G1021" s="352" t="s">
        <v>2126</v>
      </c>
      <c r="H1021" s="176" t="s">
        <v>4518</v>
      </c>
      <c r="I1021" s="176" t="s">
        <v>4796</v>
      </c>
      <c r="J1021" s="352" t="s">
        <v>22</v>
      </c>
      <c r="K1021" s="352">
        <v>1.5</v>
      </c>
      <c r="L1021" s="352" t="s">
        <v>23</v>
      </c>
      <c r="M1021" s="352"/>
      <c r="N1021" s="352"/>
      <c r="O1021" s="351">
        <v>1.5</v>
      </c>
      <c r="P1021" s="349" t="s">
        <v>1836</v>
      </c>
      <c r="R1021" s="349">
        <f t="shared" si="15"/>
        <v>13</v>
      </c>
      <c r="S1021" s="352"/>
      <c r="T1021" s="352"/>
      <c r="U1021" s="352"/>
      <c r="V1021" s="353"/>
      <c r="W1021" s="352"/>
      <c r="X1021" s="176"/>
      <c r="Y1021" s="176"/>
      <c r="Z1021" s="352"/>
      <c r="AA1021" s="351"/>
      <c r="AB1021" s="351"/>
      <c r="AC1021" s="352"/>
      <c r="AD1021" s="352"/>
    </row>
    <row r="1022" spans="1:30" ht="192.25" hidden="1" x14ac:dyDescent="0.35">
      <c r="A1022" s="349">
        <v>1021</v>
      </c>
      <c r="B1022" s="352" t="s">
        <v>778</v>
      </c>
      <c r="C1022" s="351" t="s">
        <v>4317</v>
      </c>
      <c r="D1022" s="352" t="s">
        <v>3170</v>
      </c>
      <c r="E1022" s="352" t="s">
        <v>1995</v>
      </c>
      <c r="F1022" s="353">
        <v>0.25</v>
      </c>
      <c r="G1022" s="352" t="s">
        <v>2126</v>
      </c>
      <c r="H1022" s="176" t="s">
        <v>4518</v>
      </c>
      <c r="I1022" s="176" t="s">
        <v>4796</v>
      </c>
      <c r="J1022" s="352" t="s">
        <v>3580</v>
      </c>
      <c r="K1022" s="352">
        <v>20</v>
      </c>
      <c r="L1022" s="352" t="s">
        <v>3581</v>
      </c>
      <c r="M1022" s="352"/>
      <c r="N1022" s="352"/>
      <c r="O1022" s="351">
        <v>20</v>
      </c>
      <c r="P1022" s="349" t="s">
        <v>1836</v>
      </c>
      <c r="R1022" s="349">
        <f t="shared" si="15"/>
        <v>13</v>
      </c>
      <c r="S1022" s="352"/>
      <c r="T1022" s="352"/>
      <c r="U1022" s="352"/>
      <c r="V1022" s="353"/>
      <c r="W1022" s="352"/>
      <c r="X1022" s="176"/>
      <c r="Y1022" s="176"/>
      <c r="Z1022" s="352"/>
      <c r="AA1022" s="351"/>
      <c r="AB1022" s="351"/>
      <c r="AC1022" s="352"/>
      <c r="AD1022" s="352"/>
    </row>
    <row r="1023" spans="1:30" ht="89.75" hidden="1" x14ac:dyDescent="0.35">
      <c r="A1023" s="349">
        <v>1022</v>
      </c>
      <c r="B1023" s="352" t="s">
        <v>778</v>
      </c>
      <c r="C1023" s="351" t="s">
        <v>4317</v>
      </c>
      <c r="D1023" s="352" t="s">
        <v>3170</v>
      </c>
      <c r="E1023" s="352" t="s">
        <v>1999</v>
      </c>
      <c r="F1023" s="353">
        <v>2.2000000000000002</v>
      </c>
      <c r="G1023" s="352" t="s">
        <v>967</v>
      </c>
      <c r="H1023" s="176" t="s">
        <v>234</v>
      </c>
      <c r="I1023" s="176" t="s">
        <v>4796</v>
      </c>
      <c r="J1023" s="352" t="s">
        <v>968</v>
      </c>
      <c r="K1023" s="352"/>
      <c r="L1023" s="352"/>
      <c r="M1023" s="351"/>
      <c r="N1023" s="351"/>
      <c r="O1023" s="351">
        <v>0</v>
      </c>
      <c r="P1023" s="349" t="s">
        <v>2313</v>
      </c>
      <c r="R1023" s="349">
        <f t="shared" si="15"/>
        <v>13</v>
      </c>
      <c r="S1023" s="352"/>
      <c r="T1023" s="352"/>
      <c r="U1023" s="352"/>
      <c r="V1023" s="353"/>
      <c r="W1023" s="352"/>
      <c r="X1023" s="176"/>
      <c r="Y1023" s="176"/>
      <c r="Z1023" s="352"/>
      <c r="AA1023" s="351"/>
      <c r="AB1023" s="351"/>
      <c r="AC1023" s="352"/>
      <c r="AD1023" s="352"/>
    </row>
    <row r="1024" spans="1:30" ht="89.75" hidden="1" x14ac:dyDescent="0.35">
      <c r="A1024" s="349">
        <v>1023</v>
      </c>
      <c r="B1024" s="352" t="s">
        <v>1018</v>
      </c>
      <c r="C1024" s="351" t="s">
        <v>1250</v>
      </c>
      <c r="D1024" s="352" t="s">
        <v>1250</v>
      </c>
      <c r="E1024" s="352" t="s">
        <v>762</v>
      </c>
      <c r="F1024" s="353">
        <v>1.45</v>
      </c>
      <c r="G1024" s="352" t="s">
        <v>2384</v>
      </c>
      <c r="H1024" s="176" t="s">
        <v>2248</v>
      </c>
      <c r="I1024" s="176" t="s">
        <v>2249</v>
      </c>
      <c r="J1024" s="352" t="s">
        <v>828</v>
      </c>
      <c r="K1024" s="352">
        <v>500</v>
      </c>
      <c r="L1024" s="352" t="s">
        <v>4022</v>
      </c>
      <c r="M1024" s="352">
        <v>2</v>
      </c>
      <c r="N1024" s="352" t="s">
        <v>1109</v>
      </c>
      <c r="O1024" s="351">
        <v>500</v>
      </c>
      <c r="P1024" s="349" t="s">
        <v>1850</v>
      </c>
      <c r="R1024" s="349">
        <f t="shared" si="15"/>
        <v>17</v>
      </c>
      <c r="S1024" s="352"/>
      <c r="T1024" s="352"/>
      <c r="U1024" s="352"/>
      <c r="V1024" s="353"/>
      <c r="W1024" s="352"/>
      <c r="X1024" s="176"/>
      <c r="Y1024" s="176"/>
      <c r="Z1024" s="352"/>
      <c r="AA1024" s="351"/>
      <c r="AB1024" s="351"/>
      <c r="AC1024" s="352"/>
      <c r="AD1024" s="352"/>
    </row>
    <row r="1025" spans="1:30" ht="76.900000000000006" hidden="1" x14ac:dyDescent="0.35">
      <c r="A1025" s="349">
        <v>1024</v>
      </c>
      <c r="B1025" s="352" t="s">
        <v>830</v>
      </c>
      <c r="C1025" s="351" t="s">
        <v>1250</v>
      </c>
      <c r="D1025" s="352" t="s">
        <v>1250</v>
      </c>
      <c r="E1025" s="352" t="s">
        <v>762</v>
      </c>
      <c r="F1025" s="353">
        <v>1.45</v>
      </c>
      <c r="G1025" s="352" t="s">
        <v>4203</v>
      </c>
      <c r="H1025" s="37" t="s">
        <v>102</v>
      </c>
      <c r="I1025" s="176" t="s">
        <v>1159</v>
      </c>
      <c r="J1025" s="352" t="s">
        <v>828</v>
      </c>
      <c r="K1025" s="352">
        <v>500</v>
      </c>
      <c r="L1025" s="352" t="s">
        <v>4022</v>
      </c>
      <c r="M1025" s="351">
        <v>2</v>
      </c>
      <c r="N1025" s="351" t="s">
        <v>1109</v>
      </c>
      <c r="O1025" s="351">
        <v>500</v>
      </c>
      <c r="P1025" s="349" t="s">
        <v>1850</v>
      </c>
      <c r="R1025" s="349">
        <f t="shared" si="15"/>
        <v>17</v>
      </c>
      <c r="S1025" s="352"/>
      <c r="T1025" s="352"/>
      <c r="U1025" s="352"/>
      <c r="V1025" s="353"/>
      <c r="W1025" s="352"/>
      <c r="X1025" s="176"/>
      <c r="Y1025" s="176"/>
      <c r="Z1025" s="352"/>
      <c r="AA1025" s="351"/>
      <c r="AB1025" s="351"/>
      <c r="AC1025" s="352"/>
      <c r="AD1025" s="352"/>
    </row>
    <row r="1026" spans="1:30" ht="76.900000000000006" hidden="1" x14ac:dyDescent="0.35">
      <c r="A1026" s="349">
        <v>1025</v>
      </c>
      <c r="B1026" s="352" t="s">
        <v>1490</v>
      </c>
      <c r="C1026" s="351" t="s">
        <v>1160</v>
      </c>
      <c r="D1026" s="352" t="s">
        <v>1160</v>
      </c>
      <c r="E1026" s="352" t="s">
        <v>2002</v>
      </c>
      <c r="F1026" s="353">
        <v>0.79</v>
      </c>
      <c r="G1026" s="352" t="s">
        <v>2126</v>
      </c>
      <c r="H1026" s="37" t="s">
        <v>148</v>
      </c>
      <c r="I1026" s="176" t="s">
        <v>1090</v>
      </c>
      <c r="J1026" s="352" t="s">
        <v>1502</v>
      </c>
      <c r="K1026" s="352">
        <v>200</v>
      </c>
      <c r="L1026" s="352" t="s">
        <v>1503</v>
      </c>
      <c r="M1026" s="351"/>
      <c r="N1026" s="351"/>
      <c r="O1026" s="351">
        <v>200</v>
      </c>
      <c r="P1026" s="349" t="s">
        <v>1836</v>
      </c>
      <c r="R1026" s="349">
        <f t="shared" si="15"/>
        <v>18</v>
      </c>
      <c r="S1026" s="352"/>
      <c r="T1026" s="352"/>
      <c r="U1026" s="352"/>
      <c r="V1026" s="353"/>
      <c r="W1026" s="352"/>
      <c r="X1026" s="37"/>
      <c r="Y1026" s="176"/>
      <c r="Z1026" s="352"/>
      <c r="AA1026" s="351"/>
      <c r="AB1026" s="351"/>
      <c r="AC1026" s="352"/>
      <c r="AD1026" s="352"/>
    </row>
    <row r="1027" spans="1:30" ht="102.55" hidden="1" x14ac:dyDescent="0.35">
      <c r="A1027" s="349">
        <v>1026</v>
      </c>
      <c r="B1027" s="352" t="s">
        <v>2694</v>
      </c>
      <c r="C1027" s="351" t="s">
        <v>4318</v>
      </c>
      <c r="D1027" s="352" t="s">
        <v>3402</v>
      </c>
      <c r="E1027" s="352" t="s">
        <v>780</v>
      </c>
      <c r="F1027" s="353">
        <v>59.25</v>
      </c>
      <c r="G1027" s="352" t="s">
        <v>1107</v>
      </c>
      <c r="H1027" s="176" t="s">
        <v>397</v>
      </c>
      <c r="I1027" s="176" t="s">
        <v>4487</v>
      </c>
      <c r="J1027" s="352" t="s">
        <v>828</v>
      </c>
      <c r="K1027" s="352">
        <v>15</v>
      </c>
      <c r="L1027" s="352" t="s">
        <v>1116</v>
      </c>
      <c r="M1027" s="351">
        <v>20</v>
      </c>
      <c r="N1027" s="351" t="s">
        <v>1109</v>
      </c>
      <c r="O1027" s="351">
        <v>15</v>
      </c>
      <c r="P1027" s="349" t="s">
        <v>1836</v>
      </c>
      <c r="R1027" s="349">
        <f t="shared" ref="R1027:R1090" si="16">LEN(D1027)</f>
        <v>9</v>
      </c>
      <c r="S1027" s="352"/>
      <c r="T1027" s="352"/>
      <c r="U1027" s="352"/>
      <c r="V1027" s="353"/>
      <c r="W1027" s="352"/>
      <c r="X1027" s="176"/>
      <c r="Y1027" s="176"/>
      <c r="Z1027" s="352"/>
      <c r="AA1027" s="352"/>
      <c r="AB1027" s="352"/>
      <c r="AC1027" s="352"/>
      <c r="AD1027" s="352"/>
    </row>
    <row r="1028" spans="1:30" ht="51.3" hidden="1" x14ac:dyDescent="0.35">
      <c r="A1028" s="349">
        <v>1027</v>
      </c>
      <c r="B1028" s="352" t="s">
        <v>1322</v>
      </c>
      <c r="C1028" s="351" t="s">
        <v>988</v>
      </c>
      <c r="D1028" s="352" t="s">
        <v>988</v>
      </c>
      <c r="E1028" s="352" t="s">
        <v>2018</v>
      </c>
      <c r="F1028" s="353">
        <v>2.1999999999999999E-2</v>
      </c>
      <c r="G1028" s="352" t="s">
        <v>34</v>
      </c>
      <c r="H1028" s="176"/>
      <c r="I1028" s="176" t="s">
        <v>1764</v>
      </c>
      <c r="J1028" s="352" t="s">
        <v>469</v>
      </c>
      <c r="K1028" s="352">
        <v>1</v>
      </c>
      <c r="L1028" s="352" t="s">
        <v>30</v>
      </c>
      <c r="M1028" s="351"/>
      <c r="N1028" s="351"/>
      <c r="O1028" s="351">
        <v>1</v>
      </c>
      <c r="P1028" s="349" t="s">
        <v>1836</v>
      </c>
      <c r="R1028" s="349">
        <f t="shared" si="16"/>
        <v>12</v>
      </c>
      <c r="S1028" s="352"/>
      <c r="T1028" s="352"/>
      <c r="U1028" s="352"/>
      <c r="V1028" s="353"/>
      <c r="W1028" s="352"/>
      <c r="X1028" s="176"/>
      <c r="Y1028" s="176"/>
      <c r="Z1028" s="352"/>
      <c r="AA1028" s="352"/>
      <c r="AB1028" s="352"/>
      <c r="AC1028" s="352"/>
      <c r="AD1028" s="352"/>
    </row>
    <row r="1029" spans="1:30" ht="51.3" hidden="1" x14ac:dyDescent="0.35">
      <c r="A1029" s="349">
        <v>1028</v>
      </c>
      <c r="B1029" s="352" t="s">
        <v>1322</v>
      </c>
      <c r="C1029" s="351" t="s">
        <v>988</v>
      </c>
      <c r="D1029" s="352" t="s">
        <v>988</v>
      </c>
      <c r="E1029" s="352" t="s">
        <v>2019</v>
      </c>
      <c r="F1029" s="353">
        <v>2.1999999999999999E-2</v>
      </c>
      <c r="G1029" s="352" t="s">
        <v>34</v>
      </c>
      <c r="H1029" s="176"/>
      <c r="I1029" s="176" t="s">
        <v>1765</v>
      </c>
      <c r="J1029" s="352" t="s">
        <v>961</v>
      </c>
      <c r="K1029" s="352">
        <v>2.5</v>
      </c>
      <c r="L1029" s="352" t="s">
        <v>30</v>
      </c>
      <c r="M1029" s="352"/>
      <c r="N1029" s="352"/>
      <c r="O1029" s="351">
        <v>2.5</v>
      </c>
      <c r="P1029" s="349" t="s">
        <v>1836</v>
      </c>
      <c r="R1029" s="349">
        <f t="shared" si="16"/>
        <v>12</v>
      </c>
      <c r="S1029" s="352"/>
      <c r="T1029" s="352"/>
      <c r="U1029" s="352"/>
      <c r="V1029" s="353"/>
      <c r="W1029" s="352"/>
      <c r="X1029" s="176"/>
      <c r="Y1029" s="176"/>
      <c r="Z1029" s="352"/>
      <c r="AA1029" s="352"/>
      <c r="AB1029" s="352"/>
      <c r="AC1029" s="352"/>
      <c r="AD1029" s="352"/>
    </row>
    <row r="1030" spans="1:30" ht="51.3" hidden="1" x14ac:dyDescent="0.35">
      <c r="A1030" s="349">
        <v>1029</v>
      </c>
      <c r="B1030" s="352" t="s">
        <v>2854</v>
      </c>
      <c r="C1030" s="351" t="s">
        <v>787</v>
      </c>
      <c r="D1030" s="352" t="s">
        <v>787</v>
      </c>
      <c r="E1030" s="352" t="s">
        <v>1995</v>
      </c>
      <c r="F1030" s="353">
        <v>1</v>
      </c>
      <c r="G1030" s="352" t="s">
        <v>2126</v>
      </c>
      <c r="H1030" s="176" t="s">
        <v>2861</v>
      </c>
      <c r="I1030" s="176" t="s">
        <v>2853</v>
      </c>
      <c r="J1030" s="352" t="s">
        <v>3580</v>
      </c>
      <c r="K1030" s="352">
        <v>100</v>
      </c>
      <c r="L1030" s="352" t="s">
        <v>3581</v>
      </c>
      <c r="M1030" s="351"/>
      <c r="N1030" s="351"/>
      <c r="O1030" s="351">
        <v>100</v>
      </c>
      <c r="P1030" s="349" t="s">
        <v>1836</v>
      </c>
      <c r="R1030" s="349">
        <f t="shared" si="16"/>
        <v>9</v>
      </c>
      <c r="S1030" s="352"/>
      <c r="T1030" s="352"/>
      <c r="U1030" s="352"/>
      <c r="V1030" s="353"/>
      <c r="W1030" s="352"/>
      <c r="X1030" s="176"/>
      <c r="Y1030" s="176"/>
      <c r="Z1030" s="352"/>
      <c r="AA1030" s="352"/>
      <c r="AB1030" s="352"/>
      <c r="AC1030" s="352"/>
      <c r="AD1030" s="352"/>
    </row>
    <row r="1031" spans="1:30" ht="25.65" hidden="1" x14ac:dyDescent="0.35">
      <c r="A1031" s="349">
        <v>1030</v>
      </c>
      <c r="B1031" s="352" t="s">
        <v>2067</v>
      </c>
      <c r="C1031" s="351" t="s">
        <v>541</v>
      </c>
      <c r="D1031" s="352" t="s">
        <v>541</v>
      </c>
      <c r="E1031" s="352" t="s">
        <v>2002</v>
      </c>
      <c r="F1031" s="353">
        <v>0.1</v>
      </c>
      <c r="G1031" s="352" t="s">
        <v>2126</v>
      </c>
      <c r="H1031" s="176" t="s">
        <v>4191</v>
      </c>
      <c r="I1031" s="176" t="s">
        <v>4551</v>
      </c>
      <c r="J1031" s="352" t="s">
        <v>1502</v>
      </c>
      <c r="K1031" s="352">
        <v>200</v>
      </c>
      <c r="L1031" s="352" t="s">
        <v>1503</v>
      </c>
      <c r="M1031" s="352"/>
      <c r="N1031" s="352"/>
      <c r="O1031" s="351">
        <v>200</v>
      </c>
      <c r="P1031" s="349" t="s">
        <v>1836</v>
      </c>
      <c r="R1031" s="349">
        <f t="shared" si="16"/>
        <v>9</v>
      </c>
      <c r="S1031" s="352"/>
      <c r="T1031" s="352"/>
      <c r="U1031" s="352"/>
      <c r="V1031" s="353"/>
      <c r="W1031" s="352"/>
      <c r="X1031" s="176"/>
      <c r="Y1031" s="176"/>
      <c r="Z1031" s="352"/>
      <c r="AA1031" s="352"/>
      <c r="AB1031" s="352"/>
      <c r="AC1031" s="352"/>
      <c r="AD1031" s="352"/>
    </row>
    <row r="1032" spans="1:30" ht="25.65" hidden="1" x14ac:dyDescent="0.35">
      <c r="A1032" s="349">
        <v>1031</v>
      </c>
      <c r="B1032" s="352" t="s">
        <v>2067</v>
      </c>
      <c r="C1032" s="351" t="s">
        <v>541</v>
      </c>
      <c r="D1032" s="352" t="s">
        <v>541</v>
      </c>
      <c r="E1032" s="352" t="s">
        <v>2002</v>
      </c>
      <c r="F1032" s="353">
        <v>0.14000000000000001</v>
      </c>
      <c r="G1032" s="352" t="s">
        <v>2126</v>
      </c>
      <c r="H1032" s="176" t="s">
        <v>4191</v>
      </c>
      <c r="I1032" s="176" t="s">
        <v>4551</v>
      </c>
      <c r="J1032" s="352" t="s">
        <v>1502</v>
      </c>
      <c r="K1032" s="352">
        <v>400</v>
      </c>
      <c r="L1032" s="352" t="s">
        <v>1503</v>
      </c>
      <c r="M1032" s="352"/>
      <c r="N1032" s="352"/>
      <c r="O1032" s="351">
        <v>400</v>
      </c>
      <c r="P1032" s="349" t="s">
        <v>1836</v>
      </c>
      <c r="R1032" s="349">
        <f t="shared" si="16"/>
        <v>9</v>
      </c>
      <c r="S1032" s="352"/>
      <c r="T1032" s="352"/>
      <c r="U1032" s="352"/>
      <c r="V1032" s="353"/>
      <c r="W1032" s="352"/>
      <c r="X1032" s="176"/>
      <c r="Y1032" s="176"/>
      <c r="Z1032" s="352"/>
      <c r="AA1032" s="352"/>
      <c r="AB1032" s="352"/>
      <c r="AC1032" s="352"/>
      <c r="AD1032" s="352"/>
    </row>
    <row r="1033" spans="1:30" ht="25.65" hidden="1" x14ac:dyDescent="0.35">
      <c r="A1033" s="349">
        <v>1032</v>
      </c>
      <c r="B1033" s="352" t="s">
        <v>2067</v>
      </c>
      <c r="C1033" s="351" t="s">
        <v>541</v>
      </c>
      <c r="D1033" s="352" t="s">
        <v>541</v>
      </c>
      <c r="E1033" s="352" t="s">
        <v>553</v>
      </c>
      <c r="F1033" s="353">
        <v>12.4</v>
      </c>
      <c r="G1033" s="352" t="s">
        <v>2126</v>
      </c>
      <c r="H1033" s="176" t="s">
        <v>4191</v>
      </c>
      <c r="I1033" s="176" t="s">
        <v>4551</v>
      </c>
      <c r="J1033" s="352" t="s">
        <v>3579</v>
      </c>
      <c r="K1033" s="352">
        <v>20</v>
      </c>
      <c r="L1033" s="352" t="s">
        <v>1116</v>
      </c>
      <c r="M1033" s="352">
        <v>200</v>
      </c>
      <c r="N1033" s="352" t="s">
        <v>1109</v>
      </c>
      <c r="O1033" s="351">
        <v>20</v>
      </c>
      <c r="P1033" s="349" t="s">
        <v>1836</v>
      </c>
      <c r="R1033" s="349">
        <f t="shared" si="16"/>
        <v>9</v>
      </c>
      <c r="S1033" s="352"/>
      <c r="T1033" s="352"/>
      <c r="U1033" s="352"/>
      <c r="V1033" s="353"/>
      <c r="W1033" s="352"/>
      <c r="X1033" s="176"/>
      <c r="Y1033" s="176"/>
      <c r="Z1033" s="352"/>
      <c r="AA1033" s="352"/>
      <c r="AB1033" s="352"/>
      <c r="AC1033" s="352"/>
      <c r="AD1033" s="352"/>
    </row>
    <row r="1034" spans="1:30" ht="25.65" hidden="1" x14ac:dyDescent="0.35">
      <c r="A1034" s="349">
        <v>1033</v>
      </c>
      <c r="B1034" s="352" t="s">
        <v>2067</v>
      </c>
      <c r="C1034" s="351" t="s">
        <v>541</v>
      </c>
      <c r="D1034" s="352" t="s">
        <v>541</v>
      </c>
      <c r="E1034" s="352" t="s">
        <v>2002</v>
      </c>
      <c r="F1034" s="353">
        <v>0.1</v>
      </c>
      <c r="G1034" s="352" t="s">
        <v>2126</v>
      </c>
      <c r="H1034" s="37" t="s">
        <v>4191</v>
      </c>
      <c r="I1034" s="176" t="s">
        <v>4551</v>
      </c>
      <c r="J1034" s="352" t="s">
        <v>1502</v>
      </c>
      <c r="K1034" s="352">
        <v>200</v>
      </c>
      <c r="L1034" s="352" t="s">
        <v>1503</v>
      </c>
      <c r="M1034" s="351"/>
      <c r="N1034" s="351"/>
      <c r="O1034" s="351">
        <v>200</v>
      </c>
      <c r="P1034" s="349" t="s">
        <v>1836</v>
      </c>
      <c r="R1034" s="349">
        <f t="shared" si="16"/>
        <v>9</v>
      </c>
      <c r="S1034" s="352"/>
      <c r="T1034" s="352"/>
      <c r="U1034" s="352"/>
      <c r="V1034" s="353"/>
      <c r="W1034" s="352"/>
      <c r="X1034" s="176"/>
      <c r="Y1034" s="176"/>
      <c r="Z1034" s="352"/>
      <c r="AA1034" s="352"/>
      <c r="AB1034" s="352"/>
      <c r="AC1034" s="352"/>
      <c r="AD1034" s="352"/>
    </row>
    <row r="1035" spans="1:30" ht="25.65" hidden="1" x14ac:dyDescent="0.35">
      <c r="A1035" s="349">
        <v>1034</v>
      </c>
      <c r="B1035" s="352" t="s">
        <v>2067</v>
      </c>
      <c r="C1035" s="351" t="s">
        <v>541</v>
      </c>
      <c r="D1035" s="352" t="s">
        <v>541</v>
      </c>
      <c r="E1035" s="352" t="s">
        <v>2002</v>
      </c>
      <c r="F1035" s="353">
        <v>0.14000000000000001</v>
      </c>
      <c r="G1035" s="352" t="s">
        <v>2126</v>
      </c>
      <c r="H1035" s="37" t="s">
        <v>4191</v>
      </c>
      <c r="I1035" s="176" t="s">
        <v>4551</v>
      </c>
      <c r="J1035" s="352" t="s">
        <v>1502</v>
      </c>
      <c r="K1035" s="352">
        <v>400</v>
      </c>
      <c r="L1035" s="352" t="s">
        <v>1503</v>
      </c>
      <c r="M1035" s="351"/>
      <c r="N1035" s="351"/>
      <c r="O1035" s="351">
        <v>400</v>
      </c>
      <c r="P1035" s="349" t="s">
        <v>1836</v>
      </c>
      <c r="R1035" s="349">
        <f t="shared" si="16"/>
        <v>9</v>
      </c>
      <c r="S1035" s="352"/>
      <c r="T1035" s="352"/>
      <c r="U1035" s="352"/>
      <c r="V1035" s="353"/>
      <c r="W1035" s="352"/>
      <c r="X1035" s="176"/>
      <c r="Y1035" s="176"/>
      <c r="Z1035" s="352"/>
      <c r="AA1035" s="352"/>
      <c r="AB1035" s="352"/>
      <c r="AC1035" s="352"/>
      <c r="AD1035" s="352"/>
    </row>
    <row r="1036" spans="1:30" ht="25.65" hidden="1" x14ac:dyDescent="0.35">
      <c r="A1036" s="349">
        <v>1035</v>
      </c>
      <c r="B1036" s="352" t="s">
        <v>2067</v>
      </c>
      <c r="C1036" s="351" t="s">
        <v>541</v>
      </c>
      <c r="D1036" s="352" t="s">
        <v>541</v>
      </c>
      <c r="E1036" s="352" t="s">
        <v>553</v>
      </c>
      <c r="F1036" s="353">
        <v>12.4</v>
      </c>
      <c r="G1036" s="352" t="s">
        <v>2126</v>
      </c>
      <c r="H1036" s="37" t="s">
        <v>4191</v>
      </c>
      <c r="I1036" s="176" t="s">
        <v>4551</v>
      </c>
      <c r="J1036" s="352" t="s">
        <v>3579</v>
      </c>
      <c r="K1036" s="352">
        <v>20</v>
      </c>
      <c r="L1036" s="352" t="s">
        <v>1116</v>
      </c>
      <c r="M1036" s="351">
        <v>200</v>
      </c>
      <c r="N1036" s="351" t="s">
        <v>1109</v>
      </c>
      <c r="O1036" s="351">
        <v>20</v>
      </c>
      <c r="P1036" s="349" t="s">
        <v>1836</v>
      </c>
      <c r="R1036" s="349">
        <f t="shared" si="16"/>
        <v>9</v>
      </c>
      <c r="S1036" s="352"/>
      <c r="T1036" s="352"/>
      <c r="U1036" s="352"/>
      <c r="V1036" s="353"/>
      <c r="W1036" s="352"/>
      <c r="X1036" s="176"/>
      <c r="Y1036" s="176"/>
      <c r="Z1036" s="352"/>
      <c r="AA1036" s="352"/>
      <c r="AB1036" s="352"/>
      <c r="AC1036" s="352"/>
      <c r="AD1036" s="352"/>
    </row>
    <row r="1037" spans="1:30" ht="64.099999999999994" hidden="1" x14ac:dyDescent="0.35">
      <c r="A1037" s="349">
        <v>1036</v>
      </c>
      <c r="B1037" s="352" t="s">
        <v>1080</v>
      </c>
      <c r="C1037" s="351" t="s">
        <v>3686</v>
      </c>
      <c r="D1037" s="352" t="s">
        <v>3686</v>
      </c>
      <c r="E1037" s="352" t="s">
        <v>1997</v>
      </c>
      <c r="F1037" s="353">
        <v>287.16550000000001</v>
      </c>
      <c r="G1037" s="352" t="s">
        <v>1107</v>
      </c>
      <c r="H1037" s="37"/>
      <c r="I1037" s="176" t="s">
        <v>4097</v>
      </c>
      <c r="J1037" s="352" t="s">
        <v>1115</v>
      </c>
      <c r="K1037" s="352">
        <v>5</v>
      </c>
      <c r="L1037" s="352" t="s">
        <v>1464</v>
      </c>
      <c r="M1037" s="351"/>
      <c r="N1037" s="351"/>
      <c r="O1037" s="351">
        <v>5</v>
      </c>
      <c r="P1037" s="349" t="s">
        <v>1836</v>
      </c>
      <c r="R1037" s="349">
        <f t="shared" si="16"/>
        <v>11</v>
      </c>
      <c r="S1037" s="352"/>
      <c r="T1037" s="352"/>
      <c r="U1037" s="352"/>
      <c r="V1037" s="353"/>
      <c r="W1037" s="352"/>
      <c r="X1037" s="176"/>
      <c r="Y1037" s="176"/>
      <c r="Z1037" s="352"/>
      <c r="AA1037" s="352"/>
      <c r="AB1037" s="352"/>
      <c r="AC1037" s="352"/>
      <c r="AD1037" s="352"/>
    </row>
    <row r="1038" spans="1:30" ht="64.099999999999994" hidden="1" x14ac:dyDescent="0.35">
      <c r="A1038" s="349">
        <v>1037</v>
      </c>
      <c r="B1038" s="352" t="s">
        <v>1080</v>
      </c>
      <c r="C1038" s="351" t="s">
        <v>3686</v>
      </c>
      <c r="D1038" s="352" t="s">
        <v>3686</v>
      </c>
      <c r="E1038" s="352" t="s">
        <v>1997</v>
      </c>
      <c r="F1038" s="353">
        <v>574.39700000000005</v>
      </c>
      <c r="G1038" s="352" t="s">
        <v>1107</v>
      </c>
      <c r="H1038" s="37"/>
      <c r="I1038" s="176" t="s">
        <v>4097</v>
      </c>
      <c r="J1038" s="352" t="s">
        <v>1115</v>
      </c>
      <c r="K1038" s="352">
        <v>10</v>
      </c>
      <c r="L1038" s="352" t="s">
        <v>1464</v>
      </c>
      <c r="M1038" s="351"/>
      <c r="N1038" s="351"/>
      <c r="O1038" s="351">
        <v>10</v>
      </c>
      <c r="P1038" s="349" t="s">
        <v>1836</v>
      </c>
      <c r="R1038" s="349">
        <f t="shared" si="16"/>
        <v>11</v>
      </c>
      <c r="S1038" s="352"/>
      <c r="T1038" s="352"/>
      <c r="U1038" s="352"/>
      <c r="V1038" s="353"/>
      <c r="W1038" s="352"/>
      <c r="X1038" s="176"/>
      <c r="Y1038" s="176"/>
      <c r="Z1038" s="352"/>
      <c r="AA1038" s="352"/>
      <c r="AB1038" s="352"/>
      <c r="AC1038" s="352"/>
      <c r="AD1038" s="352"/>
    </row>
    <row r="1039" spans="1:30" ht="51.3" hidden="1" x14ac:dyDescent="0.35">
      <c r="A1039" s="349">
        <v>1038</v>
      </c>
      <c r="B1039" s="352" t="s">
        <v>1080</v>
      </c>
      <c r="C1039" s="351" t="s">
        <v>3687</v>
      </c>
      <c r="D1039" s="352" t="s">
        <v>3687</v>
      </c>
      <c r="E1039" s="352" t="s">
        <v>1997</v>
      </c>
      <c r="F1039" s="353">
        <v>23.36</v>
      </c>
      <c r="G1039" s="352" t="s">
        <v>1107</v>
      </c>
      <c r="H1039" s="176"/>
      <c r="I1039" s="176" t="s">
        <v>930</v>
      </c>
      <c r="J1039" s="352" t="s">
        <v>1115</v>
      </c>
      <c r="K1039" s="352">
        <v>500</v>
      </c>
      <c r="L1039" s="352" t="s">
        <v>1464</v>
      </c>
      <c r="M1039" s="352"/>
      <c r="N1039" s="352"/>
      <c r="O1039" s="351">
        <v>500</v>
      </c>
      <c r="P1039" s="349" t="s">
        <v>1836</v>
      </c>
      <c r="R1039" s="349">
        <f t="shared" si="16"/>
        <v>10</v>
      </c>
      <c r="S1039" s="352"/>
      <c r="T1039" s="352"/>
      <c r="U1039" s="352"/>
      <c r="V1039" s="353"/>
      <c r="W1039" s="352"/>
      <c r="X1039" s="176"/>
      <c r="Y1039" s="176"/>
      <c r="Z1039" s="352"/>
      <c r="AA1039" s="352"/>
      <c r="AB1039" s="352"/>
      <c r="AC1039" s="352"/>
      <c r="AD1039" s="352"/>
    </row>
    <row r="1040" spans="1:30" ht="51.3" hidden="1" x14ac:dyDescent="0.35">
      <c r="A1040" s="349">
        <v>1039</v>
      </c>
      <c r="B1040" s="352" t="s">
        <v>1080</v>
      </c>
      <c r="C1040" s="351" t="s">
        <v>3687</v>
      </c>
      <c r="D1040" s="352" t="s">
        <v>3687</v>
      </c>
      <c r="E1040" s="352" t="s">
        <v>1997</v>
      </c>
      <c r="F1040" s="353">
        <v>44.118299999999998</v>
      </c>
      <c r="G1040" s="352" t="s">
        <v>1107</v>
      </c>
      <c r="H1040" s="176"/>
      <c r="I1040" s="176" t="s">
        <v>930</v>
      </c>
      <c r="J1040" s="352" t="s">
        <v>1115</v>
      </c>
      <c r="K1040" s="351">
        <v>1000</v>
      </c>
      <c r="L1040" s="351" t="s">
        <v>1464</v>
      </c>
      <c r="M1040" s="351"/>
      <c r="N1040" s="351"/>
      <c r="O1040" s="351">
        <v>1000</v>
      </c>
      <c r="P1040" s="349" t="s">
        <v>1836</v>
      </c>
      <c r="R1040" s="349">
        <f t="shared" si="16"/>
        <v>10</v>
      </c>
      <c r="S1040" s="352"/>
      <c r="T1040" s="352"/>
      <c r="U1040" s="352"/>
      <c r="V1040" s="353"/>
      <c r="W1040" s="352"/>
      <c r="X1040" s="176"/>
      <c r="Y1040" s="176"/>
      <c r="Z1040" s="352"/>
      <c r="AA1040" s="352"/>
      <c r="AB1040" s="352"/>
      <c r="AC1040" s="352"/>
      <c r="AD1040" s="352"/>
    </row>
    <row r="1041" spans="1:30" ht="51.3" hidden="1" x14ac:dyDescent="0.35">
      <c r="A1041" s="349">
        <v>1040</v>
      </c>
      <c r="B1041" s="352" t="s">
        <v>1080</v>
      </c>
      <c r="C1041" s="351" t="s">
        <v>3687</v>
      </c>
      <c r="D1041" s="352" t="s">
        <v>3687</v>
      </c>
      <c r="E1041" s="352" t="s">
        <v>1997</v>
      </c>
      <c r="F1041" s="353">
        <v>86.7821</v>
      </c>
      <c r="G1041" s="352" t="s">
        <v>1107</v>
      </c>
      <c r="H1041" s="176"/>
      <c r="I1041" s="176" t="s">
        <v>930</v>
      </c>
      <c r="J1041" s="352" t="s">
        <v>1115</v>
      </c>
      <c r="K1041" s="352">
        <v>2000</v>
      </c>
      <c r="L1041" s="352" t="s">
        <v>1464</v>
      </c>
      <c r="M1041" s="352"/>
      <c r="N1041" s="352"/>
      <c r="O1041" s="351">
        <v>2000</v>
      </c>
      <c r="P1041" s="349" t="s">
        <v>1836</v>
      </c>
      <c r="R1041" s="349">
        <f t="shared" si="16"/>
        <v>10</v>
      </c>
      <c r="S1041" s="352"/>
      <c r="T1041" s="352"/>
      <c r="U1041" s="352"/>
      <c r="V1041" s="353"/>
      <c r="W1041" s="352"/>
      <c r="X1041" s="176"/>
      <c r="Y1041" s="176"/>
      <c r="Z1041" s="352"/>
      <c r="AA1041" s="352"/>
      <c r="AB1041" s="352"/>
      <c r="AC1041" s="352"/>
      <c r="AD1041" s="352"/>
    </row>
    <row r="1042" spans="1:30" ht="89.75" hidden="1" x14ac:dyDescent="0.35">
      <c r="A1042" s="349">
        <v>1041</v>
      </c>
      <c r="B1042" s="352" t="s">
        <v>4192</v>
      </c>
      <c r="C1042" s="351" t="s">
        <v>3194</v>
      </c>
      <c r="D1042" s="352" t="s">
        <v>3194</v>
      </c>
      <c r="E1042" s="352" t="s">
        <v>827</v>
      </c>
      <c r="F1042" s="353">
        <v>34.686399999999999</v>
      </c>
      <c r="G1042" s="352" t="s">
        <v>1107</v>
      </c>
      <c r="H1042" s="176" t="s">
        <v>3933</v>
      </c>
      <c r="I1042" s="176" t="s">
        <v>3343</v>
      </c>
      <c r="J1042" s="352" t="s">
        <v>828</v>
      </c>
      <c r="K1042" s="352">
        <v>20</v>
      </c>
      <c r="L1042" s="352" t="s">
        <v>1116</v>
      </c>
      <c r="M1042" s="352">
        <v>5</v>
      </c>
      <c r="N1042" s="352" t="s">
        <v>1109</v>
      </c>
      <c r="O1042" s="351">
        <v>20</v>
      </c>
      <c r="P1042" s="349" t="s">
        <v>1836</v>
      </c>
      <c r="R1042" s="349">
        <f t="shared" si="16"/>
        <v>20</v>
      </c>
      <c r="S1042" s="352"/>
      <c r="T1042" s="352"/>
      <c r="U1042" s="352"/>
      <c r="V1042" s="353"/>
      <c r="W1042" s="352"/>
      <c r="X1042" s="176"/>
      <c r="Y1042" s="176"/>
      <c r="Z1042" s="352"/>
      <c r="AA1042" s="352"/>
      <c r="AB1042" s="352"/>
      <c r="AC1042" s="352"/>
      <c r="AD1042" s="352"/>
    </row>
    <row r="1043" spans="1:30" ht="64.099999999999994" hidden="1" x14ac:dyDescent="0.35">
      <c r="A1043" s="349">
        <v>1042</v>
      </c>
      <c r="B1043" s="352" t="s">
        <v>3090</v>
      </c>
      <c r="C1043" s="351" t="s">
        <v>4015</v>
      </c>
      <c r="D1043" s="352" t="s">
        <v>5043</v>
      </c>
      <c r="E1043" s="352" t="s">
        <v>1997</v>
      </c>
      <c r="F1043" s="353">
        <v>26.73</v>
      </c>
      <c r="G1043" s="352" t="s">
        <v>1107</v>
      </c>
      <c r="H1043" s="176" t="s">
        <v>4016</v>
      </c>
      <c r="I1043" s="176" t="s">
        <v>4017</v>
      </c>
      <c r="J1043" s="352" t="s">
        <v>1115</v>
      </c>
      <c r="K1043" s="352"/>
      <c r="L1043" s="352"/>
      <c r="M1043" s="351"/>
      <c r="N1043" s="351"/>
      <c r="O1043" s="351">
        <v>0</v>
      </c>
      <c r="P1043" s="349" t="s">
        <v>2313</v>
      </c>
      <c r="R1043" s="349">
        <f t="shared" si="16"/>
        <v>20</v>
      </c>
      <c r="S1043" s="352"/>
      <c r="T1043" s="352"/>
      <c r="U1043" s="352"/>
      <c r="V1043" s="353"/>
      <c r="W1043" s="352"/>
      <c r="X1043" s="176"/>
      <c r="Y1043" s="176"/>
      <c r="Z1043" s="352"/>
      <c r="AA1043" s="352"/>
      <c r="AB1043" s="352"/>
      <c r="AC1043" s="352"/>
      <c r="AD1043" s="352"/>
    </row>
    <row r="1044" spans="1:30" ht="51.3" hidden="1" x14ac:dyDescent="0.35">
      <c r="A1044" s="349">
        <v>1043</v>
      </c>
      <c r="B1044" s="352" t="s">
        <v>314</v>
      </c>
      <c r="C1044" s="351" t="s">
        <v>4319</v>
      </c>
      <c r="D1044" s="352" t="s">
        <v>1420</v>
      </c>
      <c r="E1044" s="352" t="s">
        <v>1491</v>
      </c>
      <c r="F1044" s="353">
        <v>127.31</v>
      </c>
      <c r="G1044" s="352" t="s">
        <v>2384</v>
      </c>
      <c r="H1044" s="176" t="s">
        <v>1290</v>
      </c>
      <c r="I1044" s="176" t="s">
        <v>1631</v>
      </c>
      <c r="J1044" s="352" t="s">
        <v>1115</v>
      </c>
      <c r="K1044" s="352">
        <v>160</v>
      </c>
      <c r="L1044" s="352" t="s">
        <v>1116</v>
      </c>
      <c r="M1044" s="351">
        <v>15</v>
      </c>
      <c r="N1044" s="351" t="s">
        <v>1109</v>
      </c>
      <c r="O1044" s="351">
        <v>160</v>
      </c>
      <c r="P1044" s="349" t="s">
        <v>1836</v>
      </c>
      <c r="R1044" s="349">
        <f t="shared" si="16"/>
        <v>30</v>
      </c>
      <c r="S1044" s="352"/>
      <c r="T1044" s="352"/>
      <c r="U1044" s="352"/>
      <c r="V1044" s="353"/>
      <c r="W1044" s="352"/>
      <c r="X1044" s="176"/>
      <c r="Y1044" s="176"/>
      <c r="Z1044" s="352"/>
      <c r="AA1044" s="352"/>
      <c r="AB1044" s="352"/>
      <c r="AC1044" s="352"/>
      <c r="AD1044" s="352"/>
    </row>
    <row r="1045" spans="1:30" ht="51.3" hidden="1" x14ac:dyDescent="0.35">
      <c r="A1045" s="349">
        <v>1044</v>
      </c>
      <c r="B1045" s="352" t="s">
        <v>314</v>
      </c>
      <c r="C1045" s="351" t="s">
        <v>4319</v>
      </c>
      <c r="D1045" s="352" t="s">
        <v>1420</v>
      </c>
      <c r="E1045" s="352" t="s">
        <v>1492</v>
      </c>
      <c r="F1045" s="353">
        <v>24.5273</v>
      </c>
      <c r="G1045" s="352" t="s">
        <v>2384</v>
      </c>
      <c r="H1045" s="176" t="s">
        <v>1290</v>
      </c>
      <c r="I1045" s="176" t="s">
        <v>1631</v>
      </c>
      <c r="J1045" s="352" t="s">
        <v>964</v>
      </c>
      <c r="K1045" s="352">
        <v>160</v>
      </c>
      <c r="L1045" s="352" t="s">
        <v>1116</v>
      </c>
      <c r="M1045" s="352">
        <v>2</v>
      </c>
      <c r="N1045" s="352" t="s">
        <v>1109</v>
      </c>
      <c r="O1045" s="351">
        <v>160</v>
      </c>
      <c r="P1045" s="349" t="s">
        <v>1836</v>
      </c>
      <c r="R1045" s="349">
        <f t="shared" si="16"/>
        <v>30</v>
      </c>
      <c r="S1045" s="352"/>
      <c r="T1045" s="352"/>
      <c r="U1045" s="352"/>
      <c r="V1045" s="353"/>
      <c r="W1045" s="352"/>
      <c r="X1045" s="176"/>
      <c r="Y1045" s="176"/>
      <c r="Z1045" s="352"/>
      <c r="AA1045" s="352"/>
      <c r="AB1045" s="352"/>
      <c r="AC1045" s="352"/>
      <c r="AD1045" s="352"/>
    </row>
    <row r="1046" spans="1:30" ht="192.25" hidden="1" x14ac:dyDescent="0.35">
      <c r="A1046" s="349">
        <v>1045</v>
      </c>
      <c r="B1046" s="352" t="s">
        <v>1493</v>
      </c>
      <c r="C1046" s="351" t="s">
        <v>4320</v>
      </c>
      <c r="D1046" s="352" t="s">
        <v>1421</v>
      </c>
      <c r="E1046" s="352" t="s">
        <v>1997</v>
      </c>
      <c r="F1046" s="353">
        <v>175.19489999999999</v>
      </c>
      <c r="G1046" s="352" t="s">
        <v>1107</v>
      </c>
      <c r="H1046" s="176" t="s">
        <v>4646</v>
      </c>
      <c r="I1046" s="176" t="s">
        <v>944</v>
      </c>
      <c r="J1046" s="352" t="s">
        <v>1115</v>
      </c>
      <c r="K1046" s="352">
        <v>3</v>
      </c>
      <c r="L1046" s="352" t="s">
        <v>3252</v>
      </c>
      <c r="M1046" s="352"/>
      <c r="N1046" s="352"/>
      <c r="O1046" s="351">
        <v>3</v>
      </c>
      <c r="P1046" s="349" t="s">
        <v>818</v>
      </c>
      <c r="R1046" s="349">
        <f t="shared" si="16"/>
        <v>30</v>
      </c>
      <c r="S1046" s="352"/>
      <c r="T1046" s="352"/>
      <c r="U1046" s="352"/>
      <c r="V1046" s="353"/>
      <c r="W1046" s="352"/>
      <c r="X1046" s="176"/>
      <c r="Y1046" s="176"/>
      <c r="Z1046" s="352"/>
      <c r="AA1046" s="352"/>
      <c r="AB1046" s="352"/>
      <c r="AC1046" s="352"/>
      <c r="AD1046" s="352"/>
    </row>
    <row r="1047" spans="1:30" ht="192.25" hidden="1" x14ac:dyDescent="0.35">
      <c r="A1047" s="349">
        <v>1046</v>
      </c>
      <c r="B1047" s="352" t="s">
        <v>1493</v>
      </c>
      <c r="C1047" s="351" t="s">
        <v>4320</v>
      </c>
      <c r="D1047" s="352" t="s">
        <v>1421</v>
      </c>
      <c r="E1047" s="352" t="s">
        <v>1997</v>
      </c>
      <c r="F1047" s="353">
        <v>525.58479999999997</v>
      </c>
      <c r="G1047" s="352" t="s">
        <v>1107</v>
      </c>
      <c r="H1047" s="176" t="s">
        <v>4646</v>
      </c>
      <c r="I1047" s="176" t="s">
        <v>944</v>
      </c>
      <c r="J1047" s="352" t="s">
        <v>1115</v>
      </c>
      <c r="K1047" s="352">
        <v>9</v>
      </c>
      <c r="L1047" s="352" t="s">
        <v>3252</v>
      </c>
      <c r="M1047" s="351"/>
      <c r="N1047" s="351"/>
      <c r="O1047" s="351">
        <v>9</v>
      </c>
      <c r="P1047" s="349" t="s">
        <v>818</v>
      </c>
      <c r="R1047" s="349">
        <f t="shared" si="16"/>
        <v>30</v>
      </c>
      <c r="S1047" s="352"/>
      <c r="T1047" s="352"/>
      <c r="U1047" s="352"/>
      <c r="V1047" s="353"/>
      <c r="W1047" s="352"/>
      <c r="X1047" s="176"/>
      <c r="Y1047" s="176"/>
      <c r="Z1047" s="352"/>
      <c r="AA1047" s="352"/>
      <c r="AB1047" s="352"/>
      <c r="AC1047" s="352"/>
      <c r="AD1047" s="352"/>
    </row>
    <row r="1048" spans="1:30" ht="51.3" hidden="1" x14ac:dyDescent="0.35">
      <c r="A1048" s="349">
        <v>1047</v>
      </c>
      <c r="B1048" s="352" t="s">
        <v>314</v>
      </c>
      <c r="C1048" s="351" t="s">
        <v>1630</v>
      </c>
      <c r="D1048" s="352" t="s">
        <v>1420</v>
      </c>
      <c r="E1048" s="352" t="s">
        <v>1491</v>
      </c>
      <c r="F1048" s="353">
        <v>127.31</v>
      </c>
      <c r="G1048" s="352" t="s">
        <v>2384</v>
      </c>
      <c r="H1048" s="176" t="s">
        <v>1290</v>
      </c>
      <c r="I1048" s="176" t="s">
        <v>1631</v>
      </c>
      <c r="J1048" s="352" t="s">
        <v>1115</v>
      </c>
      <c r="K1048" s="352">
        <v>160</v>
      </c>
      <c r="L1048" s="352" t="s">
        <v>1116</v>
      </c>
      <c r="M1048" s="351">
        <v>15</v>
      </c>
      <c r="N1048" s="351" t="s">
        <v>1109</v>
      </c>
      <c r="O1048" s="351">
        <v>160</v>
      </c>
      <c r="P1048" s="349" t="s">
        <v>1836</v>
      </c>
      <c r="R1048" s="349">
        <f t="shared" si="16"/>
        <v>30</v>
      </c>
      <c r="S1048" s="352"/>
      <c r="T1048" s="352"/>
      <c r="U1048" s="352"/>
      <c r="V1048" s="353"/>
      <c r="W1048" s="352"/>
      <c r="X1048" s="176"/>
      <c r="Y1048" s="176"/>
      <c r="Z1048" s="352"/>
      <c r="AA1048" s="352"/>
      <c r="AB1048" s="352"/>
      <c r="AC1048" s="352"/>
      <c r="AD1048" s="352"/>
    </row>
    <row r="1049" spans="1:30" ht="51.3" hidden="1" x14ac:dyDescent="0.35">
      <c r="A1049" s="349">
        <v>1048</v>
      </c>
      <c r="B1049" s="352" t="s">
        <v>314</v>
      </c>
      <c r="C1049" s="351" t="s">
        <v>1630</v>
      </c>
      <c r="D1049" s="352" t="s">
        <v>1420</v>
      </c>
      <c r="E1049" s="352" t="s">
        <v>1492</v>
      </c>
      <c r="F1049" s="353">
        <v>24.5273</v>
      </c>
      <c r="G1049" s="352" t="s">
        <v>2384</v>
      </c>
      <c r="H1049" s="176" t="s">
        <v>1290</v>
      </c>
      <c r="I1049" s="176" t="s">
        <v>1631</v>
      </c>
      <c r="J1049" s="352" t="s">
        <v>964</v>
      </c>
      <c r="K1049" s="352">
        <v>160</v>
      </c>
      <c r="L1049" s="352" t="s">
        <v>1116</v>
      </c>
      <c r="M1049" s="352">
        <v>2</v>
      </c>
      <c r="N1049" s="352" t="s">
        <v>1109</v>
      </c>
      <c r="O1049" s="351">
        <v>160</v>
      </c>
      <c r="P1049" s="349" t="s">
        <v>1836</v>
      </c>
      <c r="R1049" s="349">
        <f t="shared" si="16"/>
        <v>30</v>
      </c>
      <c r="S1049" s="352"/>
      <c r="T1049" s="352"/>
      <c r="U1049" s="352"/>
      <c r="V1049" s="353"/>
      <c r="W1049" s="352"/>
      <c r="X1049" s="176"/>
      <c r="Y1049" s="176"/>
      <c r="Z1049" s="352"/>
      <c r="AA1049" s="352"/>
      <c r="AB1049" s="352"/>
      <c r="AC1049" s="352"/>
      <c r="AD1049" s="352"/>
    </row>
    <row r="1050" spans="1:30" ht="192.25" hidden="1" x14ac:dyDescent="0.35">
      <c r="A1050" s="349">
        <v>1049</v>
      </c>
      <c r="B1050" s="352" t="s">
        <v>1493</v>
      </c>
      <c r="C1050" s="351" t="s">
        <v>318</v>
      </c>
      <c r="D1050" s="352" t="s">
        <v>1421</v>
      </c>
      <c r="E1050" s="352" t="s">
        <v>1997</v>
      </c>
      <c r="F1050" s="353">
        <v>175.19489999999999</v>
      </c>
      <c r="G1050" s="352" t="s">
        <v>1107</v>
      </c>
      <c r="H1050" s="176" t="s">
        <v>4646</v>
      </c>
      <c r="I1050" s="176" t="s">
        <v>944</v>
      </c>
      <c r="J1050" s="352" t="s">
        <v>1115</v>
      </c>
      <c r="K1050" s="352">
        <v>3</v>
      </c>
      <c r="L1050" s="352" t="s">
        <v>3252</v>
      </c>
      <c r="M1050" s="352"/>
      <c r="N1050" s="352"/>
      <c r="O1050" s="351">
        <v>3</v>
      </c>
      <c r="P1050" s="349" t="s">
        <v>818</v>
      </c>
      <c r="R1050" s="349">
        <f t="shared" si="16"/>
        <v>30</v>
      </c>
      <c r="S1050" s="352"/>
      <c r="T1050" s="352"/>
      <c r="U1050" s="352"/>
      <c r="V1050" s="353"/>
      <c r="W1050" s="352"/>
      <c r="X1050" s="176"/>
      <c r="Y1050" s="176"/>
      <c r="Z1050" s="352"/>
      <c r="AA1050" s="352"/>
      <c r="AB1050" s="352"/>
      <c r="AC1050" s="352"/>
      <c r="AD1050" s="352"/>
    </row>
    <row r="1051" spans="1:30" ht="192.25" hidden="1" x14ac:dyDescent="0.35">
      <c r="A1051" s="349">
        <v>1050</v>
      </c>
      <c r="B1051" s="352" t="s">
        <v>1493</v>
      </c>
      <c r="C1051" s="351" t="s">
        <v>318</v>
      </c>
      <c r="D1051" s="352" t="s">
        <v>1421</v>
      </c>
      <c r="E1051" s="352" t="s">
        <v>1997</v>
      </c>
      <c r="F1051" s="353">
        <v>525.58479999999997</v>
      </c>
      <c r="G1051" s="352" t="s">
        <v>1107</v>
      </c>
      <c r="H1051" s="176" t="s">
        <v>4646</v>
      </c>
      <c r="I1051" s="176" t="s">
        <v>944</v>
      </c>
      <c r="J1051" s="352" t="s">
        <v>1115</v>
      </c>
      <c r="K1051" s="352">
        <v>9</v>
      </c>
      <c r="L1051" s="352" t="s">
        <v>3252</v>
      </c>
      <c r="M1051" s="351"/>
      <c r="N1051" s="351"/>
      <c r="O1051" s="351">
        <v>9</v>
      </c>
      <c r="P1051" s="349" t="s">
        <v>818</v>
      </c>
      <c r="R1051" s="349">
        <f t="shared" si="16"/>
        <v>30</v>
      </c>
      <c r="S1051" s="352"/>
      <c r="T1051" s="352"/>
      <c r="U1051" s="352"/>
      <c r="V1051" s="353"/>
      <c r="W1051" s="352"/>
      <c r="X1051" s="176"/>
      <c r="Y1051" s="176"/>
      <c r="Z1051" s="352"/>
      <c r="AA1051" s="352"/>
      <c r="AB1051" s="352"/>
      <c r="AC1051" s="352"/>
      <c r="AD1051" s="352"/>
    </row>
    <row r="1052" spans="1:30" ht="89.75" hidden="1" x14ac:dyDescent="0.35">
      <c r="A1052" s="349">
        <v>1051</v>
      </c>
      <c r="B1052" s="352" t="s">
        <v>1494</v>
      </c>
      <c r="C1052" s="351" t="s">
        <v>4321</v>
      </c>
      <c r="D1052" s="352" t="s">
        <v>2851</v>
      </c>
      <c r="E1052" s="352" t="s">
        <v>1998</v>
      </c>
      <c r="F1052" s="353">
        <v>0.45</v>
      </c>
      <c r="G1052" s="352" t="s">
        <v>2126</v>
      </c>
      <c r="H1052" s="37" t="s">
        <v>308</v>
      </c>
      <c r="I1052" s="176" t="s">
        <v>4430</v>
      </c>
      <c r="J1052" s="352" t="s">
        <v>22</v>
      </c>
      <c r="K1052" s="352">
        <v>2</v>
      </c>
      <c r="L1052" s="352" t="s">
        <v>23</v>
      </c>
      <c r="M1052" s="351"/>
      <c r="N1052" s="351"/>
      <c r="O1052" s="351">
        <v>2</v>
      </c>
      <c r="P1052" s="349" t="s">
        <v>1836</v>
      </c>
      <c r="R1052" s="349">
        <f t="shared" si="16"/>
        <v>10</v>
      </c>
      <c r="S1052" s="352"/>
      <c r="T1052" s="352"/>
      <c r="U1052" s="352"/>
      <c r="V1052" s="353"/>
      <c r="W1052" s="352"/>
      <c r="X1052" s="176"/>
      <c r="Y1052" s="176"/>
      <c r="Z1052" s="352"/>
      <c r="AA1052" s="352"/>
      <c r="AB1052" s="352"/>
      <c r="AC1052" s="352"/>
      <c r="AD1052" s="352"/>
    </row>
    <row r="1053" spans="1:30" ht="89.75" hidden="1" x14ac:dyDescent="0.35">
      <c r="A1053" s="349">
        <v>1052</v>
      </c>
      <c r="B1053" s="352" t="s">
        <v>1494</v>
      </c>
      <c r="C1053" s="351" t="s">
        <v>4321</v>
      </c>
      <c r="D1053" s="352" t="s">
        <v>2851</v>
      </c>
      <c r="E1053" s="352" t="s">
        <v>2129</v>
      </c>
      <c r="F1053" s="353">
        <v>8.85</v>
      </c>
      <c r="G1053" s="352" t="s">
        <v>2126</v>
      </c>
      <c r="H1053" s="37" t="s">
        <v>308</v>
      </c>
      <c r="I1053" s="176" t="s">
        <v>4430</v>
      </c>
      <c r="J1053" s="352" t="s">
        <v>3579</v>
      </c>
      <c r="K1053" s="352">
        <v>0.2</v>
      </c>
      <c r="L1053" s="352" t="s">
        <v>1116</v>
      </c>
      <c r="M1053" s="351">
        <v>100</v>
      </c>
      <c r="N1053" s="351" t="s">
        <v>1109</v>
      </c>
      <c r="O1053" s="351">
        <v>0.2</v>
      </c>
      <c r="P1053" s="349" t="s">
        <v>1836</v>
      </c>
      <c r="R1053" s="349">
        <f t="shared" si="16"/>
        <v>10</v>
      </c>
      <c r="S1053" s="352"/>
      <c r="T1053" s="352"/>
      <c r="U1053" s="352"/>
      <c r="V1053" s="353"/>
      <c r="W1053" s="352"/>
      <c r="X1053" s="176"/>
      <c r="Y1053" s="176"/>
      <c r="Z1053" s="352"/>
      <c r="AA1053" s="352"/>
      <c r="AB1053" s="352"/>
      <c r="AC1053" s="352"/>
      <c r="AD1053" s="352"/>
    </row>
    <row r="1054" spans="1:30" ht="76.900000000000006" hidden="1" x14ac:dyDescent="0.35">
      <c r="A1054" s="349">
        <v>1053</v>
      </c>
      <c r="B1054" s="352" t="s">
        <v>965</v>
      </c>
      <c r="C1054" s="351" t="s">
        <v>4322</v>
      </c>
      <c r="D1054" s="352" t="s">
        <v>3894</v>
      </c>
      <c r="E1054" s="352" t="s">
        <v>2008</v>
      </c>
      <c r="F1054" s="353">
        <v>0.26</v>
      </c>
      <c r="G1054" s="352" t="s">
        <v>2126</v>
      </c>
      <c r="H1054" s="37" t="s">
        <v>1715</v>
      </c>
      <c r="I1054" s="176" t="s">
        <v>4427</v>
      </c>
      <c r="J1054" s="352" t="s">
        <v>2056</v>
      </c>
      <c r="K1054" s="352">
        <v>10</v>
      </c>
      <c r="L1054" s="352" t="s">
        <v>2057</v>
      </c>
      <c r="M1054" s="351"/>
      <c r="N1054" s="351"/>
      <c r="O1054" s="351">
        <v>10</v>
      </c>
      <c r="P1054" s="349" t="s">
        <v>818</v>
      </c>
      <c r="R1054" s="349">
        <f t="shared" si="16"/>
        <v>8</v>
      </c>
      <c r="S1054" s="352"/>
      <c r="T1054" s="352"/>
      <c r="U1054" s="352"/>
      <c r="V1054" s="353"/>
      <c r="W1054" s="352"/>
      <c r="X1054" s="176"/>
      <c r="Y1054" s="176"/>
      <c r="Z1054" s="352"/>
      <c r="AA1054" s="352"/>
      <c r="AB1054" s="352"/>
      <c r="AC1054" s="352"/>
      <c r="AD1054" s="352"/>
    </row>
    <row r="1055" spans="1:30" ht="51.3" hidden="1" x14ac:dyDescent="0.35">
      <c r="A1055" s="349">
        <v>1054</v>
      </c>
      <c r="B1055" s="352" t="s">
        <v>1080</v>
      </c>
      <c r="C1055" s="351" t="s">
        <v>4323</v>
      </c>
      <c r="D1055" s="352" t="s">
        <v>675</v>
      </c>
      <c r="E1055" s="352" t="s">
        <v>1997</v>
      </c>
      <c r="F1055" s="353">
        <v>19.767299999999999</v>
      </c>
      <c r="G1055" s="352" t="s">
        <v>1107</v>
      </c>
      <c r="H1055" s="176"/>
      <c r="I1055" s="176" t="s">
        <v>931</v>
      </c>
      <c r="J1055" s="352" t="s">
        <v>1115</v>
      </c>
      <c r="K1055" s="352">
        <v>50</v>
      </c>
      <c r="L1055" s="352" t="s">
        <v>1464</v>
      </c>
      <c r="M1055" s="351"/>
      <c r="N1055" s="351"/>
      <c r="O1055" s="351">
        <v>50</v>
      </c>
      <c r="P1055" s="349" t="s">
        <v>1836</v>
      </c>
      <c r="R1055" s="349">
        <f t="shared" si="16"/>
        <v>12</v>
      </c>
      <c r="S1055" s="352"/>
      <c r="T1055" s="352"/>
      <c r="U1055" s="352"/>
      <c r="V1055" s="353"/>
      <c r="W1055" s="352"/>
      <c r="X1055" s="176"/>
      <c r="Y1055" s="176"/>
      <c r="Z1055" s="352"/>
      <c r="AA1055" s="352"/>
      <c r="AB1055" s="352"/>
      <c r="AC1055" s="352"/>
      <c r="AD1055" s="352"/>
    </row>
    <row r="1056" spans="1:30" ht="51.3" hidden="1" x14ac:dyDescent="0.35">
      <c r="A1056" s="349">
        <v>1055</v>
      </c>
      <c r="B1056" s="352" t="s">
        <v>1080</v>
      </c>
      <c r="C1056" s="351" t="s">
        <v>4323</v>
      </c>
      <c r="D1056" s="352" t="s">
        <v>675</v>
      </c>
      <c r="E1056" s="352" t="s">
        <v>1995</v>
      </c>
      <c r="F1056" s="353">
        <v>0.7</v>
      </c>
      <c r="G1056" s="352" t="s">
        <v>2126</v>
      </c>
      <c r="H1056" s="176"/>
      <c r="I1056" s="176" t="s">
        <v>931</v>
      </c>
      <c r="J1056" s="352" t="s">
        <v>3580</v>
      </c>
      <c r="K1056" s="352">
        <v>50</v>
      </c>
      <c r="L1056" s="352" t="s">
        <v>3581</v>
      </c>
      <c r="M1056" s="351"/>
      <c r="N1056" s="351"/>
      <c r="O1056" s="351">
        <v>50</v>
      </c>
      <c r="P1056" s="349" t="s">
        <v>1836</v>
      </c>
      <c r="R1056" s="349">
        <f t="shared" si="16"/>
        <v>12</v>
      </c>
      <c r="S1056" s="352"/>
      <c r="T1056" s="352"/>
      <c r="U1056" s="352"/>
      <c r="V1056" s="353"/>
      <c r="W1056" s="352"/>
      <c r="X1056" s="176"/>
      <c r="Y1056" s="176"/>
      <c r="Z1056" s="352"/>
      <c r="AA1056" s="352"/>
      <c r="AB1056" s="352"/>
      <c r="AC1056" s="352"/>
      <c r="AD1056" s="352"/>
    </row>
    <row r="1057" spans="1:30" ht="51.3" hidden="1" x14ac:dyDescent="0.35">
      <c r="A1057" s="349">
        <v>1056</v>
      </c>
      <c r="B1057" s="352" t="s">
        <v>1080</v>
      </c>
      <c r="C1057" s="351" t="s">
        <v>4323</v>
      </c>
      <c r="D1057" s="352" t="s">
        <v>675</v>
      </c>
      <c r="E1057" s="352" t="s">
        <v>2020</v>
      </c>
      <c r="F1057" s="353">
        <v>0.4</v>
      </c>
      <c r="G1057" s="352" t="s">
        <v>2126</v>
      </c>
      <c r="H1057" s="176"/>
      <c r="I1057" s="176" t="s">
        <v>931</v>
      </c>
      <c r="J1057" s="352" t="s">
        <v>348</v>
      </c>
      <c r="K1057" s="352">
        <v>25</v>
      </c>
      <c r="L1057" s="352" t="s">
        <v>3581</v>
      </c>
      <c r="M1057" s="352"/>
      <c r="N1057" s="352"/>
      <c r="O1057" s="351">
        <v>25</v>
      </c>
      <c r="P1057" s="349" t="s">
        <v>1836</v>
      </c>
      <c r="R1057" s="349">
        <f t="shared" si="16"/>
        <v>12</v>
      </c>
      <c r="S1057" s="352"/>
      <c r="T1057" s="352"/>
      <c r="U1057" s="352"/>
      <c r="V1057" s="353"/>
      <c r="W1057" s="352"/>
      <c r="X1057" s="176"/>
      <c r="Y1057" s="176"/>
      <c r="Z1057" s="352"/>
      <c r="AA1057" s="352"/>
      <c r="AB1057" s="352"/>
      <c r="AC1057" s="352"/>
      <c r="AD1057" s="352"/>
    </row>
    <row r="1058" spans="1:30" ht="192.25" hidden="1" x14ac:dyDescent="0.35">
      <c r="A1058" s="349">
        <v>1057</v>
      </c>
      <c r="B1058" s="352" t="s">
        <v>2070</v>
      </c>
      <c r="C1058" s="351" t="s">
        <v>4324</v>
      </c>
      <c r="D1058" s="352" t="s">
        <v>2463</v>
      </c>
      <c r="E1058" s="352" t="s">
        <v>2855</v>
      </c>
      <c r="F1058" s="353">
        <v>1.3</v>
      </c>
      <c r="G1058" s="352" t="s">
        <v>1107</v>
      </c>
      <c r="H1058" s="176" t="s">
        <v>99</v>
      </c>
      <c r="I1058" s="176" t="s">
        <v>4941</v>
      </c>
      <c r="J1058" s="352" t="s">
        <v>828</v>
      </c>
      <c r="K1058" s="352">
        <v>1</v>
      </c>
      <c r="L1058" s="352" t="s">
        <v>1116</v>
      </c>
      <c r="M1058" s="351">
        <v>1</v>
      </c>
      <c r="N1058" s="351" t="s">
        <v>1109</v>
      </c>
      <c r="O1058" s="351">
        <v>1</v>
      </c>
      <c r="P1058" s="349" t="s">
        <v>1836</v>
      </c>
      <c r="R1058" s="349">
        <f t="shared" si="16"/>
        <v>11</v>
      </c>
      <c r="S1058" s="352"/>
      <c r="T1058" s="352"/>
      <c r="U1058" s="352"/>
      <c r="V1058" s="353"/>
      <c r="W1058" s="352"/>
      <c r="X1058" s="176"/>
      <c r="Y1058" s="176"/>
      <c r="Z1058" s="352"/>
      <c r="AA1058" s="352"/>
      <c r="AB1058" s="352"/>
      <c r="AC1058" s="352"/>
      <c r="AD1058" s="352"/>
    </row>
    <row r="1059" spans="1:30" ht="192.25" hidden="1" x14ac:dyDescent="0.35">
      <c r="A1059" s="349">
        <v>1058</v>
      </c>
      <c r="B1059" s="352" t="s">
        <v>2070</v>
      </c>
      <c r="C1059" s="351" t="s">
        <v>4324</v>
      </c>
      <c r="D1059" s="352" t="s">
        <v>2463</v>
      </c>
      <c r="E1059" s="352" t="s">
        <v>1995</v>
      </c>
      <c r="F1059" s="353">
        <v>8.8099999999999998E-2</v>
      </c>
      <c r="G1059" s="352" t="s">
        <v>2126</v>
      </c>
      <c r="H1059" s="176" t="s">
        <v>4462</v>
      </c>
      <c r="I1059" s="176" t="s">
        <v>4941</v>
      </c>
      <c r="J1059" s="352" t="s">
        <v>3580</v>
      </c>
      <c r="K1059" s="352">
        <v>10</v>
      </c>
      <c r="L1059" s="352" t="s">
        <v>3581</v>
      </c>
      <c r="M1059" s="351"/>
      <c r="N1059" s="351"/>
      <c r="O1059" s="351">
        <v>10</v>
      </c>
      <c r="P1059" s="349" t="s">
        <v>1836</v>
      </c>
      <c r="R1059" s="349">
        <f t="shared" si="16"/>
        <v>11</v>
      </c>
      <c r="S1059" s="352"/>
      <c r="T1059" s="352"/>
      <c r="U1059" s="352"/>
      <c r="V1059" s="353"/>
      <c r="W1059" s="352"/>
      <c r="X1059" s="176"/>
      <c r="Y1059" s="176"/>
      <c r="Z1059" s="352"/>
      <c r="AA1059" s="352"/>
      <c r="AB1059" s="352"/>
      <c r="AC1059" s="352"/>
      <c r="AD1059" s="352"/>
    </row>
    <row r="1060" spans="1:30" ht="192.25" hidden="1" x14ac:dyDescent="0.35">
      <c r="A1060" s="349">
        <v>1059</v>
      </c>
      <c r="B1060" s="352" t="s">
        <v>2070</v>
      </c>
      <c r="C1060" s="351" t="s">
        <v>4324</v>
      </c>
      <c r="D1060" s="352" t="s">
        <v>2463</v>
      </c>
      <c r="E1060" s="352" t="s">
        <v>1995</v>
      </c>
      <c r="F1060" s="353">
        <v>0.13220000000000001</v>
      </c>
      <c r="G1060" s="352" t="s">
        <v>2126</v>
      </c>
      <c r="H1060" s="176" t="s">
        <v>4462</v>
      </c>
      <c r="I1060" s="176" t="s">
        <v>4941</v>
      </c>
      <c r="J1060" s="352" t="s">
        <v>3580</v>
      </c>
      <c r="K1060" s="352">
        <v>40</v>
      </c>
      <c r="L1060" s="352" t="s">
        <v>3581</v>
      </c>
      <c r="M1060" s="351"/>
      <c r="N1060" s="351"/>
      <c r="O1060" s="351">
        <v>40</v>
      </c>
      <c r="P1060" s="349" t="s">
        <v>1836</v>
      </c>
      <c r="R1060" s="349">
        <f t="shared" si="16"/>
        <v>11</v>
      </c>
      <c r="S1060" s="352"/>
      <c r="T1060" s="352"/>
      <c r="U1060" s="352"/>
      <c r="V1060" s="353"/>
      <c r="W1060" s="352"/>
      <c r="X1060" s="176"/>
      <c r="Y1060" s="176"/>
      <c r="Z1060" s="352"/>
      <c r="AA1060" s="352"/>
      <c r="AB1060" s="352"/>
      <c r="AC1060" s="352"/>
      <c r="AD1060" s="352"/>
    </row>
    <row r="1061" spans="1:30" ht="25.65" hidden="1" x14ac:dyDescent="0.35">
      <c r="A1061" s="349">
        <v>1060</v>
      </c>
      <c r="B1061" s="352" t="s">
        <v>4100</v>
      </c>
      <c r="C1061" s="351" t="s">
        <v>945</v>
      </c>
      <c r="D1061" s="352" t="s">
        <v>945</v>
      </c>
      <c r="E1061" s="352" t="s">
        <v>1998</v>
      </c>
      <c r="F1061" s="353">
        <v>1.9613</v>
      </c>
      <c r="G1061" s="352" t="s">
        <v>2126</v>
      </c>
      <c r="H1061" s="176" t="s">
        <v>1579</v>
      </c>
      <c r="I1061" s="176" t="s">
        <v>3884</v>
      </c>
      <c r="J1061" s="352" t="s">
        <v>22</v>
      </c>
      <c r="K1061" s="352">
        <v>200</v>
      </c>
      <c r="L1061" s="352" t="s">
        <v>23</v>
      </c>
      <c r="M1061" s="351"/>
      <c r="N1061" s="351"/>
      <c r="O1061" s="351">
        <v>200</v>
      </c>
      <c r="P1061" s="349" t="s">
        <v>1836</v>
      </c>
      <c r="R1061" s="349">
        <f t="shared" si="16"/>
        <v>9</v>
      </c>
      <c r="S1061" s="352"/>
      <c r="T1061" s="352"/>
      <c r="U1061" s="352"/>
      <c r="V1061" s="353"/>
      <c r="W1061" s="352"/>
      <c r="X1061" s="176"/>
      <c r="Y1061" s="176"/>
      <c r="Z1061" s="352"/>
      <c r="AA1061" s="352"/>
      <c r="AB1061" s="352"/>
      <c r="AC1061" s="352"/>
      <c r="AD1061" s="352"/>
    </row>
    <row r="1062" spans="1:30" ht="25.65" hidden="1" x14ac:dyDescent="0.35">
      <c r="A1062" s="349">
        <v>1061</v>
      </c>
      <c r="B1062" s="352" t="s">
        <v>4100</v>
      </c>
      <c r="C1062" s="351" t="s">
        <v>945</v>
      </c>
      <c r="D1062" s="352" t="s">
        <v>945</v>
      </c>
      <c r="E1062" s="352" t="s">
        <v>1998</v>
      </c>
      <c r="F1062" s="353">
        <v>3.9</v>
      </c>
      <c r="G1062" s="352" t="s">
        <v>2126</v>
      </c>
      <c r="H1062" s="176" t="s">
        <v>1579</v>
      </c>
      <c r="I1062" s="176" t="s">
        <v>3884</v>
      </c>
      <c r="J1062" s="352" t="s">
        <v>22</v>
      </c>
      <c r="K1062" s="352">
        <v>400</v>
      </c>
      <c r="L1062" s="352" t="s">
        <v>23</v>
      </c>
      <c r="M1062" s="351"/>
      <c r="N1062" s="351"/>
      <c r="O1062" s="351">
        <v>400</v>
      </c>
      <c r="P1062" s="349" t="s">
        <v>1836</v>
      </c>
      <c r="R1062" s="349">
        <f t="shared" si="16"/>
        <v>9</v>
      </c>
      <c r="S1062" s="352"/>
      <c r="T1062" s="352"/>
      <c r="U1062" s="352"/>
      <c r="V1062" s="353"/>
      <c r="W1062" s="352"/>
      <c r="X1062" s="176"/>
      <c r="Y1062" s="176"/>
      <c r="Z1062" s="352"/>
      <c r="AA1062" s="352"/>
      <c r="AB1062" s="352"/>
      <c r="AC1062" s="352"/>
      <c r="AD1062" s="352"/>
    </row>
    <row r="1063" spans="1:30" ht="141" hidden="1" x14ac:dyDescent="0.35">
      <c r="A1063" s="349">
        <v>1062</v>
      </c>
      <c r="B1063" s="352" t="s">
        <v>2067</v>
      </c>
      <c r="C1063" s="351" t="s">
        <v>4325</v>
      </c>
      <c r="D1063" s="352" t="s">
        <v>1816</v>
      </c>
      <c r="E1063" s="352" t="s">
        <v>1998</v>
      </c>
      <c r="F1063" s="353">
        <v>0.14000000000000001</v>
      </c>
      <c r="G1063" s="352" t="s">
        <v>2126</v>
      </c>
      <c r="H1063" s="176" t="s">
        <v>2990</v>
      </c>
      <c r="I1063" s="176" t="s">
        <v>4547</v>
      </c>
      <c r="J1063" s="352" t="s">
        <v>22</v>
      </c>
      <c r="K1063" s="352">
        <v>25</v>
      </c>
      <c r="L1063" s="352" t="s">
        <v>23</v>
      </c>
      <c r="M1063" s="351"/>
      <c r="N1063" s="351"/>
      <c r="O1063" s="351">
        <v>25</v>
      </c>
      <c r="P1063" s="349" t="s">
        <v>1836</v>
      </c>
      <c r="R1063" s="349">
        <f t="shared" si="16"/>
        <v>12</v>
      </c>
      <c r="S1063" s="352"/>
      <c r="T1063" s="352"/>
      <c r="U1063" s="352"/>
      <c r="V1063" s="353"/>
      <c r="W1063" s="352"/>
      <c r="X1063" s="176"/>
      <c r="Y1063" s="176"/>
      <c r="Z1063" s="352"/>
      <c r="AA1063" s="352"/>
      <c r="AB1063" s="352"/>
      <c r="AC1063" s="352"/>
      <c r="AD1063" s="352"/>
    </row>
    <row r="1064" spans="1:30" ht="141" hidden="1" x14ac:dyDescent="0.35">
      <c r="A1064" s="349">
        <v>1063</v>
      </c>
      <c r="B1064" s="352" t="s">
        <v>2067</v>
      </c>
      <c r="C1064" s="351" t="s">
        <v>4325</v>
      </c>
      <c r="D1064" s="352" t="s">
        <v>1816</v>
      </c>
      <c r="E1064" s="352" t="s">
        <v>1998</v>
      </c>
      <c r="F1064" s="353">
        <v>0.24</v>
      </c>
      <c r="G1064" s="352" t="s">
        <v>2126</v>
      </c>
      <c r="H1064" s="176" t="s">
        <v>2990</v>
      </c>
      <c r="I1064" s="176" t="s">
        <v>4547</v>
      </c>
      <c r="J1064" s="352" t="s">
        <v>22</v>
      </c>
      <c r="K1064" s="352">
        <v>50</v>
      </c>
      <c r="L1064" s="352" t="s">
        <v>23</v>
      </c>
      <c r="M1064" s="351"/>
      <c r="N1064" s="351"/>
      <c r="O1064" s="351">
        <v>50</v>
      </c>
      <c r="P1064" s="349" t="s">
        <v>1836</v>
      </c>
      <c r="R1064" s="349">
        <f t="shared" si="16"/>
        <v>12</v>
      </c>
      <c r="S1064" s="352"/>
      <c r="T1064" s="352"/>
      <c r="U1064" s="352"/>
      <c r="V1064" s="353"/>
      <c r="W1064" s="352"/>
      <c r="X1064" s="176"/>
      <c r="Y1064" s="176"/>
      <c r="Z1064" s="352"/>
      <c r="AA1064" s="352"/>
      <c r="AB1064" s="352"/>
      <c r="AC1064" s="352"/>
      <c r="AD1064" s="352"/>
    </row>
    <row r="1065" spans="1:30" ht="141" hidden="1" x14ac:dyDescent="0.35">
      <c r="A1065" s="349">
        <v>1064</v>
      </c>
      <c r="B1065" s="352" t="s">
        <v>2067</v>
      </c>
      <c r="C1065" s="351" t="s">
        <v>4325</v>
      </c>
      <c r="D1065" s="352" t="s">
        <v>1816</v>
      </c>
      <c r="E1065" s="352" t="s">
        <v>2001</v>
      </c>
      <c r="F1065" s="353">
        <v>0.6</v>
      </c>
      <c r="G1065" s="352" t="s">
        <v>2126</v>
      </c>
      <c r="H1065" s="176" t="s">
        <v>2990</v>
      </c>
      <c r="I1065" s="176" t="s">
        <v>4547</v>
      </c>
      <c r="J1065" s="352" t="s">
        <v>1495</v>
      </c>
      <c r="K1065" s="352">
        <v>75</v>
      </c>
      <c r="L1065" s="352" t="s">
        <v>23</v>
      </c>
      <c r="M1065" s="351"/>
      <c r="N1065" s="351"/>
      <c r="O1065" s="351">
        <v>75</v>
      </c>
      <c r="P1065" s="349" t="s">
        <v>1836</v>
      </c>
      <c r="R1065" s="349">
        <f t="shared" si="16"/>
        <v>12</v>
      </c>
      <c r="S1065" s="352"/>
      <c r="T1065" s="352"/>
      <c r="U1065" s="352"/>
      <c r="V1065" s="353"/>
      <c r="W1065" s="352"/>
      <c r="X1065" s="176"/>
      <c r="Y1065" s="176"/>
      <c r="Z1065" s="352"/>
      <c r="AA1065" s="352"/>
      <c r="AB1065" s="352"/>
      <c r="AC1065" s="352"/>
      <c r="AD1065" s="352"/>
    </row>
    <row r="1066" spans="1:30" ht="115.35" hidden="1" x14ac:dyDescent="0.35">
      <c r="A1066" s="349">
        <v>1065</v>
      </c>
      <c r="B1066" s="352" t="s">
        <v>2067</v>
      </c>
      <c r="C1066" s="351" t="s">
        <v>4326</v>
      </c>
      <c r="D1066" s="352" t="s">
        <v>1816</v>
      </c>
      <c r="E1066" s="352" t="s">
        <v>1997</v>
      </c>
      <c r="F1066" s="353">
        <v>42</v>
      </c>
      <c r="G1066" s="352" t="s">
        <v>1107</v>
      </c>
      <c r="H1066" s="176" t="s">
        <v>2255</v>
      </c>
      <c r="I1066" s="176" t="s">
        <v>4548</v>
      </c>
      <c r="J1066" s="352" t="s">
        <v>1115</v>
      </c>
      <c r="K1066" s="352">
        <v>1</v>
      </c>
      <c r="L1066" s="352" t="s">
        <v>1464</v>
      </c>
      <c r="M1066" s="351"/>
      <c r="N1066" s="351"/>
      <c r="O1066" s="351">
        <v>1</v>
      </c>
      <c r="P1066" s="349" t="s">
        <v>1836</v>
      </c>
      <c r="R1066" s="349">
        <f t="shared" si="16"/>
        <v>12</v>
      </c>
      <c r="S1066" s="352"/>
      <c r="T1066" s="352"/>
      <c r="U1066" s="352"/>
      <c r="V1066" s="353"/>
      <c r="W1066" s="352"/>
      <c r="X1066" s="176"/>
      <c r="Y1066" s="176"/>
      <c r="Z1066" s="352"/>
      <c r="AA1066" s="352"/>
      <c r="AB1066" s="352"/>
      <c r="AC1066" s="352"/>
      <c r="AD1066" s="352"/>
    </row>
    <row r="1067" spans="1:30" ht="115.35" hidden="1" x14ac:dyDescent="0.35">
      <c r="A1067" s="349">
        <v>1066</v>
      </c>
      <c r="B1067" s="352" t="s">
        <v>2067</v>
      </c>
      <c r="C1067" s="351" t="s">
        <v>1816</v>
      </c>
      <c r="D1067" s="352" t="s">
        <v>1816</v>
      </c>
      <c r="E1067" s="352" t="s">
        <v>1997</v>
      </c>
      <c r="F1067" s="353">
        <v>42</v>
      </c>
      <c r="G1067" s="352" t="s">
        <v>1107</v>
      </c>
      <c r="H1067" s="176" t="s">
        <v>2255</v>
      </c>
      <c r="I1067" s="176" t="s">
        <v>4548</v>
      </c>
      <c r="J1067" s="352" t="s">
        <v>1115</v>
      </c>
      <c r="K1067" s="352">
        <v>1</v>
      </c>
      <c r="L1067" s="352" t="s">
        <v>1464</v>
      </c>
      <c r="M1067" s="351"/>
      <c r="N1067" s="351"/>
      <c r="O1067" s="351">
        <v>1</v>
      </c>
      <c r="P1067" s="349" t="s">
        <v>1836</v>
      </c>
      <c r="R1067" s="349">
        <f t="shared" si="16"/>
        <v>12</v>
      </c>
      <c r="S1067" s="352"/>
      <c r="T1067" s="352"/>
      <c r="U1067" s="352"/>
      <c r="V1067" s="353"/>
      <c r="W1067" s="352"/>
      <c r="X1067" s="176"/>
      <c r="Y1067" s="176"/>
      <c r="Z1067" s="352"/>
      <c r="AA1067" s="351"/>
      <c r="AB1067" s="351"/>
      <c r="AC1067" s="352"/>
      <c r="AD1067" s="352"/>
    </row>
    <row r="1068" spans="1:30" ht="141" hidden="1" x14ac:dyDescent="0.35">
      <c r="A1068" s="349">
        <v>1067</v>
      </c>
      <c r="B1068" s="352" t="s">
        <v>2067</v>
      </c>
      <c r="C1068" s="351" t="s">
        <v>1816</v>
      </c>
      <c r="D1068" s="352" t="s">
        <v>1816</v>
      </c>
      <c r="E1068" s="352" t="s">
        <v>1998</v>
      </c>
      <c r="F1068" s="353">
        <v>0.14000000000000001</v>
      </c>
      <c r="G1068" s="352" t="s">
        <v>2126</v>
      </c>
      <c r="H1068" s="176" t="s">
        <v>2990</v>
      </c>
      <c r="I1068" s="176" t="s">
        <v>4547</v>
      </c>
      <c r="J1068" s="352" t="s">
        <v>22</v>
      </c>
      <c r="K1068" s="352">
        <v>25</v>
      </c>
      <c r="L1068" s="352" t="s">
        <v>23</v>
      </c>
      <c r="M1068" s="351"/>
      <c r="N1068" s="351"/>
      <c r="O1068" s="351">
        <v>25</v>
      </c>
      <c r="P1068" s="349" t="s">
        <v>1836</v>
      </c>
      <c r="R1068" s="349">
        <f t="shared" si="16"/>
        <v>12</v>
      </c>
      <c r="S1068" s="352"/>
      <c r="T1068" s="352"/>
      <c r="U1068" s="352"/>
      <c r="V1068" s="353"/>
      <c r="W1068" s="352"/>
      <c r="X1068" s="176"/>
      <c r="Y1068" s="176"/>
      <c r="Z1068" s="352"/>
      <c r="AA1068" s="351"/>
      <c r="AB1068" s="351"/>
      <c r="AC1068" s="352"/>
      <c r="AD1068" s="352"/>
    </row>
    <row r="1069" spans="1:30" ht="141" hidden="1" x14ac:dyDescent="0.35">
      <c r="A1069" s="349">
        <v>1068</v>
      </c>
      <c r="B1069" s="352" t="s">
        <v>2067</v>
      </c>
      <c r="C1069" s="351" t="s">
        <v>1816</v>
      </c>
      <c r="D1069" s="352" t="s">
        <v>1816</v>
      </c>
      <c r="E1069" s="352" t="s">
        <v>1998</v>
      </c>
      <c r="F1069" s="353">
        <v>0.24</v>
      </c>
      <c r="G1069" s="352" t="s">
        <v>2126</v>
      </c>
      <c r="H1069" s="176" t="s">
        <v>2990</v>
      </c>
      <c r="I1069" s="176" t="s">
        <v>4547</v>
      </c>
      <c r="J1069" s="352" t="s">
        <v>22</v>
      </c>
      <c r="K1069" s="351">
        <v>50</v>
      </c>
      <c r="L1069" s="351" t="s">
        <v>23</v>
      </c>
      <c r="M1069" s="351"/>
      <c r="N1069" s="351"/>
      <c r="O1069" s="351">
        <v>50</v>
      </c>
      <c r="P1069" s="349" t="s">
        <v>1836</v>
      </c>
      <c r="R1069" s="349">
        <f t="shared" si="16"/>
        <v>12</v>
      </c>
      <c r="S1069" s="352"/>
      <c r="T1069" s="352"/>
      <c r="U1069" s="352"/>
      <c r="V1069" s="353"/>
      <c r="W1069" s="352"/>
      <c r="X1069" s="176"/>
      <c r="Y1069" s="176"/>
      <c r="Z1069" s="352"/>
      <c r="AA1069" s="352"/>
      <c r="AB1069" s="352"/>
      <c r="AC1069" s="351"/>
      <c r="AD1069" s="351"/>
    </row>
    <row r="1070" spans="1:30" ht="141" hidden="1" x14ac:dyDescent="0.35">
      <c r="A1070" s="349">
        <v>1069</v>
      </c>
      <c r="B1070" s="352" t="s">
        <v>2067</v>
      </c>
      <c r="C1070" s="351" t="s">
        <v>1816</v>
      </c>
      <c r="D1070" s="352" t="s">
        <v>1816</v>
      </c>
      <c r="E1070" s="352" t="s">
        <v>2001</v>
      </c>
      <c r="F1070" s="353">
        <v>0.6</v>
      </c>
      <c r="G1070" s="352" t="s">
        <v>2126</v>
      </c>
      <c r="H1070" s="176" t="s">
        <v>2990</v>
      </c>
      <c r="I1070" s="176" t="s">
        <v>4547</v>
      </c>
      <c r="J1070" s="352" t="s">
        <v>1495</v>
      </c>
      <c r="K1070" s="351">
        <v>75</v>
      </c>
      <c r="L1070" s="351" t="s">
        <v>23</v>
      </c>
      <c r="M1070" s="351"/>
      <c r="N1070" s="351"/>
      <c r="O1070" s="351">
        <v>75</v>
      </c>
      <c r="P1070" s="349" t="s">
        <v>1836</v>
      </c>
      <c r="R1070" s="349">
        <f t="shared" si="16"/>
        <v>12</v>
      </c>
      <c r="S1070" s="352"/>
      <c r="T1070" s="352"/>
      <c r="U1070" s="352"/>
      <c r="V1070" s="353"/>
      <c r="W1070" s="352"/>
      <c r="X1070" s="176"/>
      <c r="Y1070" s="176"/>
      <c r="Z1070" s="352"/>
      <c r="AA1070" s="352"/>
      <c r="AB1070" s="352"/>
      <c r="AC1070" s="351"/>
      <c r="AD1070" s="351"/>
    </row>
    <row r="1071" spans="1:30" ht="76.900000000000006" hidden="1" x14ac:dyDescent="0.35">
      <c r="A1071" s="349">
        <v>1070</v>
      </c>
      <c r="B1071" s="352" t="s">
        <v>1609</v>
      </c>
      <c r="C1071" s="351" t="s">
        <v>2063</v>
      </c>
      <c r="D1071" s="352" t="s">
        <v>2063</v>
      </c>
      <c r="E1071" s="352" t="s">
        <v>1997</v>
      </c>
      <c r="F1071" s="353">
        <v>1496.32</v>
      </c>
      <c r="G1071" s="352" t="s">
        <v>1107</v>
      </c>
      <c r="H1071" s="176" t="s">
        <v>2064</v>
      </c>
      <c r="I1071" s="176" t="s">
        <v>2065</v>
      </c>
      <c r="J1071" s="352" t="s">
        <v>1115</v>
      </c>
      <c r="K1071" s="352">
        <v>100</v>
      </c>
      <c r="L1071" s="352" t="s">
        <v>1464</v>
      </c>
      <c r="M1071" s="351"/>
      <c r="N1071" s="351"/>
      <c r="O1071" s="351">
        <v>100</v>
      </c>
      <c r="P1071" s="349" t="s">
        <v>1836</v>
      </c>
      <c r="R1071" s="349">
        <f t="shared" si="16"/>
        <v>10</v>
      </c>
      <c r="S1071" s="352"/>
      <c r="T1071" s="352"/>
      <c r="U1071" s="352"/>
      <c r="V1071" s="353"/>
      <c r="W1071" s="352"/>
      <c r="X1071" s="176"/>
      <c r="Y1071" s="176"/>
      <c r="Z1071" s="352"/>
      <c r="AA1071" s="352"/>
      <c r="AB1071" s="352"/>
      <c r="AC1071" s="352"/>
      <c r="AD1071" s="352"/>
    </row>
    <row r="1072" spans="1:30" ht="102.55" hidden="1" x14ac:dyDescent="0.35">
      <c r="A1072" s="349">
        <v>1071</v>
      </c>
      <c r="B1072" s="352" t="s">
        <v>314</v>
      </c>
      <c r="C1072" s="351" t="s">
        <v>722</v>
      </c>
      <c r="D1072" s="352" t="s">
        <v>722</v>
      </c>
      <c r="E1072" s="352" t="s">
        <v>2029</v>
      </c>
      <c r="F1072" s="353">
        <v>6.9</v>
      </c>
      <c r="G1072" s="352" t="s">
        <v>315</v>
      </c>
      <c r="H1072" s="176" t="s">
        <v>1632</v>
      </c>
      <c r="I1072" s="176" t="s">
        <v>3556</v>
      </c>
      <c r="J1072" s="352" t="s">
        <v>964</v>
      </c>
      <c r="K1072" s="352"/>
      <c r="L1072" s="352"/>
      <c r="M1072" s="352"/>
      <c r="N1072" s="352"/>
      <c r="O1072" s="351">
        <v>0</v>
      </c>
      <c r="P1072" s="349" t="s">
        <v>2313</v>
      </c>
      <c r="R1072" s="349">
        <f t="shared" si="16"/>
        <v>15</v>
      </c>
      <c r="S1072" s="352"/>
      <c r="T1072" s="352"/>
      <c r="U1072" s="352"/>
      <c r="V1072" s="353"/>
      <c r="W1072" s="352"/>
      <c r="X1072" s="176"/>
      <c r="Y1072" s="176"/>
      <c r="Z1072" s="352"/>
      <c r="AA1072" s="352"/>
      <c r="AB1072" s="352"/>
      <c r="AC1072" s="352"/>
      <c r="AD1072" s="352"/>
    </row>
    <row r="1073" spans="1:30" ht="102.55" hidden="1" x14ac:dyDescent="0.35">
      <c r="A1073" s="349">
        <v>1072</v>
      </c>
      <c r="B1073" s="352" t="s">
        <v>314</v>
      </c>
      <c r="C1073" s="351" t="s">
        <v>722</v>
      </c>
      <c r="D1073" s="352" t="s">
        <v>722</v>
      </c>
      <c r="E1073" s="352" t="s">
        <v>2029</v>
      </c>
      <c r="F1073" s="353">
        <v>6.9</v>
      </c>
      <c r="G1073" s="352" t="s">
        <v>315</v>
      </c>
      <c r="H1073" s="176" t="s">
        <v>1632</v>
      </c>
      <c r="I1073" s="176" t="s">
        <v>3556</v>
      </c>
      <c r="J1073" s="352" t="s">
        <v>964</v>
      </c>
      <c r="K1073" s="352"/>
      <c r="L1073" s="352"/>
      <c r="M1073" s="352"/>
      <c r="N1073" s="352"/>
      <c r="O1073" s="351">
        <v>0</v>
      </c>
      <c r="P1073" s="349" t="s">
        <v>2313</v>
      </c>
      <c r="R1073" s="349">
        <f t="shared" si="16"/>
        <v>15</v>
      </c>
      <c r="S1073" s="352"/>
      <c r="T1073" s="352"/>
      <c r="U1073" s="352"/>
      <c r="V1073" s="353"/>
      <c r="W1073" s="352"/>
      <c r="X1073" s="176"/>
      <c r="Y1073" s="176"/>
      <c r="Z1073" s="352"/>
      <c r="AA1073" s="352"/>
      <c r="AB1073" s="352"/>
      <c r="AC1073" s="351"/>
      <c r="AD1073" s="351"/>
    </row>
    <row r="1074" spans="1:30" ht="51.3" hidden="1" x14ac:dyDescent="0.35">
      <c r="A1074" s="349">
        <v>1073</v>
      </c>
      <c r="B1074" s="352" t="s">
        <v>2854</v>
      </c>
      <c r="C1074" s="351" t="s">
        <v>4327</v>
      </c>
      <c r="D1074" s="352" t="s">
        <v>787</v>
      </c>
      <c r="E1074" s="352" t="s">
        <v>1995</v>
      </c>
      <c r="F1074" s="351">
        <v>1</v>
      </c>
      <c r="G1074" s="352" t="s">
        <v>2126</v>
      </c>
      <c r="H1074" s="176" t="s">
        <v>2861</v>
      </c>
      <c r="I1074" s="176" t="s">
        <v>2853</v>
      </c>
      <c r="J1074" s="352" t="s">
        <v>3580</v>
      </c>
      <c r="K1074" s="352">
        <v>100</v>
      </c>
      <c r="L1074" s="352" t="s">
        <v>3581</v>
      </c>
      <c r="M1074" s="352"/>
      <c r="N1074" s="352"/>
      <c r="O1074" s="351">
        <v>100</v>
      </c>
      <c r="P1074" s="349" t="s">
        <v>1836</v>
      </c>
      <c r="R1074" s="349">
        <f t="shared" si="16"/>
        <v>9</v>
      </c>
      <c r="S1074" s="352"/>
      <c r="T1074" s="352"/>
      <c r="U1074" s="352"/>
      <c r="V1074" s="353"/>
      <c r="W1074" s="352"/>
      <c r="X1074" s="176"/>
      <c r="Y1074" s="176"/>
      <c r="Z1074" s="352"/>
      <c r="AA1074" s="352"/>
      <c r="AB1074" s="352"/>
      <c r="AC1074" s="351"/>
      <c r="AD1074" s="351"/>
    </row>
    <row r="1075" spans="1:30" ht="25.65" hidden="1" x14ac:dyDescent="0.35">
      <c r="A1075" s="349">
        <v>1074</v>
      </c>
      <c r="B1075" s="352" t="s">
        <v>807</v>
      </c>
      <c r="C1075" s="351" t="s">
        <v>4328</v>
      </c>
      <c r="D1075" s="352" t="s">
        <v>1666</v>
      </c>
      <c r="E1075" s="352" t="s">
        <v>1496</v>
      </c>
      <c r="F1075" s="353">
        <v>1.92</v>
      </c>
      <c r="G1075" s="352" t="s">
        <v>34</v>
      </c>
      <c r="H1075" s="176" t="s">
        <v>3528</v>
      </c>
      <c r="I1075" s="176" t="s">
        <v>4937</v>
      </c>
      <c r="J1075" s="352" t="s">
        <v>964</v>
      </c>
      <c r="K1075" s="352">
        <v>2</v>
      </c>
      <c r="L1075" s="352" t="s">
        <v>1324</v>
      </c>
      <c r="M1075" s="352">
        <v>6</v>
      </c>
      <c r="N1075" s="352" t="s">
        <v>1109</v>
      </c>
      <c r="O1075" s="351">
        <v>2</v>
      </c>
      <c r="P1075" s="349" t="s">
        <v>1838</v>
      </c>
      <c r="R1075" s="349">
        <f t="shared" si="16"/>
        <v>9</v>
      </c>
      <c r="S1075" s="352"/>
      <c r="T1075" s="352"/>
      <c r="U1075" s="352"/>
      <c r="V1075" s="353"/>
      <c r="W1075" s="352"/>
      <c r="X1075" s="176"/>
      <c r="Y1075" s="176"/>
      <c r="Z1075" s="352"/>
      <c r="AA1075" s="352"/>
      <c r="AB1075" s="352"/>
      <c r="AC1075" s="352"/>
      <c r="AD1075" s="352"/>
    </row>
    <row r="1076" spans="1:30" ht="38.450000000000003" hidden="1" x14ac:dyDescent="0.35">
      <c r="A1076" s="349">
        <v>1075</v>
      </c>
      <c r="B1076" s="352" t="s">
        <v>729</v>
      </c>
      <c r="C1076" s="351" t="s">
        <v>4329</v>
      </c>
      <c r="D1076" s="352" t="s">
        <v>1424</v>
      </c>
      <c r="E1076" s="352" t="s">
        <v>1649</v>
      </c>
      <c r="F1076" s="353">
        <v>14.6767</v>
      </c>
      <c r="G1076" s="352" t="s">
        <v>315</v>
      </c>
      <c r="H1076" s="176" t="s">
        <v>3312</v>
      </c>
      <c r="I1076" s="176" t="s">
        <v>3396</v>
      </c>
      <c r="J1076" s="352" t="s">
        <v>1650</v>
      </c>
      <c r="K1076" s="352">
        <v>100</v>
      </c>
      <c r="L1076" s="352" t="s">
        <v>732</v>
      </c>
      <c r="M1076" s="352">
        <v>3</v>
      </c>
      <c r="N1076" s="352" t="s">
        <v>1109</v>
      </c>
      <c r="O1076" s="351">
        <v>100</v>
      </c>
      <c r="P1076" s="349" t="s">
        <v>2030</v>
      </c>
      <c r="R1076" s="349">
        <f t="shared" si="16"/>
        <v>16</v>
      </c>
      <c r="S1076" s="352"/>
      <c r="T1076" s="352"/>
      <c r="U1076" s="352"/>
      <c r="V1076" s="353"/>
      <c r="W1076" s="352"/>
      <c r="X1076" s="176"/>
      <c r="Y1076" s="176"/>
      <c r="Z1076" s="352"/>
      <c r="AA1076" s="352"/>
      <c r="AB1076" s="352"/>
      <c r="AC1076" s="352"/>
      <c r="AD1076" s="352"/>
    </row>
    <row r="1077" spans="1:30" ht="25.65" hidden="1" x14ac:dyDescent="0.35">
      <c r="A1077" s="349">
        <v>1076</v>
      </c>
      <c r="B1077" s="352" t="s">
        <v>729</v>
      </c>
      <c r="C1077" s="351" t="s">
        <v>1472</v>
      </c>
      <c r="D1077" s="352" t="s">
        <v>1422</v>
      </c>
      <c r="E1077" s="352" t="s">
        <v>1649</v>
      </c>
      <c r="F1077" s="353"/>
      <c r="G1077" s="352" t="s">
        <v>315</v>
      </c>
      <c r="H1077" s="37" t="s">
        <v>3486</v>
      </c>
      <c r="I1077" s="37" t="s">
        <v>1473</v>
      </c>
      <c r="J1077" s="352" t="s">
        <v>1650</v>
      </c>
      <c r="K1077" s="352">
        <v>100</v>
      </c>
      <c r="L1077" s="352" t="s">
        <v>732</v>
      </c>
      <c r="M1077" s="352">
        <v>3</v>
      </c>
      <c r="N1077" s="352" t="s">
        <v>1109</v>
      </c>
      <c r="O1077" s="351">
        <v>100</v>
      </c>
      <c r="P1077" s="349" t="s">
        <v>2030</v>
      </c>
      <c r="R1077" s="349">
        <f t="shared" si="16"/>
        <v>15</v>
      </c>
      <c r="S1077" s="352"/>
      <c r="T1077" s="352"/>
      <c r="U1077" s="352"/>
      <c r="V1077" s="353"/>
      <c r="W1077" s="352"/>
      <c r="X1077" s="176"/>
      <c r="Y1077" s="176"/>
      <c r="Z1077" s="352"/>
      <c r="AA1077" s="352"/>
      <c r="AB1077" s="352"/>
      <c r="AC1077" s="352"/>
      <c r="AD1077" s="352"/>
    </row>
    <row r="1078" spans="1:30" ht="38.450000000000003" hidden="1" x14ac:dyDescent="0.35">
      <c r="A1078" s="349">
        <v>1077</v>
      </c>
      <c r="B1078" s="352" t="s">
        <v>729</v>
      </c>
      <c r="C1078" s="351" t="s">
        <v>1470</v>
      </c>
      <c r="D1078" s="352" t="s">
        <v>1424</v>
      </c>
      <c r="E1078" s="352" t="s">
        <v>1649</v>
      </c>
      <c r="F1078" s="353">
        <v>14.6767</v>
      </c>
      <c r="G1078" s="352" t="s">
        <v>315</v>
      </c>
      <c r="H1078" s="37" t="s">
        <v>3312</v>
      </c>
      <c r="I1078" s="37" t="s">
        <v>3396</v>
      </c>
      <c r="J1078" s="352" t="s">
        <v>1650</v>
      </c>
      <c r="K1078" s="352">
        <v>100</v>
      </c>
      <c r="L1078" s="352" t="s">
        <v>732</v>
      </c>
      <c r="M1078" s="352">
        <v>3</v>
      </c>
      <c r="N1078" s="352" t="s">
        <v>1109</v>
      </c>
      <c r="O1078" s="351">
        <v>100</v>
      </c>
      <c r="P1078" s="349" t="s">
        <v>2030</v>
      </c>
      <c r="R1078" s="349">
        <f t="shared" si="16"/>
        <v>16</v>
      </c>
      <c r="S1078" s="352"/>
      <c r="T1078" s="352"/>
      <c r="U1078" s="352"/>
      <c r="V1078" s="353"/>
      <c r="W1078" s="352"/>
      <c r="X1078" s="176"/>
      <c r="Y1078" s="176"/>
      <c r="Z1078" s="352"/>
      <c r="AA1078" s="352"/>
      <c r="AB1078" s="352"/>
      <c r="AC1078" s="352"/>
      <c r="AD1078" s="352"/>
    </row>
    <row r="1079" spans="1:30" ht="64.099999999999994" hidden="1" x14ac:dyDescent="0.35">
      <c r="A1079" s="349">
        <v>1078</v>
      </c>
      <c r="B1079" s="352" t="s">
        <v>729</v>
      </c>
      <c r="C1079" s="351" t="s">
        <v>3311</v>
      </c>
      <c r="D1079" s="352" t="s">
        <v>1425</v>
      </c>
      <c r="E1079" s="352" t="s">
        <v>1649</v>
      </c>
      <c r="F1079" s="353">
        <v>14.68</v>
      </c>
      <c r="G1079" s="352" t="s">
        <v>315</v>
      </c>
      <c r="H1079" s="37" t="s">
        <v>3312</v>
      </c>
      <c r="I1079" s="37" t="s">
        <v>1471</v>
      </c>
      <c r="J1079" s="352" t="s">
        <v>1650</v>
      </c>
      <c r="K1079" s="352">
        <v>100</v>
      </c>
      <c r="L1079" s="352" t="s">
        <v>732</v>
      </c>
      <c r="M1079" s="352">
        <v>3</v>
      </c>
      <c r="N1079" s="352" t="s">
        <v>1109</v>
      </c>
      <c r="O1079" s="351">
        <v>100</v>
      </c>
      <c r="P1079" s="349" t="s">
        <v>2030</v>
      </c>
      <c r="R1079" s="349">
        <f t="shared" si="16"/>
        <v>28</v>
      </c>
      <c r="S1079" s="352"/>
      <c r="T1079" s="352"/>
      <c r="U1079" s="352"/>
      <c r="V1079" s="353"/>
      <c r="W1079" s="352"/>
      <c r="X1079" s="176"/>
      <c r="Y1079" s="176"/>
      <c r="Z1079" s="352"/>
      <c r="AA1079" s="352"/>
      <c r="AB1079" s="352"/>
      <c r="AC1079" s="352"/>
      <c r="AD1079" s="352"/>
    </row>
    <row r="1080" spans="1:30" hidden="1" x14ac:dyDescent="0.35">
      <c r="A1080" s="349">
        <v>1079</v>
      </c>
      <c r="B1080" s="352" t="s">
        <v>729</v>
      </c>
      <c r="C1080" s="351" t="s">
        <v>3311</v>
      </c>
      <c r="D1080" s="352" t="s">
        <v>1425</v>
      </c>
      <c r="E1080" s="352" t="s">
        <v>1649</v>
      </c>
      <c r="F1080" s="353">
        <v>14.68</v>
      </c>
      <c r="G1080" s="352" t="s">
        <v>315</v>
      </c>
      <c r="H1080" s="176" t="s">
        <v>2313</v>
      </c>
      <c r="I1080" s="176" t="s">
        <v>2313</v>
      </c>
      <c r="J1080" s="352" t="s">
        <v>1650</v>
      </c>
      <c r="K1080" s="352">
        <v>100</v>
      </c>
      <c r="L1080" s="352" t="s">
        <v>732</v>
      </c>
      <c r="M1080" s="352">
        <v>3</v>
      </c>
      <c r="N1080" s="352" t="s">
        <v>1109</v>
      </c>
      <c r="O1080" s="351">
        <v>100</v>
      </c>
      <c r="P1080" s="349" t="s">
        <v>2030</v>
      </c>
      <c r="R1080" s="349">
        <f t="shared" si="16"/>
        <v>28</v>
      </c>
      <c r="S1080" s="352"/>
      <c r="T1080" s="352"/>
      <c r="U1080" s="352"/>
      <c r="V1080" s="353"/>
      <c r="W1080" s="352"/>
      <c r="X1080" s="176"/>
      <c r="Y1080" s="176"/>
      <c r="Z1080" s="352"/>
      <c r="AA1080" s="352"/>
      <c r="AB1080" s="352"/>
      <c r="AC1080" s="352"/>
      <c r="AD1080" s="352"/>
    </row>
    <row r="1081" spans="1:30" hidden="1" x14ac:dyDescent="0.35">
      <c r="A1081" s="349">
        <v>1080</v>
      </c>
      <c r="B1081" s="352" t="s">
        <v>729</v>
      </c>
      <c r="C1081" s="351" t="s">
        <v>3311</v>
      </c>
      <c r="D1081" s="352" t="s">
        <v>1425</v>
      </c>
      <c r="E1081" s="352" t="s">
        <v>1649</v>
      </c>
      <c r="F1081" s="353">
        <v>14.68</v>
      </c>
      <c r="G1081" s="352" t="s">
        <v>315</v>
      </c>
      <c r="H1081" s="176" t="s">
        <v>2313</v>
      </c>
      <c r="I1081" s="176" t="s">
        <v>2313</v>
      </c>
      <c r="J1081" s="352" t="s">
        <v>1650</v>
      </c>
      <c r="K1081" s="352">
        <v>100</v>
      </c>
      <c r="L1081" s="352" t="s">
        <v>732</v>
      </c>
      <c r="M1081" s="352">
        <v>3</v>
      </c>
      <c r="N1081" s="352" t="s">
        <v>1109</v>
      </c>
      <c r="O1081" s="351">
        <v>100</v>
      </c>
      <c r="P1081" s="349" t="s">
        <v>2030</v>
      </c>
      <c r="R1081" s="349">
        <f t="shared" si="16"/>
        <v>28</v>
      </c>
      <c r="S1081" s="352"/>
      <c r="T1081" s="352"/>
      <c r="U1081" s="352"/>
      <c r="V1081" s="353"/>
      <c r="W1081" s="352"/>
      <c r="X1081" s="176"/>
      <c r="Y1081" s="176"/>
      <c r="Z1081" s="352"/>
      <c r="AA1081" s="352"/>
      <c r="AB1081" s="352"/>
      <c r="AC1081" s="352"/>
      <c r="AD1081" s="352"/>
    </row>
    <row r="1082" spans="1:30" hidden="1" x14ac:dyDescent="0.35">
      <c r="A1082" s="349">
        <v>1081</v>
      </c>
      <c r="B1082" s="352" t="s">
        <v>729</v>
      </c>
      <c r="C1082" s="351" t="s">
        <v>3311</v>
      </c>
      <c r="D1082" s="352" t="s">
        <v>1425</v>
      </c>
      <c r="E1082" s="352" t="s">
        <v>1649</v>
      </c>
      <c r="F1082" s="353">
        <v>14.68</v>
      </c>
      <c r="G1082" s="352" t="s">
        <v>315</v>
      </c>
      <c r="H1082" s="176" t="s">
        <v>2313</v>
      </c>
      <c r="I1082" s="176" t="s">
        <v>2313</v>
      </c>
      <c r="J1082" s="352" t="s">
        <v>1650</v>
      </c>
      <c r="K1082" s="352">
        <v>100</v>
      </c>
      <c r="L1082" s="352" t="s">
        <v>732</v>
      </c>
      <c r="M1082" s="352">
        <v>3</v>
      </c>
      <c r="N1082" s="352" t="s">
        <v>1109</v>
      </c>
      <c r="O1082" s="351">
        <v>100</v>
      </c>
      <c r="P1082" s="349" t="s">
        <v>2030</v>
      </c>
      <c r="R1082" s="349">
        <f t="shared" si="16"/>
        <v>28</v>
      </c>
      <c r="S1082" s="352"/>
      <c r="T1082" s="352"/>
      <c r="U1082" s="352"/>
      <c r="V1082" s="353"/>
      <c r="W1082" s="352"/>
      <c r="X1082" s="176"/>
      <c r="Y1082" s="176"/>
      <c r="Z1082" s="352"/>
      <c r="AA1082" s="352"/>
      <c r="AB1082" s="352"/>
      <c r="AC1082" s="352"/>
      <c r="AD1082" s="352"/>
    </row>
    <row r="1083" spans="1:30" ht="166.65" hidden="1" x14ac:dyDescent="0.35">
      <c r="A1083" s="349">
        <v>1082</v>
      </c>
      <c r="B1083" s="352" t="s">
        <v>729</v>
      </c>
      <c r="C1083" s="351" t="s">
        <v>890</v>
      </c>
      <c r="D1083" s="352" t="s">
        <v>1380</v>
      </c>
      <c r="E1083" s="352" t="s">
        <v>730</v>
      </c>
      <c r="F1083" s="353">
        <v>44.7</v>
      </c>
      <c r="G1083" s="352" t="s">
        <v>731</v>
      </c>
      <c r="H1083" s="176" t="s">
        <v>4271</v>
      </c>
      <c r="I1083" s="176" t="s">
        <v>4468</v>
      </c>
      <c r="J1083" s="352" t="s">
        <v>1115</v>
      </c>
      <c r="K1083" s="352">
        <v>100</v>
      </c>
      <c r="L1083" s="352" t="s">
        <v>732</v>
      </c>
      <c r="M1083" s="351">
        <v>10</v>
      </c>
      <c r="N1083" s="351" t="s">
        <v>1109</v>
      </c>
      <c r="O1083" s="351">
        <v>100</v>
      </c>
      <c r="P1083" s="349" t="s">
        <v>2030</v>
      </c>
      <c r="R1083" s="349">
        <f t="shared" si="16"/>
        <v>20</v>
      </c>
      <c r="S1083" s="352"/>
      <c r="T1083" s="352"/>
      <c r="U1083" s="352"/>
      <c r="V1083" s="353"/>
      <c r="W1083" s="352"/>
      <c r="X1083" s="176"/>
      <c r="Y1083" s="176"/>
      <c r="Z1083" s="352"/>
      <c r="AA1083" s="352"/>
      <c r="AB1083" s="352"/>
      <c r="AC1083" s="352"/>
      <c r="AD1083" s="352"/>
    </row>
    <row r="1084" spans="1:30" ht="166.65" hidden="1" x14ac:dyDescent="0.35">
      <c r="A1084" s="349">
        <v>1083</v>
      </c>
      <c r="B1084" s="352" t="s">
        <v>729</v>
      </c>
      <c r="C1084" s="351" t="s">
        <v>890</v>
      </c>
      <c r="D1084" s="352" t="s">
        <v>1380</v>
      </c>
      <c r="E1084" s="352" t="s">
        <v>1649</v>
      </c>
      <c r="F1084" s="353">
        <v>14.68</v>
      </c>
      <c r="G1084" s="352" t="s">
        <v>731</v>
      </c>
      <c r="H1084" s="176" t="s">
        <v>4271</v>
      </c>
      <c r="I1084" s="176" t="s">
        <v>4468</v>
      </c>
      <c r="J1084" s="352" t="s">
        <v>1650</v>
      </c>
      <c r="K1084" s="352">
        <v>100</v>
      </c>
      <c r="L1084" s="352" t="s">
        <v>732</v>
      </c>
      <c r="M1084" s="352">
        <v>3</v>
      </c>
      <c r="N1084" s="352" t="s">
        <v>1109</v>
      </c>
      <c r="O1084" s="351">
        <v>100</v>
      </c>
      <c r="P1084" s="349" t="s">
        <v>2030</v>
      </c>
      <c r="R1084" s="349">
        <f t="shared" si="16"/>
        <v>20</v>
      </c>
      <c r="S1084" s="352"/>
      <c r="T1084" s="352"/>
      <c r="U1084" s="352"/>
      <c r="V1084" s="353"/>
      <c r="W1084" s="352"/>
      <c r="X1084" s="176"/>
      <c r="Y1084" s="176"/>
      <c r="Z1084" s="352"/>
      <c r="AA1084" s="352"/>
      <c r="AB1084" s="352"/>
      <c r="AC1084" s="352"/>
      <c r="AD1084" s="352"/>
    </row>
    <row r="1085" spans="1:30" ht="25.65" hidden="1" x14ac:dyDescent="0.35">
      <c r="A1085" s="349">
        <v>1084</v>
      </c>
      <c r="B1085" s="352" t="s">
        <v>729</v>
      </c>
      <c r="C1085" s="351" t="s">
        <v>3485</v>
      </c>
      <c r="D1085" s="352" t="s">
        <v>1423</v>
      </c>
      <c r="E1085" s="352" t="s">
        <v>4201</v>
      </c>
      <c r="F1085" s="353">
        <v>14.8</v>
      </c>
      <c r="G1085" s="352" t="s">
        <v>315</v>
      </c>
      <c r="H1085" s="176" t="s">
        <v>3486</v>
      </c>
      <c r="I1085" s="176" t="s">
        <v>1469</v>
      </c>
      <c r="J1085" s="352" t="s">
        <v>4202</v>
      </c>
      <c r="K1085" s="352">
        <v>100</v>
      </c>
      <c r="L1085" s="352" t="s">
        <v>732</v>
      </c>
      <c r="M1085" s="352">
        <v>3</v>
      </c>
      <c r="N1085" s="352" t="s">
        <v>1109</v>
      </c>
      <c r="O1085" s="351">
        <v>100</v>
      </c>
      <c r="P1085" s="349" t="s">
        <v>2030</v>
      </c>
      <c r="R1085" s="349">
        <f t="shared" si="16"/>
        <v>15</v>
      </c>
      <c r="S1085" s="352"/>
      <c r="T1085" s="352"/>
      <c r="U1085" s="352"/>
      <c r="V1085" s="353"/>
      <c r="W1085" s="352"/>
      <c r="X1085" s="176"/>
      <c r="Y1085" s="176"/>
      <c r="Z1085" s="352"/>
      <c r="AA1085" s="352"/>
      <c r="AB1085" s="352"/>
      <c r="AC1085" s="352"/>
      <c r="AD1085" s="352"/>
    </row>
    <row r="1086" spans="1:30" ht="38.450000000000003" hidden="1" x14ac:dyDescent="0.35">
      <c r="A1086" s="349">
        <v>1085</v>
      </c>
      <c r="B1086" s="352" t="s">
        <v>788</v>
      </c>
      <c r="C1086" s="351" t="s">
        <v>3761</v>
      </c>
      <c r="D1086" s="352" t="s">
        <v>1378</v>
      </c>
      <c r="E1086" s="352" t="s">
        <v>2026</v>
      </c>
      <c r="F1086" s="353">
        <v>113.49</v>
      </c>
      <c r="G1086" s="352" t="s">
        <v>315</v>
      </c>
      <c r="H1086" s="176" t="s">
        <v>3762</v>
      </c>
      <c r="I1086" s="176" t="s">
        <v>3763</v>
      </c>
      <c r="J1086" s="352" t="s">
        <v>828</v>
      </c>
      <c r="K1086" s="352">
        <v>5</v>
      </c>
      <c r="L1086" s="352" t="s">
        <v>1497</v>
      </c>
      <c r="M1086" s="352"/>
      <c r="N1086" s="352"/>
      <c r="O1086" s="351">
        <v>5</v>
      </c>
      <c r="P1086" s="349" t="s">
        <v>2313</v>
      </c>
      <c r="R1086" s="349">
        <f t="shared" si="16"/>
        <v>15</v>
      </c>
      <c r="S1086" s="352"/>
      <c r="T1086" s="352"/>
      <c r="U1086" s="352"/>
      <c r="V1086" s="353"/>
      <c r="W1086" s="352"/>
      <c r="X1086" s="176"/>
      <c r="Y1086" s="176"/>
      <c r="Z1086" s="352"/>
      <c r="AA1086" s="352"/>
      <c r="AB1086" s="352"/>
      <c r="AC1086" s="352"/>
      <c r="AD1086" s="352"/>
    </row>
    <row r="1087" spans="1:30" ht="102.55" hidden="1" x14ac:dyDescent="0.35">
      <c r="A1087" s="349">
        <v>1086</v>
      </c>
      <c r="B1087" s="352" t="s">
        <v>3118</v>
      </c>
      <c r="C1087" s="351" t="s">
        <v>4330</v>
      </c>
      <c r="D1087" s="352" t="s">
        <v>1376</v>
      </c>
      <c r="E1087" s="352" t="s">
        <v>1443</v>
      </c>
      <c r="F1087" s="353">
        <v>14.3241</v>
      </c>
      <c r="G1087" s="352" t="s">
        <v>1107</v>
      </c>
      <c r="H1087" s="176" t="s">
        <v>1761</v>
      </c>
      <c r="I1087" s="176" t="s">
        <v>2439</v>
      </c>
      <c r="J1087" s="352" t="s">
        <v>1108</v>
      </c>
      <c r="K1087" s="352">
        <v>200</v>
      </c>
      <c r="L1087" s="352" t="s">
        <v>1116</v>
      </c>
      <c r="M1087" s="351">
        <v>100</v>
      </c>
      <c r="N1087" s="351" t="s">
        <v>1109</v>
      </c>
      <c r="O1087" s="351">
        <v>200</v>
      </c>
      <c r="P1087" s="349" t="s">
        <v>1836</v>
      </c>
      <c r="R1087" s="349">
        <f t="shared" si="16"/>
        <v>23</v>
      </c>
      <c r="S1087" s="352"/>
      <c r="T1087" s="352"/>
      <c r="U1087" s="352"/>
      <c r="V1087" s="353"/>
      <c r="W1087" s="352"/>
      <c r="X1087" s="176"/>
      <c r="Y1087" s="176"/>
      <c r="Z1087" s="352"/>
      <c r="AA1087" s="352"/>
      <c r="AB1087" s="352"/>
      <c r="AC1087" s="352"/>
      <c r="AD1087" s="352"/>
    </row>
    <row r="1088" spans="1:30" ht="102.55" hidden="1" x14ac:dyDescent="0.35">
      <c r="A1088" s="349">
        <v>1087</v>
      </c>
      <c r="B1088" s="352" t="s">
        <v>3118</v>
      </c>
      <c r="C1088" s="351" t="s">
        <v>4330</v>
      </c>
      <c r="D1088" s="352" t="s">
        <v>1376</v>
      </c>
      <c r="E1088" s="352" t="s">
        <v>1111</v>
      </c>
      <c r="F1088" s="353">
        <v>14.3241</v>
      </c>
      <c r="G1088" s="352" t="s">
        <v>1107</v>
      </c>
      <c r="H1088" s="176" t="s">
        <v>1761</v>
      </c>
      <c r="I1088" s="176" t="s">
        <v>2439</v>
      </c>
      <c r="J1088" s="352" t="s">
        <v>1108</v>
      </c>
      <c r="K1088" s="352">
        <v>200</v>
      </c>
      <c r="L1088" s="352" t="s">
        <v>1116</v>
      </c>
      <c r="M1088" s="352">
        <v>250</v>
      </c>
      <c r="N1088" s="352" t="s">
        <v>1109</v>
      </c>
      <c r="O1088" s="351">
        <v>200</v>
      </c>
      <c r="P1088" s="349" t="s">
        <v>1836</v>
      </c>
      <c r="R1088" s="349">
        <f t="shared" si="16"/>
        <v>23</v>
      </c>
      <c r="S1088" s="352"/>
      <c r="T1088" s="352"/>
      <c r="U1088" s="352"/>
      <c r="V1088" s="353"/>
      <c r="W1088" s="352"/>
      <c r="X1088" s="176"/>
      <c r="Y1088" s="176"/>
      <c r="Z1088" s="352"/>
      <c r="AA1088" s="352"/>
      <c r="AB1088" s="352"/>
      <c r="AC1088" s="352"/>
      <c r="AD1088" s="352"/>
    </row>
    <row r="1089" spans="1:30" ht="102.55" hidden="1" x14ac:dyDescent="0.35">
      <c r="A1089" s="349">
        <v>1088</v>
      </c>
      <c r="B1089" s="352" t="s">
        <v>3118</v>
      </c>
      <c r="C1089" s="351" t="s">
        <v>4330</v>
      </c>
      <c r="D1089" s="352" t="s">
        <v>1376</v>
      </c>
      <c r="E1089" s="352" t="s">
        <v>1106</v>
      </c>
      <c r="F1089" s="353">
        <v>15.3599</v>
      </c>
      <c r="G1089" s="352" t="s">
        <v>1107</v>
      </c>
      <c r="H1089" s="176" t="s">
        <v>1761</v>
      </c>
      <c r="I1089" s="176" t="s">
        <v>2439</v>
      </c>
      <c r="J1089" s="352" t="s">
        <v>1108</v>
      </c>
      <c r="K1089" s="352">
        <v>200</v>
      </c>
      <c r="L1089" s="352" t="s">
        <v>1116</v>
      </c>
      <c r="M1089" s="352">
        <v>500</v>
      </c>
      <c r="N1089" s="352" t="s">
        <v>1109</v>
      </c>
      <c r="O1089" s="351">
        <v>200</v>
      </c>
      <c r="P1089" s="349" t="s">
        <v>1836</v>
      </c>
      <c r="R1089" s="349">
        <f t="shared" si="16"/>
        <v>23</v>
      </c>
      <c r="S1089" s="352"/>
      <c r="T1089" s="352"/>
      <c r="U1089" s="352"/>
      <c r="V1089" s="353"/>
      <c r="W1089" s="352"/>
      <c r="X1089" s="176"/>
      <c r="Y1089" s="176"/>
      <c r="Z1089" s="352"/>
      <c r="AA1089" s="352"/>
      <c r="AB1089" s="352"/>
      <c r="AC1089" s="352"/>
      <c r="AD1089" s="352"/>
    </row>
    <row r="1090" spans="1:30" ht="38.450000000000003" hidden="1" x14ac:dyDescent="0.35">
      <c r="A1090" s="349">
        <v>1089</v>
      </c>
      <c r="B1090" s="352" t="s">
        <v>788</v>
      </c>
      <c r="C1090" s="351" t="s">
        <v>4331</v>
      </c>
      <c r="D1090" s="352" t="s">
        <v>1378</v>
      </c>
      <c r="E1090" s="352" t="s">
        <v>2026</v>
      </c>
      <c r="F1090" s="353">
        <v>113.49</v>
      </c>
      <c r="G1090" s="352" t="s">
        <v>315</v>
      </c>
      <c r="H1090" s="176" t="s">
        <v>3762</v>
      </c>
      <c r="I1090" s="37" t="s">
        <v>3763</v>
      </c>
      <c r="J1090" s="352" t="s">
        <v>828</v>
      </c>
      <c r="K1090" s="352">
        <v>5</v>
      </c>
      <c r="L1090" s="352" t="s">
        <v>1497</v>
      </c>
      <c r="M1090" s="351"/>
      <c r="N1090" s="351"/>
      <c r="O1090" s="351">
        <v>5</v>
      </c>
      <c r="P1090" s="349" t="s">
        <v>2313</v>
      </c>
      <c r="R1090" s="349">
        <f t="shared" si="16"/>
        <v>15</v>
      </c>
      <c r="S1090" s="352"/>
      <c r="T1090" s="352"/>
      <c r="U1090" s="352"/>
      <c r="V1090" s="353"/>
      <c r="W1090" s="352"/>
      <c r="X1090" s="176"/>
      <c r="Y1090" s="176"/>
      <c r="Z1090" s="352"/>
      <c r="AA1090" s="352"/>
      <c r="AB1090" s="352"/>
      <c r="AC1090" s="352"/>
      <c r="AD1090" s="352"/>
    </row>
    <row r="1091" spans="1:30" ht="25.65" hidden="1" x14ac:dyDescent="0.35">
      <c r="A1091" s="349">
        <v>1090</v>
      </c>
      <c r="B1091" s="352" t="s">
        <v>1512</v>
      </c>
      <c r="C1091" s="351" t="s">
        <v>4237</v>
      </c>
      <c r="D1091" s="352" t="s">
        <v>2664</v>
      </c>
      <c r="E1091" s="352" t="s">
        <v>780</v>
      </c>
      <c r="F1091" s="353">
        <v>99.17</v>
      </c>
      <c r="G1091" s="352" t="s">
        <v>1107</v>
      </c>
      <c r="H1091" s="176" t="s">
        <v>2665</v>
      </c>
      <c r="I1091" s="176" t="s">
        <v>2551</v>
      </c>
      <c r="J1091" s="352" t="s">
        <v>828</v>
      </c>
      <c r="K1091" s="352">
        <v>250</v>
      </c>
      <c r="L1091" s="352" t="s">
        <v>1116</v>
      </c>
      <c r="M1091" s="352">
        <v>20</v>
      </c>
      <c r="N1091" s="352" t="s">
        <v>1109</v>
      </c>
      <c r="O1091" s="351">
        <v>250</v>
      </c>
      <c r="P1091" s="349" t="s">
        <v>1836</v>
      </c>
      <c r="R1091" s="349">
        <f t="shared" ref="R1091:R1154" si="17">LEN(D1091)</f>
        <v>13</v>
      </c>
      <c r="S1091" s="352"/>
      <c r="T1091" s="352"/>
      <c r="U1091" s="352"/>
      <c r="V1091" s="353"/>
      <c r="W1091" s="352"/>
      <c r="X1091" s="176"/>
      <c r="Y1091" s="176"/>
      <c r="Z1091" s="352"/>
      <c r="AA1091" s="352"/>
      <c r="AB1091" s="352"/>
      <c r="AC1091" s="352"/>
      <c r="AD1091" s="352"/>
    </row>
    <row r="1092" spans="1:30" ht="38.450000000000003" hidden="1" x14ac:dyDescent="0.35">
      <c r="A1092" s="349">
        <v>1091</v>
      </c>
      <c r="B1092" s="352" t="s">
        <v>746</v>
      </c>
      <c r="C1092" s="351" t="s">
        <v>3347</v>
      </c>
      <c r="D1092" s="352" t="s">
        <v>3347</v>
      </c>
      <c r="E1092" s="352" t="s">
        <v>730</v>
      </c>
      <c r="F1092" s="353">
        <v>6.77</v>
      </c>
      <c r="G1092" s="352" t="s">
        <v>2126</v>
      </c>
      <c r="H1092" s="176" t="s">
        <v>3348</v>
      </c>
      <c r="I1092" s="176" t="s">
        <v>2633</v>
      </c>
      <c r="J1092" s="352" t="s">
        <v>1115</v>
      </c>
      <c r="K1092" s="352">
        <v>513</v>
      </c>
      <c r="L1092" s="352" t="s">
        <v>1116</v>
      </c>
      <c r="M1092" s="352">
        <v>10</v>
      </c>
      <c r="N1092" s="352" t="s">
        <v>1109</v>
      </c>
      <c r="O1092" s="351">
        <v>513</v>
      </c>
      <c r="P1092" s="349" t="s">
        <v>1836</v>
      </c>
      <c r="R1092" s="349">
        <f t="shared" si="17"/>
        <v>8</v>
      </c>
      <c r="S1092" s="352"/>
      <c r="T1092" s="352"/>
      <c r="U1092" s="352"/>
      <c r="V1092" s="353"/>
      <c r="W1092" s="352"/>
      <c r="X1092" s="176"/>
      <c r="Y1092" s="176"/>
      <c r="Z1092" s="352"/>
      <c r="AA1092" s="352"/>
      <c r="AB1092" s="352"/>
      <c r="AC1092" s="352"/>
      <c r="AD1092" s="352"/>
    </row>
    <row r="1093" spans="1:30" ht="25.65" hidden="1" x14ac:dyDescent="0.35">
      <c r="A1093" s="349">
        <v>1092</v>
      </c>
      <c r="B1093" s="352" t="s">
        <v>3213</v>
      </c>
      <c r="C1093" s="351" t="s">
        <v>989</v>
      </c>
      <c r="D1093" s="352" t="s">
        <v>989</v>
      </c>
      <c r="E1093" s="352" t="s">
        <v>2028</v>
      </c>
      <c r="F1093" s="353">
        <v>0.55089999999999995</v>
      </c>
      <c r="G1093" s="352" t="s">
        <v>3034</v>
      </c>
      <c r="H1093" s="176" t="s">
        <v>4133</v>
      </c>
      <c r="I1093" s="176" t="s">
        <v>2313</v>
      </c>
      <c r="J1093" s="352" t="s">
        <v>693</v>
      </c>
      <c r="K1093" s="352">
        <v>40</v>
      </c>
      <c r="L1093" s="352" t="s">
        <v>4023</v>
      </c>
      <c r="M1093" s="352"/>
      <c r="N1093" s="352"/>
      <c r="O1093" s="351">
        <v>40</v>
      </c>
      <c r="P1093" s="349" t="s">
        <v>1850</v>
      </c>
      <c r="R1093" s="349">
        <f t="shared" si="17"/>
        <v>11</v>
      </c>
      <c r="S1093" s="352"/>
      <c r="T1093" s="352"/>
      <c r="U1093" s="352"/>
      <c r="V1093" s="353"/>
      <c r="W1093" s="352"/>
      <c r="X1093" s="176"/>
      <c r="Y1093" s="176"/>
      <c r="Z1093" s="352"/>
      <c r="AA1093" s="352"/>
      <c r="AB1093" s="352"/>
      <c r="AC1093" s="352"/>
      <c r="AD1093" s="352"/>
    </row>
    <row r="1094" spans="1:30" ht="51.3" hidden="1" x14ac:dyDescent="0.35">
      <c r="A1094" s="349">
        <v>1093</v>
      </c>
      <c r="B1094" s="352" t="s">
        <v>3213</v>
      </c>
      <c r="C1094" s="351" t="s">
        <v>989</v>
      </c>
      <c r="D1094" s="352" t="s">
        <v>989</v>
      </c>
      <c r="E1094" s="352" t="s">
        <v>3214</v>
      </c>
      <c r="F1094" s="353">
        <v>14.522399999999999</v>
      </c>
      <c r="G1094" s="352" t="s">
        <v>3034</v>
      </c>
      <c r="H1094" s="176" t="s">
        <v>3285</v>
      </c>
      <c r="I1094" s="176" t="s">
        <v>2878</v>
      </c>
      <c r="J1094" s="352" t="s">
        <v>3215</v>
      </c>
      <c r="K1094" s="352">
        <v>20</v>
      </c>
      <c r="L1094" s="352" t="s">
        <v>3216</v>
      </c>
      <c r="M1094" s="352">
        <v>300</v>
      </c>
      <c r="N1094" s="352" t="s">
        <v>1656</v>
      </c>
      <c r="O1094" s="351">
        <v>20</v>
      </c>
      <c r="P1094" s="349" t="s">
        <v>1850</v>
      </c>
      <c r="R1094" s="349">
        <f t="shared" si="17"/>
        <v>11</v>
      </c>
      <c r="S1094" s="352"/>
      <c r="T1094" s="352"/>
      <c r="U1094" s="352"/>
      <c r="V1094" s="353"/>
      <c r="W1094" s="352"/>
      <c r="X1094" s="176"/>
      <c r="Y1094" s="176"/>
      <c r="Z1094" s="352"/>
      <c r="AA1094" s="352"/>
      <c r="AB1094" s="352"/>
      <c r="AC1094" s="352"/>
      <c r="AD1094" s="352"/>
    </row>
    <row r="1095" spans="1:30" ht="51.3" hidden="1" x14ac:dyDescent="0.35">
      <c r="A1095" s="349">
        <v>1094</v>
      </c>
      <c r="B1095" s="352" t="s">
        <v>3213</v>
      </c>
      <c r="C1095" s="351" t="s">
        <v>989</v>
      </c>
      <c r="D1095" s="352" t="s">
        <v>989</v>
      </c>
      <c r="E1095" s="352" t="s">
        <v>3214</v>
      </c>
      <c r="F1095" s="353">
        <v>14.522399999999999</v>
      </c>
      <c r="G1095" s="352" t="s">
        <v>3034</v>
      </c>
      <c r="H1095" s="176"/>
      <c r="I1095" s="176" t="s">
        <v>2878</v>
      </c>
      <c r="J1095" s="352" t="s">
        <v>3215</v>
      </c>
      <c r="K1095" s="351">
        <v>20</v>
      </c>
      <c r="L1095" s="351" t="s">
        <v>3216</v>
      </c>
      <c r="M1095" s="352">
        <v>300</v>
      </c>
      <c r="N1095" s="352" t="s">
        <v>1656</v>
      </c>
      <c r="O1095" s="351">
        <v>20</v>
      </c>
      <c r="P1095" s="349" t="s">
        <v>1850</v>
      </c>
      <c r="R1095" s="349">
        <f t="shared" si="17"/>
        <v>11</v>
      </c>
      <c r="S1095" s="352"/>
      <c r="T1095" s="352"/>
      <c r="U1095" s="352"/>
      <c r="V1095" s="353"/>
      <c r="W1095" s="352"/>
      <c r="X1095" s="176"/>
      <c r="Y1095" s="176"/>
      <c r="Z1095" s="352"/>
      <c r="AA1095" s="352"/>
      <c r="AB1095" s="352"/>
      <c r="AC1095" s="352"/>
      <c r="AD1095" s="352"/>
    </row>
    <row r="1096" spans="1:30" ht="141" hidden="1" x14ac:dyDescent="0.35">
      <c r="A1096" s="349">
        <v>1095</v>
      </c>
      <c r="B1096" s="352" t="s">
        <v>3213</v>
      </c>
      <c r="C1096" s="351" t="s">
        <v>989</v>
      </c>
      <c r="D1096" s="352" t="s">
        <v>989</v>
      </c>
      <c r="E1096" s="352" t="s">
        <v>1657</v>
      </c>
      <c r="F1096" s="353">
        <v>0.83740000000000003</v>
      </c>
      <c r="G1096" s="352" t="s">
        <v>3034</v>
      </c>
      <c r="H1096" s="176" t="s">
        <v>1621</v>
      </c>
      <c r="I1096" s="176" t="s">
        <v>4132</v>
      </c>
      <c r="J1096" s="352" t="s">
        <v>692</v>
      </c>
      <c r="K1096" s="352">
        <v>125</v>
      </c>
      <c r="L1096" s="352" t="s">
        <v>4022</v>
      </c>
      <c r="M1096" s="351">
        <v>2</v>
      </c>
      <c r="N1096" s="351" t="s">
        <v>1109</v>
      </c>
      <c r="O1096" s="351">
        <v>125</v>
      </c>
      <c r="P1096" s="349" t="s">
        <v>1850</v>
      </c>
      <c r="R1096" s="349">
        <f t="shared" si="17"/>
        <v>11</v>
      </c>
      <c r="S1096" s="352"/>
      <c r="T1096" s="352"/>
      <c r="U1096" s="352"/>
      <c r="V1096" s="353"/>
      <c r="W1096" s="352"/>
      <c r="X1096" s="176"/>
      <c r="Y1096" s="176"/>
      <c r="Z1096" s="352"/>
      <c r="AA1096" s="352"/>
      <c r="AB1096" s="352"/>
      <c r="AC1096" s="352"/>
      <c r="AD1096" s="352"/>
    </row>
    <row r="1097" spans="1:30" ht="141" hidden="1" x14ac:dyDescent="0.35">
      <c r="A1097" s="349">
        <v>1096</v>
      </c>
      <c r="B1097" s="352" t="s">
        <v>3213</v>
      </c>
      <c r="C1097" s="351" t="s">
        <v>989</v>
      </c>
      <c r="D1097" s="352" t="s">
        <v>989</v>
      </c>
      <c r="E1097" s="352" t="s">
        <v>1657</v>
      </c>
      <c r="F1097" s="353">
        <v>1.5426</v>
      </c>
      <c r="G1097" s="352" t="s">
        <v>3034</v>
      </c>
      <c r="H1097" s="176" t="s">
        <v>1621</v>
      </c>
      <c r="I1097" s="176" t="s">
        <v>4132</v>
      </c>
      <c r="J1097" s="352" t="s">
        <v>692</v>
      </c>
      <c r="K1097" s="352">
        <v>250</v>
      </c>
      <c r="L1097" s="352" t="s">
        <v>4022</v>
      </c>
      <c r="M1097" s="352">
        <v>2</v>
      </c>
      <c r="N1097" s="352" t="s">
        <v>1109</v>
      </c>
      <c r="O1097" s="351">
        <v>250</v>
      </c>
      <c r="P1097" s="349" t="s">
        <v>1850</v>
      </c>
      <c r="R1097" s="349">
        <f t="shared" si="17"/>
        <v>11</v>
      </c>
      <c r="S1097" s="352"/>
      <c r="T1097" s="352"/>
      <c r="U1097" s="352"/>
      <c r="V1097" s="353"/>
      <c r="W1097" s="352"/>
      <c r="X1097" s="176"/>
      <c r="Y1097" s="176"/>
      <c r="Z1097" s="352"/>
      <c r="AA1097" s="352"/>
      <c r="AB1097" s="352"/>
      <c r="AC1097" s="352"/>
      <c r="AD1097" s="352"/>
    </row>
    <row r="1098" spans="1:30" ht="64.099999999999994" hidden="1" x14ac:dyDescent="0.35">
      <c r="A1098" s="349">
        <v>1097</v>
      </c>
      <c r="B1098" s="352" t="s">
        <v>4045</v>
      </c>
      <c r="C1098" s="351" t="s">
        <v>4039</v>
      </c>
      <c r="D1098" s="352" t="s">
        <v>4039</v>
      </c>
      <c r="E1098" s="352" t="s">
        <v>4046</v>
      </c>
      <c r="F1098" s="353">
        <v>24.42</v>
      </c>
      <c r="G1098" s="352" t="s">
        <v>2058</v>
      </c>
      <c r="H1098" s="176" t="s">
        <v>650</v>
      </c>
      <c r="I1098" s="176" t="s">
        <v>2724</v>
      </c>
      <c r="J1098" s="352" t="s">
        <v>3035</v>
      </c>
      <c r="K1098" s="352"/>
      <c r="L1098" s="352"/>
      <c r="M1098" s="351">
        <v>100</v>
      </c>
      <c r="N1098" s="351" t="s">
        <v>1109</v>
      </c>
      <c r="O1098" s="351">
        <v>0</v>
      </c>
      <c r="P1098" s="349" t="s">
        <v>1837</v>
      </c>
      <c r="R1098" s="349">
        <f t="shared" si="17"/>
        <v>10</v>
      </c>
      <c r="S1098" s="352"/>
      <c r="T1098" s="352"/>
      <c r="U1098" s="352"/>
      <c r="V1098" s="353"/>
      <c r="W1098" s="352"/>
      <c r="X1098" s="176"/>
      <c r="Y1098" s="176"/>
      <c r="Z1098" s="352"/>
      <c r="AA1098" s="352"/>
      <c r="AB1098" s="352"/>
      <c r="AC1098" s="352"/>
      <c r="AD1098" s="352"/>
    </row>
    <row r="1099" spans="1:30" ht="64.099999999999994" hidden="1" x14ac:dyDescent="0.35">
      <c r="A1099" s="349">
        <v>1098</v>
      </c>
      <c r="B1099" s="352" t="s">
        <v>1533</v>
      </c>
      <c r="C1099" s="351" t="s">
        <v>1817</v>
      </c>
      <c r="D1099" s="352" t="s">
        <v>1817</v>
      </c>
      <c r="E1099" s="352" t="s">
        <v>3250</v>
      </c>
      <c r="F1099" s="353">
        <v>0.45</v>
      </c>
      <c r="G1099" s="352" t="s">
        <v>1107</v>
      </c>
      <c r="H1099" s="176" t="s">
        <v>2836</v>
      </c>
      <c r="I1099" s="176" t="s">
        <v>2259</v>
      </c>
      <c r="J1099" s="352" t="s">
        <v>1115</v>
      </c>
      <c r="K1099" s="352">
        <v>75</v>
      </c>
      <c r="L1099" s="352" t="s">
        <v>1116</v>
      </c>
      <c r="M1099" s="352">
        <v>2</v>
      </c>
      <c r="N1099" s="352" t="s">
        <v>1109</v>
      </c>
      <c r="O1099" s="351">
        <v>75</v>
      </c>
      <c r="P1099" s="349" t="s">
        <v>1836</v>
      </c>
      <c r="R1099" s="349">
        <f t="shared" si="17"/>
        <v>10</v>
      </c>
      <c r="S1099" s="352"/>
      <c r="T1099" s="352"/>
      <c r="U1099" s="352"/>
      <c r="V1099" s="353"/>
      <c r="W1099" s="352"/>
      <c r="X1099" s="176"/>
      <c r="Y1099" s="176"/>
      <c r="Z1099" s="352"/>
      <c r="AA1099" s="352"/>
      <c r="AB1099" s="352"/>
      <c r="AC1099" s="352"/>
      <c r="AD1099" s="352"/>
    </row>
    <row r="1100" spans="1:30" ht="64.099999999999994" hidden="1" x14ac:dyDescent="0.35">
      <c r="A1100" s="349">
        <v>1099</v>
      </c>
      <c r="B1100" s="352" t="s">
        <v>1533</v>
      </c>
      <c r="C1100" s="351" t="s">
        <v>1817</v>
      </c>
      <c r="D1100" s="352" t="s">
        <v>1817</v>
      </c>
      <c r="E1100" s="352" t="s">
        <v>1995</v>
      </c>
      <c r="F1100" s="353">
        <v>0.1</v>
      </c>
      <c r="G1100" s="352" t="s">
        <v>2126</v>
      </c>
      <c r="H1100" s="176" t="s">
        <v>2260</v>
      </c>
      <c r="I1100" s="176" t="s">
        <v>2259</v>
      </c>
      <c r="J1100" s="352" t="s">
        <v>3580</v>
      </c>
      <c r="K1100" s="352">
        <v>200</v>
      </c>
      <c r="L1100" s="352" t="s">
        <v>3581</v>
      </c>
      <c r="M1100" s="352"/>
      <c r="N1100" s="352"/>
      <c r="O1100" s="351">
        <v>200</v>
      </c>
      <c r="P1100" s="349" t="s">
        <v>1836</v>
      </c>
      <c r="R1100" s="349">
        <f t="shared" si="17"/>
        <v>10</v>
      </c>
      <c r="S1100" s="352"/>
      <c r="T1100" s="352"/>
      <c r="U1100" s="352"/>
      <c r="V1100" s="353"/>
      <c r="W1100" s="352"/>
      <c r="X1100" s="176"/>
      <c r="Y1100" s="176"/>
      <c r="Z1100" s="352"/>
      <c r="AA1100" s="352"/>
      <c r="AB1100" s="352"/>
      <c r="AC1100" s="352"/>
      <c r="AD1100" s="352"/>
    </row>
    <row r="1101" spans="1:30" ht="64.099999999999994" hidden="1" x14ac:dyDescent="0.35">
      <c r="A1101" s="349">
        <v>1100</v>
      </c>
      <c r="B1101" s="352" t="s">
        <v>1533</v>
      </c>
      <c r="C1101" s="351" t="s">
        <v>4238</v>
      </c>
      <c r="D1101" s="352" t="s">
        <v>1817</v>
      </c>
      <c r="E1101" s="352" t="s">
        <v>3250</v>
      </c>
      <c r="F1101" s="353">
        <v>0.45</v>
      </c>
      <c r="G1101" s="352" t="s">
        <v>1107</v>
      </c>
      <c r="H1101" s="176" t="s">
        <v>2836</v>
      </c>
      <c r="I1101" s="176" t="s">
        <v>2259</v>
      </c>
      <c r="J1101" s="352" t="s">
        <v>1115</v>
      </c>
      <c r="K1101" s="352">
        <v>75</v>
      </c>
      <c r="L1101" s="352" t="s">
        <v>1116</v>
      </c>
      <c r="M1101" s="352">
        <v>2</v>
      </c>
      <c r="N1101" s="352" t="s">
        <v>1109</v>
      </c>
      <c r="O1101" s="351">
        <v>75</v>
      </c>
      <c r="P1101" s="349" t="s">
        <v>1836</v>
      </c>
      <c r="R1101" s="349">
        <f t="shared" si="17"/>
        <v>10</v>
      </c>
      <c r="S1101" s="352"/>
      <c r="T1101" s="352"/>
      <c r="U1101" s="352"/>
      <c r="V1101" s="353"/>
      <c r="W1101" s="352"/>
      <c r="X1101" s="176"/>
      <c r="Y1101" s="176"/>
      <c r="Z1101" s="352"/>
      <c r="AA1101" s="352"/>
      <c r="AB1101" s="352"/>
      <c r="AC1101" s="352"/>
      <c r="AD1101" s="352"/>
    </row>
    <row r="1102" spans="1:30" ht="64.099999999999994" hidden="1" x14ac:dyDescent="0.35">
      <c r="A1102" s="349">
        <v>1101</v>
      </c>
      <c r="B1102" s="352" t="s">
        <v>1533</v>
      </c>
      <c r="C1102" s="351" t="s">
        <v>4238</v>
      </c>
      <c r="D1102" s="352" t="s">
        <v>1817</v>
      </c>
      <c r="E1102" s="352" t="s">
        <v>1995</v>
      </c>
      <c r="F1102" s="353">
        <v>0.1</v>
      </c>
      <c r="G1102" s="352" t="s">
        <v>2126</v>
      </c>
      <c r="H1102" s="176" t="s">
        <v>2260</v>
      </c>
      <c r="I1102" s="176" t="s">
        <v>2259</v>
      </c>
      <c r="J1102" s="352" t="s">
        <v>3580</v>
      </c>
      <c r="K1102" s="352">
        <v>200</v>
      </c>
      <c r="L1102" s="352" t="s">
        <v>3581</v>
      </c>
      <c r="M1102" s="351"/>
      <c r="N1102" s="351"/>
      <c r="O1102" s="351">
        <v>200</v>
      </c>
      <c r="P1102" s="349" t="s">
        <v>1836</v>
      </c>
      <c r="R1102" s="349">
        <f t="shared" si="17"/>
        <v>10</v>
      </c>
      <c r="S1102" s="352"/>
      <c r="T1102" s="352"/>
      <c r="U1102" s="352"/>
      <c r="V1102" s="353"/>
      <c r="W1102" s="352"/>
      <c r="X1102" s="176"/>
      <c r="Y1102" s="176"/>
      <c r="Z1102" s="352"/>
      <c r="AA1102" s="352"/>
      <c r="AB1102" s="352"/>
      <c r="AC1102" s="352"/>
      <c r="AD1102" s="352"/>
    </row>
    <row r="1103" spans="1:30" ht="38.450000000000003" hidden="1" x14ac:dyDescent="0.35">
      <c r="A1103" s="349">
        <v>1102</v>
      </c>
      <c r="B1103" s="352" t="s">
        <v>2854</v>
      </c>
      <c r="C1103" s="351" t="s">
        <v>4021</v>
      </c>
      <c r="D1103" s="352" t="s">
        <v>4021</v>
      </c>
      <c r="E1103" s="352" t="s">
        <v>2855</v>
      </c>
      <c r="F1103" s="353">
        <v>0.35</v>
      </c>
      <c r="G1103" s="352" t="s">
        <v>1107</v>
      </c>
      <c r="H1103" s="176" t="s">
        <v>2837</v>
      </c>
      <c r="I1103" s="176" t="s">
        <v>2862</v>
      </c>
      <c r="J1103" s="352" t="s">
        <v>828</v>
      </c>
      <c r="K1103" s="352">
        <v>2</v>
      </c>
      <c r="L1103" s="352" t="s">
        <v>1116</v>
      </c>
      <c r="M1103" s="352">
        <v>1</v>
      </c>
      <c r="N1103" s="352" t="s">
        <v>1109</v>
      </c>
      <c r="O1103" s="351">
        <v>2</v>
      </c>
      <c r="P1103" s="349" t="s">
        <v>1836</v>
      </c>
      <c r="R1103" s="349">
        <f t="shared" si="17"/>
        <v>12</v>
      </c>
      <c r="S1103" s="352"/>
      <c r="T1103" s="352"/>
      <c r="U1103" s="352"/>
      <c r="V1103" s="353"/>
      <c r="W1103" s="352"/>
      <c r="X1103" s="176"/>
      <c r="Y1103" s="176"/>
      <c r="Z1103" s="352"/>
      <c r="AA1103" s="352"/>
      <c r="AB1103" s="352"/>
      <c r="AC1103" s="352"/>
      <c r="AD1103" s="352"/>
    </row>
    <row r="1104" spans="1:30" ht="38.450000000000003" hidden="1" x14ac:dyDescent="0.35">
      <c r="A1104" s="349">
        <v>1103</v>
      </c>
      <c r="B1104" s="352" t="s">
        <v>2854</v>
      </c>
      <c r="C1104" s="351" t="s">
        <v>4021</v>
      </c>
      <c r="D1104" s="352" t="s">
        <v>4021</v>
      </c>
      <c r="E1104" s="352" t="s">
        <v>2855</v>
      </c>
      <c r="F1104" s="353">
        <v>0.35</v>
      </c>
      <c r="G1104" s="352" t="s">
        <v>1107</v>
      </c>
      <c r="H1104" s="176" t="s">
        <v>2837</v>
      </c>
      <c r="I1104" s="176" t="s">
        <v>2862</v>
      </c>
      <c r="J1104" s="352" t="s">
        <v>828</v>
      </c>
      <c r="K1104" s="352">
        <v>2</v>
      </c>
      <c r="L1104" s="352" t="s">
        <v>1116</v>
      </c>
      <c r="M1104" s="352">
        <v>1</v>
      </c>
      <c r="N1104" s="352" t="s">
        <v>1109</v>
      </c>
      <c r="O1104" s="351">
        <v>2</v>
      </c>
      <c r="P1104" s="349" t="s">
        <v>1836</v>
      </c>
      <c r="R1104" s="349">
        <f t="shared" si="17"/>
        <v>12</v>
      </c>
      <c r="S1104" s="352"/>
      <c r="T1104" s="352"/>
      <c r="U1104" s="352"/>
      <c r="V1104" s="353"/>
      <c r="W1104" s="352"/>
      <c r="X1104" s="176"/>
      <c r="Y1104" s="176"/>
      <c r="Z1104" s="352"/>
      <c r="AA1104" s="352"/>
      <c r="AB1104" s="352"/>
      <c r="AC1104" s="352"/>
      <c r="AD1104" s="352"/>
    </row>
    <row r="1105" spans="1:30" ht="128.19999999999999" hidden="1" x14ac:dyDescent="0.35">
      <c r="A1105" s="349">
        <v>1104</v>
      </c>
      <c r="B1105" s="352" t="s">
        <v>761</v>
      </c>
      <c r="C1105" s="351" t="s">
        <v>4239</v>
      </c>
      <c r="D1105" s="352" t="s">
        <v>3289</v>
      </c>
      <c r="E1105" s="352" t="s">
        <v>762</v>
      </c>
      <c r="F1105" s="353">
        <v>1.4543999999999999</v>
      </c>
      <c r="G1105" s="352" t="s">
        <v>1107</v>
      </c>
      <c r="H1105" s="176" t="s">
        <v>2708</v>
      </c>
      <c r="I1105" s="176" t="s">
        <v>4484</v>
      </c>
      <c r="J1105" s="352" t="s">
        <v>828</v>
      </c>
      <c r="K1105" s="352">
        <v>2.5</v>
      </c>
      <c r="L1105" s="352" t="s">
        <v>1116</v>
      </c>
      <c r="M1105" s="352">
        <v>2</v>
      </c>
      <c r="N1105" s="352" t="s">
        <v>1109</v>
      </c>
      <c r="O1105" s="351">
        <v>2.5</v>
      </c>
      <c r="P1105" s="349" t="s">
        <v>1836</v>
      </c>
      <c r="R1105" s="349">
        <f t="shared" si="17"/>
        <v>9</v>
      </c>
      <c r="S1105" s="352"/>
      <c r="T1105" s="352"/>
      <c r="U1105" s="352"/>
      <c r="V1105" s="353"/>
      <c r="W1105" s="352"/>
      <c r="X1105" s="176"/>
      <c r="Y1105" s="176"/>
      <c r="Z1105" s="352"/>
      <c r="AA1105" s="352"/>
      <c r="AB1105" s="352"/>
      <c r="AC1105" s="352"/>
      <c r="AD1105" s="352"/>
    </row>
    <row r="1106" spans="1:30" ht="128.19999999999999" hidden="1" x14ac:dyDescent="0.35">
      <c r="A1106" s="349">
        <v>1105</v>
      </c>
      <c r="B1106" s="352" t="s">
        <v>761</v>
      </c>
      <c r="C1106" s="351" t="s">
        <v>4239</v>
      </c>
      <c r="D1106" s="352" t="s">
        <v>3289</v>
      </c>
      <c r="E1106" s="352" t="s">
        <v>1995</v>
      </c>
      <c r="F1106" s="353">
        <v>0.1</v>
      </c>
      <c r="G1106" s="352" t="s">
        <v>2126</v>
      </c>
      <c r="H1106" s="176" t="s">
        <v>2709</v>
      </c>
      <c r="I1106" s="176" t="s">
        <v>4484</v>
      </c>
      <c r="J1106" s="352" t="s">
        <v>3580</v>
      </c>
      <c r="K1106" s="352">
        <v>40</v>
      </c>
      <c r="L1106" s="352" t="s">
        <v>3581</v>
      </c>
      <c r="M1106" s="352"/>
      <c r="N1106" s="352"/>
      <c r="O1106" s="351">
        <v>40</v>
      </c>
      <c r="P1106" s="349" t="s">
        <v>1836</v>
      </c>
      <c r="R1106" s="349">
        <f t="shared" si="17"/>
        <v>9</v>
      </c>
      <c r="S1106" s="352"/>
      <c r="T1106" s="352"/>
      <c r="U1106" s="352"/>
      <c r="V1106" s="353"/>
      <c r="W1106" s="352"/>
      <c r="X1106" s="176"/>
      <c r="Y1106" s="176"/>
      <c r="Z1106" s="352"/>
      <c r="AA1106" s="352"/>
      <c r="AB1106" s="352"/>
      <c r="AC1106" s="352"/>
      <c r="AD1106" s="352"/>
    </row>
    <row r="1107" spans="1:30" ht="89.75" hidden="1" x14ac:dyDescent="0.35">
      <c r="A1107" s="349">
        <v>1106</v>
      </c>
      <c r="B1107" s="352" t="s">
        <v>1463</v>
      </c>
      <c r="C1107" s="351" t="s">
        <v>1907</v>
      </c>
      <c r="D1107" s="352" t="s">
        <v>1907</v>
      </c>
      <c r="E1107" s="352" t="s">
        <v>92</v>
      </c>
      <c r="F1107" s="353">
        <v>215.96360000000001</v>
      </c>
      <c r="G1107" s="352" t="s">
        <v>2126</v>
      </c>
      <c r="H1107" s="176" t="s">
        <v>206</v>
      </c>
      <c r="I1107" s="176" t="s">
        <v>957</v>
      </c>
      <c r="J1107" s="352" t="s">
        <v>3579</v>
      </c>
      <c r="K1107" s="352">
        <v>500</v>
      </c>
      <c r="L1107" s="352" t="s">
        <v>1116</v>
      </c>
      <c r="M1107" s="352">
        <v>300</v>
      </c>
      <c r="N1107" s="352" t="s">
        <v>1109</v>
      </c>
      <c r="O1107" s="351">
        <v>500</v>
      </c>
      <c r="P1107" s="349" t="s">
        <v>1836</v>
      </c>
      <c r="R1107" s="349">
        <f t="shared" si="17"/>
        <v>10</v>
      </c>
      <c r="S1107" s="352"/>
      <c r="T1107" s="352"/>
      <c r="U1107" s="352"/>
      <c r="V1107" s="353"/>
      <c r="W1107" s="352"/>
      <c r="X1107" s="176"/>
      <c r="Y1107" s="176"/>
      <c r="Z1107" s="352"/>
      <c r="AA1107" s="352"/>
      <c r="AB1107" s="352"/>
      <c r="AC1107" s="352"/>
      <c r="AD1107" s="352"/>
    </row>
    <row r="1108" spans="1:30" ht="89.75" hidden="1" x14ac:dyDescent="0.35">
      <c r="A1108" s="349">
        <v>1107</v>
      </c>
      <c r="B1108" s="352" t="s">
        <v>1463</v>
      </c>
      <c r="C1108" s="351" t="s">
        <v>1907</v>
      </c>
      <c r="D1108" s="352" t="s">
        <v>1907</v>
      </c>
      <c r="E1108" s="352" t="s">
        <v>92</v>
      </c>
      <c r="F1108" s="353">
        <v>215.96360000000001</v>
      </c>
      <c r="G1108" s="352" t="s">
        <v>2126</v>
      </c>
      <c r="H1108" s="176" t="s">
        <v>206</v>
      </c>
      <c r="I1108" s="176" t="s">
        <v>957</v>
      </c>
      <c r="J1108" s="352" t="s">
        <v>3579</v>
      </c>
      <c r="K1108" s="352">
        <v>500</v>
      </c>
      <c r="L1108" s="352" t="s">
        <v>1116</v>
      </c>
      <c r="M1108" s="352">
        <v>300</v>
      </c>
      <c r="N1108" s="352" t="s">
        <v>1109</v>
      </c>
      <c r="O1108" s="351">
        <v>500</v>
      </c>
      <c r="P1108" s="349" t="s">
        <v>1836</v>
      </c>
      <c r="R1108" s="349">
        <f t="shared" si="17"/>
        <v>10</v>
      </c>
      <c r="S1108" s="352"/>
      <c r="T1108" s="352"/>
      <c r="U1108" s="352"/>
      <c r="V1108" s="353"/>
      <c r="W1108" s="352"/>
      <c r="X1108" s="176"/>
      <c r="Y1108" s="176"/>
      <c r="Z1108" s="352"/>
      <c r="AA1108" s="352"/>
      <c r="AB1108" s="352"/>
      <c r="AC1108" s="352"/>
      <c r="AD1108" s="352"/>
    </row>
    <row r="1109" spans="1:30" ht="38.450000000000003" hidden="1" x14ac:dyDescent="0.35">
      <c r="A1109" s="349">
        <v>1108</v>
      </c>
      <c r="B1109" s="352" t="s">
        <v>746</v>
      </c>
      <c r="C1109" s="351" t="s">
        <v>4240</v>
      </c>
      <c r="D1109" s="352" t="s">
        <v>3347</v>
      </c>
      <c r="E1109" s="352" t="s">
        <v>730</v>
      </c>
      <c r="F1109" s="353">
        <v>6.77</v>
      </c>
      <c r="G1109" s="352" t="s">
        <v>2126</v>
      </c>
      <c r="H1109" s="176" t="s">
        <v>3348</v>
      </c>
      <c r="I1109" s="176" t="s">
        <v>2633</v>
      </c>
      <c r="J1109" s="352" t="s">
        <v>1115</v>
      </c>
      <c r="K1109" s="352">
        <v>513</v>
      </c>
      <c r="L1109" s="352" t="s">
        <v>1116</v>
      </c>
      <c r="M1109" s="352">
        <v>10</v>
      </c>
      <c r="N1109" s="352" t="s">
        <v>1109</v>
      </c>
      <c r="O1109" s="351">
        <v>513</v>
      </c>
      <c r="P1109" s="349" t="s">
        <v>1836</v>
      </c>
      <c r="R1109" s="349">
        <f t="shared" si="17"/>
        <v>8</v>
      </c>
      <c r="S1109" s="352"/>
      <c r="T1109" s="352"/>
      <c r="U1109" s="352"/>
      <c r="V1109" s="353"/>
      <c r="W1109" s="352"/>
      <c r="X1109" s="176"/>
      <c r="Y1109" s="176"/>
      <c r="Z1109" s="352"/>
      <c r="AA1109" s="352"/>
      <c r="AB1109" s="352"/>
      <c r="AC1109" s="352"/>
      <c r="AD1109" s="352"/>
    </row>
    <row r="1110" spans="1:30" ht="141" hidden="1" x14ac:dyDescent="0.35">
      <c r="A1110" s="349">
        <v>1109</v>
      </c>
      <c r="B1110" s="352" t="s">
        <v>3582</v>
      </c>
      <c r="C1110" s="351" t="s">
        <v>991</v>
      </c>
      <c r="D1110" s="352" t="s">
        <v>991</v>
      </c>
      <c r="E1110" s="352" t="s">
        <v>1450</v>
      </c>
      <c r="F1110" s="353">
        <v>289.85000000000002</v>
      </c>
      <c r="G1110" s="352" t="s">
        <v>1107</v>
      </c>
      <c r="H1110" s="37" t="s">
        <v>70</v>
      </c>
      <c r="I1110" s="176" t="s">
        <v>4472</v>
      </c>
      <c r="J1110" s="352" t="s">
        <v>828</v>
      </c>
      <c r="K1110" s="352">
        <v>10</v>
      </c>
      <c r="L1110" s="352" t="s">
        <v>1116</v>
      </c>
      <c r="M1110" s="352">
        <v>25</v>
      </c>
      <c r="N1110" s="352" t="s">
        <v>1109</v>
      </c>
      <c r="O1110" s="351">
        <v>10</v>
      </c>
      <c r="P1110" s="349" t="s">
        <v>1836</v>
      </c>
      <c r="R1110" s="349">
        <f t="shared" si="17"/>
        <v>11</v>
      </c>
      <c r="S1110" s="352"/>
      <c r="T1110" s="352"/>
      <c r="U1110" s="352"/>
      <c r="V1110" s="353"/>
      <c r="W1110" s="352"/>
      <c r="X1110" s="176"/>
      <c r="Y1110" s="176"/>
      <c r="Z1110" s="352"/>
      <c r="AA1110" s="352"/>
      <c r="AB1110" s="352"/>
      <c r="AC1110" s="352"/>
      <c r="AD1110" s="352"/>
    </row>
    <row r="1111" spans="1:30" ht="141" hidden="1" x14ac:dyDescent="0.35">
      <c r="A1111" s="349">
        <v>1110</v>
      </c>
      <c r="B1111" s="352" t="s">
        <v>3582</v>
      </c>
      <c r="C1111" s="351" t="s">
        <v>991</v>
      </c>
      <c r="D1111" s="352" t="s">
        <v>991</v>
      </c>
      <c r="E1111" s="352" t="s">
        <v>1998</v>
      </c>
      <c r="F1111" s="353">
        <v>5.29</v>
      </c>
      <c r="G1111" s="352" t="s">
        <v>2126</v>
      </c>
      <c r="H1111" s="37" t="s">
        <v>71</v>
      </c>
      <c r="I1111" s="176" t="s">
        <v>4472</v>
      </c>
      <c r="J1111" s="352" t="s">
        <v>22</v>
      </c>
      <c r="K1111" s="352">
        <v>100</v>
      </c>
      <c r="L1111" s="352" t="s">
        <v>23</v>
      </c>
      <c r="M1111" s="352"/>
      <c r="N1111" s="352"/>
      <c r="O1111" s="351">
        <v>100</v>
      </c>
      <c r="P1111" s="349" t="s">
        <v>1836</v>
      </c>
      <c r="R1111" s="349">
        <f t="shared" si="17"/>
        <v>11</v>
      </c>
      <c r="S1111" s="352"/>
      <c r="T1111" s="352"/>
      <c r="U1111" s="352"/>
      <c r="V1111" s="353"/>
      <c r="W1111" s="352"/>
      <c r="X1111" s="176"/>
      <c r="Y1111" s="176"/>
      <c r="Z1111" s="352"/>
      <c r="AA1111" s="352"/>
      <c r="AB1111" s="352"/>
      <c r="AC1111" s="351"/>
      <c r="AD1111" s="351"/>
    </row>
    <row r="1112" spans="1:30" ht="141" hidden="1" x14ac:dyDescent="0.35">
      <c r="A1112" s="349">
        <v>1111</v>
      </c>
      <c r="B1112" s="352" t="s">
        <v>3582</v>
      </c>
      <c r="C1112" s="351" t="s">
        <v>991</v>
      </c>
      <c r="D1112" s="352" t="s">
        <v>991</v>
      </c>
      <c r="E1112" s="352" t="s">
        <v>2129</v>
      </c>
      <c r="F1112" s="353">
        <v>163.52000000000001</v>
      </c>
      <c r="G1112" s="352" t="s">
        <v>2126</v>
      </c>
      <c r="H1112" s="176" t="s">
        <v>71</v>
      </c>
      <c r="I1112" s="176" t="s">
        <v>4472</v>
      </c>
      <c r="J1112" s="352" t="s">
        <v>3579</v>
      </c>
      <c r="K1112" s="352">
        <v>10</v>
      </c>
      <c r="L1112" s="352" t="s">
        <v>1116</v>
      </c>
      <c r="M1112" s="352">
        <v>100</v>
      </c>
      <c r="N1112" s="352" t="s">
        <v>1109</v>
      </c>
      <c r="O1112" s="351">
        <v>10</v>
      </c>
      <c r="P1112" s="349" t="s">
        <v>1836</v>
      </c>
      <c r="R1112" s="349">
        <f t="shared" si="17"/>
        <v>11</v>
      </c>
      <c r="S1112" s="352"/>
      <c r="T1112" s="352"/>
      <c r="U1112" s="352"/>
      <c r="V1112" s="353"/>
      <c r="W1112" s="352"/>
      <c r="X1112" s="176"/>
      <c r="Y1112" s="176"/>
      <c r="Z1112" s="352"/>
      <c r="AA1112" s="352"/>
      <c r="AB1112" s="352"/>
      <c r="AC1112" s="351"/>
      <c r="AD1112" s="351"/>
    </row>
    <row r="1113" spans="1:30" ht="25.65" hidden="1" x14ac:dyDescent="0.35">
      <c r="A1113" s="349">
        <v>1112</v>
      </c>
      <c r="B1113" s="352" t="s">
        <v>1322</v>
      </c>
      <c r="C1113" s="351" t="s">
        <v>4241</v>
      </c>
      <c r="D1113" s="352" t="s">
        <v>2843</v>
      </c>
      <c r="E1113" s="352" t="s">
        <v>467</v>
      </c>
      <c r="F1113" s="353">
        <v>1.9</v>
      </c>
      <c r="G1113" s="352" t="s">
        <v>34</v>
      </c>
      <c r="H1113" s="176"/>
      <c r="I1113" s="176" t="s">
        <v>2555</v>
      </c>
      <c r="J1113" s="352" t="s">
        <v>469</v>
      </c>
      <c r="K1113" s="352">
        <v>10</v>
      </c>
      <c r="L1113" s="352" t="s">
        <v>1116</v>
      </c>
      <c r="M1113" s="352">
        <v>50</v>
      </c>
      <c r="N1113" s="352" t="s">
        <v>1109</v>
      </c>
      <c r="O1113" s="351">
        <v>10</v>
      </c>
      <c r="P1113" s="349" t="s">
        <v>1836</v>
      </c>
      <c r="R1113" s="349">
        <f t="shared" si="17"/>
        <v>4</v>
      </c>
      <c r="S1113" s="352"/>
      <c r="T1113" s="352"/>
      <c r="U1113" s="352"/>
      <c r="V1113" s="353"/>
      <c r="W1113" s="352"/>
      <c r="X1113" s="176"/>
      <c r="Y1113" s="176"/>
      <c r="Z1113" s="352"/>
      <c r="AA1113" s="352"/>
      <c r="AB1113" s="352"/>
      <c r="AC1113" s="352"/>
      <c r="AD1113" s="352"/>
    </row>
    <row r="1114" spans="1:30" ht="25.65" hidden="1" x14ac:dyDescent="0.35">
      <c r="A1114" s="349">
        <v>1113</v>
      </c>
      <c r="B1114" s="352" t="s">
        <v>1322</v>
      </c>
      <c r="C1114" s="351" t="s">
        <v>4241</v>
      </c>
      <c r="D1114" s="352" t="s">
        <v>2843</v>
      </c>
      <c r="E1114" s="352" t="s">
        <v>2386</v>
      </c>
      <c r="F1114" s="353">
        <v>15.514099999999999</v>
      </c>
      <c r="G1114" s="352" t="s">
        <v>34</v>
      </c>
      <c r="H1114" s="176"/>
      <c r="I1114" s="176" t="s">
        <v>2555</v>
      </c>
      <c r="J1114" s="352" t="s">
        <v>469</v>
      </c>
      <c r="K1114" s="352">
        <v>10</v>
      </c>
      <c r="L1114" s="352" t="s">
        <v>1116</v>
      </c>
      <c r="M1114" s="352">
        <v>500</v>
      </c>
      <c r="N1114" s="352" t="s">
        <v>1109</v>
      </c>
      <c r="O1114" s="351">
        <v>10</v>
      </c>
      <c r="P1114" s="349" t="s">
        <v>1836</v>
      </c>
      <c r="R1114" s="349">
        <f t="shared" si="17"/>
        <v>4</v>
      </c>
      <c r="S1114" s="352"/>
      <c r="T1114" s="352"/>
      <c r="U1114" s="352"/>
      <c r="V1114" s="353"/>
      <c r="W1114" s="352"/>
      <c r="X1114" s="176"/>
      <c r="Y1114" s="176"/>
      <c r="Z1114" s="352"/>
      <c r="AA1114" s="352"/>
      <c r="AB1114" s="352"/>
      <c r="AC1114" s="352"/>
      <c r="AD1114" s="352"/>
    </row>
    <row r="1115" spans="1:30" ht="141" hidden="1" x14ac:dyDescent="0.35">
      <c r="A1115" s="349">
        <v>1114</v>
      </c>
      <c r="B1115" s="352" t="s">
        <v>746</v>
      </c>
      <c r="C1115" s="351" t="s">
        <v>709</v>
      </c>
      <c r="D1115" s="352" t="s">
        <v>709</v>
      </c>
      <c r="E1115" s="352" t="s">
        <v>2857</v>
      </c>
      <c r="F1115" s="353">
        <v>12.95</v>
      </c>
      <c r="G1115" s="352" t="s">
        <v>3119</v>
      </c>
      <c r="H1115" s="37" t="s">
        <v>3363</v>
      </c>
      <c r="I1115" s="176" t="s">
        <v>195</v>
      </c>
      <c r="J1115" s="352" t="s">
        <v>828</v>
      </c>
      <c r="K1115" s="352">
        <v>647</v>
      </c>
      <c r="L1115" s="352" t="s">
        <v>1116</v>
      </c>
      <c r="M1115" s="352">
        <v>10</v>
      </c>
      <c r="N1115" s="352" t="s">
        <v>1109</v>
      </c>
      <c r="O1115" s="351">
        <v>647</v>
      </c>
      <c r="P1115" s="349" t="s">
        <v>1836</v>
      </c>
      <c r="R1115" s="349">
        <f t="shared" si="17"/>
        <v>7</v>
      </c>
      <c r="S1115" s="352"/>
      <c r="T1115" s="352"/>
      <c r="U1115" s="352"/>
      <c r="V1115" s="353"/>
      <c r="W1115" s="352"/>
      <c r="X1115" s="176"/>
      <c r="Y1115" s="176"/>
      <c r="Z1115" s="352"/>
      <c r="AA1115" s="352"/>
      <c r="AB1115" s="352"/>
      <c r="AC1115" s="352"/>
      <c r="AD1115" s="352"/>
    </row>
    <row r="1116" spans="1:30" ht="141" hidden="1" x14ac:dyDescent="0.35">
      <c r="A1116" s="349">
        <v>1115</v>
      </c>
      <c r="B1116" s="352" t="s">
        <v>746</v>
      </c>
      <c r="C1116" s="351" t="s">
        <v>709</v>
      </c>
      <c r="D1116" s="352" t="s">
        <v>709</v>
      </c>
      <c r="E1116" s="352" t="s">
        <v>780</v>
      </c>
      <c r="F1116" s="353">
        <v>17.22</v>
      </c>
      <c r="G1116" s="352" t="s">
        <v>3119</v>
      </c>
      <c r="H1116" s="37" t="s">
        <v>3363</v>
      </c>
      <c r="I1116" s="176" t="s">
        <v>195</v>
      </c>
      <c r="J1116" s="352" t="s">
        <v>828</v>
      </c>
      <c r="K1116" s="352">
        <v>647</v>
      </c>
      <c r="L1116" s="352" t="s">
        <v>1116</v>
      </c>
      <c r="M1116" s="352">
        <v>20</v>
      </c>
      <c r="N1116" s="352" t="s">
        <v>1109</v>
      </c>
      <c r="O1116" s="351">
        <v>647</v>
      </c>
      <c r="P1116" s="349" t="s">
        <v>1836</v>
      </c>
      <c r="R1116" s="349">
        <f t="shared" si="17"/>
        <v>7</v>
      </c>
      <c r="S1116" s="352"/>
      <c r="T1116" s="352"/>
      <c r="U1116" s="352"/>
      <c r="V1116" s="353"/>
      <c r="W1116" s="352"/>
      <c r="X1116" s="176"/>
      <c r="Y1116" s="176"/>
      <c r="Z1116" s="352"/>
      <c r="AA1116" s="352"/>
      <c r="AB1116" s="352"/>
      <c r="AC1116" s="352"/>
      <c r="AD1116" s="352"/>
    </row>
    <row r="1117" spans="1:30" ht="141" hidden="1" x14ac:dyDescent="0.35">
      <c r="A1117" s="349">
        <v>1116</v>
      </c>
      <c r="B1117" s="352" t="s">
        <v>746</v>
      </c>
      <c r="C1117" s="351" t="s">
        <v>709</v>
      </c>
      <c r="D1117" s="352" t="s">
        <v>709</v>
      </c>
      <c r="E1117" s="352" t="s">
        <v>3120</v>
      </c>
      <c r="F1117" s="353">
        <v>41.15</v>
      </c>
      <c r="G1117" s="352" t="s">
        <v>3119</v>
      </c>
      <c r="H1117" s="176" t="s">
        <v>3363</v>
      </c>
      <c r="I1117" s="176" t="s">
        <v>195</v>
      </c>
      <c r="J1117" s="352" t="s">
        <v>828</v>
      </c>
      <c r="K1117" s="352">
        <v>647</v>
      </c>
      <c r="L1117" s="352" t="s">
        <v>1116</v>
      </c>
      <c r="M1117" s="351">
        <v>50</v>
      </c>
      <c r="N1117" s="351" t="s">
        <v>1109</v>
      </c>
      <c r="O1117" s="351">
        <v>647</v>
      </c>
      <c r="P1117" s="349" t="s">
        <v>1836</v>
      </c>
      <c r="R1117" s="349">
        <f t="shared" si="17"/>
        <v>7</v>
      </c>
      <c r="S1117" s="352"/>
      <c r="T1117" s="352"/>
      <c r="U1117" s="352"/>
      <c r="V1117" s="353"/>
      <c r="W1117" s="352"/>
      <c r="X1117" s="176"/>
      <c r="Y1117" s="176"/>
      <c r="Z1117" s="352"/>
      <c r="AA1117" s="352"/>
      <c r="AB1117" s="352"/>
      <c r="AC1117" s="352"/>
      <c r="AD1117" s="352"/>
    </row>
    <row r="1118" spans="1:30" ht="25.65" hidden="1" x14ac:dyDescent="0.35">
      <c r="A1118" s="349">
        <v>1117</v>
      </c>
      <c r="B1118" s="352" t="s">
        <v>1322</v>
      </c>
      <c r="C1118" s="351" t="s">
        <v>2843</v>
      </c>
      <c r="D1118" s="352" t="s">
        <v>2843</v>
      </c>
      <c r="E1118" s="352" t="s">
        <v>467</v>
      </c>
      <c r="F1118" s="353">
        <v>1.9</v>
      </c>
      <c r="G1118" s="352" t="s">
        <v>34</v>
      </c>
      <c r="H1118" s="176"/>
      <c r="I1118" s="176" t="s">
        <v>2555</v>
      </c>
      <c r="J1118" s="352" t="s">
        <v>469</v>
      </c>
      <c r="K1118" s="352">
        <v>10</v>
      </c>
      <c r="L1118" s="352" t="s">
        <v>1116</v>
      </c>
      <c r="M1118" s="352">
        <v>50</v>
      </c>
      <c r="N1118" s="352" t="s">
        <v>1109</v>
      </c>
      <c r="O1118" s="351">
        <v>10</v>
      </c>
      <c r="P1118" s="349" t="s">
        <v>1836</v>
      </c>
      <c r="R1118" s="349">
        <f t="shared" si="17"/>
        <v>4</v>
      </c>
      <c r="S1118" s="352"/>
      <c r="T1118" s="352"/>
      <c r="U1118" s="352"/>
      <c r="V1118" s="353"/>
      <c r="W1118" s="352"/>
      <c r="X1118" s="176"/>
      <c r="Y1118" s="176"/>
      <c r="Z1118" s="352"/>
      <c r="AA1118" s="352"/>
      <c r="AB1118" s="352"/>
      <c r="AC1118" s="351"/>
      <c r="AD1118" s="351"/>
    </row>
    <row r="1119" spans="1:30" ht="25.65" hidden="1" x14ac:dyDescent="0.35">
      <c r="A1119" s="349">
        <v>1118</v>
      </c>
      <c r="B1119" s="352" t="s">
        <v>1322</v>
      </c>
      <c r="C1119" s="351" t="s">
        <v>2843</v>
      </c>
      <c r="D1119" s="352" t="s">
        <v>2843</v>
      </c>
      <c r="E1119" s="352" t="s">
        <v>2386</v>
      </c>
      <c r="F1119" s="353">
        <v>15.514099999999999</v>
      </c>
      <c r="G1119" s="352" t="s">
        <v>34</v>
      </c>
      <c r="H1119" s="176"/>
      <c r="I1119" s="176" t="s">
        <v>2555</v>
      </c>
      <c r="J1119" s="352" t="s">
        <v>469</v>
      </c>
      <c r="K1119" s="352">
        <v>10</v>
      </c>
      <c r="L1119" s="352" t="s">
        <v>1116</v>
      </c>
      <c r="M1119" s="352">
        <v>500</v>
      </c>
      <c r="N1119" s="352" t="s">
        <v>1109</v>
      </c>
      <c r="O1119" s="351">
        <v>10</v>
      </c>
      <c r="P1119" s="349" t="s">
        <v>1836</v>
      </c>
      <c r="R1119" s="349">
        <f t="shared" si="17"/>
        <v>4</v>
      </c>
      <c r="S1119" s="352"/>
      <c r="T1119" s="352"/>
      <c r="U1119" s="352"/>
      <c r="V1119" s="353"/>
      <c r="W1119" s="352"/>
      <c r="X1119" s="176"/>
      <c r="Y1119" s="176"/>
      <c r="Z1119" s="352"/>
      <c r="AA1119" s="352"/>
      <c r="AB1119" s="352"/>
      <c r="AC1119" s="351"/>
      <c r="AD1119" s="351"/>
    </row>
    <row r="1120" spans="1:30" ht="76.900000000000006" hidden="1" x14ac:dyDescent="0.35">
      <c r="A1120" s="349">
        <v>1119</v>
      </c>
      <c r="B1120" s="352" t="s">
        <v>1799</v>
      </c>
      <c r="C1120" s="351" t="s">
        <v>4242</v>
      </c>
      <c r="D1120" s="352" t="s">
        <v>3017</v>
      </c>
      <c r="E1120" s="352" t="s">
        <v>2022</v>
      </c>
      <c r="F1120" s="353">
        <v>1.5</v>
      </c>
      <c r="G1120" s="352" t="s">
        <v>2126</v>
      </c>
      <c r="H1120" s="176" t="s">
        <v>2043</v>
      </c>
      <c r="I1120" s="176" t="s">
        <v>3247</v>
      </c>
      <c r="J1120" s="352" t="s">
        <v>4025</v>
      </c>
      <c r="K1120" s="352">
        <v>5</v>
      </c>
      <c r="L1120" s="352" t="s">
        <v>4032</v>
      </c>
      <c r="M1120" s="352"/>
      <c r="N1120" s="352"/>
      <c r="O1120" s="351">
        <v>5</v>
      </c>
      <c r="P1120" s="349" t="s">
        <v>1836</v>
      </c>
      <c r="R1120" s="349">
        <f t="shared" si="17"/>
        <v>12</v>
      </c>
      <c r="S1120" s="352"/>
      <c r="T1120" s="352"/>
      <c r="U1120" s="352"/>
      <c r="V1120" s="353"/>
      <c r="W1120" s="352"/>
      <c r="X1120" s="176"/>
      <c r="Y1120" s="176"/>
      <c r="Z1120" s="352"/>
      <c r="AA1120" s="352"/>
      <c r="AB1120" s="352"/>
      <c r="AC1120" s="351"/>
      <c r="AD1120" s="351"/>
    </row>
    <row r="1121" spans="1:30" ht="230.7" hidden="1" x14ac:dyDescent="0.35">
      <c r="A1121" s="349">
        <v>1120</v>
      </c>
      <c r="B1121" s="352" t="s">
        <v>746</v>
      </c>
      <c r="C1121" s="351" t="s">
        <v>3345</v>
      </c>
      <c r="D1121" s="352" t="s">
        <v>3345</v>
      </c>
      <c r="E1121" s="352" t="s">
        <v>2857</v>
      </c>
      <c r="F1121" s="353">
        <v>6.77</v>
      </c>
      <c r="G1121" s="352" t="s">
        <v>3119</v>
      </c>
      <c r="H1121" s="176" t="s">
        <v>3362</v>
      </c>
      <c r="I1121" s="176" t="s">
        <v>3346</v>
      </c>
      <c r="J1121" s="352" t="s">
        <v>828</v>
      </c>
      <c r="K1121" s="352">
        <v>623</v>
      </c>
      <c r="L1121" s="352" t="s">
        <v>1116</v>
      </c>
      <c r="M1121" s="352">
        <v>10</v>
      </c>
      <c r="N1121" s="352" t="s">
        <v>1109</v>
      </c>
      <c r="O1121" s="351">
        <v>623</v>
      </c>
      <c r="P1121" s="349" t="s">
        <v>1836</v>
      </c>
      <c r="R1121" s="349">
        <f t="shared" si="17"/>
        <v>9</v>
      </c>
      <c r="S1121" s="352"/>
      <c r="T1121" s="352"/>
      <c r="U1121" s="352"/>
      <c r="V1121" s="353"/>
      <c r="W1121" s="352"/>
      <c r="X1121" s="176"/>
      <c r="Y1121" s="176"/>
      <c r="Z1121" s="352"/>
      <c r="AA1121" s="352"/>
      <c r="AB1121" s="352"/>
      <c r="AC1121" s="351"/>
      <c r="AD1121" s="351"/>
    </row>
    <row r="1122" spans="1:30" ht="230.7" hidden="1" x14ac:dyDescent="0.35">
      <c r="A1122" s="349">
        <v>1121</v>
      </c>
      <c r="B1122" s="352" t="s">
        <v>746</v>
      </c>
      <c r="C1122" s="351" t="s">
        <v>3345</v>
      </c>
      <c r="D1122" s="352" t="s">
        <v>3345</v>
      </c>
      <c r="E1122" s="352" t="s">
        <v>1800</v>
      </c>
      <c r="F1122" s="353">
        <v>41.25</v>
      </c>
      <c r="G1122" s="352" t="s">
        <v>3119</v>
      </c>
      <c r="H1122" s="176" t="s">
        <v>3362</v>
      </c>
      <c r="I1122" s="176" t="s">
        <v>3346</v>
      </c>
      <c r="J1122" s="352" t="s">
        <v>828</v>
      </c>
      <c r="K1122" s="352">
        <v>623</v>
      </c>
      <c r="L1122" s="352" t="s">
        <v>1116</v>
      </c>
      <c r="M1122" s="352">
        <v>100</v>
      </c>
      <c r="N1122" s="352" t="s">
        <v>1109</v>
      </c>
      <c r="O1122" s="351">
        <v>623</v>
      </c>
      <c r="P1122" s="349" t="s">
        <v>1836</v>
      </c>
      <c r="R1122" s="349">
        <f t="shared" si="17"/>
        <v>9</v>
      </c>
      <c r="S1122" s="352"/>
      <c r="T1122" s="352"/>
      <c r="U1122" s="352"/>
      <c r="V1122" s="353"/>
      <c r="W1122" s="352"/>
      <c r="X1122" s="176"/>
      <c r="Y1122" s="176"/>
      <c r="Z1122" s="352"/>
      <c r="AA1122" s="352"/>
      <c r="AB1122" s="352"/>
      <c r="AC1122" s="351"/>
      <c r="AD1122" s="351"/>
    </row>
    <row r="1123" spans="1:30" ht="230.7" hidden="1" x14ac:dyDescent="0.35">
      <c r="A1123" s="349">
        <v>1122</v>
      </c>
      <c r="B1123" s="352" t="s">
        <v>746</v>
      </c>
      <c r="C1123" s="351" t="s">
        <v>3345</v>
      </c>
      <c r="D1123" s="352" t="s">
        <v>3345</v>
      </c>
      <c r="E1123" s="352" t="s">
        <v>780</v>
      </c>
      <c r="F1123" s="353">
        <v>8.8369</v>
      </c>
      <c r="G1123" s="352" t="s">
        <v>3119</v>
      </c>
      <c r="H1123" s="176" t="s">
        <v>3362</v>
      </c>
      <c r="I1123" s="176" t="s">
        <v>3346</v>
      </c>
      <c r="J1123" s="352" t="s">
        <v>828</v>
      </c>
      <c r="K1123" s="351">
        <v>623</v>
      </c>
      <c r="L1123" s="351" t="s">
        <v>1116</v>
      </c>
      <c r="M1123" s="352">
        <v>20</v>
      </c>
      <c r="N1123" s="352" t="s">
        <v>1109</v>
      </c>
      <c r="O1123" s="351">
        <v>623</v>
      </c>
      <c r="P1123" s="349" t="s">
        <v>1836</v>
      </c>
      <c r="R1123" s="349">
        <f t="shared" si="17"/>
        <v>9</v>
      </c>
      <c r="S1123" s="352"/>
      <c r="T1123" s="352"/>
      <c r="U1123" s="352"/>
      <c r="V1123" s="353"/>
      <c r="W1123" s="352"/>
      <c r="X1123" s="176"/>
      <c r="Y1123" s="176"/>
      <c r="Z1123" s="352"/>
      <c r="AA1123" s="352"/>
      <c r="AB1123" s="352"/>
      <c r="AC1123" s="351"/>
      <c r="AD1123" s="351"/>
    </row>
    <row r="1124" spans="1:30" ht="230.7" hidden="1" x14ac:dyDescent="0.35">
      <c r="A1124" s="349">
        <v>1123</v>
      </c>
      <c r="B1124" s="352" t="s">
        <v>746</v>
      </c>
      <c r="C1124" s="351" t="s">
        <v>3345</v>
      </c>
      <c r="D1124" s="352" t="s">
        <v>3345</v>
      </c>
      <c r="E1124" s="352" t="s">
        <v>3120</v>
      </c>
      <c r="F1124" s="353">
        <v>21.13</v>
      </c>
      <c r="G1124" s="352" t="s">
        <v>3119</v>
      </c>
      <c r="H1124" s="176" t="s">
        <v>3362</v>
      </c>
      <c r="I1124" s="176" t="s">
        <v>3346</v>
      </c>
      <c r="J1124" s="352" t="s">
        <v>828</v>
      </c>
      <c r="K1124" s="352">
        <v>623</v>
      </c>
      <c r="L1124" s="352" t="s">
        <v>1116</v>
      </c>
      <c r="M1124" s="352">
        <v>50</v>
      </c>
      <c r="N1124" s="352" t="s">
        <v>1109</v>
      </c>
      <c r="O1124" s="351">
        <v>623</v>
      </c>
      <c r="P1124" s="349" t="s">
        <v>1836</v>
      </c>
      <c r="R1124" s="349">
        <f t="shared" si="17"/>
        <v>9</v>
      </c>
      <c r="S1124" s="352"/>
      <c r="T1124" s="352"/>
      <c r="U1124" s="352"/>
      <c r="V1124" s="353"/>
      <c r="W1124" s="352"/>
      <c r="X1124" s="176"/>
      <c r="Y1124" s="176"/>
      <c r="Z1124" s="352"/>
      <c r="AA1124" s="352"/>
      <c r="AB1124" s="352"/>
      <c r="AC1124" s="352"/>
      <c r="AD1124" s="352"/>
    </row>
    <row r="1125" spans="1:30" ht="51.3" hidden="1" x14ac:dyDescent="0.35">
      <c r="A1125" s="349">
        <v>1124</v>
      </c>
      <c r="B1125" s="352" t="s">
        <v>746</v>
      </c>
      <c r="C1125" s="351" t="s">
        <v>196</v>
      </c>
      <c r="D1125" s="352" t="s">
        <v>196</v>
      </c>
      <c r="E1125" s="352" t="s">
        <v>1323</v>
      </c>
      <c r="F1125" s="353">
        <v>21.68</v>
      </c>
      <c r="G1125" s="352" t="s">
        <v>2126</v>
      </c>
      <c r="H1125" s="176" t="s">
        <v>197</v>
      </c>
      <c r="I1125" s="176" t="s">
        <v>198</v>
      </c>
      <c r="J1125" s="352" t="s">
        <v>469</v>
      </c>
      <c r="K1125" s="352">
        <v>660</v>
      </c>
      <c r="L1125" s="352" t="s">
        <v>1116</v>
      </c>
      <c r="M1125" s="351">
        <v>100</v>
      </c>
      <c r="N1125" s="351" t="s">
        <v>1109</v>
      </c>
      <c r="O1125" s="351">
        <v>660</v>
      </c>
      <c r="P1125" s="349" t="s">
        <v>1836</v>
      </c>
      <c r="R1125" s="349">
        <f t="shared" si="17"/>
        <v>16</v>
      </c>
      <c r="S1125" s="352"/>
      <c r="T1125" s="352"/>
      <c r="U1125" s="352"/>
      <c r="V1125" s="353"/>
      <c r="W1125" s="352"/>
      <c r="X1125" s="176"/>
      <c r="Y1125" s="176"/>
      <c r="Z1125" s="352"/>
      <c r="AA1125" s="352"/>
      <c r="AB1125" s="352"/>
      <c r="AC1125" s="352"/>
      <c r="AD1125" s="352"/>
    </row>
    <row r="1126" spans="1:30" ht="25.65" hidden="1" x14ac:dyDescent="0.35">
      <c r="A1126" s="349">
        <v>1125</v>
      </c>
      <c r="B1126" s="352" t="s">
        <v>4100</v>
      </c>
      <c r="C1126" s="351" t="s">
        <v>4243</v>
      </c>
      <c r="D1126" s="352" t="s">
        <v>5044</v>
      </c>
      <c r="E1126" s="352" t="s">
        <v>3211</v>
      </c>
      <c r="F1126" s="353">
        <v>212.50380000000001</v>
      </c>
      <c r="G1126" s="352" t="s">
        <v>2126</v>
      </c>
      <c r="H1126" s="176" t="s">
        <v>3629</v>
      </c>
      <c r="I1126" s="176" t="s">
        <v>3630</v>
      </c>
      <c r="J1126" s="352" t="s">
        <v>3579</v>
      </c>
      <c r="K1126" s="352"/>
      <c r="L1126" s="352"/>
      <c r="M1126" s="352">
        <v>60</v>
      </c>
      <c r="N1126" s="352" t="s">
        <v>1109</v>
      </c>
      <c r="O1126" s="351">
        <v>0</v>
      </c>
      <c r="P1126" s="349" t="s">
        <v>1837</v>
      </c>
      <c r="R1126" s="349">
        <f t="shared" si="17"/>
        <v>19</v>
      </c>
      <c r="S1126" s="352"/>
      <c r="T1126" s="352"/>
      <c r="U1126" s="352"/>
      <c r="V1126" s="353"/>
      <c r="W1126" s="352"/>
      <c r="X1126" s="176"/>
      <c r="Y1126" s="176"/>
      <c r="Z1126" s="352"/>
      <c r="AA1126" s="352"/>
      <c r="AB1126" s="352"/>
      <c r="AC1126" s="352"/>
      <c r="AD1126" s="352"/>
    </row>
    <row r="1127" spans="1:30" ht="89.75" hidden="1" x14ac:dyDescent="0.35">
      <c r="A1127" s="349">
        <v>1126</v>
      </c>
      <c r="B1127" s="352" t="s">
        <v>627</v>
      </c>
      <c r="C1127" s="351" t="s">
        <v>1208</v>
      </c>
      <c r="D1127" s="352" t="s">
        <v>1208</v>
      </c>
      <c r="E1127" s="352" t="s">
        <v>780</v>
      </c>
      <c r="F1127" s="353">
        <v>0.68320000000000003</v>
      </c>
      <c r="G1127" s="352" t="s">
        <v>1107</v>
      </c>
      <c r="H1127" s="176" t="s">
        <v>1803</v>
      </c>
      <c r="I1127" s="176" t="s">
        <v>1804</v>
      </c>
      <c r="J1127" s="352" t="s">
        <v>828</v>
      </c>
      <c r="K1127" s="352">
        <v>1</v>
      </c>
      <c r="L1127" s="352" t="s">
        <v>2696</v>
      </c>
      <c r="M1127" s="352">
        <v>20</v>
      </c>
      <c r="N1127" s="352" t="s">
        <v>1109</v>
      </c>
      <c r="O1127" s="351">
        <v>1</v>
      </c>
      <c r="P1127" s="349" t="s">
        <v>1837</v>
      </c>
      <c r="R1127" s="349">
        <f t="shared" si="17"/>
        <v>14</v>
      </c>
      <c r="S1127" s="352"/>
      <c r="T1127" s="352"/>
      <c r="U1127" s="352"/>
      <c r="V1127" s="353"/>
      <c r="W1127" s="352"/>
      <c r="X1127" s="176"/>
      <c r="Y1127" s="176"/>
      <c r="Z1127" s="352"/>
      <c r="AA1127" s="351"/>
      <c r="AB1127" s="351"/>
      <c r="AC1127" s="352"/>
      <c r="AD1127" s="352"/>
    </row>
    <row r="1128" spans="1:30" ht="38.450000000000003" hidden="1" x14ac:dyDescent="0.35">
      <c r="A1128" s="349">
        <v>1127</v>
      </c>
      <c r="B1128" s="352" t="s">
        <v>627</v>
      </c>
      <c r="C1128" s="351" t="s">
        <v>1208</v>
      </c>
      <c r="D1128" s="352" t="s">
        <v>1208</v>
      </c>
      <c r="E1128" s="352" t="s">
        <v>92</v>
      </c>
      <c r="F1128" s="351">
        <v>1.55</v>
      </c>
      <c r="G1128" s="352" t="s">
        <v>2126</v>
      </c>
      <c r="H1128" s="37" t="s">
        <v>1805</v>
      </c>
      <c r="I1128" s="176" t="s">
        <v>613</v>
      </c>
      <c r="J1128" s="352" t="s">
        <v>3579</v>
      </c>
      <c r="K1128" s="352">
        <v>1</v>
      </c>
      <c r="L1128" s="352" t="s">
        <v>2696</v>
      </c>
      <c r="M1128" s="351">
        <v>300</v>
      </c>
      <c r="N1128" s="351" t="s">
        <v>1109</v>
      </c>
      <c r="O1128" s="351">
        <v>1</v>
      </c>
      <c r="P1128" s="349" t="s">
        <v>1837</v>
      </c>
      <c r="R1128" s="349">
        <f t="shared" si="17"/>
        <v>14</v>
      </c>
      <c r="S1128" s="352"/>
      <c r="T1128" s="352"/>
      <c r="U1128" s="352"/>
      <c r="V1128" s="353"/>
      <c r="W1128" s="352"/>
      <c r="X1128" s="176"/>
      <c r="Y1128" s="176"/>
      <c r="Z1128" s="352"/>
      <c r="AA1128" s="352"/>
      <c r="AB1128" s="352"/>
      <c r="AC1128" s="352"/>
      <c r="AD1128" s="352"/>
    </row>
    <row r="1129" spans="1:30" ht="38.450000000000003" hidden="1" x14ac:dyDescent="0.35">
      <c r="A1129" s="349">
        <v>1128</v>
      </c>
      <c r="B1129" s="352" t="s">
        <v>627</v>
      </c>
      <c r="C1129" s="351" t="s">
        <v>1208</v>
      </c>
      <c r="D1129" s="352" t="s">
        <v>1208</v>
      </c>
      <c r="E1129" s="352" t="s">
        <v>2000</v>
      </c>
      <c r="F1129" s="351">
        <v>0.15429999999999999</v>
      </c>
      <c r="G1129" s="352" t="s">
        <v>2126</v>
      </c>
      <c r="H1129" s="37" t="s">
        <v>1805</v>
      </c>
      <c r="I1129" s="176" t="s">
        <v>613</v>
      </c>
      <c r="J1129" s="352" t="s">
        <v>2695</v>
      </c>
      <c r="K1129" s="352">
        <v>600</v>
      </c>
      <c r="L1129" s="352" t="s">
        <v>3581</v>
      </c>
      <c r="M1129" s="351"/>
      <c r="N1129" s="351"/>
      <c r="O1129" s="351">
        <v>600</v>
      </c>
      <c r="P1129" s="349" t="s">
        <v>1836</v>
      </c>
      <c r="R1129" s="349">
        <f t="shared" si="17"/>
        <v>14</v>
      </c>
      <c r="S1129" s="352"/>
      <c r="T1129" s="352"/>
      <c r="U1129" s="352"/>
      <c r="V1129" s="353"/>
      <c r="W1129" s="352"/>
      <c r="X1129" s="176"/>
      <c r="Y1129" s="176"/>
      <c r="Z1129" s="352"/>
      <c r="AA1129" s="352"/>
      <c r="AB1129" s="352"/>
      <c r="AC1129" s="352"/>
      <c r="AD1129" s="352"/>
    </row>
    <row r="1130" spans="1:30" ht="89.75" hidden="1" x14ac:dyDescent="0.35">
      <c r="A1130" s="349">
        <v>1129</v>
      </c>
      <c r="B1130" s="352" t="s">
        <v>627</v>
      </c>
      <c r="C1130" s="351" t="s">
        <v>4244</v>
      </c>
      <c r="D1130" s="352" t="s">
        <v>1208</v>
      </c>
      <c r="E1130" s="352" t="s">
        <v>780</v>
      </c>
      <c r="F1130" s="351">
        <v>0.68320000000000003</v>
      </c>
      <c r="G1130" s="352" t="s">
        <v>1107</v>
      </c>
      <c r="H1130" s="37" t="s">
        <v>1803</v>
      </c>
      <c r="I1130" s="176" t="s">
        <v>1804</v>
      </c>
      <c r="J1130" s="352" t="s">
        <v>828</v>
      </c>
      <c r="K1130" s="352">
        <v>1</v>
      </c>
      <c r="L1130" s="352" t="s">
        <v>2696</v>
      </c>
      <c r="M1130" s="351">
        <v>20</v>
      </c>
      <c r="N1130" s="351" t="s">
        <v>1109</v>
      </c>
      <c r="O1130" s="351">
        <v>1</v>
      </c>
      <c r="P1130" s="349" t="s">
        <v>1837</v>
      </c>
      <c r="R1130" s="349">
        <f t="shared" si="17"/>
        <v>14</v>
      </c>
      <c r="S1130" s="352"/>
      <c r="T1130" s="352"/>
      <c r="U1130" s="352"/>
      <c r="V1130" s="353"/>
      <c r="W1130" s="352"/>
      <c r="X1130" s="176"/>
      <c r="Y1130" s="176"/>
      <c r="Z1130" s="352"/>
      <c r="AA1130" s="352"/>
      <c r="AB1130" s="352"/>
      <c r="AC1130" s="352"/>
      <c r="AD1130" s="352"/>
    </row>
    <row r="1131" spans="1:30" ht="38.450000000000003" hidden="1" x14ac:dyDescent="0.35">
      <c r="A1131" s="349">
        <v>1130</v>
      </c>
      <c r="B1131" s="352" t="s">
        <v>627</v>
      </c>
      <c r="C1131" s="351" t="s">
        <v>4245</v>
      </c>
      <c r="D1131" s="352" t="s">
        <v>1208</v>
      </c>
      <c r="E1131" s="352" t="s">
        <v>92</v>
      </c>
      <c r="F1131" s="351">
        <v>1.55</v>
      </c>
      <c r="G1131" s="352" t="s">
        <v>2126</v>
      </c>
      <c r="H1131" s="37" t="s">
        <v>1805</v>
      </c>
      <c r="I1131" s="176" t="s">
        <v>613</v>
      </c>
      <c r="J1131" s="352" t="s">
        <v>3579</v>
      </c>
      <c r="K1131" s="352">
        <v>1</v>
      </c>
      <c r="L1131" s="352" t="s">
        <v>2696</v>
      </c>
      <c r="M1131" s="351">
        <v>300</v>
      </c>
      <c r="N1131" s="351" t="s">
        <v>1109</v>
      </c>
      <c r="O1131" s="351">
        <v>1</v>
      </c>
      <c r="P1131" s="349" t="s">
        <v>1837</v>
      </c>
      <c r="R1131" s="349">
        <f t="shared" si="17"/>
        <v>14</v>
      </c>
      <c r="S1131" s="352"/>
      <c r="T1131" s="352"/>
      <c r="U1131" s="352"/>
      <c r="V1131" s="353"/>
      <c r="W1131" s="352"/>
      <c r="X1131" s="176"/>
      <c r="Y1131" s="176"/>
      <c r="Z1131" s="352"/>
      <c r="AA1131" s="352"/>
      <c r="AB1131" s="352"/>
      <c r="AC1131" s="352"/>
      <c r="AD1131" s="352"/>
    </row>
    <row r="1132" spans="1:30" ht="25.65" hidden="1" x14ac:dyDescent="0.35">
      <c r="A1132" s="349">
        <v>1131</v>
      </c>
      <c r="B1132" s="352" t="s">
        <v>1442</v>
      </c>
      <c r="C1132" s="351" t="s">
        <v>186</v>
      </c>
      <c r="D1132" s="352" t="s">
        <v>186</v>
      </c>
      <c r="E1132" s="352" t="s">
        <v>1996</v>
      </c>
      <c r="F1132" s="353"/>
      <c r="G1132" s="352" t="s">
        <v>2126</v>
      </c>
      <c r="H1132" s="176"/>
      <c r="I1132" s="176" t="s">
        <v>187</v>
      </c>
      <c r="J1132" s="352" t="s">
        <v>3579</v>
      </c>
      <c r="K1132" s="352">
        <v>1</v>
      </c>
      <c r="L1132" s="352" t="s">
        <v>2696</v>
      </c>
      <c r="M1132" s="352"/>
      <c r="N1132" s="352"/>
      <c r="O1132" s="351">
        <v>1</v>
      </c>
      <c r="P1132" s="349" t="s">
        <v>3828</v>
      </c>
      <c r="R1132" s="349">
        <f t="shared" si="17"/>
        <v>13</v>
      </c>
      <c r="S1132" s="352"/>
      <c r="T1132" s="352"/>
      <c r="U1132" s="352"/>
      <c r="V1132" s="353"/>
      <c r="W1132" s="352"/>
      <c r="X1132" s="176"/>
      <c r="Y1132" s="176"/>
      <c r="Z1132" s="352"/>
      <c r="AA1132" s="352"/>
      <c r="AB1132" s="352"/>
      <c r="AC1132" s="352"/>
      <c r="AD1132" s="352"/>
    </row>
    <row r="1133" spans="1:30" ht="25.65" hidden="1" x14ac:dyDescent="0.35">
      <c r="A1133" s="349">
        <v>1132</v>
      </c>
      <c r="B1133" s="352" t="s">
        <v>1442</v>
      </c>
      <c r="C1133" s="351" t="s">
        <v>186</v>
      </c>
      <c r="D1133" s="352" t="s">
        <v>186</v>
      </c>
      <c r="E1133" s="352" t="s">
        <v>1996</v>
      </c>
      <c r="F1133" s="353"/>
      <c r="G1133" s="352" t="s">
        <v>2126</v>
      </c>
      <c r="H1133" s="176"/>
      <c r="I1133" s="176" t="s">
        <v>187</v>
      </c>
      <c r="J1133" s="352" t="s">
        <v>3579</v>
      </c>
      <c r="K1133" s="352">
        <v>1.5</v>
      </c>
      <c r="L1133" s="352" t="s">
        <v>2696</v>
      </c>
      <c r="M1133" s="352"/>
      <c r="N1133" s="352"/>
      <c r="O1133" s="351">
        <v>1.5</v>
      </c>
      <c r="P1133" s="349" t="s">
        <v>3828</v>
      </c>
      <c r="R1133" s="349">
        <f t="shared" si="17"/>
        <v>13</v>
      </c>
      <c r="S1133" s="352"/>
      <c r="T1133" s="352"/>
      <c r="U1133" s="352"/>
      <c r="V1133" s="353"/>
      <c r="W1133" s="352"/>
      <c r="X1133" s="176"/>
      <c r="Y1133" s="176"/>
      <c r="Z1133" s="352"/>
      <c r="AA1133" s="352"/>
      <c r="AB1133" s="352"/>
      <c r="AC1133" s="352"/>
      <c r="AD1133" s="352"/>
    </row>
    <row r="1134" spans="1:30" ht="25.65" hidden="1" x14ac:dyDescent="0.35">
      <c r="A1134" s="349">
        <v>1133</v>
      </c>
      <c r="B1134" s="352" t="s">
        <v>1442</v>
      </c>
      <c r="C1134" s="351" t="s">
        <v>4246</v>
      </c>
      <c r="D1134" s="352" t="s">
        <v>186</v>
      </c>
      <c r="E1134" s="352" t="s">
        <v>1996</v>
      </c>
      <c r="F1134" s="353"/>
      <c r="G1134" s="352" t="s">
        <v>2126</v>
      </c>
      <c r="H1134" s="176"/>
      <c r="I1134" s="176" t="s">
        <v>187</v>
      </c>
      <c r="J1134" s="352" t="s">
        <v>3579</v>
      </c>
      <c r="K1134" s="352">
        <v>1</v>
      </c>
      <c r="L1134" s="352" t="s">
        <v>2696</v>
      </c>
      <c r="M1134" s="351"/>
      <c r="N1134" s="351"/>
      <c r="O1134" s="351">
        <v>1</v>
      </c>
      <c r="P1134" s="349" t="s">
        <v>3828</v>
      </c>
      <c r="R1134" s="349">
        <f t="shared" si="17"/>
        <v>13</v>
      </c>
      <c r="S1134" s="352"/>
      <c r="T1134" s="352"/>
      <c r="U1134" s="352"/>
      <c r="V1134" s="353"/>
      <c r="W1134" s="352"/>
      <c r="X1134" s="176"/>
      <c r="Y1134" s="176"/>
      <c r="Z1134" s="352"/>
      <c r="AA1134" s="352"/>
      <c r="AB1134" s="352"/>
      <c r="AC1134" s="351"/>
      <c r="AD1134" s="351"/>
    </row>
    <row r="1135" spans="1:30" ht="25.65" hidden="1" x14ac:dyDescent="0.35">
      <c r="A1135" s="349">
        <v>1134</v>
      </c>
      <c r="B1135" s="352" t="s">
        <v>1442</v>
      </c>
      <c r="C1135" s="351" t="s">
        <v>4246</v>
      </c>
      <c r="D1135" s="352" t="s">
        <v>186</v>
      </c>
      <c r="E1135" s="352" t="s">
        <v>1996</v>
      </c>
      <c r="F1135" s="353"/>
      <c r="G1135" s="352" t="s">
        <v>2126</v>
      </c>
      <c r="H1135" s="176"/>
      <c r="I1135" s="176" t="s">
        <v>187</v>
      </c>
      <c r="J1135" s="352" t="s">
        <v>3579</v>
      </c>
      <c r="K1135" s="352">
        <v>1.5</v>
      </c>
      <c r="L1135" s="352" t="s">
        <v>2696</v>
      </c>
      <c r="M1135" s="351"/>
      <c r="N1135" s="351"/>
      <c r="O1135" s="351">
        <v>1.5</v>
      </c>
      <c r="P1135" s="349" t="s">
        <v>3828</v>
      </c>
      <c r="R1135" s="349">
        <f t="shared" si="17"/>
        <v>13</v>
      </c>
      <c r="S1135" s="352"/>
      <c r="T1135" s="352"/>
      <c r="U1135" s="352"/>
      <c r="V1135" s="353"/>
      <c r="W1135" s="352"/>
      <c r="X1135" s="176"/>
      <c r="Y1135" s="176"/>
      <c r="Z1135" s="352"/>
      <c r="AA1135" s="352"/>
      <c r="AB1135" s="352"/>
      <c r="AC1135" s="352"/>
      <c r="AD1135" s="352"/>
    </row>
    <row r="1136" spans="1:30" ht="51.3" hidden="1" x14ac:dyDescent="0.35">
      <c r="A1136" s="349">
        <v>1135</v>
      </c>
      <c r="B1136" s="352" t="s">
        <v>1447</v>
      </c>
      <c r="C1136" s="351" t="s">
        <v>3942</v>
      </c>
      <c r="D1136" s="352" t="s">
        <v>1426</v>
      </c>
      <c r="E1136" s="352" t="s">
        <v>1137</v>
      </c>
      <c r="F1136" s="353">
        <v>4.0999999999999996</v>
      </c>
      <c r="G1136" s="352" t="s">
        <v>2126</v>
      </c>
      <c r="H1136" s="176" t="s">
        <v>1608</v>
      </c>
      <c r="I1136" s="176" t="s">
        <v>2124</v>
      </c>
      <c r="J1136" s="352" t="s">
        <v>3579</v>
      </c>
      <c r="K1136" s="352">
        <v>0.3</v>
      </c>
      <c r="L1136" s="352" t="s">
        <v>1607</v>
      </c>
      <c r="M1136" s="351">
        <v>50</v>
      </c>
      <c r="N1136" s="351" t="s">
        <v>1109</v>
      </c>
      <c r="O1136" s="351">
        <v>0.3</v>
      </c>
      <c r="P1136" s="349" t="s">
        <v>1837</v>
      </c>
      <c r="R1136" s="349">
        <f t="shared" si="17"/>
        <v>23</v>
      </c>
      <c r="S1136" s="352"/>
      <c r="T1136" s="352"/>
      <c r="U1136" s="352"/>
      <c r="V1136" s="353"/>
      <c r="W1136" s="352"/>
      <c r="X1136" s="176"/>
      <c r="Y1136" s="176"/>
      <c r="Z1136" s="352"/>
      <c r="AA1136" s="352"/>
      <c r="AB1136" s="352"/>
      <c r="AC1136" s="352"/>
      <c r="AD1136" s="352"/>
    </row>
    <row r="1137" spans="1:30" ht="51.3" hidden="1" x14ac:dyDescent="0.35">
      <c r="A1137" s="349">
        <v>1136</v>
      </c>
      <c r="B1137" s="352" t="s">
        <v>1447</v>
      </c>
      <c r="C1137" s="351" t="s">
        <v>4247</v>
      </c>
      <c r="D1137" s="352" t="s">
        <v>1426</v>
      </c>
      <c r="E1137" s="352" t="s">
        <v>1137</v>
      </c>
      <c r="F1137" s="353">
        <v>4.0999999999999996</v>
      </c>
      <c r="G1137" s="352" t="s">
        <v>2126</v>
      </c>
      <c r="H1137" s="176" t="s">
        <v>1608</v>
      </c>
      <c r="I1137" s="176" t="s">
        <v>2124</v>
      </c>
      <c r="J1137" s="352" t="s">
        <v>3579</v>
      </c>
      <c r="K1137" s="352">
        <v>0.3</v>
      </c>
      <c r="L1137" s="352" t="s">
        <v>1607</v>
      </c>
      <c r="M1137" s="352">
        <v>50</v>
      </c>
      <c r="N1137" s="352" t="s">
        <v>1109</v>
      </c>
      <c r="O1137" s="351">
        <v>0.3</v>
      </c>
      <c r="P1137" s="349" t="s">
        <v>1837</v>
      </c>
      <c r="R1137" s="349">
        <f t="shared" si="17"/>
        <v>23</v>
      </c>
      <c r="S1137" s="352"/>
      <c r="T1137" s="352"/>
      <c r="U1137" s="352"/>
      <c r="V1137" s="353"/>
      <c r="W1137" s="352"/>
      <c r="X1137" s="176"/>
      <c r="Y1137" s="176"/>
      <c r="Z1137" s="352"/>
      <c r="AA1137" s="352"/>
      <c r="AB1137" s="352"/>
      <c r="AC1137" s="352"/>
      <c r="AD1137" s="352"/>
    </row>
    <row r="1138" spans="1:30" ht="102.55" hidden="1" x14ac:dyDescent="0.35">
      <c r="A1138" s="349">
        <v>1137</v>
      </c>
      <c r="B1138" s="352" t="s">
        <v>1799</v>
      </c>
      <c r="C1138" s="351" t="s">
        <v>3197</v>
      </c>
      <c r="D1138" s="352" t="s">
        <v>3197</v>
      </c>
      <c r="E1138" s="352" t="s">
        <v>1998</v>
      </c>
      <c r="F1138" s="353">
        <v>0.1</v>
      </c>
      <c r="G1138" s="352" t="s">
        <v>2126</v>
      </c>
      <c r="H1138" s="176" t="s">
        <v>2257</v>
      </c>
      <c r="I1138" s="176" t="s">
        <v>1055</v>
      </c>
      <c r="J1138" s="352" t="s">
        <v>22</v>
      </c>
      <c r="K1138" s="352">
        <v>170</v>
      </c>
      <c r="L1138" s="352" t="s">
        <v>23</v>
      </c>
      <c r="M1138" s="352"/>
      <c r="N1138" s="352"/>
      <c r="O1138" s="351">
        <v>170</v>
      </c>
      <c r="P1138" s="349" t="s">
        <v>1836</v>
      </c>
      <c r="R1138" s="349">
        <f t="shared" si="17"/>
        <v>12</v>
      </c>
      <c r="S1138" s="352"/>
      <c r="T1138" s="352"/>
      <c r="U1138" s="352"/>
      <c r="V1138" s="353"/>
      <c r="W1138" s="352"/>
      <c r="X1138" s="176"/>
      <c r="Y1138" s="176"/>
      <c r="Z1138" s="352"/>
      <c r="AA1138" s="352"/>
      <c r="AB1138" s="352"/>
      <c r="AC1138" s="352"/>
      <c r="AD1138" s="352"/>
    </row>
    <row r="1139" spans="1:30" ht="102.55" hidden="1" x14ac:dyDescent="0.35">
      <c r="A1139" s="349">
        <v>1138</v>
      </c>
      <c r="B1139" s="352" t="s">
        <v>1799</v>
      </c>
      <c r="C1139" s="351" t="s">
        <v>3197</v>
      </c>
      <c r="D1139" s="352" t="s">
        <v>3197</v>
      </c>
      <c r="E1139" s="352" t="s">
        <v>1998</v>
      </c>
      <c r="F1139" s="353">
        <v>0.1</v>
      </c>
      <c r="G1139" s="352" t="s">
        <v>2126</v>
      </c>
      <c r="H1139" s="176" t="s">
        <v>2257</v>
      </c>
      <c r="I1139" s="176" t="s">
        <v>1055</v>
      </c>
      <c r="J1139" s="352" t="s">
        <v>22</v>
      </c>
      <c r="K1139" s="352">
        <v>170</v>
      </c>
      <c r="L1139" s="352" t="s">
        <v>23</v>
      </c>
      <c r="M1139" s="352"/>
      <c r="N1139" s="352"/>
      <c r="O1139" s="351">
        <v>170</v>
      </c>
      <c r="P1139" s="349" t="s">
        <v>1836</v>
      </c>
      <c r="R1139" s="349">
        <f t="shared" si="17"/>
        <v>12</v>
      </c>
      <c r="S1139" s="352"/>
      <c r="T1139" s="352"/>
      <c r="U1139" s="352"/>
      <c r="V1139" s="353"/>
      <c r="W1139" s="352"/>
      <c r="X1139" s="176"/>
      <c r="Y1139" s="176"/>
      <c r="Z1139" s="352"/>
      <c r="AA1139" s="352"/>
      <c r="AB1139" s="352"/>
      <c r="AC1139" s="351"/>
      <c r="AD1139" s="351"/>
    </row>
    <row r="1140" spans="1:30" ht="76.900000000000006" hidden="1" x14ac:dyDescent="0.35">
      <c r="A1140" s="349">
        <v>1139</v>
      </c>
      <c r="B1140" s="352" t="s">
        <v>1799</v>
      </c>
      <c r="C1140" s="351" t="s">
        <v>3017</v>
      </c>
      <c r="D1140" s="352" t="s">
        <v>3017</v>
      </c>
      <c r="E1140" s="352" t="s">
        <v>2022</v>
      </c>
      <c r="F1140" s="353">
        <v>1.5</v>
      </c>
      <c r="G1140" s="352" t="s">
        <v>2126</v>
      </c>
      <c r="H1140" s="176" t="s">
        <v>2043</v>
      </c>
      <c r="I1140" s="176" t="s">
        <v>3247</v>
      </c>
      <c r="J1140" s="352" t="s">
        <v>4025</v>
      </c>
      <c r="K1140" s="352">
        <v>5</v>
      </c>
      <c r="L1140" s="352" t="s">
        <v>4032</v>
      </c>
      <c r="M1140" s="352"/>
      <c r="N1140" s="352"/>
      <c r="O1140" s="351">
        <v>5</v>
      </c>
      <c r="P1140" s="349" t="s">
        <v>1836</v>
      </c>
      <c r="R1140" s="349">
        <f t="shared" si="17"/>
        <v>12</v>
      </c>
      <c r="S1140" s="352"/>
      <c r="T1140" s="352"/>
      <c r="U1140" s="352"/>
      <c r="V1140" s="353"/>
      <c r="W1140" s="352"/>
      <c r="X1140" s="176"/>
      <c r="Y1140" s="176"/>
      <c r="Z1140" s="352"/>
      <c r="AA1140" s="352"/>
      <c r="AB1140" s="352"/>
      <c r="AC1140" s="352"/>
      <c r="AD1140" s="352"/>
    </row>
    <row r="1141" spans="1:30" ht="102.55" hidden="1" x14ac:dyDescent="0.35">
      <c r="A1141" s="349">
        <v>1140</v>
      </c>
      <c r="B1141" s="352" t="s">
        <v>1447</v>
      </c>
      <c r="C1141" s="351" t="s">
        <v>3773</v>
      </c>
      <c r="D1141" s="352" t="s">
        <v>3773</v>
      </c>
      <c r="E1141" s="352" t="s">
        <v>2857</v>
      </c>
      <c r="F1141" s="353">
        <v>0.7</v>
      </c>
      <c r="G1141" s="352" t="s">
        <v>1107</v>
      </c>
      <c r="H1141" s="176" t="s">
        <v>4669</v>
      </c>
      <c r="I1141" s="176" t="s">
        <v>1802</v>
      </c>
      <c r="J1141" s="352" t="s">
        <v>828</v>
      </c>
      <c r="K1141" s="352">
        <v>1.5</v>
      </c>
      <c r="L1141" s="352" t="s">
        <v>1607</v>
      </c>
      <c r="M1141" s="352">
        <v>10</v>
      </c>
      <c r="N1141" s="352" t="s">
        <v>1109</v>
      </c>
      <c r="O1141" s="351">
        <v>1.5</v>
      </c>
      <c r="P1141" s="349" t="s">
        <v>1837</v>
      </c>
      <c r="R1141" s="349">
        <f t="shared" si="17"/>
        <v>22</v>
      </c>
      <c r="S1141" s="352"/>
      <c r="T1141" s="352"/>
      <c r="U1141" s="352"/>
      <c r="V1141" s="353"/>
      <c r="W1141" s="352"/>
      <c r="X1141" s="176"/>
      <c r="Y1141" s="176"/>
      <c r="Z1141" s="352"/>
      <c r="AA1141" s="352"/>
      <c r="AB1141" s="352"/>
      <c r="AC1141" s="352"/>
      <c r="AD1141" s="352"/>
    </row>
    <row r="1142" spans="1:30" ht="102.55" hidden="1" x14ac:dyDescent="0.35">
      <c r="A1142" s="349">
        <v>1141</v>
      </c>
      <c r="B1142" s="352" t="s">
        <v>1447</v>
      </c>
      <c r="C1142" s="351" t="s">
        <v>4248</v>
      </c>
      <c r="D1142" s="352" t="s">
        <v>3773</v>
      </c>
      <c r="E1142" s="352" t="s">
        <v>2857</v>
      </c>
      <c r="F1142" s="353">
        <v>0.7</v>
      </c>
      <c r="G1142" s="352" t="s">
        <v>1107</v>
      </c>
      <c r="H1142" s="176" t="s">
        <v>4669</v>
      </c>
      <c r="I1142" s="176" t="s">
        <v>1802</v>
      </c>
      <c r="J1142" s="352" t="s">
        <v>828</v>
      </c>
      <c r="K1142" s="352">
        <v>1.5</v>
      </c>
      <c r="L1142" s="352" t="s">
        <v>1607</v>
      </c>
      <c r="M1142" s="351">
        <v>10</v>
      </c>
      <c r="N1142" s="351" t="s">
        <v>1109</v>
      </c>
      <c r="O1142" s="351">
        <v>1.5</v>
      </c>
      <c r="P1142" s="349" t="s">
        <v>1837</v>
      </c>
      <c r="R1142" s="349">
        <f t="shared" si="17"/>
        <v>22</v>
      </c>
      <c r="S1142" s="352"/>
      <c r="T1142" s="352"/>
      <c r="U1142" s="352"/>
      <c r="V1142" s="353"/>
      <c r="W1142" s="352"/>
      <c r="X1142" s="176"/>
      <c r="Y1142" s="176"/>
      <c r="Z1142" s="352"/>
      <c r="AA1142" s="352"/>
      <c r="AB1142" s="352"/>
      <c r="AC1142" s="352"/>
      <c r="AD1142" s="352"/>
    </row>
    <row r="1143" spans="1:30" ht="76.900000000000006" hidden="1" x14ac:dyDescent="0.35">
      <c r="A1143" s="349">
        <v>1142</v>
      </c>
      <c r="B1143" s="352" t="s">
        <v>778</v>
      </c>
      <c r="C1143" s="351" t="s">
        <v>4249</v>
      </c>
      <c r="D1143" s="352" t="s">
        <v>235</v>
      </c>
      <c r="E1143" s="352" t="s">
        <v>2855</v>
      </c>
      <c r="F1143" s="353">
        <v>2.5783</v>
      </c>
      <c r="G1143" s="352" t="s">
        <v>1665</v>
      </c>
      <c r="H1143" s="176" t="s">
        <v>1651</v>
      </c>
      <c r="I1143" s="176" t="s">
        <v>1652</v>
      </c>
      <c r="J1143" s="352" t="s">
        <v>828</v>
      </c>
      <c r="K1143" s="352">
        <v>10</v>
      </c>
      <c r="L1143" s="352" t="s">
        <v>1116</v>
      </c>
      <c r="M1143" s="352">
        <v>1</v>
      </c>
      <c r="N1143" s="352" t="s">
        <v>1109</v>
      </c>
      <c r="O1143" s="351">
        <v>10</v>
      </c>
      <c r="P1143" s="349" t="s">
        <v>1836</v>
      </c>
      <c r="R1143" s="349">
        <f t="shared" si="17"/>
        <v>22</v>
      </c>
      <c r="S1143" s="352"/>
      <c r="T1143" s="352"/>
      <c r="U1143" s="352"/>
      <c r="V1143" s="353"/>
      <c r="W1143" s="352"/>
      <c r="X1143" s="176"/>
      <c r="Y1143" s="176"/>
      <c r="Z1143" s="352"/>
      <c r="AA1143" s="352"/>
      <c r="AB1143" s="352"/>
      <c r="AC1143" s="352"/>
      <c r="AD1143" s="352"/>
    </row>
    <row r="1144" spans="1:30" ht="76.900000000000006" hidden="1" x14ac:dyDescent="0.35">
      <c r="A1144" s="349">
        <v>1143</v>
      </c>
      <c r="B1144" s="352" t="s">
        <v>778</v>
      </c>
      <c r="C1144" s="351" t="s">
        <v>4249</v>
      </c>
      <c r="D1144" s="352" t="s">
        <v>235</v>
      </c>
      <c r="E1144" s="352" t="s">
        <v>2855</v>
      </c>
      <c r="F1144" s="353">
        <v>8.81</v>
      </c>
      <c r="G1144" s="352" t="s">
        <v>1665</v>
      </c>
      <c r="H1144" s="176" t="s">
        <v>1651</v>
      </c>
      <c r="I1144" s="176" t="s">
        <v>1652</v>
      </c>
      <c r="J1144" s="352" t="s">
        <v>828</v>
      </c>
      <c r="K1144" s="352">
        <v>40</v>
      </c>
      <c r="L1144" s="352" t="s">
        <v>1116</v>
      </c>
      <c r="M1144" s="352">
        <v>1</v>
      </c>
      <c r="N1144" s="352" t="s">
        <v>1109</v>
      </c>
      <c r="O1144" s="351">
        <v>40</v>
      </c>
      <c r="P1144" s="349" t="s">
        <v>1836</v>
      </c>
      <c r="R1144" s="349">
        <f t="shared" si="17"/>
        <v>22</v>
      </c>
      <c r="S1144" s="352"/>
      <c r="T1144" s="352"/>
      <c r="U1144" s="352"/>
      <c r="V1144" s="353"/>
      <c r="W1144" s="352"/>
      <c r="X1144" s="176"/>
      <c r="Y1144" s="176"/>
      <c r="Z1144" s="352"/>
      <c r="AA1144" s="352"/>
      <c r="AB1144" s="352"/>
      <c r="AC1144" s="352"/>
      <c r="AD1144" s="352"/>
    </row>
    <row r="1145" spans="1:30" ht="25.65" hidden="1" x14ac:dyDescent="0.35">
      <c r="A1145" s="349">
        <v>1144</v>
      </c>
      <c r="B1145" s="352" t="s">
        <v>1792</v>
      </c>
      <c r="C1145" s="351" t="s">
        <v>4250</v>
      </c>
      <c r="D1145" s="352" t="s">
        <v>2406</v>
      </c>
      <c r="E1145" s="352" t="s">
        <v>2697</v>
      </c>
      <c r="F1145" s="353">
        <v>17.6297</v>
      </c>
      <c r="G1145" s="352" t="s">
        <v>34</v>
      </c>
      <c r="H1145" s="176" t="s">
        <v>1349</v>
      </c>
      <c r="I1145" s="176" t="s">
        <v>4934</v>
      </c>
      <c r="J1145" s="352" t="s">
        <v>2131</v>
      </c>
      <c r="K1145" s="352">
        <v>0.1</v>
      </c>
      <c r="L1145" s="352" t="s">
        <v>470</v>
      </c>
      <c r="M1145" s="352">
        <v>10</v>
      </c>
      <c r="N1145" s="352" t="s">
        <v>31</v>
      </c>
      <c r="O1145" s="351">
        <v>0.1</v>
      </c>
      <c r="P1145" s="349" t="s">
        <v>1838</v>
      </c>
      <c r="R1145" s="349">
        <f t="shared" si="17"/>
        <v>21</v>
      </c>
      <c r="S1145" s="352"/>
      <c r="T1145" s="352"/>
      <c r="U1145" s="352"/>
      <c r="V1145" s="353"/>
      <c r="W1145" s="352"/>
      <c r="X1145" s="176"/>
      <c r="Y1145" s="176"/>
      <c r="Z1145" s="352"/>
      <c r="AA1145" s="352"/>
      <c r="AB1145" s="352"/>
      <c r="AC1145" s="352"/>
      <c r="AD1145" s="352"/>
    </row>
    <row r="1146" spans="1:30" ht="38.450000000000003" hidden="1" x14ac:dyDescent="0.35">
      <c r="A1146" s="349">
        <v>1145</v>
      </c>
      <c r="B1146" s="352" t="s">
        <v>2285</v>
      </c>
      <c r="C1146" s="351" t="s">
        <v>4251</v>
      </c>
      <c r="D1146" s="352" t="s">
        <v>4231</v>
      </c>
      <c r="E1146" s="352" t="s">
        <v>2022</v>
      </c>
      <c r="F1146" s="353">
        <v>20.7149</v>
      </c>
      <c r="G1146" s="352" t="s">
        <v>2126</v>
      </c>
      <c r="H1146" s="176" t="s">
        <v>2953</v>
      </c>
      <c r="I1146" s="176" t="s">
        <v>2954</v>
      </c>
      <c r="J1146" s="352" t="s">
        <v>4025</v>
      </c>
      <c r="K1146" s="352">
        <v>4000</v>
      </c>
      <c r="L1146" s="352" t="s">
        <v>2698</v>
      </c>
      <c r="M1146" s="352"/>
      <c r="N1146" s="352"/>
      <c r="O1146" s="351">
        <v>4000</v>
      </c>
      <c r="P1146" s="349" t="s">
        <v>2313</v>
      </c>
      <c r="R1146" s="349">
        <f t="shared" si="17"/>
        <v>9</v>
      </c>
      <c r="S1146" s="352"/>
      <c r="T1146" s="352"/>
      <c r="U1146" s="352"/>
      <c r="V1146" s="353"/>
      <c r="W1146" s="352"/>
      <c r="X1146" s="176"/>
      <c r="Y1146" s="176"/>
      <c r="Z1146" s="352"/>
      <c r="AA1146" s="352"/>
      <c r="AB1146" s="352"/>
      <c r="AC1146" s="352"/>
      <c r="AD1146" s="352"/>
    </row>
    <row r="1147" spans="1:30" ht="89.75" hidden="1" x14ac:dyDescent="0.35">
      <c r="A1147" s="349">
        <v>1146</v>
      </c>
      <c r="B1147" s="352" t="s">
        <v>1073</v>
      </c>
      <c r="C1147" s="351" t="s">
        <v>4252</v>
      </c>
      <c r="D1147" s="352" t="s">
        <v>1509</v>
      </c>
      <c r="E1147" s="352" t="s">
        <v>730</v>
      </c>
      <c r="F1147" s="353">
        <v>51.94</v>
      </c>
      <c r="G1147" s="352" t="s">
        <v>373</v>
      </c>
      <c r="H1147" s="176" t="s">
        <v>1510</v>
      </c>
      <c r="I1147" s="176" t="s">
        <v>4742</v>
      </c>
      <c r="J1147" s="352" t="s">
        <v>1115</v>
      </c>
      <c r="K1147" s="352">
        <v>25</v>
      </c>
      <c r="L1147" s="352" t="s">
        <v>1116</v>
      </c>
      <c r="M1147" s="352">
        <v>10</v>
      </c>
      <c r="N1147" s="352" t="s">
        <v>1109</v>
      </c>
      <c r="O1147" s="351">
        <v>25</v>
      </c>
      <c r="P1147" s="349" t="s">
        <v>1836</v>
      </c>
      <c r="R1147" s="349">
        <f t="shared" si="17"/>
        <v>10</v>
      </c>
      <c r="S1147" s="352"/>
      <c r="T1147" s="352"/>
      <c r="U1147" s="352"/>
      <c r="V1147" s="353"/>
      <c r="W1147" s="352"/>
      <c r="X1147" s="176"/>
      <c r="Y1147" s="176"/>
      <c r="Z1147" s="352"/>
      <c r="AA1147" s="352"/>
      <c r="AB1147" s="352"/>
      <c r="AC1147" s="352"/>
      <c r="AD1147" s="352"/>
    </row>
    <row r="1148" spans="1:30" ht="89.75" hidden="1" x14ac:dyDescent="0.35">
      <c r="A1148" s="349">
        <v>1147</v>
      </c>
      <c r="B1148" s="352" t="s">
        <v>1073</v>
      </c>
      <c r="C1148" s="351" t="s">
        <v>4252</v>
      </c>
      <c r="D1148" s="352" t="s">
        <v>1509</v>
      </c>
      <c r="E1148" s="352" t="s">
        <v>3583</v>
      </c>
      <c r="F1148" s="353">
        <v>25.67</v>
      </c>
      <c r="G1148" s="352" t="s">
        <v>373</v>
      </c>
      <c r="H1148" s="176" t="s">
        <v>1510</v>
      </c>
      <c r="I1148" s="176" t="s">
        <v>4742</v>
      </c>
      <c r="J1148" s="352" t="s">
        <v>1115</v>
      </c>
      <c r="K1148" s="352">
        <v>5</v>
      </c>
      <c r="L1148" s="352" t="s">
        <v>1116</v>
      </c>
      <c r="M1148" s="352">
        <v>20</v>
      </c>
      <c r="N1148" s="352" t="s">
        <v>1109</v>
      </c>
      <c r="O1148" s="351">
        <v>5</v>
      </c>
      <c r="P1148" s="349" t="s">
        <v>1836</v>
      </c>
      <c r="R1148" s="349">
        <f t="shared" si="17"/>
        <v>10</v>
      </c>
      <c r="S1148" s="352"/>
      <c r="T1148" s="352"/>
      <c r="U1148" s="352"/>
      <c r="V1148" s="353"/>
      <c r="W1148" s="352"/>
      <c r="X1148" s="37"/>
      <c r="Y1148" s="176"/>
      <c r="Z1148" s="352"/>
      <c r="AA1148" s="352"/>
      <c r="AB1148" s="352"/>
      <c r="AC1148" s="352"/>
      <c r="AD1148" s="352"/>
    </row>
    <row r="1149" spans="1:30" ht="51.3" hidden="1" x14ac:dyDescent="0.35">
      <c r="A1149" s="349">
        <v>1148</v>
      </c>
      <c r="B1149" s="352" t="s">
        <v>2694</v>
      </c>
      <c r="C1149" s="351" t="s">
        <v>67</v>
      </c>
      <c r="D1149" s="352" t="s">
        <v>67</v>
      </c>
      <c r="E1149" s="352" t="s">
        <v>2857</v>
      </c>
      <c r="F1149" s="353">
        <v>68.932000000000002</v>
      </c>
      <c r="G1149" s="352" t="s">
        <v>1107</v>
      </c>
      <c r="H1149" s="176" t="s">
        <v>398</v>
      </c>
      <c r="I1149" s="176" t="s">
        <v>399</v>
      </c>
      <c r="J1149" s="352" t="s">
        <v>828</v>
      </c>
      <c r="K1149" s="352">
        <v>5</v>
      </c>
      <c r="L1149" s="352" t="s">
        <v>1116</v>
      </c>
      <c r="M1149" s="352">
        <v>10</v>
      </c>
      <c r="N1149" s="352" t="s">
        <v>1109</v>
      </c>
      <c r="O1149" s="351">
        <v>5</v>
      </c>
      <c r="P1149" s="349" t="s">
        <v>1836</v>
      </c>
      <c r="R1149" s="349">
        <f t="shared" si="17"/>
        <v>11</v>
      </c>
      <c r="S1149" s="352"/>
      <c r="T1149" s="352"/>
      <c r="U1149" s="352"/>
      <c r="V1149" s="353"/>
      <c r="W1149" s="352"/>
      <c r="X1149" s="176"/>
      <c r="Y1149" s="176"/>
      <c r="Z1149" s="352"/>
      <c r="AA1149" s="352"/>
      <c r="AB1149" s="352"/>
      <c r="AC1149" s="352"/>
      <c r="AD1149" s="352"/>
    </row>
    <row r="1150" spans="1:30" ht="51.3" hidden="1" x14ac:dyDescent="0.35">
      <c r="A1150" s="349">
        <v>1149</v>
      </c>
      <c r="B1150" s="352" t="s">
        <v>2694</v>
      </c>
      <c r="C1150" s="351" t="s">
        <v>67</v>
      </c>
      <c r="D1150" s="352" t="s">
        <v>67</v>
      </c>
      <c r="E1150" s="352" t="s">
        <v>762</v>
      </c>
      <c r="F1150" s="353">
        <v>21.420100000000001</v>
      </c>
      <c r="G1150" s="352" t="s">
        <v>1107</v>
      </c>
      <c r="H1150" s="176" t="s">
        <v>398</v>
      </c>
      <c r="I1150" s="176" t="s">
        <v>399</v>
      </c>
      <c r="J1150" s="352" t="s">
        <v>828</v>
      </c>
      <c r="K1150" s="352">
        <v>5</v>
      </c>
      <c r="L1150" s="352" t="s">
        <v>1116</v>
      </c>
      <c r="M1150" s="352">
        <v>2</v>
      </c>
      <c r="N1150" s="352" t="s">
        <v>1109</v>
      </c>
      <c r="O1150" s="351">
        <v>5</v>
      </c>
      <c r="P1150" s="349" t="s">
        <v>1836</v>
      </c>
      <c r="R1150" s="349">
        <f t="shared" si="17"/>
        <v>11</v>
      </c>
      <c r="S1150" s="352"/>
      <c r="T1150" s="352"/>
      <c r="U1150" s="352"/>
      <c r="V1150" s="353"/>
      <c r="W1150" s="352"/>
      <c r="X1150" s="176"/>
      <c r="Y1150" s="176"/>
      <c r="Z1150" s="352"/>
      <c r="AA1150" s="352"/>
      <c r="AB1150" s="352"/>
      <c r="AC1150" s="352"/>
      <c r="AD1150" s="352"/>
    </row>
    <row r="1151" spans="1:30" ht="51.3" hidden="1" x14ac:dyDescent="0.35">
      <c r="A1151" s="349">
        <v>1150</v>
      </c>
      <c r="B1151" s="352" t="s">
        <v>2694</v>
      </c>
      <c r="C1151" s="351" t="s">
        <v>4253</v>
      </c>
      <c r="D1151" s="352" t="s">
        <v>67</v>
      </c>
      <c r="E1151" s="352" t="s">
        <v>2857</v>
      </c>
      <c r="F1151" s="353">
        <v>68.932000000000002</v>
      </c>
      <c r="G1151" s="352" t="s">
        <v>1107</v>
      </c>
      <c r="H1151" s="176" t="s">
        <v>398</v>
      </c>
      <c r="I1151" s="176" t="s">
        <v>399</v>
      </c>
      <c r="J1151" s="352" t="s">
        <v>828</v>
      </c>
      <c r="K1151" s="352">
        <v>5</v>
      </c>
      <c r="L1151" s="352" t="s">
        <v>1116</v>
      </c>
      <c r="M1151" s="351">
        <v>10</v>
      </c>
      <c r="N1151" s="351" t="s">
        <v>1109</v>
      </c>
      <c r="O1151" s="351">
        <v>5</v>
      </c>
      <c r="P1151" s="349" t="s">
        <v>1836</v>
      </c>
      <c r="R1151" s="349">
        <f t="shared" si="17"/>
        <v>11</v>
      </c>
      <c r="S1151" s="352"/>
      <c r="T1151" s="352"/>
      <c r="U1151" s="352"/>
      <c r="V1151" s="353"/>
      <c r="W1151" s="352"/>
      <c r="X1151" s="176"/>
      <c r="Y1151" s="176"/>
      <c r="Z1151" s="352"/>
      <c r="AA1151" s="352"/>
      <c r="AB1151" s="352"/>
      <c r="AC1151" s="352"/>
      <c r="AD1151" s="352"/>
    </row>
    <row r="1152" spans="1:30" ht="51.3" hidden="1" x14ac:dyDescent="0.35">
      <c r="A1152" s="349">
        <v>1151</v>
      </c>
      <c r="B1152" s="352" t="s">
        <v>2694</v>
      </c>
      <c r="C1152" s="351" t="s">
        <v>4253</v>
      </c>
      <c r="D1152" s="352" t="s">
        <v>67</v>
      </c>
      <c r="E1152" s="352" t="s">
        <v>762</v>
      </c>
      <c r="F1152" s="353">
        <v>21.420100000000001</v>
      </c>
      <c r="G1152" s="352" t="s">
        <v>1107</v>
      </c>
      <c r="H1152" s="176" t="s">
        <v>398</v>
      </c>
      <c r="I1152" s="176" t="s">
        <v>399</v>
      </c>
      <c r="J1152" s="352" t="s">
        <v>828</v>
      </c>
      <c r="K1152" s="352">
        <v>5</v>
      </c>
      <c r="L1152" s="352" t="s">
        <v>1116</v>
      </c>
      <c r="M1152" s="352">
        <v>2</v>
      </c>
      <c r="N1152" s="352" t="s">
        <v>1109</v>
      </c>
      <c r="O1152" s="351">
        <v>5</v>
      </c>
      <c r="P1152" s="349" t="s">
        <v>1836</v>
      </c>
      <c r="R1152" s="349">
        <f t="shared" si="17"/>
        <v>11</v>
      </c>
      <c r="S1152" s="352"/>
      <c r="T1152" s="352"/>
      <c r="U1152" s="352"/>
      <c r="V1152" s="353"/>
      <c r="W1152" s="352"/>
      <c r="X1152" s="176"/>
      <c r="Y1152" s="176"/>
      <c r="Z1152" s="352"/>
      <c r="AA1152" s="352"/>
      <c r="AB1152" s="352"/>
      <c r="AC1152" s="352"/>
      <c r="AD1152" s="352"/>
    </row>
    <row r="1153" spans="1:30" ht="25.65" hidden="1" x14ac:dyDescent="0.35">
      <c r="A1153" s="349">
        <v>1152</v>
      </c>
      <c r="B1153" s="352" t="s">
        <v>1474</v>
      </c>
      <c r="C1153" s="351" t="s">
        <v>3733</v>
      </c>
      <c r="D1153" s="352" t="s">
        <v>3733</v>
      </c>
      <c r="E1153" s="352" t="s">
        <v>1475</v>
      </c>
      <c r="F1153" s="353">
        <v>18.7315</v>
      </c>
      <c r="G1153" s="352" t="s">
        <v>34</v>
      </c>
      <c r="H1153" s="176" t="s">
        <v>2993</v>
      </c>
      <c r="I1153" s="176" t="s">
        <v>2994</v>
      </c>
      <c r="J1153" s="352" t="s">
        <v>1476</v>
      </c>
      <c r="K1153" s="352">
        <v>20</v>
      </c>
      <c r="L1153" s="352" t="s">
        <v>1311</v>
      </c>
      <c r="M1153" s="351">
        <v>60</v>
      </c>
      <c r="N1153" s="351" t="s">
        <v>31</v>
      </c>
      <c r="O1153" s="351">
        <v>20</v>
      </c>
      <c r="P1153" s="349" t="s">
        <v>1836</v>
      </c>
      <c r="R1153" s="349">
        <f t="shared" si="17"/>
        <v>11</v>
      </c>
      <c r="S1153" s="352"/>
      <c r="T1153" s="352"/>
      <c r="U1153" s="352"/>
      <c r="V1153" s="353"/>
      <c r="W1153" s="352"/>
      <c r="X1153" s="37"/>
      <c r="Y1153" s="176"/>
      <c r="Z1153" s="352"/>
      <c r="AA1153" s="352"/>
      <c r="AB1153" s="352"/>
      <c r="AC1153" s="352"/>
      <c r="AD1153" s="352"/>
    </row>
    <row r="1154" spans="1:30" ht="38.450000000000003" hidden="1" x14ac:dyDescent="0.35">
      <c r="A1154" s="349">
        <v>1153</v>
      </c>
      <c r="B1154" s="352" t="s">
        <v>4029</v>
      </c>
      <c r="C1154" s="351" t="s">
        <v>262</v>
      </c>
      <c r="D1154" s="352" t="s">
        <v>262</v>
      </c>
      <c r="E1154" s="352" t="s">
        <v>553</v>
      </c>
      <c r="F1154" s="353">
        <v>17.670000000000002</v>
      </c>
      <c r="G1154" s="352" t="s">
        <v>2126</v>
      </c>
      <c r="H1154" s="176" t="s">
        <v>263</v>
      </c>
      <c r="I1154" s="176" t="s">
        <v>207</v>
      </c>
      <c r="J1154" s="352" t="s">
        <v>3579</v>
      </c>
      <c r="K1154" s="351">
        <v>0.2</v>
      </c>
      <c r="L1154" s="351" t="s">
        <v>1116</v>
      </c>
      <c r="M1154" s="352">
        <v>200</v>
      </c>
      <c r="N1154" s="352" t="s">
        <v>1109</v>
      </c>
      <c r="O1154" s="351">
        <v>0.2</v>
      </c>
      <c r="P1154" s="349" t="s">
        <v>1836</v>
      </c>
      <c r="R1154" s="349">
        <f t="shared" si="17"/>
        <v>9</v>
      </c>
      <c r="S1154" s="352"/>
      <c r="T1154" s="352"/>
      <c r="U1154" s="352"/>
      <c r="V1154" s="353"/>
      <c r="W1154" s="352"/>
      <c r="X1154" s="176"/>
      <c r="Y1154" s="176"/>
      <c r="Z1154" s="352"/>
      <c r="AA1154" s="352"/>
      <c r="AB1154" s="352"/>
      <c r="AC1154" s="351"/>
      <c r="AD1154" s="351"/>
    </row>
    <row r="1155" spans="1:30" ht="76.900000000000006" hidden="1" x14ac:dyDescent="0.35">
      <c r="A1155" s="349">
        <v>1154</v>
      </c>
      <c r="B1155" s="352" t="s">
        <v>761</v>
      </c>
      <c r="C1155" s="351" t="s">
        <v>208</v>
      </c>
      <c r="D1155" s="352" t="s">
        <v>208</v>
      </c>
      <c r="E1155" s="352" t="s">
        <v>2002</v>
      </c>
      <c r="F1155" s="353">
        <v>0.44069999999999998</v>
      </c>
      <c r="G1155" s="352" t="s">
        <v>2126</v>
      </c>
      <c r="H1155" s="176" t="s">
        <v>2295</v>
      </c>
      <c r="I1155" s="176" t="s">
        <v>2296</v>
      </c>
      <c r="J1155" s="352" t="s">
        <v>1502</v>
      </c>
      <c r="K1155" s="351">
        <v>200</v>
      </c>
      <c r="L1155" s="351" t="s">
        <v>1503</v>
      </c>
      <c r="M1155" s="352"/>
      <c r="N1155" s="352"/>
      <c r="O1155" s="351">
        <v>200</v>
      </c>
      <c r="P1155" s="349" t="s">
        <v>1836</v>
      </c>
      <c r="R1155" s="349">
        <f t="shared" ref="R1155:R1218" si="18">LEN(D1155)</f>
        <v>8</v>
      </c>
      <c r="S1155" s="352"/>
      <c r="T1155" s="352"/>
      <c r="U1155" s="352"/>
      <c r="V1155" s="353"/>
      <c r="W1155" s="352"/>
      <c r="X1155" s="176"/>
      <c r="Y1155" s="176"/>
      <c r="Z1155" s="352"/>
      <c r="AA1155" s="352"/>
      <c r="AB1155" s="352"/>
      <c r="AC1155" s="352"/>
      <c r="AD1155" s="352"/>
    </row>
    <row r="1156" spans="1:30" ht="51.3" hidden="1" x14ac:dyDescent="0.35">
      <c r="A1156" s="349">
        <v>1155</v>
      </c>
      <c r="B1156" s="352" t="s">
        <v>696</v>
      </c>
      <c r="C1156" s="351" t="s">
        <v>4254</v>
      </c>
      <c r="D1156" s="352" t="s">
        <v>1818</v>
      </c>
      <c r="E1156" s="352" t="s">
        <v>1137</v>
      </c>
      <c r="F1156" s="353">
        <v>15.5</v>
      </c>
      <c r="G1156" s="352" t="s">
        <v>2126</v>
      </c>
      <c r="H1156" s="176" t="s">
        <v>1063</v>
      </c>
      <c r="I1156" s="176" t="s">
        <v>4476</v>
      </c>
      <c r="J1156" s="352" t="s">
        <v>3579</v>
      </c>
      <c r="K1156" s="352">
        <v>25</v>
      </c>
      <c r="L1156" s="352" t="s">
        <v>1116</v>
      </c>
      <c r="M1156" s="352">
        <v>50</v>
      </c>
      <c r="N1156" s="352" t="s">
        <v>1109</v>
      </c>
      <c r="O1156" s="351">
        <v>25</v>
      </c>
      <c r="P1156" s="349" t="s">
        <v>1836</v>
      </c>
      <c r="R1156" s="349">
        <f t="shared" si="18"/>
        <v>14</v>
      </c>
      <c r="S1156" s="352"/>
      <c r="T1156" s="352"/>
      <c r="U1156" s="352"/>
      <c r="V1156" s="353"/>
      <c r="W1156" s="352"/>
      <c r="X1156" s="176"/>
      <c r="Y1156" s="176"/>
      <c r="Z1156" s="352"/>
      <c r="AA1156" s="352"/>
      <c r="AB1156" s="352"/>
      <c r="AC1156" s="352"/>
      <c r="AD1156" s="352"/>
    </row>
    <row r="1157" spans="1:30" ht="51.3" hidden="1" x14ac:dyDescent="0.35">
      <c r="A1157" s="349">
        <v>1156</v>
      </c>
      <c r="B1157" s="352" t="s">
        <v>696</v>
      </c>
      <c r="C1157" s="351" t="s">
        <v>4254</v>
      </c>
      <c r="D1157" s="352" t="s">
        <v>1818</v>
      </c>
      <c r="E1157" s="352" t="s">
        <v>1995</v>
      </c>
      <c r="F1157" s="353">
        <v>2.64</v>
      </c>
      <c r="G1157" s="352" t="s">
        <v>2126</v>
      </c>
      <c r="H1157" s="176" t="s">
        <v>1063</v>
      </c>
      <c r="I1157" s="176" t="s">
        <v>4476</v>
      </c>
      <c r="J1157" s="352" t="s">
        <v>3580</v>
      </c>
      <c r="K1157" s="352">
        <v>250</v>
      </c>
      <c r="L1157" s="352" t="s">
        <v>3581</v>
      </c>
      <c r="M1157" s="352"/>
      <c r="N1157" s="352"/>
      <c r="O1157" s="351">
        <v>250</v>
      </c>
      <c r="P1157" s="349" t="s">
        <v>1836</v>
      </c>
      <c r="R1157" s="349">
        <f t="shared" si="18"/>
        <v>14</v>
      </c>
      <c r="S1157" s="352"/>
      <c r="T1157" s="352"/>
      <c r="U1157" s="352"/>
      <c r="V1157" s="353"/>
      <c r="W1157" s="352"/>
      <c r="X1157" s="176"/>
      <c r="Y1157" s="176"/>
      <c r="Z1157" s="352"/>
      <c r="AA1157" s="352"/>
      <c r="AB1157" s="352"/>
      <c r="AC1157" s="352"/>
      <c r="AD1157" s="352"/>
    </row>
    <row r="1158" spans="1:30" ht="115.35" hidden="1" x14ac:dyDescent="0.35">
      <c r="A1158" s="349">
        <v>1157</v>
      </c>
      <c r="B1158" s="352" t="s">
        <v>965</v>
      </c>
      <c r="C1158" s="351" t="s">
        <v>4255</v>
      </c>
      <c r="D1158" s="352" t="s">
        <v>1427</v>
      </c>
      <c r="E1158" s="352" t="s">
        <v>1477</v>
      </c>
      <c r="F1158" s="353">
        <v>5.2228000000000003</v>
      </c>
      <c r="G1158" s="352" t="s">
        <v>2126</v>
      </c>
      <c r="H1158" s="176" t="s">
        <v>1716</v>
      </c>
      <c r="I1158" s="176" t="s">
        <v>1717</v>
      </c>
      <c r="J1158" s="352" t="s">
        <v>3577</v>
      </c>
      <c r="K1158" s="352"/>
      <c r="L1158" s="352"/>
      <c r="M1158" s="352">
        <v>1</v>
      </c>
      <c r="N1158" s="352" t="s">
        <v>1478</v>
      </c>
      <c r="O1158" s="351">
        <v>0</v>
      </c>
      <c r="P1158" s="349" t="s">
        <v>2313</v>
      </c>
      <c r="R1158" s="349">
        <f t="shared" si="18"/>
        <v>22</v>
      </c>
      <c r="S1158" s="352"/>
      <c r="T1158" s="352"/>
      <c r="U1158" s="352"/>
      <c r="V1158" s="353"/>
      <c r="W1158" s="352"/>
      <c r="X1158" s="176"/>
      <c r="Y1158" s="176"/>
      <c r="Z1158" s="352"/>
      <c r="AA1158" s="352"/>
      <c r="AB1158" s="352"/>
      <c r="AC1158" s="352"/>
      <c r="AD1158" s="352"/>
    </row>
    <row r="1159" spans="1:30" ht="115.35" hidden="1" x14ac:dyDescent="0.35">
      <c r="A1159" s="349">
        <v>1158</v>
      </c>
      <c r="B1159" s="352" t="s">
        <v>965</v>
      </c>
      <c r="C1159" s="351" t="s">
        <v>2499</v>
      </c>
      <c r="D1159" s="352" t="s">
        <v>1427</v>
      </c>
      <c r="E1159" s="352" t="s">
        <v>1477</v>
      </c>
      <c r="F1159" s="353">
        <v>5.2228000000000003</v>
      </c>
      <c r="G1159" s="352" t="s">
        <v>2126</v>
      </c>
      <c r="H1159" s="176" t="s">
        <v>1716</v>
      </c>
      <c r="I1159" s="176" t="s">
        <v>1717</v>
      </c>
      <c r="J1159" s="352" t="s">
        <v>3577</v>
      </c>
      <c r="K1159" s="352"/>
      <c r="L1159" s="352"/>
      <c r="M1159" s="352">
        <v>1</v>
      </c>
      <c r="N1159" s="352" t="s">
        <v>1478</v>
      </c>
      <c r="O1159" s="351">
        <v>0</v>
      </c>
      <c r="P1159" s="349" t="s">
        <v>2313</v>
      </c>
      <c r="R1159" s="349">
        <f t="shared" si="18"/>
        <v>22</v>
      </c>
      <c r="S1159" s="352"/>
      <c r="T1159" s="352"/>
      <c r="U1159" s="352"/>
      <c r="V1159" s="353"/>
      <c r="W1159" s="352"/>
      <c r="X1159" s="176"/>
      <c r="Y1159" s="176"/>
      <c r="Z1159" s="352"/>
      <c r="AA1159" s="352"/>
      <c r="AB1159" s="352"/>
      <c r="AC1159" s="351"/>
      <c r="AD1159" s="351"/>
    </row>
    <row r="1160" spans="1:30" ht="64.099999999999994" hidden="1" x14ac:dyDescent="0.35">
      <c r="A1160" s="349">
        <v>1159</v>
      </c>
      <c r="B1160" s="352" t="s">
        <v>965</v>
      </c>
      <c r="C1160" s="351" t="s">
        <v>4256</v>
      </c>
      <c r="D1160" s="352" t="s">
        <v>449</v>
      </c>
      <c r="E1160" s="352" t="s">
        <v>1007</v>
      </c>
      <c r="F1160" s="353">
        <v>1.4</v>
      </c>
      <c r="G1160" s="352" t="s">
        <v>967</v>
      </c>
      <c r="H1160" s="176" t="s">
        <v>2412</v>
      </c>
      <c r="I1160" s="176" t="s">
        <v>2413</v>
      </c>
      <c r="J1160" s="352" t="s">
        <v>806</v>
      </c>
      <c r="K1160" s="352">
        <v>1</v>
      </c>
      <c r="L1160" s="352" t="s">
        <v>1116</v>
      </c>
      <c r="M1160" s="351">
        <v>100</v>
      </c>
      <c r="N1160" s="351" t="s">
        <v>1109</v>
      </c>
      <c r="O1160" s="351">
        <v>1</v>
      </c>
      <c r="P1160" s="349" t="s">
        <v>1836</v>
      </c>
      <c r="R1160" s="349">
        <f t="shared" si="18"/>
        <v>12</v>
      </c>
      <c r="S1160" s="352"/>
      <c r="T1160" s="352"/>
      <c r="U1160" s="352"/>
      <c r="V1160" s="353"/>
      <c r="W1160" s="352"/>
      <c r="X1160" s="176"/>
      <c r="Y1160" s="176"/>
      <c r="Z1160" s="352"/>
      <c r="AA1160" s="352"/>
      <c r="AB1160" s="352"/>
      <c r="AC1160" s="351"/>
      <c r="AD1160" s="351"/>
    </row>
    <row r="1161" spans="1:30" ht="192.25" hidden="1" x14ac:dyDescent="0.35">
      <c r="A1161" s="349">
        <v>1160</v>
      </c>
      <c r="B1161" s="352" t="s">
        <v>2127</v>
      </c>
      <c r="C1161" s="351" t="s">
        <v>4257</v>
      </c>
      <c r="D1161" s="352" t="s">
        <v>416</v>
      </c>
      <c r="E1161" s="352" t="s">
        <v>1453</v>
      </c>
      <c r="F1161" s="353">
        <v>2.15</v>
      </c>
      <c r="G1161" s="352" t="s">
        <v>1501</v>
      </c>
      <c r="H1161" s="176" t="s">
        <v>4047</v>
      </c>
      <c r="I1161" s="176" t="s">
        <v>4591</v>
      </c>
      <c r="J1161" s="352" t="s">
        <v>828</v>
      </c>
      <c r="K1161" s="352">
        <v>10</v>
      </c>
      <c r="L1161" s="352" t="s">
        <v>1116</v>
      </c>
      <c r="M1161" s="351">
        <v>0.2</v>
      </c>
      <c r="N1161" s="351" t="s">
        <v>1109</v>
      </c>
      <c r="O1161" s="351">
        <v>10</v>
      </c>
      <c r="P1161" s="349" t="s">
        <v>1836</v>
      </c>
      <c r="R1161" s="349">
        <f t="shared" si="18"/>
        <v>12</v>
      </c>
      <c r="S1161" s="352"/>
      <c r="T1161" s="352"/>
      <c r="U1161" s="352"/>
      <c r="V1161" s="353"/>
      <c r="W1161" s="352"/>
      <c r="X1161" s="176"/>
      <c r="Y1161" s="176"/>
      <c r="Z1161" s="352"/>
      <c r="AA1161" s="352"/>
      <c r="AB1161" s="352"/>
      <c r="AC1161" s="351"/>
      <c r="AD1161" s="351"/>
    </row>
    <row r="1162" spans="1:30" ht="192.25" hidden="1" x14ac:dyDescent="0.35">
      <c r="A1162" s="349">
        <v>1161</v>
      </c>
      <c r="B1162" s="352" t="s">
        <v>2127</v>
      </c>
      <c r="C1162" s="351" t="s">
        <v>4257</v>
      </c>
      <c r="D1162" s="352" t="s">
        <v>416</v>
      </c>
      <c r="E1162" s="352" t="s">
        <v>2855</v>
      </c>
      <c r="F1162" s="353">
        <v>1.6</v>
      </c>
      <c r="G1162" s="352" t="s">
        <v>1501</v>
      </c>
      <c r="H1162" s="176" t="s">
        <v>4047</v>
      </c>
      <c r="I1162" s="176" t="s">
        <v>4591</v>
      </c>
      <c r="J1162" s="352" t="s">
        <v>828</v>
      </c>
      <c r="K1162" s="352">
        <v>10</v>
      </c>
      <c r="L1162" s="352" t="s">
        <v>1116</v>
      </c>
      <c r="M1162" s="352">
        <v>1</v>
      </c>
      <c r="N1162" s="352" t="s">
        <v>1109</v>
      </c>
      <c r="O1162" s="351">
        <v>10</v>
      </c>
      <c r="P1162" s="349" t="s">
        <v>1836</v>
      </c>
      <c r="R1162" s="349">
        <f t="shared" si="18"/>
        <v>12</v>
      </c>
      <c r="S1162" s="352"/>
      <c r="T1162" s="352"/>
      <c r="U1162" s="352"/>
      <c r="V1162" s="353"/>
      <c r="W1162" s="352"/>
      <c r="X1162" s="176"/>
      <c r="Y1162" s="176"/>
      <c r="Z1162" s="352"/>
      <c r="AA1162" s="352"/>
      <c r="AB1162" s="352"/>
      <c r="AC1162" s="351"/>
      <c r="AD1162" s="351"/>
    </row>
    <row r="1163" spans="1:30" ht="76.900000000000006" hidden="1" x14ac:dyDescent="0.35">
      <c r="A1163" s="349">
        <v>1162</v>
      </c>
      <c r="B1163" s="352" t="s">
        <v>1113</v>
      </c>
      <c r="C1163" s="351" t="s">
        <v>3591</v>
      </c>
      <c r="D1163" s="352" t="s">
        <v>1428</v>
      </c>
      <c r="E1163" s="352" t="s">
        <v>1479</v>
      </c>
      <c r="F1163" s="353">
        <v>20.89</v>
      </c>
      <c r="G1163" s="352" t="s">
        <v>2126</v>
      </c>
      <c r="H1163" s="176" t="s">
        <v>3602</v>
      </c>
      <c r="I1163" s="176" t="s">
        <v>3603</v>
      </c>
      <c r="J1163" s="352" t="s">
        <v>3329</v>
      </c>
      <c r="K1163" s="352">
        <v>100</v>
      </c>
      <c r="L1163" s="352" t="s">
        <v>1116</v>
      </c>
      <c r="M1163" s="351">
        <v>500</v>
      </c>
      <c r="N1163" s="351" t="s">
        <v>1109</v>
      </c>
      <c r="O1163" s="351">
        <v>100</v>
      </c>
      <c r="P1163" s="349" t="s">
        <v>1836</v>
      </c>
      <c r="R1163" s="349">
        <f t="shared" si="18"/>
        <v>16</v>
      </c>
      <c r="S1163" s="352"/>
      <c r="T1163" s="352"/>
      <c r="U1163" s="352"/>
      <c r="V1163" s="353"/>
      <c r="W1163" s="352"/>
      <c r="X1163" s="176"/>
      <c r="Y1163" s="176"/>
      <c r="Z1163" s="352"/>
      <c r="AA1163" s="352"/>
      <c r="AB1163" s="352"/>
      <c r="AC1163" s="351"/>
      <c r="AD1163" s="351"/>
    </row>
    <row r="1164" spans="1:30" ht="115.35" hidden="1" x14ac:dyDescent="0.35">
      <c r="A1164" s="349">
        <v>1163</v>
      </c>
      <c r="B1164" s="352" t="s">
        <v>2070</v>
      </c>
      <c r="C1164" s="351" t="s">
        <v>580</v>
      </c>
      <c r="D1164" s="352" t="s">
        <v>580</v>
      </c>
      <c r="E1164" s="352" t="s">
        <v>780</v>
      </c>
      <c r="F1164" s="353">
        <v>6.5891000000000002</v>
      </c>
      <c r="G1164" s="352" t="s">
        <v>1107</v>
      </c>
      <c r="H1164" s="176" t="s">
        <v>3114</v>
      </c>
      <c r="I1164" s="176" t="s">
        <v>4270</v>
      </c>
      <c r="J1164" s="352" t="s">
        <v>828</v>
      </c>
      <c r="K1164" s="352">
        <v>5</v>
      </c>
      <c r="L1164" s="352" t="s">
        <v>1116</v>
      </c>
      <c r="M1164" s="352">
        <v>20</v>
      </c>
      <c r="N1164" s="352" t="s">
        <v>1109</v>
      </c>
      <c r="O1164" s="351">
        <v>5</v>
      </c>
      <c r="P1164" s="349" t="s">
        <v>1836</v>
      </c>
      <c r="R1164" s="349">
        <f t="shared" si="18"/>
        <v>9</v>
      </c>
      <c r="S1164" s="352"/>
      <c r="T1164" s="352"/>
      <c r="U1164" s="352"/>
      <c r="V1164" s="353"/>
      <c r="W1164" s="352"/>
      <c r="X1164" s="176"/>
      <c r="Y1164" s="176"/>
      <c r="Z1164" s="352"/>
      <c r="AA1164" s="352"/>
      <c r="AB1164" s="352"/>
      <c r="AC1164" s="351"/>
      <c r="AD1164" s="351"/>
    </row>
    <row r="1165" spans="1:30" ht="115.35" hidden="1" x14ac:dyDescent="0.35">
      <c r="A1165" s="349">
        <v>1164</v>
      </c>
      <c r="B1165" s="352" t="s">
        <v>2070</v>
      </c>
      <c r="C1165" s="351" t="s">
        <v>580</v>
      </c>
      <c r="D1165" s="352" t="s">
        <v>580</v>
      </c>
      <c r="E1165" s="352" t="s">
        <v>1995</v>
      </c>
      <c r="F1165" s="353">
        <v>0.3967</v>
      </c>
      <c r="G1165" s="352" t="s">
        <v>2126</v>
      </c>
      <c r="H1165" s="176" t="s">
        <v>1895</v>
      </c>
      <c r="I1165" s="176" t="s">
        <v>4270</v>
      </c>
      <c r="J1165" s="352" t="s">
        <v>3580</v>
      </c>
      <c r="K1165" s="352">
        <v>100</v>
      </c>
      <c r="L1165" s="352" t="s">
        <v>3581</v>
      </c>
      <c r="M1165" s="352"/>
      <c r="N1165" s="352"/>
      <c r="O1165" s="351">
        <v>100</v>
      </c>
      <c r="P1165" s="349" t="s">
        <v>1836</v>
      </c>
      <c r="R1165" s="349">
        <f t="shared" si="18"/>
        <v>9</v>
      </c>
      <c r="S1165" s="352"/>
      <c r="T1165" s="352"/>
      <c r="U1165" s="352"/>
      <c r="V1165" s="353"/>
      <c r="W1165" s="352"/>
      <c r="X1165" s="176"/>
      <c r="Y1165" s="37"/>
      <c r="Z1165" s="352"/>
      <c r="AA1165" s="352"/>
      <c r="AB1165" s="352"/>
      <c r="AC1165" s="352"/>
      <c r="AD1165" s="352"/>
    </row>
    <row r="1166" spans="1:30" ht="115.35" hidden="1" x14ac:dyDescent="0.35">
      <c r="A1166" s="349">
        <v>1165</v>
      </c>
      <c r="B1166" s="352" t="s">
        <v>2070</v>
      </c>
      <c r="C1166" s="351" t="s">
        <v>580</v>
      </c>
      <c r="D1166" s="352" t="s">
        <v>580</v>
      </c>
      <c r="E1166" s="352" t="s">
        <v>1995</v>
      </c>
      <c r="F1166" s="353">
        <v>0.55089999999999995</v>
      </c>
      <c r="G1166" s="352" t="s">
        <v>2126</v>
      </c>
      <c r="H1166" s="176" t="s">
        <v>1895</v>
      </c>
      <c r="I1166" s="176" t="s">
        <v>4270</v>
      </c>
      <c r="J1166" s="352" t="s">
        <v>3580</v>
      </c>
      <c r="K1166" s="352">
        <v>200</v>
      </c>
      <c r="L1166" s="352" t="s">
        <v>3581</v>
      </c>
      <c r="M1166" s="351"/>
      <c r="N1166" s="351"/>
      <c r="O1166" s="351">
        <v>200</v>
      </c>
      <c r="P1166" s="349" t="s">
        <v>1836</v>
      </c>
      <c r="R1166" s="349">
        <f t="shared" si="18"/>
        <v>9</v>
      </c>
      <c r="S1166" s="352"/>
      <c r="T1166" s="352"/>
      <c r="U1166" s="352"/>
      <c r="V1166" s="353"/>
      <c r="W1166" s="352"/>
      <c r="X1166" s="176"/>
      <c r="Y1166" s="176"/>
      <c r="Z1166" s="352"/>
      <c r="AA1166" s="352"/>
      <c r="AB1166" s="352"/>
      <c r="AC1166" s="351"/>
      <c r="AD1166" s="351"/>
    </row>
    <row r="1167" spans="1:30" ht="76.900000000000006" hidden="1" x14ac:dyDescent="0.35">
      <c r="A1167" s="349">
        <v>1166</v>
      </c>
      <c r="B1167" s="352" t="s">
        <v>965</v>
      </c>
      <c r="C1167" s="351" t="s">
        <v>3894</v>
      </c>
      <c r="D1167" s="352" t="s">
        <v>3894</v>
      </c>
      <c r="E1167" s="352" t="s">
        <v>2008</v>
      </c>
      <c r="F1167" s="353">
        <v>0.26</v>
      </c>
      <c r="G1167" s="352" t="s">
        <v>2126</v>
      </c>
      <c r="H1167" s="176" t="s">
        <v>1715</v>
      </c>
      <c r="I1167" s="176" t="s">
        <v>4427</v>
      </c>
      <c r="J1167" s="352" t="s">
        <v>2056</v>
      </c>
      <c r="K1167" s="352">
        <v>10</v>
      </c>
      <c r="L1167" s="352" t="s">
        <v>2057</v>
      </c>
      <c r="M1167" s="352"/>
      <c r="N1167" s="352"/>
      <c r="O1167" s="351">
        <v>10</v>
      </c>
      <c r="P1167" s="349" t="s">
        <v>818</v>
      </c>
      <c r="R1167" s="349">
        <f t="shared" si="18"/>
        <v>8</v>
      </c>
      <c r="S1167" s="352"/>
      <c r="T1167" s="352"/>
      <c r="U1167" s="352"/>
      <c r="V1167" s="353"/>
      <c r="W1167" s="352"/>
      <c r="X1167" s="176"/>
      <c r="Y1167" s="176"/>
      <c r="Z1167" s="352"/>
      <c r="AA1167" s="352"/>
      <c r="AB1167" s="352"/>
      <c r="AC1167" s="351"/>
      <c r="AD1167" s="351"/>
    </row>
    <row r="1168" spans="1:30" ht="38.450000000000003" hidden="1" x14ac:dyDescent="0.35">
      <c r="A1168" s="349">
        <v>1167</v>
      </c>
      <c r="B1168" s="352" t="s">
        <v>3968</v>
      </c>
      <c r="C1168" s="351" t="s">
        <v>676</v>
      </c>
      <c r="D1168" s="352" t="s">
        <v>676</v>
      </c>
      <c r="E1168" s="352" t="s">
        <v>92</v>
      </c>
      <c r="F1168" s="353">
        <v>3.3056000000000001</v>
      </c>
      <c r="G1168" s="352" t="s">
        <v>2126</v>
      </c>
      <c r="H1168" s="176" t="s">
        <v>2096</v>
      </c>
      <c r="I1168" s="176" t="s">
        <v>566</v>
      </c>
      <c r="J1168" s="352" t="s">
        <v>3579</v>
      </c>
      <c r="K1168" s="352">
        <v>667</v>
      </c>
      <c r="L1168" s="352" t="s">
        <v>1116</v>
      </c>
      <c r="M1168" s="351">
        <v>300</v>
      </c>
      <c r="N1168" s="351" t="s">
        <v>1109</v>
      </c>
      <c r="O1168" s="351">
        <v>667</v>
      </c>
      <c r="P1168" s="349" t="s">
        <v>1836</v>
      </c>
      <c r="R1168" s="349">
        <f t="shared" si="18"/>
        <v>9</v>
      </c>
      <c r="S1168" s="352"/>
      <c r="T1168" s="352"/>
      <c r="U1168" s="352"/>
      <c r="V1168" s="353"/>
      <c r="W1168" s="352"/>
      <c r="X1168" s="176"/>
      <c r="Y1168" s="37"/>
      <c r="Z1168" s="352"/>
      <c r="AA1168" s="352"/>
      <c r="AB1168" s="352"/>
      <c r="AC1168" s="352"/>
      <c r="AD1168" s="352"/>
    </row>
    <row r="1169" spans="1:30" ht="128.19999999999999" hidden="1" x14ac:dyDescent="0.35">
      <c r="A1169" s="349">
        <v>1168</v>
      </c>
      <c r="B1169" s="352" t="s">
        <v>965</v>
      </c>
      <c r="C1169" s="351" t="s">
        <v>676</v>
      </c>
      <c r="D1169" s="352" t="s">
        <v>676</v>
      </c>
      <c r="E1169" s="352" t="s">
        <v>92</v>
      </c>
      <c r="F1169" s="353">
        <v>3.3056000000000001</v>
      </c>
      <c r="G1169" s="352" t="s">
        <v>2126</v>
      </c>
      <c r="H1169" s="176" t="s">
        <v>1713</v>
      </c>
      <c r="I1169" s="176" t="s">
        <v>4587</v>
      </c>
      <c r="J1169" s="352" t="s">
        <v>3579</v>
      </c>
      <c r="K1169" s="352">
        <v>667</v>
      </c>
      <c r="L1169" s="352" t="s">
        <v>1116</v>
      </c>
      <c r="M1169" s="351">
        <v>300</v>
      </c>
      <c r="N1169" s="351" t="s">
        <v>1109</v>
      </c>
      <c r="O1169" s="351">
        <v>667</v>
      </c>
      <c r="P1169" s="349" t="s">
        <v>1836</v>
      </c>
      <c r="R1169" s="349">
        <f t="shared" si="18"/>
        <v>9</v>
      </c>
      <c r="S1169" s="352"/>
      <c r="T1169" s="352"/>
      <c r="U1169" s="352"/>
      <c r="V1169" s="353"/>
      <c r="W1169" s="352"/>
      <c r="X1169" s="176"/>
      <c r="Y1169" s="176"/>
      <c r="Z1169" s="352"/>
      <c r="AA1169" s="352"/>
      <c r="AB1169" s="352"/>
      <c r="AC1169" s="351"/>
      <c r="AD1169" s="351"/>
    </row>
    <row r="1170" spans="1:30" ht="38.450000000000003" hidden="1" x14ac:dyDescent="0.35">
      <c r="A1170" s="349">
        <v>1169</v>
      </c>
      <c r="B1170" s="352" t="s">
        <v>965</v>
      </c>
      <c r="C1170" s="351" t="s">
        <v>676</v>
      </c>
      <c r="D1170" s="352" t="s">
        <v>676</v>
      </c>
      <c r="E1170" s="352" t="s">
        <v>2008</v>
      </c>
      <c r="F1170" s="353">
        <v>0.55000000000000004</v>
      </c>
      <c r="G1170" s="352" t="s">
        <v>2126</v>
      </c>
      <c r="H1170" s="176" t="s">
        <v>2414</v>
      </c>
      <c r="I1170" s="176" t="s">
        <v>4587</v>
      </c>
      <c r="J1170" s="352" t="s">
        <v>2056</v>
      </c>
      <c r="K1170" s="352">
        <v>12</v>
      </c>
      <c r="L1170" s="352" t="s">
        <v>2057</v>
      </c>
      <c r="M1170" s="351"/>
      <c r="N1170" s="351"/>
      <c r="O1170" s="351">
        <v>12</v>
      </c>
      <c r="P1170" s="349" t="s">
        <v>818</v>
      </c>
      <c r="R1170" s="349">
        <f t="shared" si="18"/>
        <v>9</v>
      </c>
      <c r="S1170" s="352"/>
      <c r="T1170" s="352"/>
      <c r="U1170" s="352"/>
      <c r="V1170" s="353"/>
      <c r="W1170" s="352"/>
      <c r="X1170" s="176"/>
      <c r="Y1170" s="176"/>
      <c r="Z1170" s="352"/>
      <c r="AA1170" s="352"/>
      <c r="AB1170" s="352"/>
      <c r="AC1170" s="351"/>
      <c r="AD1170" s="351"/>
    </row>
    <row r="1171" spans="1:30" ht="38.450000000000003" hidden="1" x14ac:dyDescent="0.35">
      <c r="A1171" s="349">
        <v>1170</v>
      </c>
      <c r="B1171" s="352" t="s">
        <v>3968</v>
      </c>
      <c r="C1171" s="351" t="s">
        <v>4258</v>
      </c>
      <c r="D1171" s="352" t="s">
        <v>676</v>
      </c>
      <c r="E1171" s="352" t="s">
        <v>92</v>
      </c>
      <c r="F1171" s="353">
        <v>3.3056000000000001</v>
      </c>
      <c r="G1171" s="352" t="s">
        <v>2126</v>
      </c>
      <c r="H1171" s="176" t="s">
        <v>2096</v>
      </c>
      <c r="I1171" s="176" t="s">
        <v>566</v>
      </c>
      <c r="J1171" s="352" t="s">
        <v>3579</v>
      </c>
      <c r="K1171" s="352">
        <v>667</v>
      </c>
      <c r="L1171" s="352" t="s">
        <v>1116</v>
      </c>
      <c r="M1171" s="351">
        <v>300</v>
      </c>
      <c r="N1171" s="351" t="s">
        <v>1109</v>
      </c>
      <c r="O1171" s="351">
        <v>667</v>
      </c>
      <c r="P1171" s="349" t="s">
        <v>1836</v>
      </c>
      <c r="R1171" s="349">
        <f t="shared" si="18"/>
        <v>9</v>
      </c>
      <c r="S1171" s="352"/>
      <c r="T1171" s="352"/>
      <c r="U1171" s="352"/>
      <c r="V1171" s="353"/>
      <c r="W1171" s="352"/>
      <c r="X1171" s="176"/>
      <c r="Y1171" s="176"/>
      <c r="Z1171" s="352"/>
      <c r="AA1171" s="352"/>
      <c r="AB1171" s="352"/>
      <c r="AC1171" s="351"/>
      <c r="AD1171" s="351"/>
    </row>
    <row r="1172" spans="1:30" ht="409.6" hidden="1" x14ac:dyDescent="0.35">
      <c r="A1172" s="349">
        <v>1171</v>
      </c>
      <c r="B1172" s="352" t="s">
        <v>1787</v>
      </c>
      <c r="C1172" s="351" t="s">
        <v>4259</v>
      </c>
      <c r="D1172" s="352" t="s">
        <v>568</v>
      </c>
      <c r="E1172" s="352" t="s">
        <v>2012</v>
      </c>
      <c r="F1172" s="353">
        <v>0.35</v>
      </c>
      <c r="G1172" s="352" t="s">
        <v>2126</v>
      </c>
      <c r="H1172" s="176" t="s">
        <v>53</v>
      </c>
      <c r="I1172" s="176" t="s">
        <v>4672</v>
      </c>
      <c r="J1172" s="352" t="s">
        <v>1480</v>
      </c>
      <c r="K1172" s="352">
        <v>2</v>
      </c>
      <c r="L1172" s="352" t="s">
        <v>1481</v>
      </c>
      <c r="M1172" s="351"/>
      <c r="N1172" s="351"/>
      <c r="O1172" s="351">
        <v>2</v>
      </c>
      <c r="P1172" s="349" t="s">
        <v>1836</v>
      </c>
      <c r="R1172" s="349">
        <f t="shared" si="18"/>
        <v>11</v>
      </c>
      <c r="S1172" s="352"/>
      <c r="T1172" s="352"/>
      <c r="U1172" s="352"/>
      <c r="V1172" s="353"/>
      <c r="W1172" s="352"/>
      <c r="X1172" s="176"/>
      <c r="Y1172" s="176"/>
      <c r="Z1172" s="352"/>
      <c r="AA1172" s="352"/>
      <c r="AB1172" s="352"/>
      <c r="AC1172" s="352"/>
      <c r="AD1172" s="352"/>
    </row>
    <row r="1173" spans="1:30" ht="409.6" hidden="1" x14ac:dyDescent="0.35">
      <c r="A1173" s="349">
        <v>1172</v>
      </c>
      <c r="B1173" s="352" t="s">
        <v>1787</v>
      </c>
      <c r="C1173" s="351" t="s">
        <v>4259</v>
      </c>
      <c r="D1173" s="352" t="s">
        <v>568</v>
      </c>
      <c r="E1173" s="352" t="s">
        <v>2012</v>
      </c>
      <c r="F1173" s="353">
        <v>0.6</v>
      </c>
      <c r="G1173" s="352" t="s">
        <v>2126</v>
      </c>
      <c r="H1173" s="176" t="s">
        <v>53</v>
      </c>
      <c r="I1173" s="176" t="s">
        <v>4672</v>
      </c>
      <c r="J1173" s="352" t="s">
        <v>1480</v>
      </c>
      <c r="K1173" s="352">
        <v>5</v>
      </c>
      <c r="L1173" s="352" t="s">
        <v>1481</v>
      </c>
      <c r="M1173" s="352"/>
      <c r="N1173" s="352"/>
      <c r="O1173" s="351">
        <v>5</v>
      </c>
      <c r="P1173" s="349" t="s">
        <v>1836</v>
      </c>
      <c r="R1173" s="349">
        <f t="shared" si="18"/>
        <v>11</v>
      </c>
      <c r="S1173" s="352"/>
      <c r="T1173" s="352"/>
      <c r="U1173" s="352"/>
      <c r="V1173" s="353"/>
      <c r="W1173" s="352"/>
      <c r="X1173" s="176"/>
      <c r="Y1173" s="176"/>
      <c r="Z1173" s="352"/>
      <c r="AA1173" s="352"/>
      <c r="AB1173" s="352"/>
      <c r="AC1173" s="351"/>
      <c r="AD1173" s="351"/>
    </row>
    <row r="1174" spans="1:30" ht="409.6" hidden="1" x14ac:dyDescent="0.35">
      <c r="A1174" s="349">
        <v>1173</v>
      </c>
      <c r="B1174" s="352" t="s">
        <v>1787</v>
      </c>
      <c r="C1174" s="351" t="s">
        <v>4259</v>
      </c>
      <c r="D1174" s="352" t="s">
        <v>568</v>
      </c>
      <c r="E1174" s="352" t="s">
        <v>2012</v>
      </c>
      <c r="F1174" s="353">
        <v>1.19</v>
      </c>
      <c r="G1174" s="352" t="s">
        <v>2126</v>
      </c>
      <c r="H1174" s="176" t="s">
        <v>53</v>
      </c>
      <c r="I1174" s="176" t="s">
        <v>4672</v>
      </c>
      <c r="J1174" s="352" t="s">
        <v>1480</v>
      </c>
      <c r="K1174" s="352">
        <v>25</v>
      </c>
      <c r="L1174" s="352" t="s">
        <v>1481</v>
      </c>
      <c r="M1174" s="352"/>
      <c r="N1174" s="352"/>
      <c r="O1174" s="351">
        <v>25</v>
      </c>
      <c r="P1174" s="349" t="s">
        <v>1836</v>
      </c>
      <c r="R1174" s="349">
        <f t="shared" si="18"/>
        <v>11</v>
      </c>
      <c r="S1174" s="352"/>
      <c r="T1174" s="352"/>
      <c r="U1174" s="352"/>
      <c r="V1174" s="353"/>
      <c r="W1174" s="352"/>
      <c r="X1174" s="176"/>
      <c r="Y1174" s="176"/>
      <c r="Z1174" s="352"/>
      <c r="AA1174" s="352"/>
      <c r="AB1174" s="352"/>
      <c r="AC1174" s="352"/>
      <c r="AD1174" s="352"/>
    </row>
    <row r="1175" spans="1:30" ht="409.6" hidden="1" x14ac:dyDescent="0.35">
      <c r="A1175" s="349">
        <v>1174</v>
      </c>
      <c r="B1175" s="352" t="s">
        <v>1787</v>
      </c>
      <c r="C1175" s="351" t="s">
        <v>4259</v>
      </c>
      <c r="D1175" s="352" t="s">
        <v>568</v>
      </c>
      <c r="E1175" s="352" t="s">
        <v>2012</v>
      </c>
      <c r="F1175" s="353">
        <v>1.85</v>
      </c>
      <c r="G1175" s="352" t="s">
        <v>2126</v>
      </c>
      <c r="H1175" s="176" t="s">
        <v>53</v>
      </c>
      <c r="I1175" s="176" t="s">
        <v>4672</v>
      </c>
      <c r="J1175" s="352" t="s">
        <v>1480</v>
      </c>
      <c r="K1175" s="352">
        <v>50</v>
      </c>
      <c r="L1175" s="352" t="s">
        <v>1481</v>
      </c>
      <c r="M1175" s="351"/>
      <c r="N1175" s="351"/>
      <c r="O1175" s="351">
        <v>50</v>
      </c>
      <c r="P1175" s="349" t="s">
        <v>1836</v>
      </c>
      <c r="R1175" s="349">
        <f t="shared" si="18"/>
        <v>11</v>
      </c>
      <c r="S1175" s="352"/>
      <c r="T1175" s="352"/>
      <c r="U1175" s="352"/>
      <c r="V1175" s="353"/>
      <c r="W1175" s="352"/>
      <c r="X1175" s="176"/>
      <c r="Y1175" s="176"/>
      <c r="Z1175" s="352"/>
      <c r="AA1175" s="352"/>
      <c r="AB1175" s="352"/>
      <c r="AC1175" s="351"/>
      <c r="AD1175" s="351"/>
    </row>
    <row r="1176" spans="1:30" ht="409.6" hidden="1" x14ac:dyDescent="0.35">
      <c r="A1176" s="349">
        <v>1175</v>
      </c>
      <c r="B1176" s="352" t="s">
        <v>1787</v>
      </c>
      <c r="C1176" s="351" t="s">
        <v>4259</v>
      </c>
      <c r="D1176" s="352" t="s">
        <v>568</v>
      </c>
      <c r="E1176" s="352" t="s">
        <v>2012</v>
      </c>
      <c r="F1176" s="353">
        <v>3.7</v>
      </c>
      <c r="G1176" s="352" t="s">
        <v>2126</v>
      </c>
      <c r="H1176" s="176" t="s">
        <v>53</v>
      </c>
      <c r="I1176" s="176" t="s">
        <v>4672</v>
      </c>
      <c r="J1176" s="352" t="s">
        <v>1480</v>
      </c>
      <c r="K1176" s="352">
        <v>100</v>
      </c>
      <c r="L1176" s="352" t="s">
        <v>1481</v>
      </c>
      <c r="M1176" s="351"/>
      <c r="N1176" s="351"/>
      <c r="O1176" s="351">
        <v>100</v>
      </c>
      <c r="P1176" s="349" t="s">
        <v>1836</v>
      </c>
      <c r="R1176" s="349">
        <f t="shared" si="18"/>
        <v>11</v>
      </c>
      <c r="S1176" s="352"/>
      <c r="T1176" s="352"/>
      <c r="U1176" s="352"/>
      <c r="V1176" s="353"/>
      <c r="W1176" s="352"/>
      <c r="X1176" s="176"/>
      <c r="Y1176" s="176"/>
      <c r="Z1176" s="352"/>
      <c r="AA1176" s="352"/>
      <c r="AB1176" s="352"/>
      <c r="AC1176" s="351"/>
      <c r="AD1176" s="351"/>
    </row>
    <row r="1177" spans="1:30" ht="51.3" hidden="1" x14ac:dyDescent="0.35">
      <c r="A1177" s="349">
        <v>1176</v>
      </c>
      <c r="B1177" s="352" t="s">
        <v>2132</v>
      </c>
      <c r="C1177" s="351" t="s">
        <v>4260</v>
      </c>
      <c r="D1177" s="352" t="s">
        <v>3514</v>
      </c>
      <c r="E1177" s="352" t="s">
        <v>758</v>
      </c>
      <c r="F1177" s="353">
        <v>11.71</v>
      </c>
      <c r="G1177" s="352" t="s">
        <v>34</v>
      </c>
      <c r="H1177" s="176" t="s">
        <v>3515</v>
      </c>
      <c r="I1177" s="176" t="s">
        <v>4828</v>
      </c>
      <c r="J1177" s="352" t="s">
        <v>29</v>
      </c>
      <c r="K1177" s="352">
        <v>1</v>
      </c>
      <c r="L1177" s="352" t="s">
        <v>470</v>
      </c>
      <c r="M1177" s="351">
        <v>15</v>
      </c>
      <c r="N1177" s="351" t="s">
        <v>31</v>
      </c>
      <c r="O1177" s="351">
        <v>1</v>
      </c>
      <c r="P1177" s="349" t="s">
        <v>1838</v>
      </c>
      <c r="R1177" s="349">
        <f t="shared" si="18"/>
        <v>11</v>
      </c>
      <c r="S1177" s="352"/>
      <c r="T1177" s="352"/>
      <c r="U1177" s="352"/>
      <c r="V1177" s="353"/>
      <c r="W1177" s="352"/>
      <c r="X1177" s="176"/>
      <c r="Y1177" s="176"/>
      <c r="Z1177" s="352"/>
      <c r="AA1177" s="352"/>
      <c r="AB1177" s="352"/>
      <c r="AC1177" s="351"/>
      <c r="AD1177" s="351"/>
    </row>
    <row r="1178" spans="1:30" ht="89.75" hidden="1" x14ac:dyDescent="0.35">
      <c r="A1178" s="349">
        <v>1177</v>
      </c>
      <c r="B1178" s="352" t="s">
        <v>4100</v>
      </c>
      <c r="C1178" s="351" t="s">
        <v>567</v>
      </c>
      <c r="D1178" s="352" t="s">
        <v>567</v>
      </c>
      <c r="E1178" s="352" t="s">
        <v>3578</v>
      </c>
      <c r="F1178" s="353">
        <v>139.4067</v>
      </c>
      <c r="G1178" s="352" t="s">
        <v>2126</v>
      </c>
      <c r="H1178" s="176" t="s">
        <v>2449</v>
      </c>
      <c r="I1178" s="176" t="s">
        <v>1191</v>
      </c>
      <c r="J1178" s="352" t="s">
        <v>3579</v>
      </c>
      <c r="K1178" s="352">
        <v>10</v>
      </c>
      <c r="L1178" s="352" t="s">
        <v>1116</v>
      </c>
      <c r="M1178" s="351">
        <v>240</v>
      </c>
      <c r="N1178" s="351" t="s">
        <v>1109</v>
      </c>
      <c r="O1178" s="351">
        <v>10</v>
      </c>
      <c r="P1178" s="349" t="s">
        <v>1836</v>
      </c>
      <c r="R1178" s="349">
        <f t="shared" si="18"/>
        <v>10</v>
      </c>
      <c r="S1178" s="352"/>
      <c r="T1178" s="352"/>
      <c r="U1178" s="352"/>
      <c r="V1178" s="353"/>
      <c r="W1178" s="352"/>
      <c r="X1178" s="176"/>
      <c r="Y1178" s="176"/>
      <c r="Z1178" s="352"/>
      <c r="AA1178" s="352"/>
      <c r="AB1178" s="352"/>
      <c r="AC1178" s="351"/>
      <c r="AD1178" s="351"/>
    </row>
    <row r="1179" spans="1:30" ht="89.75" hidden="1" x14ac:dyDescent="0.35">
      <c r="A1179" s="349">
        <v>1178</v>
      </c>
      <c r="B1179" s="352" t="s">
        <v>4100</v>
      </c>
      <c r="C1179" s="351" t="s">
        <v>567</v>
      </c>
      <c r="D1179" s="352" t="s">
        <v>567</v>
      </c>
      <c r="E1179" s="352" t="s">
        <v>1995</v>
      </c>
      <c r="F1179" s="353">
        <v>8.6999999999999993</v>
      </c>
      <c r="G1179" s="352" t="s">
        <v>2126</v>
      </c>
      <c r="H1179" s="176" t="s">
        <v>2449</v>
      </c>
      <c r="I1179" s="176" t="s">
        <v>1191</v>
      </c>
      <c r="J1179" s="352" t="s">
        <v>3580</v>
      </c>
      <c r="K1179" s="352">
        <v>150</v>
      </c>
      <c r="L1179" s="352" t="s">
        <v>3581</v>
      </c>
      <c r="M1179" s="351"/>
      <c r="N1179" s="351"/>
      <c r="O1179" s="351">
        <v>150</v>
      </c>
      <c r="P1179" s="349" t="s">
        <v>1836</v>
      </c>
      <c r="R1179" s="349">
        <f t="shared" si="18"/>
        <v>10</v>
      </c>
      <c r="S1179" s="352"/>
      <c r="T1179" s="352"/>
      <c r="U1179" s="352"/>
      <c r="V1179" s="353"/>
      <c r="W1179" s="352"/>
      <c r="X1179" s="176"/>
      <c r="Y1179" s="37"/>
      <c r="Z1179" s="352"/>
      <c r="AA1179" s="352"/>
      <c r="AB1179" s="352"/>
      <c r="AC1179" s="351"/>
      <c r="AD1179" s="351"/>
    </row>
    <row r="1180" spans="1:30" ht="409.6" hidden="1" x14ac:dyDescent="0.35">
      <c r="A1180" s="349">
        <v>1179</v>
      </c>
      <c r="B1180" s="352" t="s">
        <v>1787</v>
      </c>
      <c r="C1180" s="351" t="s">
        <v>568</v>
      </c>
      <c r="D1180" s="352" t="s">
        <v>568</v>
      </c>
      <c r="E1180" s="352" t="s">
        <v>2012</v>
      </c>
      <c r="F1180" s="353">
        <v>0.35</v>
      </c>
      <c r="G1180" s="352" t="s">
        <v>2126</v>
      </c>
      <c r="H1180" s="176" t="s">
        <v>53</v>
      </c>
      <c r="I1180" s="176" t="s">
        <v>4672</v>
      </c>
      <c r="J1180" s="352" t="s">
        <v>1480</v>
      </c>
      <c r="K1180" s="352">
        <v>2</v>
      </c>
      <c r="L1180" s="352" t="s">
        <v>1481</v>
      </c>
      <c r="M1180" s="351"/>
      <c r="N1180" s="351"/>
      <c r="O1180" s="351">
        <v>2</v>
      </c>
      <c r="P1180" s="349" t="s">
        <v>1836</v>
      </c>
      <c r="R1180" s="349">
        <f t="shared" si="18"/>
        <v>11</v>
      </c>
      <c r="S1180" s="352"/>
      <c r="T1180" s="352"/>
      <c r="U1180" s="352"/>
      <c r="V1180" s="353"/>
      <c r="W1180" s="352"/>
      <c r="X1180" s="176"/>
      <c r="Y1180" s="176"/>
      <c r="Z1180" s="352"/>
      <c r="AA1180" s="352"/>
      <c r="AB1180" s="352"/>
      <c r="AC1180" s="351"/>
      <c r="AD1180" s="351"/>
    </row>
    <row r="1181" spans="1:30" ht="409.6" hidden="1" x14ac:dyDescent="0.35">
      <c r="A1181" s="349">
        <v>1180</v>
      </c>
      <c r="B1181" s="352" t="s">
        <v>1787</v>
      </c>
      <c r="C1181" s="351" t="s">
        <v>568</v>
      </c>
      <c r="D1181" s="352" t="s">
        <v>568</v>
      </c>
      <c r="E1181" s="352" t="s">
        <v>2012</v>
      </c>
      <c r="F1181" s="353">
        <v>0.6</v>
      </c>
      <c r="G1181" s="352" t="s">
        <v>2126</v>
      </c>
      <c r="H1181" s="176" t="s">
        <v>53</v>
      </c>
      <c r="I1181" s="176" t="s">
        <v>4672</v>
      </c>
      <c r="J1181" s="352" t="s">
        <v>1480</v>
      </c>
      <c r="K1181" s="351">
        <v>5</v>
      </c>
      <c r="L1181" s="351" t="s">
        <v>1481</v>
      </c>
      <c r="M1181" s="352"/>
      <c r="N1181" s="352"/>
      <c r="O1181" s="351">
        <v>5</v>
      </c>
      <c r="P1181" s="349" t="s">
        <v>1836</v>
      </c>
      <c r="R1181" s="349">
        <f t="shared" si="18"/>
        <v>11</v>
      </c>
      <c r="S1181" s="352"/>
      <c r="T1181" s="352"/>
      <c r="U1181" s="352"/>
      <c r="V1181" s="353"/>
      <c r="W1181" s="352"/>
      <c r="X1181" s="176"/>
      <c r="Y1181" s="176"/>
      <c r="Z1181" s="352"/>
      <c r="AA1181" s="352"/>
      <c r="AB1181" s="352"/>
      <c r="AC1181" s="351"/>
      <c r="AD1181" s="351"/>
    </row>
    <row r="1182" spans="1:30" ht="409.6" hidden="1" x14ac:dyDescent="0.35">
      <c r="A1182" s="349">
        <v>1181</v>
      </c>
      <c r="B1182" s="352" t="s">
        <v>1787</v>
      </c>
      <c r="C1182" s="351" t="s">
        <v>568</v>
      </c>
      <c r="D1182" s="352" t="s">
        <v>568</v>
      </c>
      <c r="E1182" s="352" t="s">
        <v>2012</v>
      </c>
      <c r="F1182" s="353">
        <v>1.19</v>
      </c>
      <c r="G1182" s="352" t="s">
        <v>2126</v>
      </c>
      <c r="H1182" s="176" t="s">
        <v>53</v>
      </c>
      <c r="I1182" s="176" t="s">
        <v>4672</v>
      </c>
      <c r="J1182" s="352" t="s">
        <v>1480</v>
      </c>
      <c r="K1182" s="351">
        <v>25</v>
      </c>
      <c r="L1182" s="351" t="s">
        <v>1481</v>
      </c>
      <c r="M1182" s="352"/>
      <c r="N1182" s="352"/>
      <c r="O1182" s="351">
        <v>25</v>
      </c>
      <c r="P1182" s="349" t="s">
        <v>1836</v>
      </c>
      <c r="R1182" s="349">
        <f t="shared" si="18"/>
        <v>11</v>
      </c>
      <c r="S1182" s="352"/>
      <c r="T1182" s="352"/>
      <c r="U1182" s="352"/>
      <c r="V1182" s="353"/>
      <c r="W1182" s="352"/>
      <c r="X1182" s="176"/>
      <c r="Y1182" s="37"/>
      <c r="Z1182" s="352"/>
      <c r="AA1182" s="352"/>
      <c r="AB1182" s="352"/>
      <c r="AC1182" s="351"/>
      <c r="AD1182" s="351"/>
    </row>
    <row r="1183" spans="1:30" ht="409.6" hidden="1" x14ac:dyDescent="0.35">
      <c r="A1183" s="349">
        <v>1182</v>
      </c>
      <c r="B1183" s="352" t="s">
        <v>1787</v>
      </c>
      <c r="C1183" s="351" t="s">
        <v>568</v>
      </c>
      <c r="D1183" s="352" t="s">
        <v>568</v>
      </c>
      <c r="E1183" s="352" t="s">
        <v>2012</v>
      </c>
      <c r="F1183" s="353">
        <v>1.85</v>
      </c>
      <c r="G1183" s="352" t="s">
        <v>2126</v>
      </c>
      <c r="H1183" s="176" t="s">
        <v>53</v>
      </c>
      <c r="I1183" s="176" t="s">
        <v>4672</v>
      </c>
      <c r="J1183" s="352" t="s">
        <v>1480</v>
      </c>
      <c r="K1183" s="351">
        <v>50</v>
      </c>
      <c r="L1183" s="351" t="s">
        <v>1481</v>
      </c>
      <c r="M1183" s="352"/>
      <c r="N1183" s="352"/>
      <c r="O1183" s="351">
        <v>50</v>
      </c>
      <c r="P1183" s="349" t="s">
        <v>1836</v>
      </c>
      <c r="R1183" s="349">
        <f t="shared" si="18"/>
        <v>11</v>
      </c>
      <c r="S1183" s="352"/>
      <c r="T1183" s="352"/>
      <c r="U1183" s="352"/>
      <c r="V1183" s="353"/>
      <c r="W1183" s="352"/>
      <c r="X1183" s="37"/>
      <c r="Y1183" s="176"/>
      <c r="Z1183" s="352"/>
      <c r="AA1183" s="352"/>
      <c r="AB1183" s="352"/>
      <c r="AC1183" s="352"/>
      <c r="AD1183" s="352"/>
    </row>
    <row r="1184" spans="1:30" ht="409.6" hidden="1" x14ac:dyDescent="0.35">
      <c r="A1184" s="349">
        <v>1183</v>
      </c>
      <c r="B1184" s="352" t="s">
        <v>1787</v>
      </c>
      <c r="C1184" s="351" t="s">
        <v>568</v>
      </c>
      <c r="D1184" s="352" t="s">
        <v>568</v>
      </c>
      <c r="E1184" s="352" t="s">
        <v>2012</v>
      </c>
      <c r="F1184" s="353">
        <v>3.7</v>
      </c>
      <c r="G1184" s="352" t="s">
        <v>2126</v>
      </c>
      <c r="H1184" s="176" t="s">
        <v>53</v>
      </c>
      <c r="I1184" s="176" t="s">
        <v>4672</v>
      </c>
      <c r="J1184" s="352" t="s">
        <v>1480</v>
      </c>
      <c r="K1184" s="351">
        <v>100</v>
      </c>
      <c r="L1184" s="351" t="s">
        <v>1481</v>
      </c>
      <c r="M1184" s="352"/>
      <c r="N1184" s="352"/>
      <c r="O1184" s="351">
        <v>100</v>
      </c>
      <c r="P1184" s="349" t="s">
        <v>1836</v>
      </c>
      <c r="R1184" s="349">
        <f t="shared" si="18"/>
        <v>11</v>
      </c>
      <c r="S1184" s="352"/>
      <c r="T1184" s="352"/>
      <c r="U1184" s="352"/>
      <c r="V1184" s="353"/>
      <c r="W1184" s="352"/>
      <c r="X1184" s="176"/>
      <c r="Y1184" s="176"/>
      <c r="Z1184" s="352"/>
      <c r="AA1184" s="352"/>
      <c r="AB1184" s="352"/>
      <c r="AC1184" s="352"/>
      <c r="AD1184" s="352"/>
    </row>
    <row r="1185" spans="1:30" ht="25.65" hidden="1" x14ac:dyDescent="0.35">
      <c r="A1185" s="349">
        <v>1184</v>
      </c>
      <c r="B1185" s="352" t="s">
        <v>959</v>
      </c>
      <c r="C1185" s="351" t="s">
        <v>4261</v>
      </c>
      <c r="D1185" s="352" t="s">
        <v>257</v>
      </c>
      <c r="E1185" s="352" t="s">
        <v>554</v>
      </c>
      <c r="F1185" s="353">
        <v>3.3056000000000001</v>
      </c>
      <c r="G1185" s="352" t="s">
        <v>34</v>
      </c>
      <c r="H1185" s="37" t="s">
        <v>258</v>
      </c>
      <c r="I1185" s="37" t="s">
        <v>4921</v>
      </c>
      <c r="J1185" s="352" t="s">
        <v>555</v>
      </c>
      <c r="K1185" s="352"/>
      <c r="L1185" s="352"/>
      <c r="M1185" s="351">
        <v>50</v>
      </c>
      <c r="N1185" s="351" t="s">
        <v>31</v>
      </c>
      <c r="O1185" s="351">
        <v>0</v>
      </c>
      <c r="P1185" s="349" t="s">
        <v>818</v>
      </c>
      <c r="R1185" s="349">
        <f t="shared" si="18"/>
        <v>10</v>
      </c>
      <c r="S1185" s="352"/>
      <c r="T1185" s="352"/>
      <c r="U1185" s="352"/>
      <c r="V1185" s="353"/>
      <c r="W1185" s="352"/>
      <c r="X1185" s="37"/>
      <c r="Y1185" s="176"/>
      <c r="Z1185" s="352"/>
      <c r="AA1185" s="352"/>
      <c r="AB1185" s="352"/>
      <c r="AC1185" s="352"/>
      <c r="AD1185" s="352"/>
    </row>
    <row r="1186" spans="1:30" ht="64.099999999999994" hidden="1" x14ac:dyDescent="0.35">
      <c r="A1186" s="349">
        <v>1185</v>
      </c>
      <c r="B1186" s="352" t="s">
        <v>959</v>
      </c>
      <c r="C1186" s="351" t="s">
        <v>4262</v>
      </c>
      <c r="D1186" s="352" t="s">
        <v>257</v>
      </c>
      <c r="E1186" s="352" t="s">
        <v>554</v>
      </c>
      <c r="F1186" s="351">
        <v>3.3056000000000001</v>
      </c>
      <c r="G1186" s="352" t="s">
        <v>34</v>
      </c>
      <c r="H1186" s="176" t="s">
        <v>4232</v>
      </c>
      <c r="I1186" s="176" t="s">
        <v>259</v>
      </c>
      <c r="J1186" s="352" t="s">
        <v>555</v>
      </c>
      <c r="K1186" s="351"/>
      <c r="L1186" s="351"/>
      <c r="M1186" s="351">
        <v>50</v>
      </c>
      <c r="N1186" s="351" t="s">
        <v>31</v>
      </c>
      <c r="O1186" s="351">
        <v>0</v>
      </c>
      <c r="P1186" s="349" t="s">
        <v>818</v>
      </c>
      <c r="R1186" s="349">
        <f t="shared" si="18"/>
        <v>10</v>
      </c>
      <c r="S1186" s="352"/>
      <c r="T1186" s="352"/>
      <c r="U1186" s="352"/>
      <c r="V1186" s="353"/>
      <c r="W1186" s="352"/>
      <c r="X1186" s="176"/>
      <c r="Y1186" s="176"/>
      <c r="Z1186" s="352"/>
      <c r="AA1186" s="352"/>
      <c r="AB1186" s="352"/>
      <c r="AC1186" s="352"/>
      <c r="AD1186" s="352"/>
    </row>
    <row r="1187" spans="1:30" ht="25.65" hidden="1" x14ac:dyDescent="0.35">
      <c r="A1187" s="349">
        <v>1186</v>
      </c>
      <c r="B1187" s="352" t="s">
        <v>959</v>
      </c>
      <c r="C1187" s="351" t="s">
        <v>257</v>
      </c>
      <c r="D1187" s="352" t="s">
        <v>257</v>
      </c>
      <c r="E1187" s="352" t="s">
        <v>554</v>
      </c>
      <c r="F1187" s="353">
        <v>3.3056000000000001</v>
      </c>
      <c r="G1187" s="352" t="s">
        <v>34</v>
      </c>
      <c r="H1187" s="176" t="s">
        <v>258</v>
      </c>
      <c r="I1187" s="176" t="s">
        <v>4921</v>
      </c>
      <c r="J1187" s="352" t="s">
        <v>555</v>
      </c>
      <c r="K1187" s="352"/>
      <c r="L1187" s="352"/>
      <c r="M1187" s="352">
        <v>50</v>
      </c>
      <c r="N1187" s="352" t="s">
        <v>31</v>
      </c>
      <c r="O1187" s="351">
        <v>0</v>
      </c>
      <c r="P1187" s="349" t="s">
        <v>818</v>
      </c>
      <c r="R1187" s="349">
        <f t="shared" si="18"/>
        <v>10</v>
      </c>
      <c r="S1187" s="352"/>
      <c r="T1187" s="352"/>
      <c r="U1187" s="352"/>
      <c r="V1187" s="351"/>
      <c r="W1187" s="352"/>
      <c r="X1187" s="176"/>
      <c r="Y1187" s="176"/>
      <c r="Z1187" s="352"/>
      <c r="AA1187" s="352"/>
      <c r="AB1187" s="352"/>
      <c r="AC1187" s="351"/>
      <c r="AD1187" s="351"/>
    </row>
    <row r="1188" spans="1:30" ht="64.099999999999994" hidden="1" x14ac:dyDescent="0.35">
      <c r="A1188" s="349">
        <v>1187</v>
      </c>
      <c r="B1188" s="352" t="s">
        <v>959</v>
      </c>
      <c r="C1188" s="351" t="s">
        <v>257</v>
      </c>
      <c r="D1188" s="352" t="s">
        <v>257</v>
      </c>
      <c r="E1188" s="352" t="s">
        <v>554</v>
      </c>
      <c r="F1188" s="353">
        <v>3.3056000000000001</v>
      </c>
      <c r="G1188" s="352" t="s">
        <v>34</v>
      </c>
      <c r="H1188" s="176" t="s">
        <v>4232</v>
      </c>
      <c r="I1188" s="176" t="s">
        <v>259</v>
      </c>
      <c r="J1188" s="352" t="s">
        <v>555</v>
      </c>
      <c r="K1188" s="352"/>
      <c r="L1188" s="352"/>
      <c r="M1188" s="352">
        <v>50</v>
      </c>
      <c r="N1188" s="352" t="s">
        <v>31</v>
      </c>
      <c r="O1188" s="351">
        <v>0</v>
      </c>
      <c r="P1188" s="349" t="s">
        <v>818</v>
      </c>
      <c r="R1188" s="349">
        <f t="shared" si="18"/>
        <v>10</v>
      </c>
      <c r="S1188" s="352"/>
      <c r="T1188" s="352"/>
      <c r="U1188" s="352"/>
      <c r="V1188" s="351"/>
      <c r="W1188" s="352"/>
      <c r="X1188" s="176"/>
      <c r="Y1188" s="176"/>
      <c r="Z1188" s="352"/>
      <c r="AA1188" s="352"/>
      <c r="AB1188" s="352"/>
      <c r="AC1188" s="351"/>
      <c r="AD1188" s="351"/>
    </row>
    <row r="1189" spans="1:30" hidden="1" x14ac:dyDescent="0.35">
      <c r="A1189" s="349">
        <v>1188</v>
      </c>
      <c r="B1189" s="352" t="s">
        <v>1080</v>
      </c>
      <c r="C1189" s="351" t="s">
        <v>4263</v>
      </c>
      <c r="D1189" s="352" t="s">
        <v>839</v>
      </c>
      <c r="E1189" s="352" t="s">
        <v>1995</v>
      </c>
      <c r="F1189" s="353">
        <v>5.8178000000000001</v>
      </c>
      <c r="G1189" s="352" t="s">
        <v>2126</v>
      </c>
      <c r="H1189" s="176"/>
      <c r="I1189" s="176"/>
      <c r="J1189" s="352" t="s">
        <v>3580</v>
      </c>
      <c r="K1189" s="352">
        <v>40</v>
      </c>
      <c r="L1189" s="352" t="s">
        <v>3581</v>
      </c>
      <c r="M1189" s="352"/>
      <c r="N1189" s="352"/>
      <c r="O1189" s="351">
        <v>40</v>
      </c>
      <c r="P1189" s="349" t="s">
        <v>1836</v>
      </c>
      <c r="R1189" s="349">
        <f t="shared" si="18"/>
        <v>10</v>
      </c>
      <c r="S1189" s="352"/>
      <c r="T1189" s="352"/>
      <c r="U1189" s="352"/>
      <c r="V1189" s="351"/>
      <c r="W1189" s="352"/>
      <c r="X1189" s="176"/>
      <c r="Y1189" s="176"/>
      <c r="Z1189" s="352"/>
      <c r="AA1189" s="352"/>
      <c r="AB1189" s="352"/>
      <c r="AC1189" s="351"/>
      <c r="AD1189" s="351"/>
    </row>
    <row r="1190" spans="1:30" ht="64.099999999999994" hidden="1" x14ac:dyDescent="0.35">
      <c r="A1190" s="349">
        <v>1189</v>
      </c>
      <c r="B1190" s="352" t="s">
        <v>3968</v>
      </c>
      <c r="C1190" s="351" t="s">
        <v>4264</v>
      </c>
      <c r="D1190" s="352" t="s">
        <v>2726</v>
      </c>
      <c r="E1190" s="352" t="s">
        <v>2004</v>
      </c>
      <c r="F1190" s="353"/>
      <c r="G1190" s="352" t="s">
        <v>2126</v>
      </c>
      <c r="H1190" s="176" t="s">
        <v>2250</v>
      </c>
      <c r="I1190" s="176" t="s">
        <v>2251</v>
      </c>
      <c r="J1190" s="352" t="s">
        <v>3577</v>
      </c>
      <c r="K1190" s="352"/>
      <c r="L1190" s="352"/>
      <c r="M1190" s="351"/>
      <c r="N1190" s="351"/>
      <c r="O1190" s="351">
        <v>0</v>
      </c>
      <c r="P1190" s="349" t="s">
        <v>2313</v>
      </c>
      <c r="R1190" s="349">
        <f t="shared" si="18"/>
        <v>8</v>
      </c>
      <c r="S1190" s="352"/>
      <c r="T1190" s="352"/>
      <c r="U1190" s="352"/>
      <c r="V1190" s="351"/>
      <c r="W1190" s="352"/>
      <c r="X1190" s="176"/>
      <c r="Y1190" s="176"/>
      <c r="Z1190" s="352"/>
      <c r="AA1190" s="352"/>
      <c r="AB1190" s="352"/>
      <c r="AC1190" s="351"/>
      <c r="AD1190" s="351"/>
    </row>
    <row r="1191" spans="1:30" ht="141" hidden="1" x14ac:dyDescent="0.35">
      <c r="A1191" s="349">
        <v>1190</v>
      </c>
      <c r="B1191" s="352" t="s">
        <v>1463</v>
      </c>
      <c r="C1191" s="351" t="s">
        <v>4265</v>
      </c>
      <c r="D1191" s="352" t="s">
        <v>1906</v>
      </c>
      <c r="E1191" s="352" t="s">
        <v>762</v>
      </c>
      <c r="F1191" s="353">
        <v>0.55000000000000004</v>
      </c>
      <c r="G1191" s="352" t="s">
        <v>1107</v>
      </c>
      <c r="H1191" s="176" t="s">
        <v>682</v>
      </c>
      <c r="I1191" s="176" t="s">
        <v>4663</v>
      </c>
      <c r="J1191" s="352" t="s">
        <v>828</v>
      </c>
      <c r="K1191" s="352">
        <v>10</v>
      </c>
      <c r="L1191" s="352" t="s">
        <v>1116</v>
      </c>
      <c r="M1191" s="352">
        <v>2</v>
      </c>
      <c r="N1191" s="352" t="s">
        <v>1109</v>
      </c>
      <c r="O1191" s="351">
        <v>10</v>
      </c>
      <c r="P1191" s="349" t="s">
        <v>1836</v>
      </c>
      <c r="R1191" s="349">
        <f t="shared" si="18"/>
        <v>10</v>
      </c>
      <c r="S1191" s="352"/>
      <c r="T1191" s="352"/>
      <c r="U1191" s="352"/>
      <c r="V1191" s="353"/>
      <c r="W1191" s="352"/>
      <c r="X1191" s="176"/>
      <c r="Y1191" s="176"/>
      <c r="Z1191" s="352"/>
      <c r="AA1191" s="352"/>
      <c r="AB1191" s="352"/>
      <c r="AC1191" s="351"/>
      <c r="AD1191" s="351"/>
    </row>
    <row r="1192" spans="1:30" ht="141" hidden="1" x14ac:dyDescent="0.35">
      <c r="A1192" s="349">
        <v>1191</v>
      </c>
      <c r="B1192" s="352" t="s">
        <v>1463</v>
      </c>
      <c r="C1192" s="351" t="s">
        <v>4265</v>
      </c>
      <c r="D1192" s="352" t="s">
        <v>1906</v>
      </c>
      <c r="E1192" s="352" t="s">
        <v>1450</v>
      </c>
      <c r="F1192" s="353">
        <v>8.35</v>
      </c>
      <c r="G1192" s="352" t="s">
        <v>1107</v>
      </c>
      <c r="H1192" s="176" t="s">
        <v>682</v>
      </c>
      <c r="I1192" s="176" t="s">
        <v>4663</v>
      </c>
      <c r="J1192" s="352" t="s">
        <v>828</v>
      </c>
      <c r="K1192" s="351">
        <v>10</v>
      </c>
      <c r="L1192" s="351" t="s">
        <v>1116</v>
      </c>
      <c r="M1192" s="351">
        <v>25</v>
      </c>
      <c r="N1192" s="351" t="s">
        <v>1109</v>
      </c>
      <c r="O1192" s="351">
        <v>10</v>
      </c>
      <c r="P1192" s="349" t="s">
        <v>1836</v>
      </c>
      <c r="R1192" s="349">
        <f t="shared" si="18"/>
        <v>10</v>
      </c>
      <c r="S1192" s="352"/>
      <c r="T1192" s="352"/>
      <c r="U1192" s="352"/>
      <c r="V1192" s="353"/>
      <c r="W1192" s="352"/>
      <c r="X1192" s="176"/>
      <c r="Y1192" s="176"/>
      <c r="Z1192" s="352"/>
      <c r="AA1192" s="352"/>
      <c r="AB1192" s="352"/>
      <c r="AC1192" s="352"/>
      <c r="AD1192" s="352"/>
    </row>
    <row r="1193" spans="1:30" ht="76.900000000000006" hidden="1" x14ac:dyDescent="0.35">
      <c r="A1193" s="349">
        <v>1192</v>
      </c>
      <c r="B1193" s="352" t="s">
        <v>1018</v>
      </c>
      <c r="C1193" s="351" t="s">
        <v>291</v>
      </c>
      <c r="D1193" s="352" t="s">
        <v>291</v>
      </c>
      <c r="E1193" s="352" t="s">
        <v>827</v>
      </c>
      <c r="F1193" s="353">
        <v>5.8</v>
      </c>
      <c r="G1193" s="352" t="s">
        <v>1107</v>
      </c>
      <c r="H1193" s="176" t="s">
        <v>153</v>
      </c>
      <c r="I1193" s="176" t="s">
        <v>154</v>
      </c>
      <c r="J1193" s="352" t="s">
        <v>828</v>
      </c>
      <c r="K1193" s="351">
        <v>200</v>
      </c>
      <c r="L1193" s="351" t="s">
        <v>1116</v>
      </c>
      <c r="M1193" s="351">
        <v>5</v>
      </c>
      <c r="N1193" s="351" t="s">
        <v>1109</v>
      </c>
      <c r="O1193" s="351">
        <v>200</v>
      </c>
      <c r="P1193" s="349" t="s">
        <v>1836</v>
      </c>
      <c r="R1193" s="349">
        <f t="shared" si="18"/>
        <v>11</v>
      </c>
      <c r="S1193" s="352"/>
      <c r="T1193" s="352"/>
      <c r="U1193" s="352"/>
      <c r="V1193" s="353"/>
      <c r="W1193" s="352"/>
      <c r="X1193" s="176"/>
      <c r="Y1193" s="176"/>
      <c r="Z1193" s="352"/>
      <c r="AA1193" s="352"/>
      <c r="AB1193" s="352"/>
      <c r="AC1193" s="352"/>
      <c r="AD1193" s="352"/>
    </row>
    <row r="1194" spans="1:30" ht="141" hidden="1" x14ac:dyDescent="0.35">
      <c r="A1194" s="349">
        <v>1193</v>
      </c>
      <c r="B1194" s="352" t="s">
        <v>548</v>
      </c>
      <c r="C1194" s="351" t="s">
        <v>291</v>
      </c>
      <c r="D1194" s="352" t="s">
        <v>291</v>
      </c>
      <c r="E1194" s="352" t="s">
        <v>549</v>
      </c>
      <c r="F1194" s="353">
        <v>4.2</v>
      </c>
      <c r="G1194" s="352" t="s">
        <v>2126</v>
      </c>
      <c r="H1194" s="176" t="s">
        <v>2893</v>
      </c>
      <c r="I1194" s="176" t="s">
        <v>3316</v>
      </c>
      <c r="J1194" s="352" t="s">
        <v>3579</v>
      </c>
      <c r="K1194" s="351">
        <v>100</v>
      </c>
      <c r="L1194" s="351" t="s">
        <v>1116</v>
      </c>
      <c r="M1194" s="351">
        <v>10</v>
      </c>
      <c r="N1194" s="351" t="s">
        <v>1109</v>
      </c>
      <c r="O1194" s="351">
        <v>100</v>
      </c>
      <c r="P1194" s="349" t="s">
        <v>1836</v>
      </c>
      <c r="R1194" s="349">
        <f t="shared" si="18"/>
        <v>11</v>
      </c>
      <c r="S1194" s="352"/>
      <c r="T1194" s="352"/>
      <c r="U1194" s="352"/>
      <c r="V1194" s="353"/>
      <c r="W1194" s="352"/>
      <c r="X1194" s="176"/>
      <c r="Y1194" s="176"/>
      <c r="Z1194" s="352"/>
      <c r="AA1194" s="352"/>
      <c r="AB1194" s="352"/>
      <c r="AC1194" s="351"/>
      <c r="AD1194" s="351"/>
    </row>
    <row r="1195" spans="1:30" ht="141" hidden="1" x14ac:dyDescent="0.35">
      <c r="A1195" s="349">
        <v>1194</v>
      </c>
      <c r="B1195" s="352" t="s">
        <v>548</v>
      </c>
      <c r="C1195" s="351" t="s">
        <v>291</v>
      </c>
      <c r="D1195" s="352" t="s">
        <v>291</v>
      </c>
      <c r="E1195" s="352" t="s">
        <v>1995</v>
      </c>
      <c r="F1195" s="353">
        <v>1.2782</v>
      </c>
      <c r="G1195" s="352" t="s">
        <v>2126</v>
      </c>
      <c r="H1195" s="176" t="s">
        <v>2893</v>
      </c>
      <c r="I1195" s="176" t="s">
        <v>3316</v>
      </c>
      <c r="J1195" s="352" t="s">
        <v>3580</v>
      </c>
      <c r="K1195" s="351">
        <v>330</v>
      </c>
      <c r="L1195" s="351" t="s">
        <v>3581</v>
      </c>
      <c r="M1195" s="351"/>
      <c r="N1195" s="351"/>
      <c r="O1195" s="351">
        <v>330</v>
      </c>
      <c r="P1195" s="349" t="s">
        <v>1836</v>
      </c>
      <c r="R1195" s="349">
        <f t="shared" si="18"/>
        <v>11</v>
      </c>
      <c r="S1195" s="352"/>
      <c r="T1195" s="352"/>
      <c r="U1195" s="352"/>
      <c r="V1195" s="353"/>
      <c r="W1195" s="352"/>
      <c r="X1195" s="176"/>
      <c r="Y1195" s="176"/>
      <c r="Z1195" s="352"/>
      <c r="AA1195" s="352"/>
      <c r="AB1195" s="352"/>
      <c r="AC1195" s="351"/>
      <c r="AD1195" s="351"/>
    </row>
    <row r="1196" spans="1:30" ht="51.3" hidden="1" x14ac:dyDescent="0.35">
      <c r="A1196" s="349">
        <v>1195</v>
      </c>
      <c r="B1196" s="352" t="s">
        <v>3968</v>
      </c>
      <c r="C1196" s="351" t="s">
        <v>2421</v>
      </c>
      <c r="D1196" s="352" t="s">
        <v>2421</v>
      </c>
      <c r="E1196" s="352" t="s">
        <v>2004</v>
      </c>
      <c r="F1196" s="353">
        <v>0.79330000000000001</v>
      </c>
      <c r="G1196" s="352" t="s">
        <v>2126</v>
      </c>
      <c r="H1196" s="176" t="s">
        <v>2253</v>
      </c>
      <c r="I1196" s="176" t="s">
        <v>2252</v>
      </c>
      <c r="J1196" s="352" t="s">
        <v>3577</v>
      </c>
      <c r="K1196" s="351"/>
      <c r="L1196" s="351"/>
      <c r="M1196" s="351"/>
      <c r="N1196" s="351"/>
      <c r="O1196" s="351">
        <v>0</v>
      </c>
      <c r="P1196" s="349" t="s">
        <v>2313</v>
      </c>
      <c r="R1196" s="349">
        <f t="shared" si="18"/>
        <v>12</v>
      </c>
      <c r="S1196" s="352"/>
      <c r="T1196" s="352"/>
      <c r="U1196" s="352"/>
      <c r="V1196" s="353"/>
      <c r="W1196" s="352"/>
      <c r="X1196" s="176"/>
      <c r="Y1196" s="176"/>
      <c r="Z1196" s="352"/>
      <c r="AA1196" s="352"/>
      <c r="AB1196" s="352"/>
      <c r="AC1196" s="351"/>
      <c r="AD1196" s="351"/>
    </row>
    <row r="1197" spans="1:30" ht="38.450000000000003" hidden="1" x14ac:dyDescent="0.35">
      <c r="A1197" s="349">
        <v>1196</v>
      </c>
      <c r="B1197" s="352" t="s">
        <v>3968</v>
      </c>
      <c r="C1197" s="351" t="s">
        <v>2421</v>
      </c>
      <c r="D1197" s="352" t="s">
        <v>2421</v>
      </c>
      <c r="E1197" s="352" t="s">
        <v>2004</v>
      </c>
      <c r="F1197" s="353">
        <v>0.79330000000000001</v>
      </c>
      <c r="G1197" s="352" t="s">
        <v>2126</v>
      </c>
      <c r="H1197" s="176"/>
      <c r="I1197" s="176" t="s">
        <v>2252</v>
      </c>
      <c r="J1197" s="352" t="s">
        <v>3577</v>
      </c>
      <c r="K1197" s="351"/>
      <c r="L1197" s="351"/>
      <c r="M1197" s="351"/>
      <c r="N1197" s="351"/>
      <c r="O1197" s="351">
        <v>0</v>
      </c>
      <c r="P1197" s="349" t="s">
        <v>2313</v>
      </c>
      <c r="R1197" s="349">
        <f t="shared" si="18"/>
        <v>12</v>
      </c>
      <c r="S1197" s="352"/>
      <c r="T1197" s="352"/>
      <c r="U1197" s="352"/>
      <c r="V1197" s="353"/>
      <c r="W1197" s="352"/>
      <c r="X1197" s="176"/>
      <c r="Y1197" s="176"/>
      <c r="Z1197" s="352"/>
      <c r="AA1197" s="352"/>
      <c r="AB1197" s="352"/>
      <c r="AC1197" s="351"/>
      <c r="AD1197" s="351"/>
    </row>
    <row r="1198" spans="1:30" ht="51.3" hidden="1" x14ac:dyDescent="0.35">
      <c r="A1198" s="349">
        <v>1197</v>
      </c>
      <c r="B1198" s="352" t="s">
        <v>19</v>
      </c>
      <c r="C1198" s="351" t="s">
        <v>2421</v>
      </c>
      <c r="D1198" s="352" t="s">
        <v>2421</v>
      </c>
      <c r="E1198" s="352" t="s">
        <v>2004</v>
      </c>
      <c r="F1198" s="353">
        <v>0.79330000000000001</v>
      </c>
      <c r="G1198" s="352" t="s">
        <v>2126</v>
      </c>
      <c r="H1198" s="176" t="s">
        <v>3318</v>
      </c>
      <c r="I1198" s="176" t="s">
        <v>3829</v>
      </c>
      <c r="J1198" s="352" t="s">
        <v>3577</v>
      </c>
      <c r="K1198" s="352"/>
      <c r="L1198" s="352"/>
      <c r="M1198" s="351"/>
      <c r="N1198" s="351"/>
      <c r="O1198" s="351">
        <v>0</v>
      </c>
      <c r="P1198" s="349" t="s">
        <v>2313</v>
      </c>
      <c r="R1198" s="349">
        <f t="shared" si="18"/>
        <v>12</v>
      </c>
      <c r="S1198" s="352"/>
      <c r="T1198" s="352"/>
      <c r="U1198" s="352"/>
      <c r="V1198" s="353"/>
      <c r="W1198" s="352"/>
      <c r="X1198" s="176"/>
      <c r="Y1198" s="176"/>
      <c r="Z1198" s="352"/>
      <c r="AA1198" s="352"/>
      <c r="AB1198" s="352"/>
      <c r="AC1198" s="351"/>
      <c r="AD1198" s="351"/>
    </row>
    <row r="1199" spans="1:30" ht="51.3" hidden="1" x14ac:dyDescent="0.35">
      <c r="A1199" s="349">
        <v>1198</v>
      </c>
      <c r="B1199" s="352" t="s">
        <v>3968</v>
      </c>
      <c r="C1199" s="351" t="s">
        <v>2421</v>
      </c>
      <c r="D1199" s="352" t="s">
        <v>2421</v>
      </c>
      <c r="E1199" s="352" t="s">
        <v>2004</v>
      </c>
      <c r="F1199" s="353">
        <v>0.79330000000000001</v>
      </c>
      <c r="G1199" s="352" t="s">
        <v>2126</v>
      </c>
      <c r="H1199" s="176" t="s">
        <v>2253</v>
      </c>
      <c r="I1199" s="176" t="s">
        <v>2252</v>
      </c>
      <c r="J1199" s="352" t="s">
        <v>3577</v>
      </c>
      <c r="K1199" s="352"/>
      <c r="L1199" s="352"/>
      <c r="M1199" s="351"/>
      <c r="N1199" s="351"/>
      <c r="O1199" s="351">
        <v>0</v>
      </c>
      <c r="P1199" s="349" t="s">
        <v>2313</v>
      </c>
      <c r="R1199" s="349">
        <f t="shared" si="18"/>
        <v>12</v>
      </c>
      <c r="S1199" s="352"/>
      <c r="T1199" s="352"/>
      <c r="U1199" s="352"/>
      <c r="V1199" s="353"/>
      <c r="W1199" s="352"/>
      <c r="X1199" s="176"/>
      <c r="Y1199" s="176"/>
      <c r="Z1199" s="352"/>
      <c r="AA1199" s="352"/>
      <c r="AB1199" s="352"/>
      <c r="AC1199" s="351"/>
      <c r="AD1199" s="351"/>
    </row>
    <row r="1200" spans="1:30" ht="38.450000000000003" hidden="1" x14ac:dyDescent="0.35">
      <c r="A1200" s="349">
        <v>1199</v>
      </c>
      <c r="B1200" s="352" t="s">
        <v>3968</v>
      </c>
      <c r="C1200" s="351" t="s">
        <v>2421</v>
      </c>
      <c r="D1200" s="352" t="s">
        <v>2421</v>
      </c>
      <c r="E1200" s="352" t="s">
        <v>2004</v>
      </c>
      <c r="F1200" s="353">
        <v>0.79330000000000001</v>
      </c>
      <c r="G1200" s="352" t="s">
        <v>2126</v>
      </c>
      <c r="H1200" s="176"/>
      <c r="I1200" s="176" t="s">
        <v>2252</v>
      </c>
      <c r="J1200" s="352" t="s">
        <v>3577</v>
      </c>
      <c r="K1200" s="352"/>
      <c r="L1200" s="352"/>
      <c r="M1200" s="352"/>
      <c r="N1200" s="352"/>
      <c r="O1200" s="351">
        <v>0</v>
      </c>
      <c r="P1200" s="349" t="s">
        <v>2313</v>
      </c>
      <c r="R1200" s="349">
        <f t="shared" si="18"/>
        <v>12</v>
      </c>
      <c r="S1200" s="352"/>
      <c r="T1200" s="352"/>
      <c r="U1200" s="352"/>
      <c r="V1200" s="353"/>
      <c r="W1200" s="352"/>
      <c r="X1200" s="176"/>
      <c r="Y1200" s="176"/>
      <c r="Z1200" s="352"/>
      <c r="AA1200" s="352"/>
      <c r="AB1200" s="352"/>
      <c r="AC1200" s="351"/>
      <c r="AD1200" s="351"/>
    </row>
    <row r="1201" spans="1:30" ht="51.3" hidden="1" x14ac:dyDescent="0.35">
      <c r="A1201" s="349">
        <v>1200</v>
      </c>
      <c r="B1201" s="352" t="s">
        <v>19</v>
      </c>
      <c r="C1201" s="351" t="s">
        <v>2421</v>
      </c>
      <c r="D1201" s="352" t="s">
        <v>2421</v>
      </c>
      <c r="E1201" s="352" t="s">
        <v>2004</v>
      </c>
      <c r="F1201" s="353">
        <v>0.79330000000000001</v>
      </c>
      <c r="G1201" s="352" t="s">
        <v>2126</v>
      </c>
      <c r="H1201" s="176" t="s">
        <v>3318</v>
      </c>
      <c r="I1201" s="176" t="s">
        <v>3829</v>
      </c>
      <c r="J1201" s="352" t="s">
        <v>3577</v>
      </c>
      <c r="K1201" s="352"/>
      <c r="L1201" s="352"/>
      <c r="M1201" s="351"/>
      <c r="N1201" s="351"/>
      <c r="O1201" s="351">
        <v>0</v>
      </c>
      <c r="P1201" s="349" t="s">
        <v>2313</v>
      </c>
      <c r="R1201" s="349">
        <f t="shared" si="18"/>
        <v>12</v>
      </c>
      <c r="S1201" s="352"/>
      <c r="T1201" s="352"/>
      <c r="U1201" s="352"/>
      <c r="V1201" s="353"/>
      <c r="W1201" s="352"/>
      <c r="X1201" s="176"/>
      <c r="Y1201" s="176"/>
      <c r="Z1201" s="352"/>
      <c r="AA1201" s="352"/>
      <c r="AB1201" s="352"/>
      <c r="AC1201" s="351"/>
      <c r="AD1201" s="351"/>
    </row>
    <row r="1202" spans="1:30" ht="38.450000000000003" hidden="1" x14ac:dyDescent="0.35">
      <c r="A1202" s="349">
        <v>1201</v>
      </c>
      <c r="B1202" s="352" t="s">
        <v>965</v>
      </c>
      <c r="C1202" s="351" t="s">
        <v>4266</v>
      </c>
      <c r="D1202" s="352" t="s">
        <v>676</v>
      </c>
      <c r="E1202" s="352" t="s">
        <v>2008</v>
      </c>
      <c r="F1202" s="353">
        <v>0.55000000000000004</v>
      </c>
      <c r="G1202" s="352" t="s">
        <v>2126</v>
      </c>
      <c r="H1202" s="176" t="s">
        <v>2414</v>
      </c>
      <c r="I1202" s="176" t="s">
        <v>4587</v>
      </c>
      <c r="J1202" s="352" t="s">
        <v>2056</v>
      </c>
      <c r="K1202" s="352">
        <v>12</v>
      </c>
      <c r="L1202" s="352" t="s">
        <v>2057</v>
      </c>
      <c r="M1202" s="352"/>
      <c r="N1202" s="352"/>
      <c r="O1202" s="351">
        <v>12</v>
      </c>
      <c r="P1202" s="349" t="s">
        <v>818</v>
      </c>
      <c r="R1202" s="349">
        <f t="shared" si="18"/>
        <v>9</v>
      </c>
      <c r="S1202" s="352"/>
      <c r="T1202" s="352"/>
      <c r="U1202" s="352"/>
      <c r="V1202" s="353"/>
      <c r="W1202" s="352"/>
      <c r="X1202" s="176"/>
      <c r="Y1202" s="176"/>
      <c r="Z1202" s="352"/>
      <c r="AA1202" s="352"/>
      <c r="AB1202" s="352"/>
      <c r="AC1202" s="351"/>
      <c r="AD1202" s="351"/>
    </row>
    <row r="1203" spans="1:30" ht="51.3" hidden="1" x14ac:dyDescent="0.35">
      <c r="A1203" s="349">
        <v>1202</v>
      </c>
      <c r="B1203" s="352" t="s">
        <v>962</v>
      </c>
      <c r="C1203" s="351" t="s">
        <v>4267</v>
      </c>
      <c r="D1203" s="352" t="s">
        <v>3945</v>
      </c>
      <c r="E1203" s="352" t="s">
        <v>1997</v>
      </c>
      <c r="F1203" s="353">
        <v>245.0966</v>
      </c>
      <c r="G1203" s="352" t="s">
        <v>731</v>
      </c>
      <c r="H1203" s="176" t="s">
        <v>1859</v>
      </c>
      <c r="I1203" s="176" t="s">
        <v>1860</v>
      </c>
      <c r="J1203" s="352" t="s">
        <v>1115</v>
      </c>
      <c r="K1203" s="352">
        <v>300</v>
      </c>
      <c r="L1203" s="352" t="s">
        <v>768</v>
      </c>
      <c r="M1203" s="352"/>
      <c r="N1203" s="352"/>
      <c r="O1203" s="351">
        <v>300</v>
      </c>
      <c r="P1203" s="349" t="s">
        <v>1850</v>
      </c>
      <c r="R1203" s="349">
        <f t="shared" si="18"/>
        <v>12</v>
      </c>
      <c r="S1203" s="352"/>
      <c r="T1203" s="352"/>
      <c r="U1203" s="352"/>
      <c r="V1203" s="353"/>
      <c r="W1203" s="352"/>
      <c r="X1203" s="176"/>
      <c r="Y1203" s="176"/>
      <c r="Z1203" s="352"/>
      <c r="AA1203" s="352"/>
      <c r="AB1203" s="352"/>
      <c r="AC1203" s="351"/>
      <c r="AD1203" s="351"/>
    </row>
    <row r="1204" spans="1:30" ht="38.450000000000003" hidden="1" x14ac:dyDescent="0.35">
      <c r="A1204" s="349">
        <v>1203</v>
      </c>
      <c r="B1204" s="352" t="s">
        <v>1482</v>
      </c>
      <c r="C1204" s="351" t="s">
        <v>3502</v>
      </c>
      <c r="D1204" s="352" t="s">
        <v>3502</v>
      </c>
      <c r="E1204" s="352" t="s">
        <v>1483</v>
      </c>
      <c r="F1204" s="353">
        <v>16.350000000000001</v>
      </c>
      <c r="G1204" s="352" t="s">
        <v>34</v>
      </c>
      <c r="H1204" s="176" t="s">
        <v>3503</v>
      </c>
      <c r="I1204" s="176" t="s">
        <v>3097</v>
      </c>
      <c r="J1204" s="352" t="s">
        <v>4025</v>
      </c>
      <c r="K1204" s="352">
        <v>5</v>
      </c>
      <c r="L1204" s="352" t="s">
        <v>1116</v>
      </c>
      <c r="M1204" s="351">
        <v>4</v>
      </c>
      <c r="N1204" s="351" t="s">
        <v>1109</v>
      </c>
      <c r="O1204" s="351">
        <v>5</v>
      </c>
      <c r="P1204" s="349" t="s">
        <v>1836</v>
      </c>
      <c r="R1204" s="349">
        <f t="shared" si="18"/>
        <v>13</v>
      </c>
      <c r="S1204" s="352"/>
      <c r="T1204" s="352"/>
      <c r="U1204" s="352"/>
      <c r="V1204" s="353"/>
      <c r="W1204" s="352"/>
      <c r="X1204" s="176"/>
      <c r="Y1204" s="176"/>
      <c r="Z1204" s="352"/>
      <c r="AA1204" s="352"/>
      <c r="AB1204" s="352"/>
      <c r="AC1204" s="352"/>
      <c r="AD1204" s="352"/>
    </row>
    <row r="1205" spans="1:30" ht="38.450000000000003" hidden="1" x14ac:dyDescent="0.35">
      <c r="A1205" s="349">
        <v>1204</v>
      </c>
      <c r="B1205" s="352" t="s">
        <v>2125</v>
      </c>
      <c r="C1205" s="351" t="s">
        <v>2911</v>
      </c>
      <c r="D1205" s="352" t="s">
        <v>1429</v>
      </c>
      <c r="E1205" s="352" t="s">
        <v>1995</v>
      </c>
      <c r="F1205" s="353">
        <v>0.24</v>
      </c>
      <c r="G1205" s="352" t="s">
        <v>2126</v>
      </c>
      <c r="H1205" s="176" t="s">
        <v>2912</v>
      </c>
      <c r="I1205" s="176"/>
      <c r="J1205" s="352" t="s">
        <v>3580</v>
      </c>
      <c r="K1205" s="352">
        <v>110</v>
      </c>
      <c r="L1205" s="352" t="s">
        <v>3581</v>
      </c>
      <c r="M1205" s="351"/>
      <c r="N1205" s="351"/>
      <c r="O1205" s="351">
        <v>110</v>
      </c>
      <c r="P1205" s="349" t="s">
        <v>1836</v>
      </c>
      <c r="R1205" s="349">
        <f t="shared" si="18"/>
        <v>23</v>
      </c>
      <c r="S1205" s="352"/>
      <c r="T1205" s="352"/>
      <c r="U1205" s="352"/>
      <c r="V1205" s="353"/>
      <c r="W1205" s="352"/>
      <c r="X1205" s="176"/>
      <c r="Y1205" s="176"/>
      <c r="Z1205" s="352"/>
      <c r="AA1205" s="352"/>
      <c r="AB1205" s="352"/>
      <c r="AC1205" s="352"/>
      <c r="AD1205" s="352"/>
    </row>
    <row r="1206" spans="1:30" ht="51.3" hidden="1" x14ac:dyDescent="0.35">
      <c r="A1206" s="349">
        <v>1205</v>
      </c>
      <c r="B1206" s="352" t="s">
        <v>2052</v>
      </c>
      <c r="C1206" s="351" t="s">
        <v>1257</v>
      </c>
      <c r="D1206" s="352" t="s">
        <v>1257</v>
      </c>
      <c r="E1206" s="352" t="s">
        <v>1484</v>
      </c>
      <c r="F1206" s="353">
        <v>3.81</v>
      </c>
      <c r="G1206" s="352" t="s">
        <v>34</v>
      </c>
      <c r="H1206" s="176" t="s">
        <v>1258</v>
      </c>
      <c r="I1206" s="176" t="s">
        <v>1259</v>
      </c>
      <c r="J1206" s="352" t="s">
        <v>1485</v>
      </c>
      <c r="K1206" s="352">
        <v>0.2</v>
      </c>
      <c r="L1206" s="352" t="s">
        <v>470</v>
      </c>
      <c r="M1206" s="351">
        <v>75</v>
      </c>
      <c r="N1206" s="351" t="s">
        <v>31</v>
      </c>
      <c r="O1206" s="351">
        <v>0.2</v>
      </c>
      <c r="P1206" s="349" t="s">
        <v>1838</v>
      </c>
      <c r="R1206" s="349">
        <f t="shared" si="18"/>
        <v>11</v>
      </c>
      <c r="S1206" s="352"/>
      <c r="T1206" s="352"/>
      <c r="U1206" s="352"/>
      <c r="V1206" s="353"/>
      <c r="W1206" s="352"/>
      <c r="X1206" s="176"/>
      <c r="Y1206" s="176"/>
      <c r="Z1206" s="352"/>
      <c r="AA1206" s="352"/>
      <c r="AB1206" s="352"/>
      <c r="AC1206" s="351"/>
      <c r="AD1206" s="351"/>
    </row>
    <row r="1207" spans="1:30" ht="51.3" hidden="1" x14ac:dyDescent="0.35">
      <c r="A1207" s="349">
        <v>1206</v>
      </c>
      <c r="B1207" s="352" t="s">
        <v>2052</v>
      </c>
      <c r="C1207" s="351" t="s">
        <v>1257</v>
      </c>
      <c r="D1207" s="352" t="s">
        <v>1257</v>
      </c>
      <c r="E1207" s="352" t="s">
        <v>1484</v>
      </c>
      <c r="F1207" s="353">
        <v>2.78</v>
      </c>
      <c r="G1207" s="352" t="s">
        <v>34</v>
      </c>
      <c r="H1207" s="176" t="s">
        <v>1258</v>
      </c>
      <c r="I1207" s="176" t="s">
        <v>1259</v>
      </c>
      <c r="J1207" s="352" t="s">
        <v>1485</v>
      </c>
      <c r="K1207" s="352">
        <v>0.4</v>
      </c>
      <c r="L1207" s="352" t="s">
        <v>470</v>
      </c>
      <c r="M1207" s="352">
        <v>75</v>
      </c>
      <c r="N1207" s="352" t="s">
        <v>31</v>
      </c>
      <c r="O1207" s="351">
        <v>0.4</v>
      </c>
      <c r="P1207" s="349" t="s">
        <v>1838</v>
      </c>
      <c r="R1207" s="349">
        <f t="shared" si="18"/>
        <v>11</v>
      </c>
      <c r="S1207" s="352"/>
      <c r="T1207" s="352"/>
      <c r="U1207" s="352"/>
      <c r="V1207" s="353"/>
      <c r="W1207" s="352"/>
      <c r="X1207" s="176"/>
      <c r="Y1207" s="176"/>
      <c r="Z1207" s="352"/>
      <c r="AA1207" s="352"/>
      <c r="AB1207" s="352"/>
      <c r="AC1207" s="351"/>
      <c r="AD1207" s="351"/>
    </row>
    <row r="1208" spans="1:30" ht="51.3" hidden="1" x14ac:dyDescent="0.35">
      <c r="A1208" s="349">
        <v>1207</v>
      </c>
      <c r="B1208" s="352" t="s">
        <v>2051</v>
      </c>
      <c r="C1208" s="351" t="s">
        <v>2666</v>
      </c>
      <c r="D1208" s="352" t="s">
        <v>2666</v>
      </c>
      <c r="E1208" s="352" t="s">
        <v>2562</v>
      </c>
      <c r="F1208" s="353">
        <v>0.37459999999999999</v>
      </c>
      <c r="G1208" s="352" t="s">
        <v>1107</v>
      </c>
      <c r="H1208" s="176" t="s">
        <v>2041</v>
      </c>
      <c r="I1208" s="176" t="s">
        <v>2042</v>
      </c>
      <c r="J1208" s="352" t="s">
        <v>828</v>
      </c>
      <c r="K1208" s="352">
        <v>200</v>
      </c>
      <c r="L1208" s="352" t="s">
        <v>4022</v>
      </c>
      <c r="M1208" s="352">
        <v>0.5</v>
      </c>
      <c r="N1208" s="352" t="s">
        <v>1109</v>
      </c>
      <c r="O1208" s="351">
        <v>200</v>
      </c>
      <c r="P1208" s="349" t="s">
        <v>1850</v>
      </c>
      <c r="R1208" s="349">
        <f t="shared" si="18"/>
        <v>13</v>
      </c>
      <c r="S1208" s="352"/>
      <c r="T1208" s="352"/>
      <c r="U1208" s="352"/>
      <c r="V1208" s="353"/>
      <c r="W1208" s="352"/>
      <c r="X1208" s="176"/>
      <c r="Y1208" s="176"/>
      <c r="Z1208" s="352"/>
      <c r="AA1208" s="352"/>
      <c r="AB1208" s="352"/>
      <c r="AC1208" s="351"/>
      <c r="AD1208" s="351"/>
    </row>
    <row r="1209" spans="1:30" ht="243.55" hidden="1" x14ac:dyDescent="0.35">
      <c r="A1209" s="349">
        <v>1208</v>
      </c>
      <c r="B1209" s="352" t="s">
        <v>2051</v>
      </c>
      <c r="C1209" s="351" t="s">
        <v>2666</v>
      </c>
      <c r="D1209" s="352" t="s">
        <v>2666</v>
      </c>
      <c r="E1209" s="352" t="s">
        <v>1995</v>
      </c>
      <c r="F1209" s="353">
        <v>6.6100000000000006E-2</v>
      </c>
      <c r="G1209" s="352" t="s">
        <v>2126</v>
      </c>
      <c r="H1209" s="176" t="s">
        <v>4645</v>
      </c>
      <c r="I1209" s="176" t="s">
        <v>5074</v>
      </c>
      <c r="J1209" s="352" t="s">
        <v>3580</v>
      </c>
      <c r="K1209" s="352">
        <v>25</v>
      </c>
      <c r="L1209" s="352" t="s">
        <v>1757</v>
      </c>
      <c r="M1209" s="352"/>
      <c r="N1209" s="352"/>
      <c r="O1209" s="351">
        <v>25</v>
      </c>
      <c r="P1209" s="349" t="s">
        <v>1850</v>
      </c>
      <c r="R1209" s="349">
        <f t="shared" si="18"/>
        <v>13</v>
      </c>
      <c r="S1209" s="352"/>
      <c r="T1209" s="352"/>
      <c r="U1209" s="352"/>
      <c r="V1209" s="353"/>
      <c r="W1209" s="352"/>
      <c r="X1209" s="176"/>
      <c r="Y1209" s="176"/>
      <c r="Z1209" s="352"/>
      <c r="AA1209" s="352"/>
      <c r="AB1209" s="352"/>
      <c r="AC1209" s="351"/>
      <c r="AD1209" s="351"/>
    </row>
    <row r="1210" spans="1:30" ht="243.55" hidden="1" x14ac:dyDescent="0.35">
      <c r="A1210" s="349">
        <v>1209</v>
      </c>
      <c r="B1210" s="352" t="s">
        <v>2051</v>
      </c>
      <c r="C1210" s="351" t="s">
        <v>2666</v>
      </c>
      <c r="D1210" s="352" t="s">
        <v>2666</v>
      </c>
      <c r="E1210" s="352" t="s">
        <v>1995</v>
      </c>
      <c r="F1210" s="353">
        <v>0.09</v>
      </c>
      <c r="G1210" s="352" t="s">
        <v>2126</v>
      </c>
      <c r="H1210" s="176" t="s">
        <v>4645</v>
      </c>
      <c r="I1210" s="176" t="s">
        <v>5074</v>
      </c>
      <c r="J1210" s="352" t="s">
        <v>3580</v>
      </c>
      <c r="K1210" s="352">
        <v>50</v>
      </c>
      <c r="L1210" s="352" t="s">
        <v>1757</v>
      </c>
      <c r="M1210" s="352"/>
      <c r="N1210" s="352"/>
      <c r="O1210" s="351">
        <v>50</v>
      </c>
      <c r="P1210" s="349" t="s">
        <v>1850</v>
      </c>
      <c r="R1210" s="349">
        <f t="shared" si="18"/>
        <v>13</v>
      </c>
      <c r="S1210" s="352"/>
      <c r="T1210" s="352"/>
      <c r="U1210" s="352"/>
      <c r="V1210" s="353"/>
      <c r="W1210" s="352"/>
      <c r="X1210" s="176"/>
      <c r="Y1210" s="176"/>
      <c r="Z1210" s="352"/>
      <c r="AA1210" s="351"/>
      <c r="AB1210" s="351"/>
      <c r="AC1210" s="351"/>
      <c r="AD1210" s="351"/>
    </row>
    <row r="1211" spans="1:30" ht="243.55" hidden="1" x14ac:dyDescent="0.35">
      <c r="A1211" s="349">
        <v>1210</v>
      </c>
      <c r="B1211" s="352" t="s">
        <v>2051</v>
      </c>
      <c r="C1211" s="351" t="s">
        <v>2666</v>
      </c>
      <c r="D1211" s="352" t="s">
        <v>2666</v>
      </c>
      <c r="E1211" s="352" t="s">
        <v>1995</v>
      </c>
      <c r="F1211" s="353">
        <v>0.1</v>
      </c>
      <c r="G1211" s="352" t="s">
        <v>2126</v>
      </c>
      <c r="H1211" s="176" t="s">
        <v>4645</v>
      </c>
      <c r="I1211" s="176" t="s">
        <v>5074</v>
      </c>
      <c r="J1211" s="352" t="s">
        <v>3580</v>
      </c>
      <c r="K1211" s="352">
        <v>100</v>
      </c>
      <c r="L1211" s="352" t="s">
        <v>1757</v>
      </c>
      <c r="M1211" s="352"/>
      <c r="N1211" s="352"/>
      <c r="O1211" s="351">
        <v>100</v>
      </c>
      <c r="P1211" s="349" t="s">
        <v>1850</v>
      </c>
      <c r="R1211" s="349">
        <f t="shared" si="18"/>
        <v>13</v>
      </c>
      <c r="S1211" s="352"/>
      <c r="T1211" s="352"/>
      <c r="U1211" s="352"/>
      <c r="V1211" s="353"/>
      <c r="W1211" s="352"/>
      <c r="X1211" s="176"/>
      <c r="Y1211" s="176"/>
      <c r="Z1211" s="352"/>
      <c r="AA1211" s="352"/>
      <c r="AB1211" s="352"/>
      <c r="AC1211" s="351"/>
      <c r="AD1211" s="351"/>
    </row>
    <row r="1212" spans="1:30" ht="51.3" hidden="1" x14ac:dyDescent="0.35">
      <c r="A1212" s="349">
        <v>1211</v>
      </c>
      <c r="B1212" s="352" t="s">
        <v>2051</v>
      </c>
      <c r="C1212" s="351" t="s">
        <v>4490</v>
      </c>
      <c r="D1212" s="352" t="s">
        <v>2666</v>
      </c>
      <c r="E1212" s="352" t="s">
        <v>2562</v>
      </c>
      <c r="F1212" s="353">
        <v>0.37459999999999999</v>
      </c>
      <c r="G1212" s="352" t="s">
        <v>1107</v>
      </c>
      <c r="H1212" s="176" t="s">
        <v>2041</v>
      </c>
      <c r="I1212" s="176" t="s">
        <v>2042</v>
      </c>
      <c r="J1212" s="352" t="s">
        <v>828</v>
      </c>
      <c r="K1212" s="352">
        <v>200</v>
      </c>
      <c r="L1212" s="352" t="s">
        <v>4022</v>
      </c>
      <c r="M1212" s="352">
        <v>0.5</v>
      </c>
      <c r="N1212" s="352" t="s">
        <v>1109</v>
      </c>
      <c r="O1212" s="351">
        <v>200</v>
      </c>
      <c r="P1212" s="349" t="s">
        <v>1850</v>
      </c>
      <c r="R1212" s="349">
        <f t="shared" si="18"/>
        <v>13</v>
      </c>
      <c r="S1212" s="352"/>
      <c r="T1212" s="352"/>
      <c r="U1212" s="352"/>
      <c r="V1212" s="353"/>
      <c r="W1212" s="352"/>
      <c r="X1212" s="176"/>
      <c r="Y1212" s="176"/>
      <c r="Z1212" s="352"/>
      <c r="AA1212" s="352"/>
      <c r="AB1212" s="352"/>
      <c r="AC1212" s="351"/>
      <c r="AD1212" s="351"/>
    </row>
    <row r="1213" spans="1:30" hidden="1" x14ac:dyDescent="0.35">
      <c r="A1213" s="349">
        <v>1212</v>
      </c>
      <c r="B1213" s="352" t="s">
        <v>807</v>
      </c>
      <c r="C1213" s="351" t="s">
        <v>1666</v>
      </c>
      <c r="D1213" s="352" t="s">
        <v>1666</v>
      </c>
      <c r="E1213" s="352" t="s">
        <v>1486</v>
      </c>
      <c r="F1213" s="353">
        <v>25.25</v>
      </c>
      <c r="G1213" s="352" t="s">
        <v>28</v>
      </c>
      <c r="H1213" s="176" t="s">
        <v>3530</v>
      </c>
      <c r="I1213" s="176" t="s">
        <v>5076</v>
      </c>
      <c r="J1213" s="352" t="s">
        <v>2704</v>
      </c>
      <c r="K1213" s="352">
        <v>100</v>
      </c>
      <c r="L1213" s="352" t="s">
        <v>1116</v>
      </c>
      <c r="M1213" s="352">
        <v>50</v>
      </c>
      <c r="N1213" s="352" t="s">
        <v>1109</v>
      </c>
      <c r="O1213" s="351">
        <v>100</v>
      </c>
      <c r="P1213" s="349" t="s">
        <v>1836</v>
      </c>
      <c r="R1213" s="349">
        <f t="shared" si="18"/>
        <v>9</v>
      </c>
      <c r="S1213" s="352"/>
      <c r="T1213" s="352"/>
      <c r="U1213" s="352"/>
      <c r="V1213" s="353"/>
      <c r="W1213" s="352"/>
      <c r="X1213" s="176"/>
      <c r="Y1213" s="176"/>
      <c r="Z1213" s="352"/>
      <c r="AA1213" s="352"/>
      <c r="AB1213" s="352"/>
      <c r="AC1213" s="351"/>
      <c r="AD1213" s="351"/>
    </row>
    <row r="1214" spans="1:30" ht="64.099999999999994" hidden="1" x14ac:dyDescent="0.35">
      <c r="A1214" s="349">
        <v>1213</v>
      </c>
      <c r="B1214" s="352" t="s">
        <v>807</v>
      </c>
      <c r="C1214" s="351" t="s">
        <v>1666</v>
      </c>
      <c r="D1214" s="352" t="s">
        <v>1666</v>
      </c>
      <c r="E1214" s="352" t="s">
        <v>1313</v>
      </c>
      <c r="F1214" s="353">
        <v>14.15</v>
      </c>
      <c r="G1214" s="352" t="s">
        <v>28</v>
      </c>
      <c r="H1214" s="176" t="s">
        <v>1989</v>
      </c>
      <c r="I1214" s="176" t="s">
        <v>3531</v>
      </c>
      <c r="J1214" s="352" t="s">
        <v>2131</v>
      </c>
      <c r="K1214" s="352">
        <v>50</v>
      </c>
      <c r="L1214" s="352" t="s">
        <v>1311</v>
      </c>
      <c r="M1214" s="352">
        <v>35</v>
      </c>
      <c r="N1214" s="352" t="s">
        <v>31</v>
      </c>
      <c r="O1214" s="351">
        <v>50</v>
      </c>
      <c r="P1214" s="349" t="s">
        <v>1836</v>
      </c>
      <c r="R1214" s="349">
        <f t="shared" si="18"/>
        <v>9</v>
      </c>
      <c r="S1214" s="352"/>
      <c r="T1214" s="352"/>
      <c r="U1214" s="352"/>
      <c r="V1214" s="353"/>
      <c r="W1214" s="352"/>
      <c r="X1214" s="176"/>
      <c r="Y1214" s="176"/>
      <c r="Z1214" s="352"/>
      <c r="AA1214" s="352"/>
      <c r="AB1214" s="352"/>
      <c r="AC1214" s="351"/>
      <c r="AD1214" s="351"/>
    </row>
    <row r="1215" spans="1:30" hidden="1" x14ac:dyDescent="0.35">
      <c r="A1215" s="349">
        <v>1214</v>
      </c>
      <c r="B1215" s="352" t="s">
        <v>807</v>
      </c>
      <c r="C1215" s="351" t="s">
        <v>1666</v>
      </c>
      <c r="D1215" s="352" t="s">
        <v>1666</v>
      </c>
      <c r="E1215" s="352" t="s">
        <v>1313</v>
      </c>
      <c r="F1215" s="353">
        <v>14.15</v>
      </c>
      <c r="G1215" s="352" t="s">
        <v>28</v>
      </c>
      <c r="H1215" s="176"/>
      <c r="I1215" s="176" t="s">
        <v>3531</v>
      </c>
      <c r="J1215" s="352" t="s">
        <v>2131</v>
      </c>
      <c r="K1215" s="352">
        <v>50</v>
      </c>
      <c r="L1215" s="352" t="s">
        <v>1311</v>
      </c>
      <c r="M1215" s="352">
        <v>35</v>
      </c>
      <c r="N1215" s="352" t="s">
        <v>31</v>
      </c>
      <c r="O1215" s="351">
        <v>50</v>
      </c>
      <c r="P1215" s="349" t="s">
        <v>1836</v>
      </c>
      <c r="R1215" s="349">
        <f t="shared" si="18"/>
        <v>9</v>
      </c>
      <c r="S1215" s="352"/>
      <c r="T1215" s="352"/>
      <c r="U1215" s="352"/>
      <c r="V1215" s="353"/>
      <c r="W1215" s="352"/>
      <c r="X1215" s="176"/>
      <c r="Y1215" s="176"/>
      <c r="Z1215" s="352"/>
      <c r="AA1215" s="352"/>
      <c r="AB1215" s="352"/>
      <c r="AC1215" s="351"/>
      <c r="AD1215" s="351"/>
    </row>
    <row r="1216" spans="1:30" ht="128.19999999999999" hidden="1" x14ac:dyDescent="0.35">
      <c r="A1216" s="349">
        <v>1215</v>
      </c>
      <c r="B1216" s="352" t="s">
        <v>1787</v>
      </c>
      <c r="C1216" s="351" t="s">
        <v>1666</v>
      </c>
      <c r="D1216" s="352" t="s">
        <v>1666</v>
      </c>
      <c r="E1216" s="352" t="s">
        <v>827</v>
      </c>
      <c r="F1216" s="353">
        <v>0.8</v>
      </c>
      <c r="G1216" s="352" t="s">
        <v>1107</v>
      </c>
      <c r="H1216" s="176" t="s">
        <v>54</v>
      </c>
      <c r="I1216" s="176" t="s">
        <v>1074</v>
      </c>
      <c r="J1216" s="352" t="s">
        <v>828</v>
      </c>
      <c r="K1216" s="352">
        <v>20</v>
      </c>
      <c r="L1216" s="352" t="s">
        <v>1116</v>
      </c>
      <c r="M1216" s="352">
        <v>5</v>
      </c>
      <c r="N1216" s="352" t="s">
        <v>1109</v>
      </c>
      <c r="O1216" s="351">
        <v>20</v>
      </c>
      <c r="P1216" s="349" t="s">
        <v>1836</v>
      </c>
      <c r="R1216" s="349">
        <f t="shared" si="18"/>
        <v>9</v>
      </c>
      <c r="S1216" s="352"/>
      <c r="T1216" s="352"/>
      <c r="U1216" s="352"/>
      <c r="V1216" s="353"/>
      <c r="W1216" s="352"/>
      <c r="X1216" s="176"/>
      <c r="Y1216" s="176"/>
      <c r="Z1216" s="352"/>
      <c r="AA1216" s="351"/>
      <c r="AB1216" s="351"/>
      <c r="AC1216" s="351"/>
      <c r="AD1216" s="351"/>
    </row>
    <row r="1217" spans="1:30" ht="102.55" hidden="1" x14ac:dyDescent="0.35">
      <c r="A1217" s="349">
        <v>1216</v>
      </c>
      <c r="B1217" s="352" t="s">
        <v>761</v>
      </c>
      <c r="C1217" s="351" t="s">
        <v>1666</v>
      </c>
      <c r="D1217" s="352" t="s">
        <v>1666</v>
      </c>
      <c r="E1217" s="352" t="s">
        <v>827</v>
      </c>
      <c r="F1217" s="353">
        <v>0.8</v>
      </c>
      <c r="G1217" s="352" t="s">
        <v>1107</v>
      </c>
      <c r="H1217" s="176" t="s">
        <v>2139</v>
      </c>
      <c r="I1217" s="176" t="s">
        <v>3106</v>
      </c>
      <c r="J1217" s="352" t="s">
        <v>828</v>
      </c>
      <c r="K1217" s="352">
        <v>20</v>
      </c>
      <c r="L1217" s="352" t="s">
        <v>1116</v>
      </c>
      <c r="M1217" s="352">
        <v>5</v>
      </c>
      <c r="N1217" s="352" t="s">
        <v>1109</v>
      </c>
      <c r="O1217" s="351">
        <v>20</v>
      </c>
      <c r="P1217" s="349" t="s">
        <v>1836</v>
      </c>
      <c r="R1217" s="349">
        <f t="shared" si="18"/>
        <v>9</v>
      </c>
      <c r="S1217" s="352"/>
      <c r="T1217" s="352"/>
      <c r="U1217" s="352"/>
      <c r="V1217" s="353"/>
      <c r="W1217" s="352"/>
      <c r="X1217" s="176"/>
      <c r="Y1217" s="176"/>
      <c r="Z1217" s="352"/>
      <c r="AA1217" s="352"/>
      <c r="AB1217" s="352"/>
      <c r="AC1217" s="351"/>
      <c r="AD1217" s="351"/>
    </row>
    <row r="1218" spans="1:30" ht="25.65" hidden="1" x14ac:dyDescent="0.35">
      <c r="A1218" s="349">
        <v>1217</v>
      </c>
      <c r="B1218" s="352" t="s">
        <v>2491</v>
      </c>
      <c r="C1218" s="351" t="s">
        <v>1666</v>
      </c>
      <c r="D1218" s="352" t="s">
        <v>1666</v>
      </c>
      <c r="E1218" s="352" t="s">
        <v>827</v>
      </c>
      <c r="F1218" s="353">
        <v>1.5</v>
      </c>
      <c r="G1218" s="352" t="s">
        <v>34</v>
      </c>
      <c r="H1218" s="176" t="s">
        <v>4182</v>
      </c>
      <c r="I1218" s="176" t="s">
        <v>1584</v>
      </c>
      <c r="J1218" s="352" t="s">
        <v>828</v>
      </c>
      <c r="K1218" s="352">
        <v>20</v>
      </c>
      <c r="L1218" s="352" t="s">
        <v>1116</v>
      </c>
      <c r="M1218" s="352">
        <v>5</v>
      </c>
      <c r="N1218" s="352" t="s">
        <v>1109</v>
      </c>
      <c r="O1218" s="351">
        <v>20</v>
      </c>
      <c r="P1218" s="349" t="s">
        <v>1836</v>
      </c>
      <c r="R1218" s="349">
        <f t="shared" si="18"/>
        <v>9</v>
      </c>
      <c r="S1218" s="352"/>
      <c r="T1218" s="352"/>
      <c r="U1218" s="352"/>
      <c r="V1218" s="353"/>
      <c r="W1218" s="352"/>
      <c r="X1218" s="176"/>
      <c r="Y1218" s="176"/>
      <c r="Z1218" s="352"/>
      <c r="AA1218" s="352"/>
      <c r="AB1218" s="352"/>
      <c r="AC1218" s="352"/>
      <c r="AD1218" s="352"/>
    </row>
    <row r="1219" spans="1:30" ht="153.80000000000001" hidden="1" x14ac:dyDescent="0.35">
      <c r="A1219" s="349">
        <v>1218</v>
      </c>
      <c r="B1219" s="352" t="s">
        <v>807</v>
      </c>
      <c r="C1219" s="351" t="s">
        <v>1666</v>
      </c>
      <c r="D1219" s="352" t="s">
        <v>1666</v>
      </c>
      <c r="E1219" s="352" t="s">
        <v>1011</v>
      </c>
      <c r="F1219" s="353">
        <v>6.9</v>
      </c>
      <c r="G1219" s="352" t="s">
        <v>34</v>
      </c>
      <c r="H1219" s="176" t="s">
        <v>3972</v>
      </c>
      <c r="I1219" s="176" t="s">
        <v>4830</v>
      </c>
      <c r="J1219" s="352" t="s">
        <v>29</v>
      </c>
      <c r="K1219" s="352">
        <v>2.5</v>
      </c>
      <c r="L1219" s="352" t="s">
        <v>1324</v>
      </c>
      <c r="M1219" s="352">
        <v>5</v>
      </c>
      <c r="N1219" s="352" t="s">
        <v>31</v>
      </c>
      <c r="O1219" s="351">
        <v>2.5</v>
      </c>
      <c r="P1219" s="349" t="s">
        <v>1838</v>
      </c>
      <c r="R1219" s="349">
        <f t="shared" ref="R1219:R1282" si="19">LEN(D1219)</f>
        <v>9</v>
      </c>
      <c r="S1219" s="352"/>
      <c r="T1219" s="352"/>
      <c r="U1219" s="352"/>
      <c r="V1219" s="353"/>
      <c r="W1219" s="352"/>
      <c r="X1219" s="176"/>
      <c r="Y1219" s="176"/>
      <c r="Z1219" s="352"/>
      <c r="AA1219" s="352"/>
      <c r="AB1219" s="352"/>
      <c r="AC1219" s="352"/>
      <c r="AD1219" s="352"/>
    </row>
    <row r="1220" spans="1:30" ht="38.450000000000003" hidden="1" x14ac:dyDescent="0.35">
      <c r="A1220" s="349">
        <v>1219</v>
      </c>
      <c r="B1220" s="352" t="s">
        <v>2491</v>
      </c>
      <c r="C1220" s="351" t="s">
        <v>1666</v>
      </c>
      <c r="D1220" s="352" t="s">
        <v>1666</v>
      </c>
      <c r="E1220" s="352" t="s">
        <v>1314</v>
      </c>
      <c r="F1220" s="353">
        <v>7.1620999999999997</v>
      </c>
      <c r="G1220" s="352" t="s">
        <v>34</v>
      </c>
      <c r="H1220" s="176" t="s">
        <v>245</v>
      </c>
      <c r="I1220" s="176" t="s">
        <v>3529</v>
      </c>
      <c r="J1220" s="352" t="s">
        <v>4031</v>
      </c>
      <c r="K1220" s="352">
        <v>6.3</v>
      </c>
      <c r="L1220" s="352" t="s">
        <v>1116</v>
      </c>
      <c r="M1220" s="351">
        <v>12</v>
      </c>
      <c r="N1220" s="351" t="s">
        <v>1109</v>
      </c>
      <c r="O1220" s="351">
        <v>6.3</v>
      </c>
      <c r="P1220" s="349" t="s">
        <v>1836</v>
      </c>
      <c r="R1220" s="349">
        <f t="shared" si="19"/>
        <v>9</v>
      </c>
      <c r="S1220" s="352"/>
      <c r="T1220" s="352"/>
      <c r="U1220" s="352"/>
      <c r="V1220" s="353"/>
      <c r="W1220" s="352"/>
      <c r="X1220" s="176"/>
      <c r="Y1220" s="176"/>
      <c r="Z1220" s="352"/>
      <c r="AA1220" s="352"/>
      <c r="AB1220" s="352"/>
      <c r="AC1220" s="352"/>
      <c r="AD1220" s="352"/>
    </row>
    <row r="1221" spans="1:30" ht="51.3" hidden="1" x14ac:dyDescent="0.35">
      <c r="A1221" s="349">
        <v>1220</v>
      </c>
      <c r="B1221" s="352" t="s">
        <v>2491</v>
      </c>
      <c r="C1221" s="351" t="s">
        <v>1666</v>
      </c>
      <c r="D1221" s="352" t="s">
        <v>1666</v>
      </c>
      <c r="E1221" s="352" t="s">
        <v>1315</v>
      </c>
      <c r="F1221" s="353">
        <v>4.1500000000000004</v>
      </c>
      <c r="G1221" s="352" t="s">
        <v>34</v>
      </c>
      <c r="H1221" s="176" t="s">
        <v>244</v>
      </c>
      <c r="I1221" s="176" t="s">
        <v>4183</v>
      </c>
      <c r="J1221" s="352" t="s">
        <v>4031</v>
      </c>
      <c r="K1221" s="352">
        <v>40</v>
      </c>
      <c r="L1221" s="352" t="s">
        <v>1116</v>
      </c>
      <c r="M1221" s="352">
        <v>5</v>
      </c>
      <c r="N1221" s="352" t="s">
        <v>1109</v>
      </c>
      <c r="O1221" s="351">
        <v>40</v>
      </c>
      <c r="P1221" s="349" t="s">
        <v>1836</v>
      </c>
      <c r="R1221" s="349">
        <f t="shared" si="19"/>
        <v>9</v>
      </c>
      <c r="S1221" s="352"/>
      <c r="T1221" s="352"/>
      <c r="U1221" s="352"/>
      <c r="V1221" s="353"/>
      <c r="W1221" s="352"/>
      <c r="X1221" s="176"/>
      <c r="Y1221" s="176"/>
      <c r="Z1221" s="352"/>
      <c r="AA1221" s="352"/>
      <c r="AB1221" s="352"/>
      <c r="AC1221" s="352"/>
      <c r="AD1221" s="352"/>
    </row>
    <row r="1222" spans="1:30" ht="38.450000000000003" hidden="1" x14ac:dyDescent="0.35">
      <c r="A1222" s="349">
        <v>1221</v>
      </c>
      <c r="B1222" s="352" t="s">
        <v>807</v>
      </c>
      <c r="C1222" s="351" t="s">
        <v>1666</v>
      </c>
      <c r="D1222" s="352" t="s">
        <v>1666</v>
      </c>
      <c r="E1222" s="352" t="s">
        <v>3583</v>
      </c>
      <c r="F1222" s="353">
        <v>9.6999999999999993</v>
      </c>
      <c r="G1222" s="352" t="s">
        <v>34</v>
      </c>
      <c r="H1222" s="176" t="s">
        <v>1987</v>
      </c>
      <c r="I1222" s="176" t="s">
        <v>1988</v>
      </c>
      <c r="J1222" s="352" t="s">
        <v>1115</v>
      </c>
      <c r="K1222" s="352">
        <v>20</v>
      </c>
      <c r="L1222" s="352" t="s">
        <v>1116</v>
      </c>
      <c r="M1222" s="352">
        <v>20</v>
      </c>
      <c r="N1222" s="352" t="s">
        <v>1109</v>
      </c>
      <c r="O1222" s="351">
        <v>20</v>
      </c>
      <c r="P1222" s="349" t="s">
        <v>1836</v>
      </c>
      <c r="R1222" s="349">
        <f t="shared" si="19"/>
        <v>9</v>
      </c>
      <c r="S1222" s="352"/>
      <c r="T1222" s="352"/>
      <c r="U1222" s="352"/>
      <c r="V1222" s="353"/>
      <c r="W1222" s="352"/>
      <c r="X1222" s="176"/>
      <c r="Y1222" s="176"/>
      <c r="Z1222" s="352"/>
      <c r="AA1222" s="352"/>
      <c r="AB1222" s="352"/>
      <c r="AC1222" s="351"/>
      <c r="AD1222" s="351"/>
    </row>
    <row r="1223" spans="1:30" ht="25.65" hidden="1" x14ac:dyDescent="0.35">
      <c r="A1223" s="349">
        <v>1222</v>
      </c>
      <c r="B1223" s="352" t="s">
        <v>2491</v>
      </c>
      <c r="C1223" s="351" t="s">
        <v>1666</v>
      </c>
      <c r="D1223" s="352" t="s">
        <v>1666</v>
      </c>
      <c r="E1223" s="352" t="s">
        <v>1316</v>
      </c>
      <c r="F1223" s="353">
        <v>0.99170000000000003</v>
      </c>
      <c r="G1223" s="352" t="s">
        <v>34</v>
      </c>
      <c r="H1223" s="176" t="s">
        <v>246</v>
      </c>
      <c r="I1223" s="176" t="s">
        <v>4469</v>
      </c>
      <c r="J1223" s="352" t="s">
        <v>1317</v>
      </c>
      <c r="K1223" s="352">
        <v>20</v>
      </c>
      <c r="L1223" s="352" t="s">
        <v>1116</v>
      </c>
      <c r="M1223" s="352">
        <v>1.8</v>
      </c>
      <c r="N1223" s="352" t="s">
        <v>1109</v>
      </c>
      <c r="O1223" s="351">
        <v>20</v>
      </c>
      <c r="P1223" s="349" t="s">
        <v>1836</v>
      </c>
      <c r="R1223" s="349">
        <f t="shared" si="19"/>
        <v>9</v>
      </c>
      <c r="S1223" s="352"/>
      <c r="T1223" s="352"/>
      <c r="U1223" s="352"/>
      <c r="V1223" s="353"/>
      <c r="W1223" s="352"/>
      <c r="X1223" s="176"/>
      <c r="Y1223" s="176"/>
      <c r="Z1223" s="352"/>
      <c r="AA1223" s="352"/>
      <c r="AB1223" s="352"/>
      <c r="AC1223" s="351"/>
      <c r="AD1223" s="351"/>
    </row>
    <row r="1224" spans="1:30" ht="153.80000000000001" hidden="1" x14ac:dyDescent="0.35">
      <c r="A1224" s="349">
        <v>1223</v>
      </c>
      <c r="B1224" s="352" t="s">
        <v>807</v>
      </c>
      <c r="C1224" s="351" t="s">
        <v>1666</v>
      </c>
      <c r="D1224" s="352" t="s">
        <v>1666</v>
      </c>
      <c r="E1224" s="352" t="s">
        <v>2005</v>
      </c>
      <c r="F1224" s="353">
        <v>3.45</v>
      </c>
      <c r="G1224" s="352" t="s">
        <v>34</v>
      </c>
      <c r="H1224" s="176" t="s">
        <v>3972</v>
      </c>
      <c r="I1224" s="176" t="s">
        <v>4830</v>
      </c>
      <c r="J1224" s="352" t="s">
        <v>1012</v>
      </c>
      <c r="K1224" s="352">
        <v>25</v>
      </c>
      <c r="L1224" s="352" t="s">
        <v>1013</v>
      </c>
      <c r="M1224" s="352"/>
      <c r="N1224" s="352"/>
      <c r="O1224" s="351">
        <v>25</v>
      </c>
      <c r="P1224" s="349" t="s">
        <v>1836</v>
      </c>
      <c r="R1224" s="349">
        <f t="shared" si="19"/>
        <v>9</v>
      </c>
      <c r="S1224" s="352"/>
      <c r="T1224" s="352"/>
      <c r="U1224" s="352"/>
      <c r="V1224" s="353"/>
      <c r="W1224" s="352"/>
      <c r="X1224" s="176"/>
      <c r="Y1224" s="176"/>
      <c r="Z1224" s="352"/>
      <c r="AA1224" s="352"/>
      <c r="AB1224" s="352"/>
      <c r="AC1224" s="351"/>
      <c r="AD1224" s="351"/>
    </row>
    <row r="1225" spans="1:30" ht="25.65" hidden="1" x14ac:dyDescent="0.35">
      <c r="A1225" s="349">
        <v>1224</v>
      </c>
      <c r="B1225" s="352" t="s">
        <v>807</v>
      </c>
      <c r="C1225" s="351" t="s">
        <v>1666</v>
      </c>
      <c r="D1225" s="352" t="s">
        <v>1666</v>
      </c>
      <c r="E1225" s="352" t="s">
        <v>1496</v>
      </c>
      <c r="F1225" s="353">
        <v>1.92</v>
      </c>
      <c r="G1225" s="352" t="s">
        <v>34</v>
      </c>
      <c r="H1225" s="176" t="s">
        <v>3528</v>
      </c>
      <c r="I1225" s="176" t="s">
        <v>4937</v>
      </c>
      <c r="J1225" s="352" t="s">
        <v>964</v>
      </c>
      <c r="K1225" s="352">
        <v>2</v>
      </c>
      <c r="L1225" s="352" t="s">
        <v>1324</v>
      </c>
      <c r="M1225" s="352">
        <v>6</v>
      </c>
      <c r="N1225" s="352" t="s">
        <v>1109</v>
      </c>
      <c r="O1225" s="351">
        <v>2</v>
      </c>
      <c r="P1225" s="349" t="s">
        <v>1838</v>
      </c>
      <c r="R1225" s="349">
        <f t="shared" si="19"/>
        <v>9</v>
      </c>
      <c r="S1225" s="352"/>
      <c r="T1225" s="352"/>
      <c r="U1225" s="352"/>
      <c r="V1225" s="353"/>
      <c r="W1225" s="352"/>
      <c r="X1225" s="176"/>
      <c r="Y1225" s="176"/>
      <c r="Z1225" s="352"/>
      <c r="AA1225" s="352"/>
      <c r="AB1225" s="352"/>
      <c r="AC1225" s="351"/>
      <c r="AD1225" s="351"/>
    </row>
    <row r="1226" spans="1:30" ht="51.3" hidden="1" x14ac:dyDescent="0.35">
      <c r="A1226" s="349">
        <v>1225</v>
      </c>
      <c r="B1226" s="352" t="s">
        <v>807</v>
      </c>
      <c r="C1226" s="351" t="s">
        <v>1666</v>
      </c>
      <c r="D1226" s="352" t="s">
        <v>1666</v>
      </c>
      <c r="E1226" s="352" t="s">
        <v>827</v>
      </c>
      <c r="F1226" s="353">
        <v>1.5</v>
      </c>
      <c r="G1226" s="352" t="s">
        <v>1318</v>
      </c>
      <c r="H1226" s="176" t="s">
        <v>2780</v>
      </c>
      <c r="I1226" s="176" t="s">
        <v>3260</v>
      </c>
      <c r="J1226" s="352" t="s">
        <v>828</v>
      </c>
      <c r="K1226" s="352">
        <v>20</v>
      </c>
      <c r="L1226" s="352" t="s">
        <v>1116</v>
      </c>
      <c r="M1226" s="352">
        <v>5</v>
      </c>
      <c r="N1226" s="352" t="s">
        <v>1109</v>
      </c>
      <c r="O1226" s="351">
        <v>20</v>
      </c>
      <c r="P1226" s="349" t="s">
        <v>1836</v>
      </c>
      <c r="R1226" s="349">
        <f t="shared" si="19"/>
        <v>9</v>
      </c>
      <c r="S1226" s="352"/>
      <c r="T1226" s="352"/>
      <c r="U1226" s="352"/>
      <c r="V1226" s="353"/>
      <c r="W1226" s="352"/>
      <c r="X1226" s="176"/>
      <c r="Y1226" s="176"/>
      <c r="Z1226" s="352"/>
      <c r="AA1226" s="352"/>
      <c r="AB1226" s="352"/>
      <c r="AC1226" s="351"/>
      <c r="AD1226" s="351"/>
    </row>
    <row r="1227" spans="1:30" ht="51.3" hidden="1" x14ac:dyDescent="0.35">
      <c r="A1227" s="349">
        <v>1226</v>
      </c>
      <c r="B1227" s="352" t="s">
        <v>807</v>
      </c>
      <c r="C1227" s="351" t="s">
        <v>1666</v>
      </c>
      <c r="D1227" s="352" t="s">
        <v>1666</v>
      </c>
      <c r="E1227" s="352" t="s">
        <v>3583</v>
      </c>
      <c r="F1227" s="353">
        <v>1.55</v>
      </c>
      <c r="G1227" s="352" t="s">
        <v>1318</v>
      </c>
      <c r="H1227" s="176" t="s">
        <v>2780</v>
      </c>
      <c r="I1227" s="176" t="s">
        <v>4220</v>
      </c>
      <c r="J1227" s="352" t="s">
        <v>1115</v>
      </c>
      <c r="K1227" s="352">
        <v>10</v>
      </c>
      <c r="L1227" s="352" t="s">
        <v>1116</v>
      </c>
      <c r="M1227" s="352">
        <v>20</v>
      </c>
      <c r="N1227" s="352" t="s">
        <v>1109</v>
      </c>
      <c r="O1227" s="351">
        <v>10</v>
      </c>
      <c r="P1227" s="349" t="s">
        <v>1836</v>
      </c>
      <c r="R1227" s="349">
        <f t="shared" si="19"/>
        <v>9</v>
      </c>
      <c r="S1227" s="352"/>
      <c r="T1227" s="352"/>
      <c r="U1227" s="352"/>
      <c r="V1227" s="353"/>
      <c r="W1227" s="352"/>
      <c r="X1227" s="176"/>
      <c r="Y1227" s="176"/>
      <c r="Z1227" s="352"/>
      <c r="AA1227" s="352"/>
      <c r="AB1227" s="352"/>
      <c r="AC1227" s="351"/>
      <c r="AD1227" s="351"/>
    </row>
    <row r="1228" spans="1:30" ht="38.450000000000003" hidden="1" x14ac:dyDescent="0.35">
      <c r="A1228" s="349">
        <v>1227</v>
      </c>
      <c r="B1228" s="352" t="s">
        <v>807</v>
      </c>
      <c r="C1228" s="351" t="s">
        <v>1666</v>
      </c>
      <c r="D1228" s="352" t="s">
        <v>1666</v>
      </c>
      <c r="E1228" s="352" t="s">
        <v>1319</v>
      </c>
      <c r="F1228" s="353">
        <v>1.75</v>
      </c>
      <c r="G1228" s="352" t="s">
        <v>1318</v>
      </c>
      <c r="H1228" s="37" t="s">
        <v>3628</v>
      </c>
      <c r="I1228" s="176" t="s">
        <v>4831</v>
      </c>
      <c r="J1228" s="352" t="s">
        <v>1115</v>
      </c>
      <c r="K1228" s="352">
        <v>10</v>
      </c>
      <c r="L1228" s="352" t="s">
        <v>1116</v>
      </c>
      <c r="M1228" s="352">
        <v>30</v>
      </c>
      <c r="N1228" s="352" t="s">
        <v>1109</v>
      </c>
      <c r="O1228" s="351">
        <v>10</v>
      </c>
      <c r="P1228" s="349" t="s">
        <v>1836</v>
      </c>
      <c r="R1228" s="349">
        <f t="shared" si="19"/>
        <v>9</v>
      </c>
      <c r="S1228" s="352"/>
      <c r="T1228" s="352"/>
      <c r="U1228" s="352"/>
      <c r="V1228" s="353"/>
      <c r="W1228" s="352"/>
      <c r="X1228" s="176"/>
      <c r="Y1228" s="176"/>
      <c r="Z1228" s="352"/>
      <c r="AA1228" s="352"/>
      <c r="AB1228" s="352"/>
      <c r="AC1228" s="352"/>
      <c r="AD1228" s="352"/>
    </row>
    <row r="1229" spans="1:30" ht="38.450000000000003" hidden="1" x14ac:dyDescent="0.35">
      <c r="A1229" s="349">
        <v>1228</v>
      </c>
      <c r="B1229" s="352" t="s">
        <v>807</v>
      </c>
      <c r="C1229" s="351" t="s">
        <v>1666</v>
      </c>
      <c r="D1229" s="352" t="s">
        <v>1666</v>
      </c>
      <c r="E1229" s="352" t="s">
        <v>1319</v>
      </c>
      <c r="F1229" s="353">
        <v>1.9</v>
      </c>
      <c r="G1229" s="352" t="s">
        <v>1318</v>
      </c>
      <c r="H1229" s="176" t="s">
        <v>3628</v>
      </c>
      <c r="I1229" s="176" t="s">
        <v>4831</v>
      </c>
      <c r="J1229" s="352" t="s">
        <v>1115</v>
      </c>
      <c r="K1229" s="352">
        <v>20</v>
      </c>
      <c r="L1229" s="352" t="s">
        <v>1116</v>
      </c>
      <c r="M1229" s="352">
        <v>30</v>
      </c>
      <c r="N1229" s="352" t="s">
        <v>1109</v>
      </c>
      <c r="O1229" s="351">
        <v>20</v>
      </c>
      <c r="P1229" s="349" t="s">
        <v>1836</v>
      </c>
      <c r="R1229" s="349">
        <f t="shared" si="19"/>
        <v>9</v>
      </c>
      <c r="S1229" s="352"/>
      <c r="T1229" s="352"/>
      <c r="U1229" s="352"/>
      <c r="V1229" s="353"/>
      <c r="W1229" s="352"/>
      <c r="X1229" s="176"/>
      <c r="Y1229" s="176"/>
      <c r="Z1229" s="352"/>
      <c r="AA1229" s="352"/>
      <c r="AB1229" s="352"/>
      <c r="AC1229" s="352"/>
      <c r="AD1229" s="352"/>
    </row>
    <row r="1230" spans="1:30" ht="89.75" hidden="1" x14ac:dyDescent="0.35">
      <c r="A1230" s="349">
        <v>1229</v>
      </c>
      <c r="B1230" s="352" t="s">
        <v>807</v>
      </c>
      <c r="C1230" s="351" t="s">
        <v>1666</v>
      </c>
      <c r="D1230" s="352" t="s">
        <v>1666</v>
      </c>
      <c r="E1230" s="352" t="s">
        <v>1316</v>
      </c>
      <c r="F1230" s="353">
        <v>0.99</v>
      </c>
      <c r="G1230" s="352" t="s">
        <v>1318</v>
      </c>
      <c r="H1230" s="176" t="s">
        <v>1985</v>
      </c>
      <c r="I1230" s="176" t="s">
        <v>1986</v>
      </c>
      <c r="J1230" s="352" t="s">
        <v>1317</v>
      </c>
      <c r="K1230" s="352">
        <v>20</v>
      </c>
      <c r="L1230" s="352" t="s">
        <v>1116</v>
      </c>
      <c r="M1230" s="352">
        <v>1.8</v>
      </c>
      <c r="N1230" s="352" t="s">
        <v>1109</v>
      </c>
      <c r="O1230" s="351">
        <v>20</v>
      </c>
      <c r="P1230" s="349" t="s">
        <v>1836</v>
      </c>
      <c r="R1230" s="349">
        <f t="shared" si="19"/>
        <v>9</v>
      </c>
      <c r="S1230" s="352"/>
      <c r="T1230" s="352"/>
      <c r="U1230" s="352"/>
      <c r="V1230" s="353"/>
      <c r="W1230" s="352"/>
      <c r="X1230" s="176"/>
      <c r="Y1230" s="176"/>
      <c r="Z1230" s="352"/>
      <c r="AA1230" s="352"/>
      <c r="AB1230" s="352"/>
      <c r="AC1230" s="352"/>
      <c r="AD1230" s="352"/>
    </row>
    <row r="1231" spans="1:30" ht="128.19999999999999" hidden="1" x14ac:dyDescent="0.35">
      <c r="A1231" s="349">
        <v>1230</v>
      </c>
      <c r="B1231" s="352" t="s">
        <v>1787</v>
      </c>
      <c r="C1231" s="351" t="s">
        <v>1666</v>
      </c>
      <c r="D1231" s="352" t="s">
        <v>1666</v>
      </c>
      <c r="E1231" s="352" t="s">
        <v>827</v>
      </c>
      <c r="F1231" s="353">
        <v>0.8</v>
      </c>
      <c r="G1231" s="352" t="s">
        <v>1107</v>
      </c>
      <c r="H1231" s="176" t="s">
        <v>54</v>
      </c>
      <c r="I1231" s="176" t="s">
        <v>1074</v>
      </c>
      <c r="J1231" s="352" t="s">
        <v>828</v>
      </c>
      <c r="K1231" s="352">
        <v>20</v>
      </c>
      <c r="L1231" s="352" t="s">
        <v>1116</v>
      </c>
      <c r="M1231" s="352">
        <v>5</v>
      </c>
      <c r="N1231" s="352" t="s">
        <v>1109</v>
      </c>
      <c r="O1231" s="351">
        <v>20</v>
      </c>
      <c r="P1231" s="349" t="s">
        <v>1836</v>
      </c>
      <c r="R1231" s="349">
        <f t="shared" si="19"/>
        <v>9</v>
      </c>
      <c r="S1231" s="352"/>
      <c r="T1231" s="352"/>
      <c r="U1231" s="352"/>
      <c r="V1231" s="353"/>
      <c r="W1231" s="352"/>
      <c r="X1231" s="176"/>
      <c r="Y1231" s="176"/>
      <c r="Z1231" s="352"/>
      <c r="AA1231" s="352"/>
      <c r="AB1231" s="352"/>
      <c r="AC1231" s="352"/>
      <c r="AD1231" s="352"/>
    </row>
    <row r="1232" spans="1:30" ht="102.55" hidden="1" x14ac:dyDescent="0.35">
      <c r="A1232" s="349">
        <v>1231</v>
      </c>
      <c r="B1232" s="352" t="s">
        <v>761</v>
      </c>
      <c r="C1232" s="351" t="s">
        <v>1666</v>
      </c>
      <c r="D1232" s="352" t="s">
        <v>1666</v>
      </c>
      <c r="E1232" s="352" t="s">
        <v>827</v>
      </c>
      <c r="F1232" s="353">
        <v>0.8</v>
      </c>
      <c r="G1232" s="352" t="s">
        <v>1107</v>
      </c>
      <c r="H1232" s="176" t="s">
        <v>2139</v>
      </c>
      <c r="I1232" s="176" t="s">
        <v>3106</v>
      </c>
      <c r="J1232" s="352" t="s">
        <v>828</v>
      </c>
      <c r="K1232" s="352">
        <v>20</v>
      </c>
      <c r="L1232" s="352" t="s">
        <v>1116</v>
      </c>
      <c r="M1232" s="352">
        <v>5</v>
      </c>
      <c r="N1232" s="352" t="s">
        <v>1109</v>
      </c>
      <c r="O1232" s="351">
        <v>20</v>
      </c>
      <c r="P1232" s="349" t="s">
        <v>1836</v>
      </c>
      <c r="R1232" s="349">
        <f t="shared" si="19"/>
        <v>9</v>
      </c>
      <c r="S1232" s="352"/>
      <c r="T1232" s="352"/>
      <c r="U1232" s="352"/>
      <c r="V1232" s="353"/>
      <c r="W1232" s="352"/>
      <c r="X1232" s="176"/>
      <c r="Y1232" s="176"/>
      <c r="Z1232" s="352"/>
      <c r="AA1232" s="352"/>
      <c r="AB1232" s="352"/>
      <c r="AC1232" s="352"/>
      <c r="AD1232" s="352"/>
    </row>
    <row r="1233" spans="1:30" ht="25.65" hidden="1" x14ac:dyDescent="0.35">
      <c r="A1233" s="349">
        <v>1232</v>
      </c>
      <c r="B1233" s="352" t="s">
        <v>2491</v>
      </c>
      <c r="C1233" s="351" t="s">
        <v>4491</v>
      </c>
      <c r="D1233" s="352" t="s">
        <v>1666</v>
      </c>
      <c r="E1233" s="352" t="s">
        <v>827</v>
      </c>
      <c r="F1233" s="353">
        <v>1.5</v>
      </c>
      <c r="G1233" s="352" t="s">
        <v>34</v>
      </c>
      <c r="H1233" s="176" t="s">
        <v>4182</v>
      </c>
      <c r="I1233" s="176" t="s">
        <v>1584</v>
      </c>
      <c r="J1233" s="352" t="s">
        <v>828</v>
      </c>
      <c r="K1233" s="352">
        <v>20</v>
      </c>
      <c r="L1233" s="352" t="s">
        <v>1116</v>
      </c>
      <c r="M1233" s="352">
        <v>5</v>
      </c>
      <c r="N1233" s="352" t="s">
        <v>1109</v>
      </c>
      <c r="O1233" s="351">
        <v>20</v>
      </c>
      <c r="P1233" s="349" t="s">
        <v>1836</v>
      </c>
      <c r="R1233" s="349">
        <f t="shared" si="19"/>
        <v>9</v>
      </c>
      <c r="S1233" s="352"/>
      <c r="T1233" s="352"/>
      <c r="U1233" s="352"/>
      <c r="V1233" s="353"/>
      <c r="W1233" s="352"/>
      <c r="X1233" s="176"/>
      <c r="Y1233" s="176"/>
      <c r="Z1233" s="352"/>
      <c r="AA1233" s="352"/>
      <c r="AB1233" s="352"/>
      <c r="AC1233" s="351"/>
      <c r="AD1233" s="351"/>
    </row>
    <row r="1234" spans="1:30" ht="38.450000000000003" hidden="1" x14ac:dyDescent="0.35">
      <c r="A1234" s="349">
        <v>1233</v>
      </c>
      <c r="B1234" s="352" t="s">
        <v>807</v>
      </c>
      <c r="C1234" s="351" t="s">
        <v>4492</v>
      </c>
      <c r="D1234" s="352" t="s">
        <v>1666</v>
      </c>
      <c r="E1234" s="352" t="s">
        <v>1319</v>
      </c>
      <c r="F1234" s="353">
        <v>1.75</v>
      </c>
      <c r="G1234" s="352" t="s">
        <v>1318</v>
      </c>
      <c r="H1234" s="176" t="s">
        <v>3628</v>
      </c>
      <c r="I1234" s="176" t="s">
        <v>4831</v>
      </c>
      <c r="J1234" s="352" t="s">
        <v>1115</v>
      </c>
      <c r="K1234" s="352">
        <v>10</v>
      </c>
      <c r="L1234" s="352" t="s">
        <v>1116</v>
      </c>
      <c r="M1234" s="352">
        <v>30</v>
      </c>
      <c r="N1234" s="352" t="s">
        <v>1109</v>
      </c>
      <c r="O1234" s="351">
        <v>10</v>
      </c>
      <c r="P1234" s="349" t="s">
        <v>1836</v>
      </c>
      <c r="R1234" s="349">
        <f t="shared" si="19"/>
        <v>9</v>
      </c>
      <c r="S1234" s="352"/>
      <c r="T1234" s="352"/>
      <c r="U1234" s="352"/>
      <c r="V1234" s="353"/>
      <c r="W1234" s="352"/>
      <c r="X1234" s="176"/>
      <c r="Y1234" s="176"/>
      <c r="Z1234" s="352"/>
      <c r="AA1234" s="352"/>
      <c r="AB1234" s="352"/>
      <c r="AC1234" s="352"/>
      <c r="AD1234" s="352"/>
    </row>
    <row r="1235" spans="1:30" ht="38.450000000000003" hidden="1" x14ac:dyDescent="0.35">
      <c r="A1235" s="349">
        <v>1234</v>
      </c>
      <c r="B1235" s="352" t="s">
        <v>807</v>
      </c>
      <c r="C1235" s="351" t="s">
        <v>4493</v>
      </c>
      <c r="D1235" s="352" t="s">
        <v>1666</v>
      </c>
      <c r="E1235" s="352" t="s">
        <v>1319</v>
      </c>
      <c r="F1235" s="353">
        <v>1.9</v>
      </c>
      <c r="G1235" s="352" t="s">
        <v>1318</v>
      </c>
      <c r="H1235" s="176" t="s">
        <v>3628</v>
      </c>
      <c r="I1235" s="176" t="s">
        <v>4831</v>
      </c>
      <c r="J1235" s="352" t="s">
        <v>1115</v>
      </c>
      <c r="K1235" s="352">
        <v>20</v>
      </c>
      <c r="L1235" s="352" t="s">
        <v>1116</v>
      </c>
      <c r="M1235" s="351">
        <v>30</v>
      </c>
      <c r="N1235" s="351" t="s">
        <v>1109</v>
      </c>
      <c r="O1235" s="351">
        <v>20</v>
      </c>
      <c r="P1235" s="349" t="s">
        <v>1836</v>
      </c>
      <c r="R1235" s="349">
        <f t="shared" si="19"/>
        <v>9</v>
      </c>
      <c r="S1235" s="352"/>
      <c r="T1235" s="352"/>
      <c r="U1235" s="352"/>
      <c r="V1235" s="353"/>
      <c r="W1235" s="352"/>
      <c r="X1235" s="176"/>
      <c r="Y1235" s="176"/>
      <c r="Z1235" s="352"/>
      <c r="AA1235" s="352"/>
      <c r="AB1235" s="352"/>
      <c r="AC1235" s="352"/>
      <c r="AD1235" s="352"/>
    </row>
    <row r="1236" spans="1:30" ht="51.3" hidden="1" x14ac:dyDescent="0.35">
      <c r="A1236" s="349">
        <v>1235</v>
      </c>
      <c r="B1236" s="352" t="s">
        <v>2491</v>
      </c>
      <c r="C1236" s="351" t="s">
        <v>4494</v>
      </c>
      <c r="D1236" s="352" t="s">
        <v>1666</v>
      </c>
      <c r="E1236" s="352" t="s">
        <v>1315</v>
      </c>
      <c r="F1236" s="353">
        <v>4.1500000000000004</v>
      </c>
      <c r="G1236" s="352" t="s">
        <v>34</v>
      </c>
      <c r="H1236" s="176" t="s">
        <v>244</v>
      </c>
      <c r="I1236" s="176" t="s">
        <v>4183</v>
      </c>
      <c r="J1236" s="352" t="s">
        <v>4031</v>
      </c>
      <c r="K1236" s="352">
        <v>40</v>
      </c>
      <c r="L1236" s="352" t="s">
        <v>1116</v>
      </c>
      <c r="M1236" s="351">
        <v>5</v>
      </c>
      <c r="N1236" s="351" t="s">
        <v>1109</v>
      </c>
      <c r="O1236" s="351">
        <v>40</v>
      </c>
      <c r="P1236" s="349" t="s">
        <v>1836</v>
      </c>
      <c r="R1236" s="349">
        <f t="shared" si="19"/>
        <v>9</v>
      </c>
      <c r="S1236" s="352"/>
      <c r="T1236" s="352"/>
      <c r="U1236" s="352"/>
      <c r="V1236" s="353"/>
      <c r="W1236" s="352"/>
      <c r="X1236" s="176"/>
      <c r="Y1236" s="176"/>
      <c r="Z1236" s="352"/>
      <c r="AA1236" s="352"/>
      <c r="AB1236" s="352"/>
      <c r="AC1236" s="351"/>
      <c r="AD1236" s="351"/>
    </row>
    <row r="1237" spans="1:30" ht="51.3" hidden="1" x14ac:dyDescent="0.35">
      <c r="A1237" s="349">
        <v>1236</v>
      </c>
      <c r="B1237" s="352" t="s">
        <v>807</v>
      </c>
      <c r="C1237" s="351" t="s">
        <v>4495</v>
      </c>
      <c r="D1237" s="352" t="s">
        <v>1666</v>
      </c>
      <c r="E1237" s="352" t="s">
        <v>3583</v>
      </c>
      <c r="F1237" s="353">
        <v>1.55</v>
      </c>
      <c r="G1237" s="352" t="s">
        <v>1318</v>
      </c>
      <c r="H1237" s="176" t="s">
        <v>2780</v>
      </c>
      <c r="I1237" s="176" t="s">
        <v>4220</v>
      </c>
      <c r="J1237" s="352" t="s">
        <v>1115</v>
      </c>
      <c r="K1237" s="352">
        <v>10</v>
      </c>
      <c r="L1237" s="352" t="s">
        <v>1116</v>
      </c>
      <c r="M1237" s="351">
        <v>20</v>
      </c>
      <c r="N1237" s="351" t="s">
        <v>1109</v>
      </c>
      <c r="O1237" s="351">
        <v>10</v>
      </c>
      <c r="P1237" s="349" t="s">
        <v>1836</v>
      </c>
      <c r="R1237" s="349">
        <f t="shared" si="19"/>
        <v>9</v>
      </c>
      <c r="S1237" s="352"/>
      <c r="T1237" s="352"/>
      <c r="U1237" s="352"/>
      <c r="V1237" s="353"/>
      <c r="W1237" s="352"/>
      <c r="X1237" s="176"/>
      <c r="Y1237" s="176"/>
      <c r="Z1237" s="352"/>
      <c r="AA1237" s="352"/>
      <c r="AB1237" s="352"/>
      <c r="AC1237" s="352"/>
      <c r="AD1237" s="352"/>
    </row>
    <row r="1238" spans="1:30" ht="51.3" hidden="1" x14ac:dyDescent="0.35">
      <c r="A1238" s="349">
        <v>1237</v>
      </c>
      <c r="B1238" s="352" t="s">
        <v>807</v>
      </c>
      <c r="C1238" s="351" t="s">
        <v>4496</v>
      </c>
      <c r="D1238" s="352" t="s">
        <v>1666</v>
      </c>
      <c r="E1238" s="352" t="s">
        <v>827</v>
      </c>
      <c r="F1238" s="353">
        <v>1.5</v>
      </c>
      <c r="G1238" s="352" t="s">
        <v>1318</v>
      </c>
      <c r="H1238" s="176" t="s">
        <v>2780</v>
      </c>
      <c r="I1238" s="176" t="s">
        <v>3260</v>
      </c>
      <c r="J1238" s="352" t="s">
        <v>828</v>
      </c>
      <c r="K1238" s="352">
        <v>20</v>
      </c>
      <c r="L1238" s="352" t="s">
        <v>1116</v>
      </c>
      <c r="M1238" s="352">
        <v>5</v>
      </c>
      <c r="N1238" s="352" t="s">
        <v>1109</v>
      </c>
      <c r="O1238" s="351">
        <v>20</v>
      </c>
      <c r="P1238" s="349" t="s">
        <v>1836</v>
      </c>
      <c r="R1238" s="349">
        <f t="shared" si="19"/>
        <v>9</v>
      </c>
      <c r="S1238" s="352"/>
      <c r="T1238" s="352"/>
      <c r="U1238" s="352"/>
      <c r="V1238" s="353"/>
      <c r="W1238" s="352"/>
      <c r="X1238" s="176"/>
      <c r="Y1238" s="176"/>
      <c r="Z1238" s="352"/>
      <c r="AA1238" s="352"/>
      <c r="AB1238" s="352"/>
      <c r="AC1238" s="352"/>
      <c r="AD1238" s="352"/>
    </row>
    <row r="1239" spans="1:30" ht="76.900000000000006" hidden="1" x14ac:dyDescent="0.35">
      <c r="A1239" s="349">
        <v>1238</v>
      </c>
      <c r="B1239" s="352" t="s">
        <v>2047</v>
      </c>
      <c r="C1239" s="351" t="s">
        <v>4497</v>
      </c>
      <c r="D1239" s="352" t="s">
        <v>3901</v>
      </c>
      <c r="E1239" s="352" t="s">
        <v>1995</v>
      </c>
      <c r="F1239" s="353">
        <v>0.35260000000000002</v>
      </c>
      <c r="G1239" s="352" t="s">
        <v>2126</v>
      </c>
      <c r="H1239" s="176" t="s">
        <v>1866</v>
      </c>
      <c r="I1239" s="176" t="s">
        <v>777</v>
      </c>
      <c r="J1239" s="352" t="s">
        <v>3580</v>
      </c>
      <c r="K1239" s="352">
        <v>5</v>
      </c>
      <c r="L1239" s="352" t="s">
        <v>3581</v>
      </c>
      <c r="M1239" s="352"/>
      <c r="N1239" s="352"/>
      <c r="O1239" s="351">
        <v>5</v>
      </c>
      <c r="P1239" s="349" t="s">
        <v>1836</v>
      </c>
      <c r="R1239" s="349">
        <f t="shared" si="19"/>
        <v>8</v>
      </c>
      <c r="S1239" s="352"/>
      <c r="T1239" s="352"/>
      <c r="U1239" s="352"/>
      <c r="V1239" s="353"/>
      <c r="W1239" s="352"/>
      <c r="X1239" s="176"/>
      <c r="Y1239" s="176"/>
      <c r="Z1239" s="352"/>
      <c r="AA1239" s="352"/>
      <c r="AB1239" s="352"/>
      <c r="AC1239" s="352"/>
      <c r="AD1239" s="352"/>
    </row>
    <row r="1240" spans="1:30" ht="76.900000000000006" hidden="1" x14ac:dyDescent="0.35">
      <c r="A1240" s="349">
        <v>1239</v>
      </c>
      <c r="B1240" s="352" t="s">
        <v>2047</v>
      </c>
      <c r="C1240" s="351" t="s">
        <v>4497</v>
      </c>
      <c r="D1240" s="352" t="s">
        <v>3901</v>
      </c>
      <c r="E1240" s="352" t="s">
        <v>1995</v>
      </c>
      <c r="F1240" s="353">
        <v>0.28999999999999998</v>
      </c>
      <c r="G1240" s="352" t="s">
        <v>2126</v>
      </c>
      <c r="H1240" s="176" t="s">
        <v>1866</v>
      </c>
      <c r="I1240" s="176" t="s">
        <v>777</v>
      </c>
      <c r="J1240" s="352" t="s">
        <v>3580</v>
      </c>
      <c r="K1240" s="352">
        <v>10</v>
      </c>
      <c r="L1240" s="352" t="s">
        <v>3581</v>
      </c>
      <c r="M1240" s="352"/>
      <c r="N1240" s="352"/>
      <c r="O1240" s="351">
        <v>10</v>
      </c>
      <c r="P1240" s="349" t="s">
        <v>1836</v>
      </c>
      <c r="R1240" s="349">
        <f t="shared" si="19"/>
        <v>8</v>
      </c>
      <c r="S1240" s="352"/>
      <c r="T1240" s="352"/>
      <c r="U1240" s="352"/>
      <c r="V1240" s="353"/>
      <c r="W1240" s="352"/>
      <c r="X1240" s="176"/>
      <c r="Y1240" s="176"/>
      <c r="Z1240" s="352"/>
      <c r="AA1240" s="352"/>
      <c r="AB1240" s="352"/>
      <c r="AC1240" s="352"/>
      <c r="AD1240" s="352"/>
    </row>
    <row r="1241" spans="1:30" ht="76.900000000000006" hidden="1" x14ac:dyDescent="0.35">
      <c r="A1241" s="349">
        <v>1240</v>
      </c>
      <c r="B1241" s="352" t="s">
        <v>2047</v>
      </c>
      <c r="C1241" s="351" t="s">
        <v>4497</v>
      </c>
      <c r="D1241" s="352" t="s">
        <v>3901</v>
      </c>
      <c r="E1241" s="352" t="s">
        <v>1995</v>
      </c>
      <c r="F1241" s="353">
        <v>0.66110000000000002</v>
      </c>
      <c r="G1241" s="352" t="s">
        <v>2126</v>
      </c>
      <c r="H1241" s="176" t="s">
        <v>1866</v>
      </c>
      <c r="I1241" s="176" t="s">
        <v>777</v>
      </c>
      <c r="J1241" s="352" t="s">
        <v>3580</v>
      </c>
      <c r="K1241" s="352">
        <v>25</v>
      </c>
      <c r="L1241" s="352" t="s">
        <v>3581</v>
      </c>
      <c r="M1241" s="352"/>
      <c r="N1241" s="352"/>
      <c r="O1241" s="351">
        <v>25</v>
      </c>
      <c r="P1241" s="349" t="s">
        <v>1836</v>
      </c>
      <c r="R1241" s="349">
        <f t="shared" si="19"/>
        <v>8</v>
      </c>
      <c r="S1241" s="352"/>
      <c r="T1241" s="352"/>
      <c r="U1241" s="352"/>
      <c r="V1241" s="353"/>
      <c r="W1241" s="352"/>
      <c r="X1241" s="176"/>
      <c r="Y1241" s="176"/>
      <c r="Z1241" s="352"/>
      <c r="AA1241" s="352"/>
      <c r="AB1241" s="352"/>
      <c r="AC1241" s="352"/>
      <c r="AD1241" s="352"/>
    </row>
    <row r="1242" spans="1:30" ht="64.099999999999994" hidden="1" x14ac:dyDescent="0.35">
      <c r="A1242" s="349">
        <v>1241</v>
      </c>
      <c r="B1242" s="352" t="s">
        <v>3160</v>
      </c>
      <c r="C1242" s="351" t="s">
        <v>4498</v>
      </c>
      <c r="D1242" s="352" t="s">
        <v>1911</v>
      </c>
      <c r="E1242" s="352" t="s">
        <v>762</v>
      </c>
      <c r="F1242" s="353">
        <v>1.8</v>
      </c>
      <c r="G1242" s="352" t="s">
        <v>1107</v>
      </c>
      <c r="H1242" s="176" t="s">
        <v>2699</v>
      </c>
      <c r="I1242" s="176" t="s">
        <v>2700</v>
      </c>
      <c r="J1242" s="352" t="s">
        <v>828</v>
      </c>
      <c r="K1242" s="352">
        <v>25</v>
      </c>
      <c r="L1242" s="352" t="s">
        <v>1116</v>
      </c>
      <c r="M1242" s="352">
        <v>2</v>
      </c>
      <c r="N1242" s="352" t="s">
        <v>1109</v>
      </c>
      <c r="O1242" s="351">
        <v>25</v>
      </c>
      <c r="P1242" s="349" t="s">
        <v>1836</v>
      </c>
      <c r="R1242" s="349">
        <f t="shared" si="19"/>
        <v>10</v>
      </c>
      <c r="S1242" s="352"/>
      <c r="T1242" s="352"/>
      <c r="U1242" s="352"/>
      <c r="V1242" s="353"/>
      <c r="W1242" s="352"/>
      <c r="X1242" s="37"/>
      <c r="Y1242" s="176"/>
      <c r="Z1242" s="352"/>
      <c r="AA1242" s="352"/>
      <c r="AB1242" s="352"/>
      <c r="AC1242" s="351"/>
      <c r="AD1242" s="351"/>
    </row>
    <row r="1243" spans="1:30" ht="38.450000000000003" hidden="1" x14ac:dyDescent="0.35">
      <c r="A1243" s="349">
        <v>1242</v>
      </c>
      <c r="B1243" s="352" t="s">
        <v>1482</v>
      </c>
      <c r="C1243" s="351" t="s">
        <v>4499</v>
      </c>
      <c r="D1243" s="352" t="s">
        <v>3502</v>
      </c>
      <c r="E1243" s="352" t="s">
        <v>1483</v>
      </c>
      <c r="F1243" s="353">
        <v>16.350000000000001</v>
      </c>
      <c r="G1243" s="352" t="s">
        <v>34</v>
      </c>
      <c r="H1243" s="176" t="s">
        <v>3503</v>
      </c>
      <c r="I1243" s="176" t="s">
        <v>3097</v>
      </c>
      <c r="J1243" s="352" t="s">
        <v>4025</v>
      </c>
      <c r="K1243" s="352">
        <v>5</v>
      </c>
      <c r="L1243" s="352" t="s">
        <v>1116</v>
      </c>
      <c r="M1243" s="351">
        <v>4</v>
      </c>
      <c r="N1243" s="351" t="s">
        <v>1109</v>
      </c>
      <c r="O1243" s="351">
        <v>5</v>
      </c>
      <c r="P1243" s="349" t="s">
        <v>1836</v>
      </c>
      <c r="R1243" s="349">
        <f t="shared" si="19"/>
        <v>13</v>
      </c>
      <c r="S1243" s="352"/>
      <c r="T1243" s="352"/>
      <c r="U1243" s="352"/>
      <c r="V1243" s="353"/>
      <c r="W1243" s="352"/>
      <c r="X1243" s="176"/>
      <c r="Y1243" s="176"/>
      <c r="Z1243" s="352"/>
      <c r="AA1243" s="352"/>
      <c r="AB1243" s="352"/>
      <c r="AC1243" s="351"/>
      <c r="AD1243" s="351"/>
    </row>
    <row r="1244" spans="1:30" ht="51.3" hidden="1" x14ac:dyDescent="0.35">
      <c r="A1244" s="349">
        <v>1243</v>
      </c>
      <c r="B1244" s="352" t="s">
        <v>3101</v>
      </c>
      <c r="C1244" s="351" t="s">
        <v>4500</v>
      </c>
      <c r="D1244" s="352" t="s">
        <v>791</v>
      </c>
      <c r="E1244" s="352" t="s">
        <v>3102</v>
      </c>
      <c r="F1244" s="353">
        <v>24.747699999999998</v>
      </c>
      <c r="G1244" s="352" t="s">
        <v>3034</v>
      </c>
      <c r="H1244" s="176" t="s">
        <v>211</v>
      </c>
      <c r="I1244" s="176" t="s">
        <v>434</v>
      </c>
      <c r="J1244" s="352" t="s">
        <v>3215</v>
      </c>
      <c r="K1244" s="352">
        <v>5</v>
      </c>
      <c r="L1244" s="352" t="s">
        <v>3103</v>
      </c>
      <c r="M1244" s="351">
        <v>112</v>
      </c>
      <c r="N1244" s="351" t="s">
        <v>1656</v>
      </c>
      <c r="O1244" s="351">
        <v>5</v>
      </c>
      <c r="P1244" s="349" t="s">
        <v>1836</v>
      </c>
      <c r="R1244" s="349">
        <f t="shared" si="19"/>
        <v>12</v>
      </c>
      <c r="S1244" s="352"/>
      <c r="T1244" s="352"/>
      <c r="U1244" s="352"/>
      <c r="V1244" s="353"/>
      <c r="W1244" s="352"/>
      <c r="X1244" s="176"/>
      <c r="Y1244" s="176"/>
      <c r="Z1244" s="352"/>
      <c r="AA1244" s="352"/>
      <c r="AB1244" s="352"/>
      <c r="AC1244" s="352"/>
      <c r="AD1244" s="352"/>
    </row>
    <row r="1245" spans="1:30" ht="51.3" hidden="1" x14ac:dyDescent="0.35">
      <c r="A1245" s="349">
        <v>1244</v>
      </c>
      <c r="B1245" s="352" t="s">
        <v>3101</v>
      </c>
      <c r="C1245" s="351" t="s">
        <v>4500</v>
      </c>
      <c r="D1245" s="352" t="s">
        <v>791</v>
      </c>
      <c r="E1245" s="352" t="s">
        <v>3102</v>
      </c>
      <c r="F1245" s="353">
        <v>24.747699999999998</v>
      </c>
      <c r="G1245" s="352" t="s">
        <v>3034</v>
      </c>
      <c r="H1245" s="176" t="s">
        <v>211</v>
      </c>
      <c r="I1245" s="176" t="s">
        <v>434</v>
      </c>
      <c r="J1245" s="352" t="s">
        <v>3215</v>
      </c>
      <c r="K1245" s="352">
        <v>5</v>
      </c>
      <c r="L1245" s="352" t="s">
        <v>3103</v>
      </c>
      <c r="M1245" s="352">
        <v>112</v>
      </c>
      <c r="N1245" s="352" t="s">
        <v>1656</v>
      </c>
      <c r="O1245" s="351">
        <v>5</v>
      </c>
      <c r="P1245" s="349" t="s">
        <v>1836</v>
      </c>
      <c r="R1245" s="349">
        <f t="shared" si="19"/>
        <v>12</v>
      </c>
      <c r="S1245" s="352"/>
      <c r="T1245" s="352"/>
      <c r="U1245" s="352"/>
      <c r="V1245" s="353"/>
      <c r="W1245" s="352"/>
      <c r="X1245" s="176"/>
      <c r="Y1245" s="176"/>
      <c r="Z1245" s="352"/>
      <c r="AA1245" s="352"/>
      <c r="AB1245" s="352"/>
      <c r="AC1245" s="352"/>
      <c r="AD1245" s="352"/>
    </row>
    <row r="1246" spans="1:30" ht="38.450000000000003" hidden="1" x14ac:dyDescent="0.35">
      <c r="A1246" s="349">
        <v>1245</v>
      </c>
      <c r="B1246" s="352" t="s">
        <v>3101</v>
      </c>
      <c r="C1246" s="351" t="s">
        <v>4501</v>
      </c>
      <c r="D1246" s="352" t="s">
        <v>791</v>
      </c>
      <c r="E1246" s="352" t="s">
        <v>2458</v>
      </c>
      <c r="F1246" s="353">
        <v>0.70520000000000005</v>
      </c>
      <c r="G1246" s="352" t="s">
        <v>3034</v>
      </c>
      <c r="H1246" s="176" t="s">
        <v>790</v>
      </c>
      <c r="I1246" s="176" t="s">
        <v>435</v>
      </c>
      <c r="J1246" s="352" t="s">
        <v>3035</v>
      </c>
      <c r="K1246" s="352">
        <v>10</v>
      </c>
      <c r="L1246" s="352" t="s">
        <v>1116</v>
      </c>
      <c r="M1246" s="352">
        <v>2</v>
      </c>
      <c r="N1246" s="352" t="s">
        <v>1109</v>
      </c>
      <c r="O1246" s="351">
        <v>10</v>
      </c>
      <c r="P1246" s="349" t="s">
        <v>1836</v>
      </c>
      <c r="R1246" s="349">
        <f t="shared" si="19"/>
        <v>12</v>
      </c>
      <c r="S1246" s="352"/>
      <c r="T1246" s="352"/>
      <c r="U1246" s="352"/>
      <c r="V1246" s="353"/>
      <c r="W1246" s="352"/>
      <c r="X1246" s="176"/>
      <c r="Y1246" s="176"/>
      <c r="Z1246" s="352"/>
      <c r="AA1246" s="352"/>
      <c r="AB1246" s="352"/>
      <c r="AC1246" s="352"/>
      <c r="AD1246" s="352"/>
    </row>
    <row r="1247" spans="1:30" ht="76.900000000000006" hidden="1" x14ac:dyDescent="0.35">
      <c r="A1247" s="349">
        <v>1246</v>
      </c>
      <c r="B1247" s="352" t="s">
        <v>2694</v>
      </c>
      <c r="C1247" s="351" t="s">
        <v>4502</v>
      </c>
      <c r="D1247" s="352" t="s">
        <v>3364</v>
      </c>
      <c r="E1247" s="352" t="s">
        <v>1998</v>
      </c>
      <c r="F1247" s="353">
        <v>1.1000000000000001</v>
      </c>
      <c r="G1247" s="352" t="s">
        <v>2126</v>
      </c>
      <c r="H1247" s="176" t="s">
        <v>400</v>
      </c>
      <c r="I1247" s="176" t="s">
        <v>401</v>
      </c>
      <c r="J1247" s="352" t="s">
        <v>22</v>
      </c>
      <c r="K1247" s="351">
        <v>1</v>
      </c>
      <c r="L1247" s="351" t="s">
        <v>23</v>
      </c>
      <c r="M1247" s="352"/>
      <c r="N1247" s="352"/>
      <c r="O1247" s="351">
        <v>1</v>
      </c>
      <c r="P1247" s="349" t="s">
        <v>1836</v>
      </c>
      <c r="R1247" s="349">
        <f t="shared" si="19"/>
        <v>9</v>
      </c>
      <c r="S1247" s="352"/>
      <c r="T1247" s="352"/>
      <c r="U1247" s="352"/>
      <c r="V1247" s="353"/>
      <c r="W1247" s="352"/>
      <c r="X1247" s="176"/>
      <c r="Y1247" s="176"/>
      <c r="Z1247" s="352"/>
      <c r="AA1247" s="352"/>
      <c r="AB1247" s="352"/>
      <c r="AC1247" s="352"/>
      <c r="AD1247" s="352"/>
    </row>
    <row r="1248" spans="1:30" ht="76.900000000000006" hidden="1" x14ac:dyDescent="0.35">
      <c r="A1248" s="349">
        <v>1247</v>
      </c>
      <c r="B1248" s="352" t="s">
        <v>2694</v>
      </c>
      <c r="C1248" s="351" t="s">
        <v>4502</v>
      </c>
      <c r="D1248" s="352" t="s">
        <v>3364</v>
      </c>
      <c r="E1248" s="352" t="s">
        <v>1995</v>
      </c>
      <c r="F1248" s="353">
        <v>1.6528</v>
      </c>
      <c r="G1248" s="352" t="s">
        <v>2126</v>
      </c>
      <c r="H1248" s="176" t="s">
        <v>400</v>
      </c>
      <c r="I1248" s="176" t="s">
        <v>401</v>
      </c>
      <c r="J1248" s="352" t="s">
        <v>3580</v>
      </c>
      <c r="K1248" s="352">
        <v>10</v>
      </c>
      <c r="L1248" s="352" t="s">
        <v>3581</v>
      </c>
      <c r="M1248" s="351"/>
      <c r="N1248" s="351"/>
      <c r="O1248" s="351">
        <v>10</v>
      </c>
      <c r="P1248" s="349" t="s">
        <v>1836</v>
      </c>
      <c r="R1248" s="349">
        <f t="shared" si="19"/>
        <v>9</v>
      </c>
      <c r="S1248" s="352"/>
      <c r="T1248" s="352"/>
      <c r="U1248" s="352"/>
      <c r="V1248" s="353"/>
      <c r="W1248" s="352"/>
      <c r="X1248" s="37"/>
      <c r="Y1248" s="176"/>
      <c r="Z1248" s="352"/>
      <c r="AA1248" s="352"/>
      <c r="AB1248" s="352"/>
      <c r="AC1248" s="351"/>
      <c r="AD1248" s="351"/>
    </row>
    <row r="1249" spans="1:30" ht="89.75" hidden="1" x14ac:dyDescent="0.35">
      <c r="A1249" s="349">
        <v>1248</v>
      </c>
      <c r="B1249" s="352" t="s">
        <v>1494</v>
      </c>
      <c r="C1249" s="351" t="s">
        <v>2851</v>
      </c>
      <c r="D1249" s="352" t="s">
        <v>2851</v>
      </c>
      <c r="E1249" s="352" t="s">
        <v>1998</v>
      </c>
      <c r="F1249" s="353">
        <v>0.45</v>
      </c>
      <c r="G1249" s="352" t="s">
        <v>2126</v>
      </c>
      <c r="H1249" s="176" t="s">
        <v>308</v>
      </c>
      <c r="I1249" s="176" t="s">
        <v>4430</v>
      </c>
      <c r="J1249" s="352" t="s">
        <v>22</v>
      </c>
      <c r="K1249" s="352">
        <v>2</v>
      </c>
      <c r="L1249" s="352" t="s">
        <v>23</v>
      </c>
      <c r="M1249" s="351"/>
      <c r="N1249" s="351"/>
      <c r="O1249" s="351">
        <v>2</v>
      </c>
      <c r="P1249" s="349" t="s">
        <v>1836</v>
      </c>
      <c r="R1249" s="349">
        <f t="shared" si="19"/>
        <v>10</v>
      </c>
      <c r="S1249" s="352"/>
      <c r="T1249" s="352"/>
      <c r="U1249" s="352"/>
      <c r="V1249" s="353"/>
      <c r="W1249" s="352"/>
      <c r="X1249" s="176"/>
      <c r="Y1249" s="176"/>
      <c r="Z1249" s="352"/>
      <c r="AA1249" s="352"/>
      <c r="AB1249" s="352"/>
      <c r="AC1249" s="351"/>
      <c r="AD1249" s="351"/>
    </row>
    <row r="1250" spans="1:30" ht="89.75" hidden="1" x14ac:dyDescent="0.35">
      <c r="A1250" s="349">
        <v>1249</v>
      </c>
      <c r="B1250" s="352" t="s">
        <v>1494</v>
      </c>
      <c r="C1250" s="351" t="s">
        <v>2851</v>
      </c>
      <c r="D1250" s="352" t="s">
        <v>2851</v>
      </c>
      <c r="E1250" s="352" t="s">
        <v>2129</v>
      </c>
      <c r="F1250" s="353">
        <v>8.85</v>
      </c>
      <c r="G1250" s="352" t="s">
        <v>2126</v>
      </c>
      <c r="H1250" s="176" t="s">
        <v>308</v>
      </c>
      <c r="I1250" s="176" t="s">
        <v>4430</v>
      </c>
      <c r="J1250" s="352" t="s">
        <v>3579</v>
      </c>
      <c r="K1250" s="352">
        <v>0.2</v>
      </c>
      <c r="L1250" s="352" t="s">
        <v>1116</v>
      </c>
      <c r="M1250" s="351">
        <v>100</v>
      </c>
      <c r="N1250" s="351" t="s">
        <v>1109</v>
      </c>
      <c r="O1250" s="351">
        <v>0.2</v>
      </c>
      <c r="P1250" s="349" t="s">
        <v>1836</v>
      </c>
      <c r="R1250" s="349">
        <f t="shared" si="19"/>
        <v>10</v>
      </c>
      <c r="S1250" s="352"/>
      <c r="T1250" s="352"/>
      <c r="U1250" s="352"/>
      <c r="V1250" s="351"/>
      <c r="W1250" s="352"/>
      <c r="X1250" s="176"/>
      <c r="Y1250" s="176"/>
      <c r="Z1250" s="352"/>
      <c r="AA1250" s="352"/>
      <c r="AB1250" s="352"/>
      <c r="AC1250" s="352"/>
      <c r="AD1250" s="352"/>
    </row>
    <row r="1251" spans="1:30" ht="25.65" hidden="1" x14ac:dyDescent="0.35">
      <c r="A1251" s="349">
        <v>1250</v>
      </c>
      <c r="B1251" s="352" t="s">
        <v>4100</v>
      </c>
      <c r="C1251" s="351" t="s">
        <v>1634</v>
      </c>
      <c r="D1251" s="352" t="s">
        <v>5044</v>
      </c>
      <c r="E1251" s="352" t="s">
        <v>3211</v>
      </c>
      <c r="F1251" s="353">
        <v>212.50380000000001</v>
      </c>
      <c r="G1251" s="352" t="s">
        <v>2126</v>
      </c>
      <c r="H1251" s="176" t="s">
        <v>3629</v>
      </c>
      <c r="I1251" s="176" t="s">
        <v>3630</v>
      </c>
      <c r="J1251" s="352" t="s">
        <v>3579</v>
      </c>
      <c r="K1251" s="352"/>
      <c r="L1251" s="352"/>
      <c r="M1251" s="351">
        <v>60</v>
      </c>
      <c r="N1251" s="351" t="s">
        <v>1109</v>
      </c>
      <c r="O1251" s="351">
        <v>0</v>
      </c>
      <c r="P1251" s="349" t="s">
        <v>1837</v>
      </c>
      <c r="R1251" s="349">
        <f t="shared" si="19"/>
        <v>19</v>
      </c>
      <c r="S1251" s="352"/>
      <c r="T1251" s="352"/>
      <c r="U1251" s="352"/>
      <c r="V1251" s="353"/>
      <c r="W1251" s="352"/>
      <c r="X1251" s="37"/>
      <c r="Y1251" s="37"/>
      <c r="Z1251" s="352"/>
      <c r="AA1251" s="352"/>
      <c r="AB1251" s="352"/>
      <c r="AC1251" s="352"/>
      <c r="AD1251" s="352"/>
    </row>
    <row r="1252" spans="1:30" ht="25.65" hidden="1" x14ac:dyDescent="0.35">
      <c r="A1252" s="349">
        <v>1251</v>
      </c>
      <c r="B1252" s="352" t="s">
        <v>4029</v>
      </c>
      <c r="C1252" s="351" t="s">
        <v>724</v>
      </c>
      <c r="D1252" s="352" t="s">
        <v>724</v>
      </c>
      <c r="E1252" s="352" t="s">
        <v>1995</v>
      </c>
      <c r="F1252" s="353">
        <v>1.0578000000000001</v>
      </c>
      <c r="G1252" s="352" t="s">
        <v>2126</v>
      </c>
      <c r="H1252" s="176" t="s">
        <v>3549</v>
      </c>
      <c r="I1252" s="176" t="s">
        <v>1674</v>
      </c>
      <c r="J1252" s="352" t="s">
        <v>3580</v>
      </c>
      <c r="K1252" s="352">
        <v>10</v>
      </c>
      <c r="L1252" s="352" t="s">
        <v>3581</v>
      </c>
      <c r="M1252" s="352"/>
      <c r="N1252" s="352"/>
      <c r="O1252" s="351">
        <v>10</v>
      </c>
      <c r="P1252" s="349" t="s">
        <v>1836</v>
      </c>
      <c r="R1252" s="349">
        <f t="shared" si="19"/>
        <v>10</v>
      </c>
      <c r="S1252" s="352"/>
      <c r="T1252" s="352"/>
      <c r="U1252" s="352"/>
      <c r="V1252" s="353"/>
      <c r="W1252" s="352"/>
      <c r="X1252" s="37"/>
      <c r="Y1252" s="37"/>
      <c r="Z1252" s="352"/>
      <c r="AA1252" s="352"/>
      <c r="AB1252" s="352"/>
      <c r="AC1252" s="352"/>
      <c r="AD1252" s="352"/>
    </row>
    <row r="1253" spans="1:30" ht="64.099999999999994" hidden="1" x14ac:dyDescent="0.35">
      <c r="A1253" s="349">
        <v>1252</v>
      </c>
      <c r="B1253" s="352" t="s">
        <v>1073</v>
      </c>
      <c r="C1253" s="351" t="s">
        <v>448</v>
      </c>
      <c r="D1253" s="352" t="s">
        <v>448</v>
      </c>
      <c r="E1253" s="352" t="s">
        <v>2855</v>
      </c>
      <c r="F1253" s="353">
        <v>5.93</v>
      </c>
      <c r="G1253" s="352" t="s">
        <v>1107</v>
      </c>
      <c r="H1253" s="176" t="s">
        <v>3973</v>
      </c>
      <c r="I1253" s="176" t="s">
        <v>3723</v>
      </c>
      <c r="J1253" s="352" t="s">
        <v>828</v>
      </c>
      <c r="K1253" s="352">
        <v>4</v>
      </c>
      <c r="L1253" s="352" t="s">
        <v>1116</v>
      </c>
      <c r="M1253" s="352">
        <v>1</v>
      </c>
      <c r="N1253" s="352" t="s">
        <v>1109</v>
      </c>
      <c r="O1253" s="351">
        <v>4</v>
      </c>
      <c r="P1253" s="349" t="s">
        <v>1836</v>
      </c>
      <c r="R1253" s="349">
        <f t="shared" si="19"/>
        <v>9</v>
      </c>
      <c r="S1253" s="352"/>
      <c r="T1253" s="352"/>
      <c r="U1253" s="352"/>
      <c r="V1253" s="353"/>
      <c r="W1253" s="352"/>
      <c r="X1253" s="37"/>
      <c r="Y1253" s="37"/>
      <c r="Z1253" s="352"/>
      <c r="AA1253" s="352"/>
      <c r="AB1253" s="352"/>
      <c r="AC1253" s="352"/>
      <c r="AD1253" s="352"/>
    </row>
    <row r="1254" spans="1:30" ht="102.55" hidden="1" x14ac:dyDescent="0.35">
      <c r="A1254" s="349">
        <v>1253</v>
      </c>
      <c r="B1254" s="352" t="s">
        <v>958</v>
      </c>
      <c r="C1254" s="351" t="s">
        <v>448</v>
      </c>
      <c r="D1254" s="352" t="s">
        <v>448</v>
      </c>
      <c r="E1254" s="352" t="s">
        <v>2855</v>
      </c>
      <c r="F1254" s="353">
        <v>5.9279999999999999</v>
      </c>
      <c r="G1254" s="352" t="s">
        <v>1107</v>
      </c>
      <c r="H1254" s="176" t="s">
        <v>2936</v>
      </c>
      <c r="I1254" s="176" t="s">
        <v>4197</v>
      </c>
      <c r="J1254" s="352" t="s">
        <v>828</v>
      </c>
      <c r="K1254" s="352">
        <v>4</v>
      </c>
      <c r="L1254" s="352" t="s">
        <v>1116</v>
      </c>
      <c r="M1254" s="352">
        <v>1</v>
      </c>
      <c r="N1254" s="352" t="s">
        <v>1109</v>
      </c>
      <c r="O1254" s="351">
        <v>4</v>
      </c>
      <c r="P1254" s="349" t="s">
        <v>1836</v>
      </c>
      <c r="R1254" s="349">
        <f t="shared" si="19"/>
        <v>9</v>
      </c>
      <c r="S1254" s="352"/>
      <c r="T1254" s="352"/>
      <c r="U1254" s="352"/>
      <c r="V1254" s="353"/>
      <c r="W1254" s="352"/>
      <c r="X1254" s="176"/>
      <c r="Y1254" s="176"/>
      <c r="Z1254" s="352"/>
      <c r="AA1254" s="352"/>
      <c r="AB1254" s="352"/>
      <c r="AC1254" s="352"/>
      <c r="AD1254" s="352"/>
    </row>
    <row r="1255" spans="1:30" ht="64.099999999999994" hidden="1" x14ac:dyDescent="0.35">
      <c r="A1255" s="349">
        <v>1254</v>
      </c>
      <c r="B1255" s="352" t="s">
        <v>1073</v>
      </c>
      <c r="C1255" s="351" t="s">
        <v>448</v>
      </c>
      <c r="D1255" s="352" t="s">
        <v>448</v>
      </c>
      <c r="E1255" s="352" t="s">
        <v>1995</v>
      </c>
      <c r="F1255" s="353">
        <v>7.0000000000000007E-2</v>
      </c>
      <c r="G1255" s="352" t="s">
        <v>2126</v>
      </c>
      <c r="H1255" s="176" t="s">
        <v>3724</v>
      </c>
      <c r="I1255" s="176" t="s">
        <v>3723</v>
      </c>
      <c r="J1255" s="352" t="s">
        <v>3580</v>
      </c>
      <c r="K1255" s="352">
        <v>1</v>
      </c>
      <c r="L1255" s="352" t="s">
        <v>3581</v>
      </c>
      <c r="M1255" s="351"/>
      <c r="N1255" s="351"/>
      <c r="O1255" s="351">
        <v>1</v>
      </c>
      <c r="P1255" s="349" t="s">
        <v>1836</v>
      </c>
      <c r="R1255" s="349">
        <f t="shared" si="19"/>
        <v>9</v>
      </c>
      <c r="S1255" s="352"/>
      <c r="T1255" s="352"/>
      <c r="U1255" s="352"/>
      <c r="V1255" s="353"/>
      <c r="W1255" s="352"/>
      <c r="X1255" s="176"/>
      <c r="Y1255" s="176"/>
      <c r="Z1255" s="352"/>
      <c r="AA1255" s="352"/>
      <c r="AB1255" s="352"/>
      <c r="AC1255" s="352"/>
      <c r="AD1255" s="352"/>
    </row>
    <row r="1256" spans="1:30" ht="102.55" hidden="1" x14ac:dyDescent="0.35">
      <c r="A1256" s="349">
        <v>1255</v>
      </c>
      <c r="B1256" s="352" t="s">
        <v>958</v>
      </c>
      <c r="C1256" s="351" t="s">
        <v>448</v>
      </c>
      <c r="D1256" s="352" t="s">
        <v>448</v>
      </c>
      <c r="E1256" s="352" t="s">
        <v>1995</v>
      </c>
      <c r="F1256" s="353">
        <v>7.0000000000000007E-2</v>
      </c>
      <c r="G1256" s="352" t="s">
        <v>2126</v>
      </c>
      <c r="H1256" s="176" t="s">
        <v>4198</v>
      </c>
      <c r="I1256" s="176" t="s">
        <v>4197</v>
      </c>
      <c r="J1256" s="352" t="s">
        <v>3580</v>
      </c>
      <c r="K1256" s="352">
        <v>1</v>
      </c>
      <c r="L1256" s="352" t="s">
        <v>3581</v>
      </c>
      <c r="M1256" s="351"/>
      <c r="N1256" s="351"/>
      <c r="O1256" s="351">
        <v>1</v>
      </c>
      <c r="P1256" s="349" t="s">
        <v>1836</v>
      </c>
      <c r="R1256" s="349">
        <f t="shared" si="19"/>
        <v>9</v>
      </c>
      <c r="S1256" s="352"/>
      <c r="T1256" s="352"/>
      <c r="U1256" s="352"/>
      <c r="V1256" s="353"/>
      <c r="W1256" s="352"/>
      <c r="X1256" s="176"/>
      <c r="Y1256" s="176"/>
      <c r="Z1256" s="352"/>
      <c r="AA1256" s="352"/>
      <c r="AB1256" s="352"/>
      <c r="AC1256" s="352"/>
      <c r="AD1256" s="352"/>
    </row>
    <row r="1257" spans="1:30" ht="64.099999999999994" hidden="1" x14ac:dyDescent="0.35">
      <c r="A1257" s="349">
        <v>1256</v>
      </c>
      <c r="B1257" s="352" t="s">
        <v>1073</v>
      </c>
      <c r="C1257" s="351" t="s">
        <v>448</v>
      </c>
      <c r="D1257" s="352" t="s">
        <v>448</v>
      </c>
      <c r="E1257" s="352" t="s">
        <v>2855</v>
      </c>
      <c r="F1257" s="353">
        <v>5.93</v>
      </c>
      <c r="G1257" s="352" t="s">
        <v>1107</v>
      </c>
      <c r="H1257" s="176" t="s">
        <v>3973</v>
      </c>
      <c r="I1257" s="176" t="s">
        <v>3723</v>
      </c>
      <c r="J1257" s="352" t="s">
        <v>828</v>
      </c>
      <c r="K1257" s="352">
        <v>4</v>
      </c>
      <c r="L1257" s="352" t="s">
        <v>1116</v>
      </c>
      <c r="M1257" s="351">
        <v>1</v>
      </c>
      <c r="N1257" s="351" t="s">
        <v>1109</v>
      </c>
      <c r="O1257" s="351">
        <v>4</v>
      </c>
      <c r="P1257" s="349" t="s">
        <v>1836</v>
      </c>
      <c r="R1257" s="349">
        <f t="shared" si="19"/>
        <v>9</v>
      </c>
      <c r="S1257" s="352"/>
      <c r="T1257" s="352"/>
      <c r="U1257" s="352"/>
      <c r="V1257" s="353"/>
      <c r="W1257" s="352"/>
      <c r="X1257" s="176"/>
      <c r="Y1257" s="176"/>
      <c r="Z1257" s="352"/>
      <c r="AA1257" s="352"/>
      <c r="AB1257" s="352"/>
      <c r="AC1257" s="352"/>
      <c r="AD1257" s="352"/>
    </row>
    <row r="1258" spans="1:30" ht="64.099999999999994" hidden="1" x14ac:dyDescent="0.35">
      <c r="A1258" s="349">
        <v>1257</v>
      </c>
      <c r="B1258" s="352" t="s">
        <v>1073</v>
      </c>
      <c r="C1258" s="351" t="s">
        <v>448</v>
      </c>
      <c r="D1258" s="352" t="s">
        <v>448</v>
      </c>
      <c r="E1258" s="352" t="s">
        <v>1995</v>
      </c>
      <c r="F1258" s="353">
        <v>7.0000000000000007E-2</v>
      </c>
      <c r="G1258" s="352" t="s">
        <v>2126</v>
      </c>
      <c r="H1258" s="176" t="s">
        <v>3724</v>
      </c>
      <c r="I1258" s="176" t="s">
        <v>3723</v>
      </c>
      <c r="J1258" s="352" t="s">
        <v>3580</v>
      </c>
      <c r="K1258" s="352">
        <v>1</v>
      </c>
      <c r="L1258" s="352" t="s">
        <v>3581</v>
      </c>
      <c r="M1258" s="351"/>
      <c r="N1258" s="351"/>
      <c r="O1258" s="351">
        <v>1</v>
      </c>
      <c r="P1258" s="349" t="s">
        <v>1836</v>
      </c>
      <c r="R1258" s="349">
        <f t="shared" si="19"/>
        <v>9</v>
      </c>
      <c r="S1258" s="352"/>
      <c r="T1258" s="352"/>
      <c r="U1258" s="352"/>
      <c r="V1258" s="353"/>
      <c r="W1258" s="352"/>
      <c r="X1258" s="176"/>
      <c r="Y1258" s="176"/>
      <c r="Z1258" s="352"/>
      <c r="AA1258" s="352"/>
      <c r="AB1258" s="352"/>
      <c r="AC1258" s="352"/>
      <c r="AD1258" s="352"/>
    </row>
    <row r="1259" spans="1:30" ht="38.450000000000003" hidden="1" x14ac:dyDescent="0.35">
      <c r="A1259" s="349">
        <v>1258</v>
      </c>
      <c r="B1259" s="352" t="s">
        <v>2694</v>
      </c>
      <c r="C1259" s="351" t="s">
        <v>1786</v>
      </c>
      <c r="D1259" s="352" t="s">
        <v>1786</v>
      </c>
      <c r="E1259" s="352" t="s">
        <v>1995</v>
      </c>
      <c r="F1259" s="353">
        <v>1.25</v>
      </c>
      <c r="G1259" s="352" t="s">
        <v>2126</v>
      </c>
      <c r="H1259" s="176" t="s">
        <v>1461</v>
      </c>
      <c r="I1259" s="176" t="s">
        <v>2829</v>
      </c>
      <c r="J1259" s="352" t="s">
        <v>3580</v>
      </c>
      <c r="K1259" s="352">
        <v>50</v>
      </c>
      <c r="L1259" s="352" t="s">
        <v>3581</v>
      </c>
      <c r="M1259" s="352"/>
      <c r="N1259" s="352"/>
      <c r="O1259" s="351">
        <v>50</v>
      </c>
      <c r="P1259" s="349" t="s">
        <v>1836</v>
      </c>
      <c r="R1259" s="349">
        <f t="shared" si="19"/>
        <v>8</v>
      </c>
      <c r="S1259" s="352"/>
      <c r="T1259" s="352"/>
      <c r="U1259" s="352"/>
      <c r="V1259" s="353"/>
      <c r="W1259" s="352"/>
      <c r="X1259" s="37"/>
      <c r="Y1259" s="37"/>
      <c r="Z1259" s="352"/>
      <c r="AA1259" s="352"/>
      <c r="AB1259" s="352"/>
      <c r="AC1259" s="352"/>
      <c r="AD1259" s="352"/>
    </row>
    <row r="1260" spans="1:30" ht="141" hidden="1" x14ac:dyDescent="0.35">
      <c r="A1260" s="349">
        <v>1259</v>
      </c>
      <c r="B1260" s="352" t="s">
        <v>1610</v>
      </c>
      <c r="C1260" s="351" t="s">
        <v>4503</v>
      </c>
      <c r="D1260" s="352" t="s">
        <v>981</v>
      </c>
      <c r="E1260" s="352" t="s">
        <v>1995</v>
      </c>
      <c r="F1260" s="353">
        <v>2.3580000000000001</v>
      </c>
      <c r="G1260" s="352" t="s">
        <v>2126</v>
      </c>
      <c r="H1260" s="176" t="s">
        <v>1622</v>
      </c>
      <c r="I1260" s="176" t="s">
        <v>5084</v>
      </c>
      <c r="J1260" s="352" t="s">
        <v>3580</v>
      </c>
      <c r="K1260" s="352">
        <v>10</v>
      </c>
      <c r="L1260" s="352" t="s">
        <v>3581</v>
      </c>
      <c r="M1260" s="352"/>
      <c r="N1260" s="352"/>
      <c r="O1260" s="351">
        <v>10</v>
      </c>
      <c r="P1260" s="349" t="s">
        <v>1836</v>
      </c>
      <c r="R1260" s="349">
        <f t="shared" si="19"/>
        <v>9</v>
      </c>
      <c r="S1260" s="352"/>
      <c r="T1260" s="352"/>
      <c r="U1260" s="352"/>
      <c r="V1260" s="353"/>
      <c r="W1260" s="352"/>
      <c r="X1260" s="37"/>
      <c r="Y1260" s="37"/>
      <c r="Z1260" s="352"/>
      <c r="AA1260" s="352"/>
      <c r="AB1260" s="352"/>
      <c r="AC1260" s="352"/>
      <c r="AD1260" s="352"/>
    </row>
    <row r="1261" spans="1:30" ht="141" hidden="1" x14ac:dyDescent="0.35">
      <c r="A1261" s="349">
        <v>1260</v>
      </c>
      <c r="B1261" s="352" t="s">
        <v>1610</v>
      </c>
      <c r="C1261" s="351" t="s">
        <v>4503</v>
      </c>
      <c r="D1261" s="352" t="s">
        <v>981</v>
      </c>
      <c r="E1261" s="352" t="s">
        <v>1995</v>
      </c>
      <c r="F1261" s="353">
        <v>3.7463000000000002</v>
      </c>
      <c r="G1261" s="352" t="s">
        <v>2126</v>
      </c>
      <c r="H1261" s="176" t="s">
        <v>1622</v>
      </c>
      <c r="I1261" s="176" t="s">
        <v>5084</v>
      </c>
      <c r="J1261" s="352" t="s">
        <v>3580</v>
      </c>
      <c r="K1261" s="351">
        <v>20</v>
      </c>
      <c r="L1261" s="351" t="s">
        <v>3581</v>
      </c>
      <c r="M1261" s="351"/>
      <c r="N1261" s="351"/>
      <c r="O1261" s="351">
        <v>20</v>
      </c>
      <c r="P1261" s="349" t="s">
        <v>1836</v>
      </c>
      <c r="R1261" s="349">
        <f t="shared" si="19"/>
        <v>9</v>
      </c>
      <c r="S1261" s="352"/>
      <c r="T1261" s="352"/>
      <c r="U1261" s="352"/>
      <c r="V1261" s="353"/>
      <c r="W1261" s="352"/>
      <c r="X1261" s="37"/>
      <c r="Y1261" s="37"/>
      <c r="Z1261" s="352"/>
      <c r="AA1261" s="352"/>
      <c r="AB1261" s="352"/>
      <c r="AC1261" s="352"/>
      <c r="AD1261" s="352"/>
    </row>
    <row r="1262" spans="1:30" ht="89.75" hidden="1" x14ac:dyDescent="0.35">
      <c r="A1262" s="349">
        <v>1261</v>
      </c>
      <c r="B1262" s="352" t="s">
        <v>1610</v>
      </c>
      <c r="C1262" s="351" t="s">
        <v>4504</v>
      </c>
      <c r="D1262" s="352" t="s">
        <v>981</v>
      </c>
      <c r="E1262" s="352" t="s">
        <v>1997</v>
      </c>
      <c r="F1262" s="353">
        <v>4.5999999999999996</v>
      </c>
      <c r="G1262" s="352" t="s">
        <v>1107</v>
      </c>
      <c r="H1262" s="176" t="s">
        <v>2140</v>
      </c>
      <c r="I1262" s="176" t="s">
        <v>5085</v>
      </c>
      <c r="J1262" s="352" t="s">
        <v>1115</v>
      </c>
      <c r="K1262" s="351">
        <v>40</v>
      </c>
      <c r="L1262" s="351" t="s">
        <v>1464</v>
      </c>
      <c r="M1262" s="351"/>
      <c r="N1262" s="351"/>
      <c r="O1262" s="351">
        <v>40</v>
      </c>
      <c r="P1262" s="349" t="s">
        <v>1836</v>
      </c>
      <c r="R1262" s="349">
        <f t="shared" si="19"/>
        <v>9</v>
      </c>
      <c r="S1262" s="352"/>
      <c r="T1262" s="352"/>
      <c r="U1262" s="352"/>
      <c r="V1262" s="353"/>
      <c r="W1262" s="352"/>
      <c r="X1262" s="176"/>
      <c r="Y1262" s="176"/>
      <c r="Z1262" s="352"/>
      <c r="AA1262" s="352"/>
      <c r="AB1262" s="352"/>
      <c r="AC1262" s="352"/>
      <c r="AD1262" s="352"/>
    </row>
    <row r="1263" spans="1:30" ht="51.3" hidden="1" x14ac:dyDescent="0.35">
      <c r="A1263" s="349">
        <v>1262</v>
      </c>
      <c r="B1263" s="352" t="s">
        <v>3205</v>
      </c>
      <c r="C1263" s="351" t="s">
        <v>4505</v>
      </c>
      <c r="D1263" s="352" t="s">
        <v>2886</v>
      </c>
      <c r="E1263" s="352" t="s">
        <v>1320</v>
      </c>
      <c r="F1263" s="353">
        <v>11.17</v>
      </c>
      <c r="G1263" s="352" t="s">
        <v>28</v>
      </c>
      <c r="H1263" s="176" t="s">
        <v>2141</v>
      </c>
      <c r="I1263" s="176" t="s">
        <v>2142</v>
      </c>
      <c r="J1263" s="352" t="s">
        <v>1015</v>
      </c>
      <c r="K1263" s="352">
        <v>10</v>
      </c>
      <c r="L1263" s="352" t="s">
        <v>30</v>
      </c>
      <c r="M1263" s="352">
        <v>59</v>
      </c>
      <c r="N1263" s="352" t="s">
        <v>1109</v>
      </c>
      <c r="O1263" s="351">
        <v>10</v>
      </c>
      <c r="P1263" s="349" t="s">
        <v>1836</v>
      </c>
      <c r="R1263" s="349">
        <f t="shared" si="19"/>
        <v>10</v>
      </c>
      <c r="S1263" s="352"/>
      <c r="T1263" s="352"/>
      <c r="U1263" s="352"/>
      <c r="V1263" s="351"/>
      <c r="W1263" s="352"/>
      <c r="X1263" s="176"/>
      <c r="Y1263" s="176"/>
      <c r="Z1263" s="352"/>
      <c r="AA1263" s="352"/>
      <c r="AB1263" s="352"/>
      <c r="AC1263" s="352"/>
      <c r="AD1263" s="352"/>
    </row>
    <row r="1264" spans="1:30" ht="51.3" hidden="1" x14ac:dyDescent="0.35">
      <c r="A1264" s="349">
        <v>1263</v>
      </c>
      <c r="B1264" s="352" t="s">
        <v>2132</v>
      </c>
      <c r="C1264" s="351" t="s">
        <v>4505</v>
      </c>
      <c r="D1264" s="352" t="s">
        <v>2886</v>
      </c>
      <c r="E1264" s="352" t="s">
        <v>1321</v>
      </c>
      <c r="F1264" s="353">
        <v>11.194800000000001</v>
      </c>
      <c r="G1264" s="352" t="s">
        <v>34</v>
      </c>
      <c r="H1264" s="176" t="s">
        <v>2141</v>
      </c>
      <c r="I1264" s="176" t="s">
        <v>2142</v>
      </c>
      <c r="J1264" s="352" t="s">
        <v>1015</v>
      </c>
      <c r="K1264" s="352">
        <v>10</v>
      </c>
      <c r="L1264" s="352" t="s">
        <v>1311</v>
      </c>
      <c r="M1264" s="352">
        <v>60</v>
      </c>
      <c r="N1264" s="352" t="s">
        <v>1109</v>
      </c>
      <c r="O1264" s="351">
        <v>10</v>
      </c>
      <c r="P1264" s="349" t="s">
        <v>1836</v>
      </c>
      <c r="R1264" s="349">
        <f t="shared" si="19"/>
        <v>10</v>
      </c>
      <c r="S1264" s="352"/>
      <c r="T1264" s="352"/>
      <c r="U1264" s="352"/>
      <c r="V1264" s="353"/>
      <c r="W1264" s="352"/>
      <c r="X1264" s="176"/>
      <c r="Y1264" s="176"/>
      <c r="Z1264" s="352"/>
      <c r="AA1264" s="352"/>
      <c r="AB1264" s="352"/>
      <c r="AC1264" s="352"/>
      <c r="AD1264" s="352"/>
    </row>
    <row r="1265" spans="1:30" ht="51.3" hidden="1" x14ac:dyDescent="0.35">
      <c r="A1265" s="349">
        <v>1264</v>
      </c>
      <c r="B1265" s="352" t="s">
        <v>2284</v>
      </c>
      <c r="C1265" s="351" t="s">
        <v>450</v>
      </c>
      <c r="D1265" s="352" t="s">
        <v>450</v>
      </c>
      <c r="E1265" s="352" t="s">
        <v>2004</v>
      </c>
      <c r="F1265" s="353">
        <v>1</v>
      </c>
      <c r="G1265" s="352" t="s">
        <v>2126</v>
      </c>
      <c r="H1265" s="176" t="s">
        <v>3839</v>
      </c>
      <c r="I1265" s="37" t="s">
        <v>3838</v>
      </c>
      <c r="J1265" s="352" t="s">
        <v>3577</v>
      </c>
      <c r="K1265" s="352"/>
      <c r="L1265" s="352"/>
      <c r="M1265" s="351"/>
      <c r="N1265" s="351"/>
      <c r="O1265" s="351">
        <v>0</v>
      </c>
      <c r="P1265" s="349" t="s">
        <v>2313</v>
      </c>
      <c r="R1265" s="349">
        <f t="shared" si="19"/>
        <v>8</v>
      </c>
      <c r="S1265" s="352"/>
      <c r="T1265" s="352"/>
      <c r="U1265" s="352"/>
      <c r="V1265" s="353"/>
      <c r="W1265" s="352"/>
      <c r="X1265" s="176"/>
      <c r="Y1265" s="176"/>
      <c r="Z1265" s="352"/>
      <c r="AA1265" s="352"/>
      <c r="AB1265" s="352"/>
      <c r="AC1265" s="352"/>
      <c r="AD1265" s="352"/>
    </row>
    <row r="1266" spans="1:30" ht="51.3" hidden="1" x14ac:dyDescent="0.35">
      <c r="A1266" s="349">
        <v>1265</v>
      </c>
      <c r="B1266" s="352" t="s">
        <v>2284</v>
      </c>
      <c r="C1266" s="351" t="s">
        <v>450</v>
      </c>
      <c r="D1266" s="352" t="s">
        <v>450</v>
      </c>
      <c r="E1266" s="352" t="s">
        <v>2004</v>
      </c>
      <c r="F1266" s="353">
        <v>1</v>
      </c>
      <c r="G1266" s="352" t="s">
        <v>2126</v>
      </c>
      <c r="H1266" s="176" t="s">
        <v>3839</v>
      </c>
      <c r="I1266" s="176" t="s">
        <v>3838</v>
      </c>
      <c r="J1266" s="352" t="s">
        <v>3577</v>
      </c>
      <c r="K1266" s="352"/>
      <c r="L1266" s="352"/>
      <c r="M1266" s="352"/>
      <c r="N1266" s="352"/>
      <c r="O1266" s="351">
        <v>0</v>
      </c>
      <c r="P1266" s="349" t="s">
        <v>2313</v>
      </c>
      <c r="R1266" s="349">
        <f t="shared" si="19"/>
        <v>8</v>
      </c>
      <c r="S1266" s="352"/>
      <c r="T1266" s="352"/>
      <c r="U1266" s="352"/>
      <c r="V1266" s="353"/>
      <c r="W1266" s="352"/>
      <c r="X1266" s="176"/>
      <c r="Y1266" s="176"/>
      <c r="Z1266" s="352"/>
      <c r="AA1266" s="352"/>
      <c r="AB1266" s="352"/>
      <c r="AC1266" s="351"/>
      <c r="AD1266" s="351"/>
    </row>
    <row r="1267" spans="1:30" hidden="1" x14ac:dyDescent="0.35">
      <c r="A1267" s="349">
        <v>1266</v>
      </c>
      <c r="B1267" s="352" t="s">
        <v>3204</v>
      </c>
      <c r="C1267" s="351" t="s">
        <v>4506</v>
      </c>
      <c r="D1267" s="352" t="s">
        <v>5039</v>
      </c>
      <c r="E1267" s="352" t="s">
        <v>1114</v>
      </c>
      <c r="F1267" s="353">
        <v>221.91</v>
      </c>
      <c r="G1267" s="352" t="s">
        <v>1107</v>
      </c>
      <c r="H1267" s="176" t="s">
        <v>3975</v>
      </c>
      <c r="I1267" s="176" t="s">
        <v>2071</v>
      </c>
      <c r="J1267" s="352" t="s">
        <v>1115</v>
      </c>
      <c r="K1267" s="352">
        <v>20</v>
      </c>
      <c r="L1267" s="352" t="s">
        <v>1116</v>
      </c>
      <c r="M1267" s="352">
        <v>5</v>
      </c>
      <c r="N1267" s="352" t="s">
        <v>1109</v>
      </c>
      <c r="O1267" s="351">
        <v>20</v>
      </c>
      <c r="P1267" s="349" t="s">
        <v>1836</v>
      </c>
      <c r="R1267" s="349">
        <f t="shared" si="19"/>
        <v>27</v>
      </c>
      <c r="S1267" s="352"/>
      <c r="T1267" s="352"/>
      <c r="U1267" s="352"/>
      <c r="V1267" s="353"/>
      <c r="W1267" s="352"/>
      <c r="X1267" s="176"/>
      <c r="Y1267" s="176"/>
      <c r="Z1267" s="352"/>
      <c r="AA1267" s="352"/>
      <c r="AB1267" s="352"/>
      <c r="AC1267" s="351"/>
      <c r="AD1267" s="351"/>
    </row>
    <row r="1268" spans="1:30" hidden="1" x14ac:dyDescent="0.35">
      <c r="A1268" s="349">
        <v>1267</v>
      </c>
      <c r="B1268" s="352" t="s">
        <v>3204</v>
      </c>
      <c r="C1268" s="351" t="s">
        <v>4506</v>
      </c>
      <c r="D1268" s="352" t="s">
        <v>5039</v>
      </c>
      <c r="E1268" s="352" t="s">
        <v>1114</v>
      </c>
      <c r="F1268" s="353">
        <v>221.91</v>
      </c>
      <c r="G1268" s="352" t="s">
        <v>1107</v>
      </c>
      <c r="H1268" s="176" t="s">
        <v>3975</v>
      </c>
      <c r="I1268" s="176" t="s">
        <v>2071</v>
      </c>
      <c r="J1268" s="352" t="s">
        <v>1115</v>
      </c>
      <c r="K1268" s="352">
        <v>20</v>
      </c>
      <c r="L1268" s="352" t="s">
        <v>1116</v>
      </c>
      <c r="M1268" s="352">
        <v>5</v>
      </c>
      <c r="N1268" s="352" t="s">
        <v>1109</v>
      </c>
      <c r="O1268" s="351">
        <v>20</v>
      </c>
      <c r="P1268" s="349" t="s">
        <v>1836</v>
      </c>
      <c r="R1268" s="349">
        <f t="shared" si="19"/>
        <v>27</v>
      </c>
      <c r="S1268" s="352"/>
      <c r="T1268" s="352"/>
      <c r="U1268" s="352"/>
      <c r="V1268" s="353"/>
      <c r="W1268" s="352"/>
      <c r="X1268" s="176"/>
      <c r="Y1268" s="176"/>
      <c r="Z1268" s="352"/>
      <c r="AA1268" s="352"/>
      <c r="AB1268" s="352"/>
      <c r="AC1268" s="352"/>
      <c r="AD1268" s="352"/>
    </row>
    <row r="1269" spans="1:30" ht="89.75" hidden="1" x14ac:dyDescent="0.35">
      <c r="A1269" s="349">
        <v>1268</v>
      </c>
      <c r="B1269" s="352" t="s">
        <v>1567</v>
      </c>
      <c r="C1269" s="351" t="s">
        <v>1672</v>
      </c>
      <c r="D1269" s="352" t="s">
        <v>1672</v>
      </c>
      <c r="E1269" s="352" t="s">
        <v>1995</v>
      </c>
      <c r="F1269" s="353">
        <v>0.35260000000000002</v>
      </c>
      <c r="G1269" s="352" t="s">
        <v>2126</v>
      </c>
      <c r="H1269" s="176" t="s">
        <v>4216</v>
      </c>
      <c r="I1269" s="176"/>
      <c r="J1269" s="352" t="s">
        <v>3580</v>
      </c>
      <c r="K1269" s="352">
        <v>5</v>
      </c>
      <c r="L1269" s="352" t="s">
        <v>3581</v>
      </c>
      <c r="M1269" s="352"/>
      <c r="N1269" s="352"/>
      <c r="O1269" s="351">
        <v>5</v>
      </c>
      <c r="P1269" s="349" t="s">
        <v>1836</v>
      </c>
      <c r="R1269" s="349">
        <f t="shared" si="19"/>
        <v>11</v>
      </c>
      <c r="S1269" s="352"/>
      <c r="T1269" s="352"/>
      <c r="U1269" s="352"/>
      <c r="V1269" s="353"/>
      <c r="W1269" s="352"/>
      <c r="X1269" s="176"/>
      <c r="Y1269" s="176"/>
      <c r="Z1269" s="352"/>
      <c r="AA1269" s="352"/>
      <c r="AB1269" s="352"/>
      <c r="AC1269" s="352"/>
      <c r="AD1269" s="352"/>
    </row>
    <row r="1270" spans="1:30" ht="102.55" hidden="1" x14ac:dyDescent="0.35">
      <c r="A1270" s="349">
        <v>1269</v>
      </c>
      <c r="B1270" s="352" t="s">
        <v>3204</v>
      </c>
      <c r="C1270" s="351" t="s">
        <v>4507</v>
      </c>
      <c r="D1270" s="352" t="s">
        <v>2072</v>
      </c>
      <c r="E1270" s="352" t="s">
        <v>730</v>
      </c>
      <c r="F1270" s="353">
        <v>717.66</v>
      </c>
      <c r="G1270" s="352" t="s">
        <v>1107</v>
      </c>
      <c r="H1270" s="176" t="s">
        <v>1130</v>
      </c>
      <c r="I1270" s="176" t="s">
        <v>1131</v>
      </c>
      <c r="J1270" s="352" t="s">
        <v>1115</v>
      </c>
      <c r="K1270" s="352">
        <v>10</v>
      </c>
      <c r="L1270" s="352" t="s">
        <v>1116</v>
      </c>
      <c r="M1270" s="352">
        <v>10</v>
      </c>
      <c r="N1270" s="352" t="s">
        <v>1109</v>
      </c>
      <c r="O1270" s="351">
        <v>10</v>
      </c>
      <c r="P1270" s="349" t="s">
        <v>1836</v>
      </c>
      <c r="R1270" s="349">
        <f t="shared" si="19"/>
        <v>9</v>
      </c>
      <c r="S1270" s="352"/>
      <c r="T1270" s="352"/>
      <c r="U1270" s="352"/>
      <c r="V1270" s="353"/>
      <c r="W1270" s="352"/>
      <c r="X1270" s="176"/>
      <c r="Y1270" s="176"/>
      <c r="Z1270" s="352"/>
      <c r="AA1270" s="352"/>
      <c r="AB1270" s="352"/>
      <c r="AC1270" s="351"/>
      <c r="AD1270" s="351"/>
    </row>
    <row r="1271" spans="1:30" ht="102.55" hidden="1" x14ac:dyDescent="0.35">
      <c r="A1271" s="349">
        <v>1270</v>
      </c>
      <c r="B1271" s="352" t="s">
        <v>3204</v>
      </c>
      <c r="C1271" s="351" t="s">
        <v>4507</v>
      </c>
      <c r="D1271" s="352" t="s">
        <v>2072</v>
      </c>
      <c r="E1271" s="352" t="s">
        <v>1754</v>
      </c>
      <c r="F1271" s="353">
        <v>3588.32</v>
      </c>
      <c r="G1271" s="352" t="s">
        <v>1107</v>
      </c>
      <c r="H1271" s="176" t="s">
        <v>1130</v>
      </c>
      <c r="I1271" s="176" t="s">
        <v>1131</v>
      </c>
      <c r="J1271" s="352" t="s">
        <v>1115</v>
      </c>
      <c r="K1271" s="352">
        <v>10</v>
      </c>
      <c r="L1271" s="352" t="s">
        <v>1116</v>
      </c>
      <c r="M1271" s="352">
        <v>50</v>
      </c>
      <c r="N1271" s="352" t="s">
        <v>1109</v>
      </c>
      <c r="O1271" s="351">
        <v>10</v>
      </c>
      <c r="P1271" s="349" t="s">
        <v>1836</v>
      </c>
      <c r="R1271" s="349">
        <f t="shared" si="19"/>
        <v>9</v>
      </c>
      <c r="S1271" s="352"/>
      <c r="T1271" s="352"/>
      <c r="U1271" s="352"/>
      <c r="V1271" s="353"/>
      <c r="W1271" s="352"/>
      <c r="X1271" s="176"/>
      <c r="Y1271" s="176"/>
      <c r="Z1271" s="352"/>
      <c r="AA1271" s="352"/>
      <c r="AB1271" s="352"/>
      <c r="AC1271" s="351"/>
      <c r="AD1271" s="351"/>
    </row>
    <row r="1272" spans="1:30" ht="128.19999999999999" hidden="1" x14ac:dyDescent="0.35">
      <c r="A1272" s="349">
        <v>1271</v>
      </c>
      <c r="B1272" s="352" t="s">
        <v>3359</v>
      </c>
      <c r="C1272" s="351" t="s">
        <v>940</v>
      </c>
      <c r="D1272" s="352" t="s">
        <v>940</v>
      </c>
      <c r="E1272" s="352" t="s">
        <v>2857</v>
      </c>
      <c r="F1272" s="353">
        <v>0.75</v>
      </c>
      <c r="G1272" s="352" t="s">
        <v>1107</v>
      </c>
      <c r="H1272" s="176" t="s">
        <v>4670</v>
      </c>
      <c r="I1272" s="176" t="s">
        <v>1351</v>
      </c>
      <c r="J1272" s="352" t="s">
        <v>828</v>
      </c>
      <c r="K1272" s="352">
        <v>0.5</v>
      </c>
      <c r="L1272" s="352" t="s">
        <v>3360</v>
      </c>
      <c r="M1272" s="351">
        <v>10</v>
      </c>
      <c r="N1272" s="351" t="s">
        <v>1109</v>
      </c>
      <c r="O1272" s="351">
        <v>0.5</v>
      </c>
      <c r="P1272" s="349" t="s">
        <v>1837</v>
      </c>
      <c r="R1272" s="349">
        <f t="shared" si="19"/>
        <v>17</v>
      </c>
      <c r="S1272" s="352"/>
      <c r="T1272" s="352"/>
      <c r="U1272" s="352"/>
      <c r="V1272" s="353"/>
      <c r="W1272" s="352"/>
      <c r="X1272" s="176"/>
      <c r="Y1272" s="176"/>
      <c r="Z1272" s="352"/>
      <c r="AA1272" s="352"/>
      <c r="AB1272" s="352"/>
      <c r="AC1272" s="352"/>
      <c r="AD1272" s="352"/>
    </row>
    <row r="1273" spans="1:30" ht="128.19999999999999" hidden="1" x14ac:dyDescent="0.35">
      <c r="A1273" s="349">
        <v>1272</v>
      </c>
      <c r="B1273" s="352" t="s">
        <v>3359</v>
      </c>
      <c r="C1273" s="351" t="s">
        <v>940</v>
      </c>
      <c r="D1273" s="352" t="s">
        <v>940</v>
      </c>
      <c r="E1273" s="352" t="s">
        <v>2857</v>
      </c>
      <c r="F1273" s="353">
        <v>0.75</v>
      </c>
      <c r="G1273" s="352" t="s">
        <v>1107</v>
      </c>
      <c r="H1273" s="176" t="s">
        <v>4670</v>
      </c>
      <c r="I1273" s="176" t="s">
        <v>1351</v>
      </c>
      <c r="J1273" s="352" t="s">
        <v>828</v>
      </c>
      <c r="K1273" s="352">
        <v>0.5</v>
      </c>
      <c r="L1273" s="352" t="s">
        <v>3360</v>
      </c>
      <c r="M1273" s="351">
        <v>10</v>
      </c>
      <c r="N1273" s="351" t="s">
        <v>1109</v>
      </c>
      <c r="O1273" s="351">
        <v>0.5</v>
      </c>
      <c r="P1273" s="349" t="s">
        <v>1837</v>
      </c>
      <c r="R1273" s="349">
        <f t="shared" si="19"/>
        <v>17</v>
      </c>
      <c r="S1273" s="352"/>
      <c r="T1273" s="352"/>
      <c r="U1273" s="352"/>
      <c r="V1273" s="353"/>
      <c r="W1273" s="352"/>
      <c r="X1273" s="176"/>
      <c r="Y1273" s="176"/>
      <c r="Z1273" s="352"/>
      <c r="AA1273" s="352"/>
      <c r="AB1273" s="352"/>
      <c r="AC1273" s="352"/>
      <c r="AD1273" s="352"/>
    </row>
    <row r="1274" spans="1:30" ht="38.450000000000003" hidden="1" x14ac:dyDescent="0.35">
      <c r="A1274" s="349">
        <v>1273</v>
      </c>
      <c r="B1274" s="352" t="s">
        <v>3359</v>
      </c>
      <c r="C1274" s="351" t="s">
        <v>941</v>
      </c>
      <c r="D1274" s="352" t="s">
        <v>941</v>
      </c>
      <c r="E1274" s="352" t="s">
        <v>2129</v>
      </c>
      <c r="F1274" s="353">
        <v>10</v>
      </c>
      <c r="G1274" s="352" t="s">
        <v>2126</v>
      </c>
      <c r="H1274" s="176" t="s">
        <v>2546</v>
      </c>
      <c r="I1274" s="176" t="s">
        <v>2547</v>
      </c>
      <c r="J1274" s="352" t="s">
        <v>3579</v>
      </c>
      <c r="K1274" s="352">
        <v>0.5</v>
      </c>
      <c r="L1274" s="352" t="s">
        <v>3360</v>
      </c>
      <c r="M1274" s="352">
        <v>100</v>
      </c>
      <c r="N1274" s="352" t="s">
        <v>1109</v>
      </c>
      <c r="O1274" s="351">
        <v>0.5</v>
      </c>
      <c r="P1274" s="349" t="s">
        <v>1837</v>
      </c>
      <c r="R1274" s="349">
        <f t="shared" si="19"/>
        <v>16</v>
      </c>
      <c r="S1274" s="352"/>
      <c r="T1274" s="352"/>
      <c r="U1274" s="352"/>
      <c r="V1274" s="353"/>
      <c r="W1274" s="352"/>
      <c r="X1274" s="176"/>
      <c r="Y1274" s="176"/>
      <c r="Z1274" s="352"/>
      <c r="AA1274" s="352"/>
      <c r="AB1274" s="352"/>
      <c r="AC1274" s="351"/>
      <c r="AD1274" s="351"/>
    </row>
    <row r="1275" spans="1:30" ht="38.450000000000003" hidden="1" x14ac:dyDescent="0.35">
      <c r="A1275" s="349">
        <v>1274</v>
      </c>
      <c r="B1275" s="352" t="s">
        <v>3359</v>
      </c>
      <c r="C1275" s="351" t="s">
        <v>4508</v>
      </c>
      <c r="D1275" s="352" t="s">
        <v>941</v>
      </c>
      <c r="E1275" s="352" t="s">
        <v>2129</v>
      </c>
      <c r="F1275" s="353">
        <v>10</v>
      </c>
      <c r="G1275" s="352" t="s">
        <v>2126</v>
      </c>
      <c r="H1275" s="176" t="s">
        <v>2546</v>
      </c>
      <c r="I1275" s="176" t="s">
        <v>2547</v>
      </c>
      <c r="J1275" s="352" t="s">
        <v>3579</v>
      </c>
      <c r="K1275" s="352">
        <v>0.5</v>
      </c>
      <c r="L1275" s="352" t="s">
        <v>3360</v>
      </c>
      <c r="M1275" s="352">
        <v>100</v>
      </c>
      <c r="N1275" s="352" t="s">
        <v>1109</v>
      </c>
      <c r="O1275" s="351">
        <v>0.5</v>
      </c>
      <c r="P1275" s="349" t="s">
        <v>1837</v>
      </c>
      <c r="R1275" s="349">
        <f t="shared" si="19"/>
        <v>16</v>
      </c>
      <c r="S1275" s="352"/>
      <c r="T1275" s="352"/>
      <c r="U1275" s="352"/>
      <c r="V1275" s="353"/>
      <c r="W1275" s="352"/>
      <c r="X1275" s="176"/>
      <c r="Y1275" s="176"/>
      <c r="Z1275" s="352"/>
      <c r="AA1275" s="352"/>
      <c r="AB1275" s="352"/>
      <c r="AC1275" s="351"/>
      <c r="AD1275" s="351"/>
    </row>
    <row r="1276" spans="1:30" ht="89.75" hidden="1" x14ac:dyDescent="0.35">
      <c r="A1276" s="349">
        <v>1275</v>
      </c>
      <c r="B1276" s="352" t="s">
        <v>965</v>
      </c>
      <c r="C1276" s="351" t="s">
        <v>3139</v>
      </c>
      <c r="D1276" s="352" t="s">
        <v>3139</v>
      </c>
      <c r="E1276" s="352" t="s">
        <v>1995</v>
      </c>
      <c r="F1276" s="353">
        <v>0.1</v>
      </c>
      <c r="G1276" s="352" t="s">
        <v>2126</v>
      </c>
      <c r="H1276" s="176" t="s">
        <v>3140</v>
      </c>
      <c r="I1276" s="176" t="s">
        <v>126</v>
      </c>
      <c r="J1276" s="352" t="s">
        <v>3580</v>
      </c>
      <c r="K1276" s="352">
        <v>500</v>
      </c>
      <c r="L1276" s="352" t="s">
        <v>3581</v>
      </c>
      <c r="M1276" s="352"/>
      <c r="N1276" s="352"/>
      <c r="O1276" s="351">
        <v>500</v>
      </c>
      <c r="P1276" s="349" t="s">
        <v>1836</v>
      </c>
      <c r="R1276" s="349">
        <f t="shared" si="19"/>
        <v>14</v>
      </c>
      <c r="S1276" s="352"/>
      <c r="T1276" s="352"/>
      <c r="U1276" s="352"/>
      <c r="V1276" s="353"/>
      <c r="W1276" s="352"/>
      <c r="X1276" s="176"/>
      <c r="Y1276" s="176"/>
      <c r="Z1276" s="352"/>
      <c r="AA1276" s="352"/>
      <c r="AB1276" s="352"/>
      <c r="AC1276" s="351"/>
      <c r="AD1276" s="351"/>
    </row>
    <row r="1277" spans="1:30" ht="89.75" hidden="1" x14ac:dyDescent="0.35">
      <c r="A1277" s="349">
        <v>1276</v>
      </c>
      <c r="B1277" s="352" t="s">
        <v>965</v>
      </c>
      <c r="C1277" s="351" t="s">
        <v>3139</v>
      </c>
      <c r="D1277" s="352" t="s">
        <v>3139</v>
      </c>
      <c r="E1277" s="352" t="s">
        <v>1995</v>
      </c>
      <c r="F1277" s="353">
        <v>0.1</v>
      </c>
      <c r="G1277" s="352" t="s">
        <v>2126</v>
      </c>
      <c r="H1277" s="176" t="s">
        <v>3140</v>
      </c>
      <c r="I1277" s="176" t="s">
        <v>126</v>
      </c>
      <c r="J1277" s="352" t="s">
        <v>3580</v>
      </c>
      <c r="K1277" s="352">
        <v>500</v>
      </c>
      <c r="L1277" s="352" t="s">
        <v>3581</v>
      </c>
      <c r="M1277" s="352"/>
      <c r="N1277" s="352"/>
      <c r="O1277" s="351">
        <v>500</v>
      </c>
      <c r="P1277" s="349" t="s">
        <v>1836</v>
      </c>
      <c r="R1277" s="349">
        <f t="shared" si="19"/>
        <v>14</v>
      </c>
      <c r="S1277" s="352"/>
      <c r="T1277" s="352"/>
      <c r="U1277" s="352"/>
      <c r="V1277" s="353"/>
      <c r="W1277" s="352"/>
      <c r="X1277" s="176"/>
      <c r="Y1277" s="176"/>
      <c r="Z1277" s="352"/>
      <c r="AA1277" s="352"/>
      <c r="AB1277" s="352"/>
      <c r="AC1277" s="351"/>
      <c r="AD1277" s="351"/>
    </row>
    <row r="1278" spans="1:30" ht="115.35" hidden="1" x14ac:dyDescent="0.35">
      <c r="A1278" s="349">
        <v>1277</v>
      </c>
      <c r="B1278" s="352" t="s">
        <v>3359</v>
      </c>
      <c r="C1278" s="351" t="s">
        <v>3141</v>
      </c>
      <c r="D1278" s="352" t="s">
        <v>3141</v>
      </c>
      <c r="E1278" s="352" t="s">
        <v>762</v>
      </c>
      <c r="F1278" s="353">
        <v>0.4</v>
      </c>
      <c r="G1278" s="352" t="s">
        <v>1107</v>
      </c>
      <c r="H1278" s="176" t="s">
        <v>1884</v>
      </c>
      <c r="I1278" s="176" t="s">
        <v>1885</v>
      </c>
      <c r="J1278" s="352" t="s">
        <v>828</v>
      </c>
      <c r="K1278" s="351">
        <v>2</v>
      </c>
      <c r="L1278" s="351" t="s">
        <v>3360</v>
      </c>
      <c r="M1278" s="351">
        <v>2</v>
      </c>
      <c r="N1278" s="351" t="s">
        <v>1109</v>
      </c>
      <c r="O1278" s="351">
        <v>2</v>
      </c>
      <c r="P1278" s="349" t="s">
        <v>1837</v>
      </c>
      <c r="R1278" s="349">
        <f t="shared" si="19"/>
        <v>16</v>
      </c>
      <c r="S1278" s="352"/>
      <c r="T1278" s="352"/>
      <c r="U1278" s="352"/>
      <c r="V1278" s="353"/>
      <c r="W1278" s="352"/>
      <c r="X1278" s="176"/>
      <c r="Y1278" s="176"/>
      <c r="Z1278" s="352"/>
      <c r="AA1278" s="352"/>
      <c r="AB1278" s="352"/>
      <c r="AC1278" s="351"/>
      <c r="AD1278" s="351"/>
    </row>
    <row r="1279" spans="1:30" ht="153.80000000000001" hidden="1" x14ac:dyDescent="0.35">
      <c r="A1279" s="349">
        <v>1278</v>
      </c>
      <c r="B1279" s="352" t="s">
        <v>761</v>
      </c>
      <c r="C1279" s="351" t="s">
        <v>3141</v>
      </c>
      <c r="D1279" s="352" t="s">
        <v>3141</v>
      </c>
      <c r="E1279" s="352" t="s">
        <v>762</v>
      </c>
      <c r="F1279" s="353">
        <v>0.4</v>
      </c>
      <c r="G1279" s="352" t="s">
        <v>1107</v>
      </c>
      <c r="H1279" s="176" t="s">
        <v>4479</v>
      </c>
      <c r="I1279" s="176" t="s">
        <v>4234</v>
      </c>
      <c r="J1279" s="352" t="s">
        <v>828</v>
      </c>
      <c r="K1279" s="352">
        <v>500</v>
      </c>
      <c r="L1279" s="352" t="s">
        <v>1116</v>
      </c>
      <c r="M1279" s="351">
        <v>2</v>
      </c>
      <c r="N1279" s="351" t="s">
        <v>1109</v>
      </c>
      <c r="O1279" s="351">
        <v>500</v>
      </c>
      <c r="P1279" s="349" t="s">
        <v>1836</v>
      </c>
      <c r="R1279" s="349">
        <f t="shared" si="19"/>
        <v>16</v>
      </c>
      <c r="S1279" s="352"/>
      <c r="T1279" s="352"/>
      <c r="U1279" s="352"/>
      <c r="V1279" s="353"/>
      <c r="W1279" s="352"/>
      <c r="X1279" s="176"/>
      <c r="Y1279" s="176"/>
      <c r="Z1279" s="352"/>
      <c r="AA1279" s="352"/>
      <c r="AB1279" s="352"/>
      <c r="AC1279" s="351"/>
      <c r="AD1279" s="351"/>
    </row>
    <row r="1280" spans="1:30" ht="115.35" hidden="1" x14ac:dyDescent="0.35">
      <c r="A1280" s="349">
        <v>1279</v>
      </c>
      <c r="B1280" s="352" t="s">
        <v>3359</v>
      </c>
      <c r="C1280" s="351" t="s">
        <v>3141</v>
      </c>
      <c r="D1280" s="352" t="s">
        <v>3141</v>
      </c>
      <c r="E1280" s="352" t="s">
        <v>762</v>
      </c>
      <c r="F1280" s="353">
        <v>0.4</v>
      </c>
      <c r="G1280" s="352" t="s">
        <v>1107</v>
      </c>
      <c r="H1280" s="176" t="s">
        <v>1884</v>
      </c>
      <c r="I1280" s="176" t="s">
        <v>1885</v>
      </c>
      <c r="J1280" s="352" t="s">
        <v>828</v>
      </c>
      <c r="K1280" s="352">
        <v>2</v>
      </c>
      <c r="L1280" s="352" t="s">
        <v>3360</v>
      </c>
      <c r="M1280" s="352">
        <v>2</v>
      </c>
      <c r="N1280" s="352" t="s">
        <v>1109</v>
      </c>
      <c r="O1280" s="351">
        <v>2</v>
      </c>
      <c r="P1280" s="349" t="s">
        <v>1837</v>
      </c>
      <c r="R1280" s="349">
        <f t="shared" si="19"/>
        <v>16</v>
      </c>
      <c r="S1280" s="352"/>
      <c r="T1280" s="352"/>
      <c r="U1280" s="352"/>
      <c r="V1280" s="353"/>
      <c r="W1280" s="352"/>
      <c r="X1280" s="176"/>
      <c r="Y1280" s="176"/>
      <c r="Z1280" s="352"/>
      <c r="AA1280" s="352"/>
      <c r="AB1280" s="352"/>
      <c r="AC1280" s="351"/>
      <c r="AD1280" s="351"/>
    </row>
    <row r="1281" spans="1:30" ht="153.80000000000001" hidden="1" x14ac:dyDescent="0.35">
      <c r="A1281" s="349">
        <v>1280</v>
      </c>
      <c r="B1281" s="352" t="s">
        <v>761</v>
      </c>
      <c r="C1281" s="351" t="s">
        <v>3141</v>
      </c>
      <c r="D1281" s="352" t="s">
        <v>3141</v>
      </c>
      <c r="E1281" s="352" t="s">
        <v>762</v>
      </c>
      <c r="F1281" s="353">
        <v>0.4</v>
      </c>
      <c r="G1281" s="352" t="s">
        <v>1107</v>
      </c>
      <c r="H1281" s="176" t="s">
        <v>4479</v>
      </c>
      <c r="I1281" s="176" t="s">
        <v>4234</v>
      </c>
      <c r="J1281" s="352" t="s">
        <v>828</v>
      </c>
      <c r="K1281" s="352">
        <v>500</v>
      </c>
      <c r="L1281" s="352" t="s">
        <v>1116</v>
      </c>
      <c r="M1281" s="352">
        <v>2</v>
      </c>
      <c r="N1281" s="352" t="s">
        <v>1109</v>
      </c>
      <c r="O1281" s="351">
        <v>500</v>
      </c>
      <c r="P1281" s="349" t="s">
        <v>1836</v>
      </c>
      <c r="R1281" s="349">
        <f t="shared" si="19"/>
        <v>16</v>
      </c>
      <c r="S1281" s="352"/>
      <c r="T1281" s="352"/>
      <c r="U1281" s="352"/>
      <c r="V1281" s="353"/>
      <c r="W1281" s="352"/>
      <c r="X1281" s="176"/>
      <c r="Y1281" s="176"/>
      <c r="Z1281" s="352"/>
      <c r="AA1281" s="352"/>
      <c r="AB1281" s="352"/>
      <c r="AC1281" s="351"/>
      <c r="AD1281" s="351"/>
    </row>
    <row r="1282" spans="1:30" ht="128.19999999999999" hidden="1" x14ac:dyDescent="0.35">
      <c r="A1282" s="349">
        <v>1281</v>
      </c>
      <c r="B1282" s="352" t="s">
        <v>3205</v>
      </c>
      <c r="C1282" s="351" t="s">
        <v>4509</v>
      </c>
      <c r="D1282" s="352" t="s">
        <v>4747</v>
      </c>
      <c r="E1282" s="352" t="s">
        <v>1995</v>
      </c>
      <c r="F1282" s="353">
        <v>5.84</v>
      </c>
      <c r="G1282" s="352" t="s">
        <v>2126</v>
      </c>
      <c r="H1282" s="176" t="s">
        <v>2144</v>
      </c>
      <c r="I1282" s="176" t="s">
        <v>2979</v>
      </c>
      <c r="J1282" s="352" t="s">
        <v>3580</v>
      </c>
      <c r="K1282" s="352"/>
      <c r="L1282" s="352"/>
      <c r="M1282" s="352"/>
      <c r="N1282" s="352"/>
      <c r="O1282" s="351">
        <v>0</v>
      </c>
      <c r="P1282" s="349" t="s">
        <v>2313</v>
      </c>
      <c r="R1282" s="349">
        <f t="shared" si="19"/>
        <v>19</v>
      </c>
      <c r="S1282" s="352"/>
      <c r="T1282" s="352"/>
      <c r="U1282" s="352"/>
      <c r="V1282" s="353"/>
      <c r="W1282" s="352"/>
      <c r="X1282" s="176"/>
      <c r="Y1282" s="176"/>
      <c r="Z1282" s="352"/>
      <c r="AA1282" s="352"/>
      <c r="AB1282" s="352"/>
      <c r="AC1282" s="351"/>
      <c r="AD1282" s="351"/>
    </row>
    <row r="1283" spans="1:30" ht="76.900000000000006" hidden="1" x14ac:dyDescent="0.35">
      <c r="A1283" s="349">
        <v>1282</v>
      </c>
      <c r="B1283" s="352" t="s">
        <v>550</v>
      </c>
      <c r="C1283" s="351" t="s">
        <v>4510</v>
      </c>
      <c r="D1283" s="352" t="s">
        <v>1819</v>
      </c>
      <c r="E1283" s="352" t="s">
        <v>1997</v>
      </c>
      <c r="F1283" s="353">
        <v>5.77</v>
      </c>
      <c r="G1283" s="352" t="s">
        <v>1107</v>
      </c>
      <c r="H1283" s="176" t="s">
        <v>1347</v>
      </c>
      <c r="I1283" s="176" t="s">
        <v>1348</v>
      </c>
      <c r="J1283" s="352" t="s">
        <v>1115</v>
      </c>
      <c r="K1283" s="352">
        <v>1</v>
      </c>
      <c r="L1283" s="352" t="s">
        <v>3252</v>
      </c>
      <c r="M1283" s="352"/>
      <c r="N1283" s="352"/>
      <c r="O1283" s="351">
        <v>1000</v>
      </c>
      <c r="P1283" s="349" t="s">
        <v>1836</v>
      </c>
      <c r="R1283" s="349">
        <f t="shared" ref="R1283:R1346" si="20">LEN(D1283)</f>
        <v>10</v>
      </c>
      <c r="S1283" s="352"/>
      <c r="T1283" s="352"/>
      <c r="U1283" s="352"/>
      <c r="V1283" s="353"/>
      <c r="W1283" s="352"/>
      <c r="X1283" s="176"/>
      <c r="Y1283" s="176"/>
      <c r="Z1283" s="352"/>
      <c r="AA1283" s="352"/>
      <c r="AB1283" s="352"/>
      <c r="AC1283" s="351"/>
      <c r="AD1283" s="351"/>
    </row>
    <row r="1284" spans="1:30" ht="192.25" hidden="1" x14ac:dyDescent="0.35">
      <c r="A1284" s="349">
        <v>1283</v>
      </c>
      <c r="B1284" s="352" t="s">
        <v>1463</v>
      </c>
      <c r="C1284" s="351" t="s">
        <v>1908</v>
      </c>
      <c r="D1284" s="352" t="s">
        <v>1908</v>
      </c>
      <c r="E1284" s="352" t="s">
        <v>1586</v>
      </c>
      <c r="F1284" s="353">
        <v>5.7</v>
      </c>
      <c r="G1284" s="352" t="s">
        <v>1107</v>
      </c>
      <c r="H1284" s="176" t="s">
        <v>4461</v>
      </c>
      <c r="I1284" s="176" t="s">
        <v>4940</v>
      </c>
      <c r="J1284" s="352" t="s">
        <v>1115</v>
      </c>
      <c r="K1284" s="352">
        <v>150</v>
      </c>
      <c r="L1284" s="352" t="s">
        <v>1116</v>
      </c>
      <c r="M1284" s="352">
        <v>100</v>
      </c>
      <c r="N1284" s="352" t="s">
        <v>1109</v>
      </c>
      <c r="O1284" s="351">
        <v>150</v>
      </c>
      <c r="P1284" s="349" t="s">
        <v>1836</v>
      </c>
      <c r="R1284" s="349">
        <f t="shared" si="20"/>
        <v>8</v>
      </c>
      <c r="S1284" s="352"/>
      <c r="T1284" s="352"/>
      <c r="U1284" s="352"/>
      <c r="V1284" s="353"/>
      <c r="W1284" s="352"/>
      <c r="X1284" s="176"/>
      <c r="Y1284" s="176"/>
      <c r="Z1284" s="352"/>
      <c r="AA1284" s="352"/>
      <c r="AB1284" s="352"/>
      <c r="AC1284" s="351"/>
      <c r="AD1284" s="351"/>
    </row>
    <row r="1285" spans="1:30" ht="192.25" hidden="1" x14ac:dyDescent="0.35">
      <c r="A1285" s="349">
        <v>1284</v>
      </c>
      <c r="B1285" s="352" t="s">
        <v>1463</v>
      </c>
      <c r="C1285" s="351" t="s">
        <v>1908</v>
      </c>
      <c r="D1285" s="352" t="s">
        <v>1908</v>
      </c>
      <c r="E1285" s="352" t="s">
        <v>3361</v>
      </c>
      <c r="F1285" s="353">
        <v>6.9858000000000002</v>
      </c>
      <c r="G1285" s="352" t="s">
        <v>1107</v>
      </c>
      <c r="H1285" s="176" t="s">
        <v>4461</v>
      </c>
      <c r="I1285" s="176" t="s">
        <v>4940</v>
      </c>
      <c r="J1285" s="352" t="s">
        <v>475</v>
      </c>
      <c r="K1285" s="352">
        <v>100</v>
      </c>
      <c r="L1285" s="352" t="s">
        <v>1116</v>
      </c>
      <c r="M1285" s="352">
        <v>500</v>
      </c>
      <c r="N1285" s="352" t="s">
        <v>1109</v>
      </c>
      <c r="O1285" s="351">
        <v>100</v>
      </c>
      <c r="P1285" s="349" t="s">
        <v>1836</v>
      </c>
      <c r="R1285" s="349">
        <f t="shared" si="20"/>
        <v>8</v>
      </c>
      <c r="S1285" s="352"/>
      <c r="T1285" s="352"/>
      <c r="U1285" s="352"/>
      <c r="V1285" s="353"/>
      <c r="W1285" s="352"/>
      <c r="X1285" s="176"/>
      <c r="Y1285" s="176"/>
      <c r="Z1285" s="352"/>
      <c r="AA1285" s="352"/>
      <c r="AB1285" s="352"/>
      <c r="AC1285" s="351"/>
      <c r="AD1285" s="351"/>
    </row>
    <row r="1286" spans="1:30" ht="192.25" hidden="1" x14ac:dyDescent="0.35">
      <c r="A1286" s="349">
        <v>1285</v>
      </c>
      <c r="B1286" s="352" t="s">
        <v>1463</v>
      </c>
      <c r="C1286" s="351" t="s">
        <v>1908</v>
      </c>
      <c r="D1286" s="352" t="s">
        <v>1908</v>
      </c>
      <c r="E1286" s="352" t="s">
        <v>1586</v>
      </c>
      <c r="F1286" s="353">
        <v>5.7</v>
      </c>
      <c r="G1286" s="352" t="s">
        <v>1107</v>
      </c>
      <c r="H1286" s="176" t="s">
        <v>4461</v>
      </c>
      <c r="I1286" s="176" t="s">
        <v>4940</v>
      </c>
      <c r="J1286" s="352" t="s">
        <v>1115</v>
      </c>
      <c r="K1286" s="352">
        <v>150</v>
      </c>
      <c r="L1286" s="352" t="s">
        <v>1116</v>
      </c>
      <c r="M1286" s="352">
        <v>100</v>
      </c>
      <c r="N1286" s="352" t="s">
        <v>1109</v>
      </c>
      <c r="O1286" s="351">
        <v>150</v>
      </c>
      <c r="P1286" s="349" t="s">
        <v>1836</v>
      </c>
      <c r="R1286" s="349">
        <f t="shared" si="20"/>
        <v>8</v>
      </c>
      <c r="S1286" s="352"/>
      <c r="T1286" s="352"/>
      <c r="U1286" s="352"/>
      <c r="V1286" s="353"/>
      <c r="W1286" s="352"/>
      <c r="X1286" s="176"/>
      <c r="Y1286" s="176"/>
      <c r="Z1286" s="352"/>
      <c r="AA1286" s="352"/>
      <c r="AB1286" s="352"/>
      <c r="AC1286" s="351"/>
      <c r="AD1286" s="351"/>
    </row>
    <row r="1287" spans="1:30" ht="192.25" hidden="1" x14ac:dyDescent="0.35">
      <c r="A1287" s="349">
        <v>1286</v>
      </c>
      <c r="B1287" s="352" t="s">
        <v>1463</v>
      </c>
      <c r="C1287" s="351" t="s">
        <v>1908</v>
      </c>
      <c r="D1287" s="352" t="s">
        <v>1908</v>
      </c>
      <c r="E1287" s="352" t="s">
        <v>3361</v>
      </c>
      <c r="F1287" s="353">
        <v>6.9858000000000002</v>
      </c>
      <c r="G1287" s="352" t="s">
        <v>1107</v>
      </c>
      <c r="H1287" s="176" t="s">
        <v>4461</v>
      </c>
      <c r="I1287" s="176" t="s">
        <v>4940</v>
      </c>
      <c r="J1287" s="352" t="s">
        <v>475</v>
      </c>
      <c r="K1287" s="352">
        <v>100</v>
      </c>
      <c r="L1287" s="352" t="s">
        <v>1116</v>
      </c>
      <c r="M1287" s="351">
        <v>500</v>
      </c>
      <c r="N1287" s="351" t="s">
        <v>1109</v>
      </c>
      <c r="O1287" s="351">
        <v>100</v>
      </c>
      <c r="P1287" s="349" t="s">
        <v>1836</v>
      </c>
      <c r="R1287" s="349">
        <f t="shared" si="20"/>
        <v>8</v>
      </c>
      <c r="S1287" s="352"/>
      <c r="T1287" s="352"/>
      <c r="U1287" s="352"/>
      <c r="V1287" s="353"/>
      <c r="W1287" s="352"/>
      <c r="X1287" s="176"/>
      <c r="Y1287" s="176"/>
      <c r="Z1287" s="352"/>
      <c r="AA1287" s="352"/>
      <c r="AB1287" s="352"/>
      <c r="AC1287" s="351"/>
      <c r="AD1287" s="351"/>
    </row>
    <row r="1288" spans="1:30" ht="153.80000000000001" hidden="1" x14ac:dyDescent="0.35">
      <c r="A1288" s="349">
        <v>1287</v>
      </c>
      <c r="B1288" s="352" t="s">
        <v>807</v>
      </c>
      <c r="C1288" s="351" t="s">
        <v>4511</v>
      </c>
      <c r="D1288" s="352" t="s">
        <v>3154</v>
      </c>
      <c r="E1288" s="352" t="s">
        <v>3583</v>
      </c>
      <c r="F1288" s="353">
        <v>7</v>
      </c>
      <c r="G1288" s="352" t="s">
        <v>3261</v>
      </c>
      <c r="H1288" s="176" t="s">
        <v>2545</v>
      </c>
      <c r="I1288" s="176" t="s">
        <v>4832</v>
      </c>
      <c r="J1288" s="352" t="s">
        <v>1115</v>
      </c>
      <c r="K1288" s="352">
        <v>2.5</v>
      </c>
      <c r="L1288" s="352" t="s">
        <v>1116</v>
      </c>
      <c r="M1288" s="352">
        <v>20</v>
      </c>
      <c r="N1288" s="352" t="s">
        <v>1109</v>
      </c>
      <c r="O1288" s="351">
        <v>2.5</v>
      </c>
      <c r="P1288" s="349" t="s">
        <v>1836</v>
      </c>
      <c r="R1288" s="349">
        <f t="shared" si="20"/>
        <v>11</v>
      </c>
      <c r="S1288" s="352"/>
      <c r="T1288" s="352"/>
      <c r="U1288" s="352"/>
      <c r="V1288" s="353"/>
      <c r="W1288" s="352"/>
      <c r="X1288" s="176"/>
      <c r="Y1288" s="176"/>
      <c r="Z1288" s="352"/>
      <c r="AA1288" s="352"/>
      <c r="AB1288" s="352"/>
      <c r="AC1288" s="351"/>
      <c r="AD1288" s="351"/>
    </row>
    <row r="1289" spans="1:30" ht="51.3" hidden="1" x14ac:dyDescent="0.35">
      <c r="A1289" s="349">
        <v>1288</v>
      </c>
      <c r="B1289" s="352" t="s">
        <v>807</v>
      </c>
      <c r="C1289" s="351" t="s">
        <v>4512</v>
      </c>
      <c r="D1289" s="352" t="s">
        <v>3154</v>
      </c>
      <c r="E1289" s="352" t="s">
        <v>3583</v>
      </c>
      <c r="F1289" s="353">
        <v>7</v>
      </c>
      <c r="G1289" s="352" t="s">
        <v>3261</v>
      </c>
      <c r="H1289" s="176" t="s">
        <v>55</v>
      </c>
      <c r="I1289" s="176" t="s">
        <v>2638</v>
      </c>
      <c r="J1289" s="352" t="s">
        <v>1115</v>
      </c>
      <c r="K1289" s="352">
        <v>2.5</v>
      </c>
      <c r="L1289" s="352" t="s">
        <v>1116</v>
      </c>
      <c r="M1289" s="352">
        <v>20</v>
      </c>
      <c r="N1289" s="352" t="s">
        <v>1109</v>
      </c>
      <c r="O1289" s="351">
        <v>2.5</v>
      </c>
      <c r="P1289" s="349" t="s">
        <v>1836</v>
      </c>
      <c r="R1289" s="349">
        <f t="shared" si="20"/>
        <v>11</v>
      </c>
      <c r="S1289" s="352"/>
      <c r="T1289" s="352"/>
      <c r="U1289" s="352"/>
      <c r="V1289" s="353"/>
      <c r="W1289" s="352"/>
      <c r="X1289" s="176"/>
      <c r="Y1289" s="176"/>
      <c r="Z1289" s="352"/>
      <c r="AA1289" s="352"/>
      <c r="AB1289" s="352"/>
      <c r="AC1289" s="351"/>
      <c r="AD1289" s="351"/>
    </row>
    <row r="1290" spans="1:30" hidden="1" x14ac:dyDescent="0.35">
      <c r="A1290" s="349">
        <v>1289</v>
      </c>
      <c r="B1290" s="352" t="s">
        <v>807</v>
      </c>
      <c r="C1290" s="351" t="s">
        <v>4513</v>
      </c>
      <c r="D1290" s="352" t="s">
        <v>3154</v>
      </c>
      <c r="E1290" s="352" t="s">
        <v>1498</v>
      </c>
      <c r="F1290" s="353">
        <v>8.74</v>
      </c>
      <c r="G1290" s="352" t="s">
        <v>1499</v>
      </c>
      <c r="H1290" s="176" t="s">
        <v>2654</v>
      </c>
      <c r="I1290" s="176" t="s">
        <v>4668</v>
      </c>
      <c r="J1290" s="352" t="s">
        <v>1115</v>
      </c>
      <c r="K1290" s="352">
        <v>5</v>
      </c>
      <c r="L1290" s="352" t="s">
        <v>1116</v>
      </c>
      <c r="M1290" s="352">
        <v>4</v>
      </c>
      <c r="N1290" s="352" t="s">
        <v>1109</v>
      </c>
      <c r="O1290" s="351">
        <v>5</v>
      </c>
      <c r="P1290" s="349" t="s">
        <v>1836</v>
      </c>
      <c r="R1290" s="349">
        <f t="shared" si="20"/>
        <v>11</v>
      </c>
      <c r="S1290" s="352"/>
      <c r="T1290" s="352"/>
      <c r="U1290" s="352"/>
      <c r="V1290" s="353"/>
      <c r="W1290" s="352"/>
      <c r="X1290" s="176"/>
      <c r="Y1290" s="176"/>
      <c r="Z1290" s="352"/>
      <c r="AA1290" s="352"/>
      <c r="AB1290" s="352"/>
      <c r="AC1290" s="351"/>
      <c r="AD1290" s="351"/>
    </row>
    <row r="1291" spans="1:30" ht="64.099999999999994" hidden="1" x14ac:dyDescent="0.35">
      <c r="A1291" s="349">
        <v>1290</v>
      </c>
      <c r="B1291" s="352" t="s">
        <v>3205</v>
      </c>
      <c r="C1291" s="351" t="s">
        <v>2156</v>
      </c>
      <c r="D1291" s="352" t="s">
        <v>2156</v>
      </c>
      <c r="E1291" s="352" t="s">
        <v>1995</v>
      </c>
      <c r="F1291" s="353">
        <v>1.1458999999999999</v>
      </c>
      <c r="G1291" s="352" t="s">
        <v>2126</v>
      </c>
      <c r="H1291" s="176" t="s">
        <v>2980</v>
      </c>
      <c r="I1291" s="37" t="s">
        <v>3935</v>
      </c>
      <c r="J1291" s="352" t="s">
        <v>3580</v>
      </c>
      <c r="K1291" s="352">
        <v>100</v>
      </c>
      <c r="L1291" s="352" t="s">
        <v>3581</v>
      </c>
      <c r="M1291" s="352"/>
      <c r="N1291" s="352"/>
      <c r="O1291" s="351">
        <v>100</v>
      </c>
      <c r="P1291" s="349" t="s">
        <v>1836</v>
      </c>
      <c r="R1291" s="349">
        <f t="shared" si="20"/>
        <v>10</v>
      </c>
      <c r="S1291" s="352"/>
      <c r="T1291" s="352"/>
      <c r="U1291" s="352"/>
      <c r="V1291" s="353"/>
      <c r="W1291" s="352"/>
      <c r="X1291" s="176"/>
      <c r="Y1291" s="176"/>
      <c r="Z1291" s="352"/>
      <c r="AA1291" s="352"/>
      <c r="AB1291" s="352"/>
      <c r="AC1291" s="352"/>
      <c r="AD1291" s="352"/>
    </row>
    <row r="1292" spans="1:30" ht="25.65" hidden="1" x14ac:dyDescent="0.35">
      <c r="A1292" s="349">
        <v>1291</v>
      </c>
      <c r="B1292" s="352" t="s">
        <v>314</v>
      </c>
      <c r="C1292" s="351" t="s">
        <v>3557</v>
      </c>
      <c r="D1292" s="352" t="s">
        <v>3557</v>
      </c>
      <c r="E1292" s="352" t="s">
        <v>1574</v>
      </c>
      <c r="F1292" s="353">
        <v>79.113200000000006</v>
      </c>
      <c r="G1292" s="352" t="s">
        <v>2384</v>
      </c>
      <c r="H1292" s="176" t="s">
        <v>3558</v>
      </c>
      <c r="I1292" s="176" t="s">
        <v>3559</v>
      </c>
      <c r="J1292" s="352" t="s">
        <v>964</v>
      </c>
      <c r="K1292" s="352">
        <v>20</v>
      </c>
      <c r="L1292" s="352" t="s">
        <v>4022</v>
      </c>
      <c r="M1292" s="352">
        <v>0.5</v>
      </c>
      <c r="N1292" s="352" t="s">
        <v>1109</v>
      </c>
      <c r="O1292" s="351">
        <v>20</v>
      </c>
      <c r="P1292" s="349" t="s">
        <v>1850</v>
      </c>
      <c r="R1292" s="349">
        <f t="shared" si="20"/>
        <v>19</v>
      </c>
      <c r="S1292" s="352"/>
      <c r="T1292" s="352"/>
      <c r="U1292" s="352"/>
      <c r="V1292" s="353"/>
      <c r="W1292" s="352"/>
      <c r="X1292" s="176"/>
      <c r="Y1292" s="176"/>
      <c r="Z1292" s="352"/>
      <c r="AA1292" s="352"/>
      <c r="AB1292" s="352"/>
      <c r="AC1292" s="352"/>
      <c r="AD1292" s="352"/>
    </row>
    <row r="1293" spans="1:30" ht="51.3" hidden="1" x14ac:dyDescent="0.35">
      <c r="A1293" s="349">
        <v>1292</v>
      </c>
      <c r="B1293" s="352" t="s">
        <v>2052</v>
      </c>
      <c r="C1293" s="351" t="s">
        <v>4514</v>
      </c>
      <c r="D1293" s="352" t="s">
        <v>1257</v>
      </c>
      <c r="E1293" s="352" t="s">
        <v>1484</v>
      </c>
      <c r="F1293" s="353">
        <v>3.81</v>
      </c>
      <c r="G1293" s="352" t="s">
        <v>34</v>
      </c>
      <c r="H1293" s="176" t="s">
        <v>1258</v>
      </c>
      <c r="I1293" s="176" t="s">
        <v>1259</v>
      </c>
      <c r="J1293" s="352" t="s">
        <v>1485</v>
      </c>
      <c r="K1293" s="352">
        <v>0.2</v>
      </c>
      <c r="L1293" s="352" t="s">
        <v>470</v>
      </c>
      <c r="M1293" s="352">
        <v>75</v>
      </c>
      <c r="N1293" s="352" t="s">
        <v>31</v>
      </c>
      <c r="O1293" s="351">
        <v>0.2</v>
      </c>
      <c r="P1293" s="349" t="s">
        <v>1838</v>
      </c>
      <c r="R1293" s="349">
        <f t="shared" si="20"/>
        <v>11</v>
      </c>
      <c r="S1293" s="352"/>
      <c r="T1293" s="352"/>
      <c r="U1293" s="352"/>
      <c r="V1293" s="353"/>
      <c r="W1293" s="352"/>
      <c r="X1293" s="176"/>
      <c r="Y1293" s="176"/>
      <c r="Z1293" s="352"/>
      <c r="AA1293" s="352"/>
      <c r="AB1293" s="352"/>
      <c r="AC1293" s="352"/>
      <c r="AD1293" s="352"/>
    </row>
    <row r="1294" spans="1:30" ht="51.3" hidden="1" x14ac:dyDescent="0.35">
      <c r="A1294" s="349">
        <v>1293</v>
      </c>
      <c r="B1294" s="352" t="s">
        <v>2052</v>
      </c>
      <c r="C1294" s="351" t="s">
        <v>4514</v>
      </c>
      <c r="D1294" s="352" t="s">
        <v>1257</v>
      </c>
      <c r="E1294" s="352" t="s">
        <v>1484</v>
      </c>
      <c r="F1294" s="353">
        <v>2.78</v>
      </c>
      <c r="G1294" s="352" t="s">
        <v>34</v>
      </c>
      <c r="H1294" s="176" t="s">
        <v>1258</v>
      </c>
      <c r="I1294" s="176" t="s">
        <v>1259</v>
      </c>
      <c r="J1294" s="352" t="s">
        <v>1485</v>
      </c>
      <c r="K1294" s="352">
        <v>0.4</v>
      </c>
      <c r="L1294" s="352" t="s">
        <v>470</v>
      </c>
      <c r="M1294" s="352">
        <v>75</v>
      </c>
      <c r="N1294" s="352" t="s">
        <v>31</v>
      </c>
      <c r="O1294" s="351">
        <v>0.4</v>
      </c>
      <c r="P1294" s="349" t="s">
        <v>1838</v>
      </c>
      <c r="R1294" s="349">
        <f t="shared" si="20"/>
        <v>11</v>
      </c>
      <c r="S1294" s="352"/>
      <c r="T1294" s="352"/>
      <c r="U1294" s="352"/>
      <c r="V1294" s="353"/>
      <c r="W1294" s="352"/>
      <c r="X1294" s="176"/>
      <c r="Y1294" s="176"/>
      <c r="Z1294" s="352"/>
      <c r="AA1294" s="352"/>
      <c r="AB1294" s="352"/>
      <c r="AC1294" s="351"/>
      <c r="AD1294" s="351"/>
    </row>
    <row r="1295" spans="1:30" ht="25.65" hidden="1" x14ac:dyDescent="0.35">
      <c r="A1295" s="349">
        <v>1294</v>
      </c>
      <c r="B1295" s="352" t="s">
        <v>1308</v>
      </c>
      <c r="C1295" s="351" t="s">
        <v>4515</v>
      </c>
      <c r="D1295" s="352" t="s">
        <v>3789</v>
      </c>
      <c r="E1295" s="352" t="s">
        <v>2857</v>
      </c>
      <c r="F1295" s="353">
        <v>0.99170000000000003</v>
      </c>
      <c r="G1295" s="352" t="s">
        <v>1107</v>
      </c>
      <c r="H1295" s="176" t="s">
        <v>3790</v>
      </c>
      <c r="I1295" s="176" t="s">
        <v>2313</v>
      </c>
      <c r="J1295" s="352" t="s">
        <v>828</v>
      </c>
      <c r="K1295" s="352">
        <v>1.5</v>
      </c>
      <c r="L1295" s="352" t="s">
        <v>1116</v>
      </c>
      <c r="M1295" s="351">
        <v>10</v>
      </c>
      <c r="N1295" s="351" t="s">
        <v>1109</v>
      </c>
      <c r="O1295" s="351">
        <v>1.5</v>
      </c>
      <c r="P1295" s="349" t="s">
        <v>1836</v>
      </c>
      <c r="R1295" s="349">
        <f t="shared" si="20"/>
        <v>3</v>
      </c>
      <c r="S1295" s="352"/>
      <c r="T1295" s="352"/>
      <c r="U1295" s="352"/>
      <c r="V1295" s="353"/>
      <c r="W1295" s="352"/>
      <c r="X1295" s="176"/>
      <c r="Y1295" s="176"/>
      <c r="Z1295" s="352"/>
      <c r="AA1295" s="352"/>
      <c r="AB1295" s="352"/>
      <c r="AC1295" s="351"/>
      <c r="AD1295" s="351"/>
    </row>
    <row r="1296" spans="1:30" ht="51.3" hidden="1" x14ac:dyDescent="0.35">
      <c r="A1296" s="349">
        <v>1295</v>
      </c>
      <c r="B1296" s="352" t="s">
        <v>3032</v>
      </c>
      <c r="C1296" s="351" t="s">
        <v>2498</v>
      </c>
      <c r="D1296" s="352" t="s">
        <v>2498</v>
      </c>
      <c r="E1296" s="352" t="s">
        <v>2457</v>
      </c>
      <c r="F1296" s="353">
        <v>0.6</v>
      </c>
      <c r="G1296" s="352" t="s">
        <v>3034</v>
      </c>
      <c r="H1296" s="176" t="s">
        <v>813</v>
      </c>
      <c r="I1296" s="176" t="s">
        <v>814</v>
      </c>
      <c r="J1296" s="352" t="s">
        <v>3035</v>
      </c>
      <c r="K1296" s="352">
        <v>200</v>
      </c>
      <c r="L1296" s="352" t="s">
        <v>1116</v>
      </c>
      <c r="M1296" s="351">
        <v>1</v>
      </c>
      <c r="N1296" s="351" t="s">
        <v>1109</v>
      </c>
      <c r="O1296" s="351">
        <v>200</v>
      </c>
      <c r="P1296" s="349" t="s">
        <v>1836</v>
      </c>
      <c r="R1296" s="349">
        <f t="shared" si="20"/>
        <v>25</v>
      </c>
      <c r="S1296" s="352"/>
      <c r="T1296" s="352"/>
      <c r="U1296" s="352"/>
      <c r="V1296" s="353"/>
      <c r="W1296" s="352"/>
      <c r="X1296" s="176"/>
      <c r="Y1296" s="176"/>
      <c r="Z1296" s="352"/>
      <c r="AA1296" s="352"/>
      <c r="AB1296" s="352"/>
      <c r="AC1296" s="352"/>
      <c r="AD1296" s="352"/>
    </row>
    <row r="1297" spans="1:30" ht="38.450000000000003" hidden="1" x14ac:dyDescent="0.35">
      <c r="A1297" s="349">
        <v>1296</v>
      </c>
      <c r="B1297" s="352" t="s">
        <v>3032</v>
      </c>
      <c r="C1297" s="351" t="s">
        <v>2498</v>
      </c>
      <c r="D1297" s="352" t="s">
        <v>2498</v>
      </c>
      <c r="E1297" s="352" t="s">
        <v>2737</v>
      </c>
      <c r="F1297" s="353">
        <v>23.55</v>
      </c>
      <c r="G1297" s="352" t="s">
        <v>3034</v>
      </c>
      <c r="H1297" s="176" t="s">
        <v>811</v>
      </c>
      <c r="I1297" s="176" t="s">
        <v>812</v>
      </c>
      <c r="J1297" s="352" t="s">
        <v>3035</v>
      </c>
      <c r="K1297" s="352">
        <v>100</v>
      </c>
      <c r="L1297" s="352" t="s">
        <v>1116</v>
      </c>
      <c r="M1297" s="351">
        <v>24</v>
      </c>
      <c r="N1297" s="351" t="s">
        <v>1109</v>
      </c>
      <c r="O1297" s="351">
        <v>100</v>
      </c>
      <c r="P1297" s="349" t="s">
        <v>1836</v>
      </c>
      <c r="R1297" s="349">
        <f t="shared" si="20"/>
        <v>25</v>
      </c>
      <c r="S1297" s="352"/>
      <c r="T1297" s="352"/>
      <c r="U1297" s="352"/>
      <c r="V1297" s="353"/>
      <c r="W1297" s="352"/>
      <c r="X1297" s="176"/>
      <c r="Y1297" s="176"/>
      <c r="Z1297" s="352"/>
      <c r="AA1297" s="352"/>
      <c r="AB1297" s="352"/>
      <c r="AC1297" s="352"/>
      <c r="AD1297" s="352"/>
    </row>
    <row r="1298" spans="1:30" ht="102.55" hidden="1" x14ac:dyDescent="0.35">
      <c r="A1298" s="349">
        <v>1297</v>
      </c>
      <c r="B1298" s="352" t="s">
        <v>1113</v>
      </c>
      <c r="C1298" s="351" t="s">
        <v>614</v>
      </c>
      <c r="D1298" s="352" t="s">
        <v>614</v>
      </c>
      <c r="E1298" s="352" t="s">
        <v>2738</v>
      </c>
      <c r="F1298" s="353">
        <v>1.87</v>
      </c>
      <c r="G1298" s="352" t="s">
        <v>1107</v>
      </c>
      <c r="H1298" s="176" t="s">
        <v>3218</v>
      </c>
      <c r="I1298" s="176" t="s">
        <v>4136</v>
      </c>
      <c r="J1298" s="352" t="s">
        <v>828</v>
      </c>
      <c r="K1298" s="352">
        <v>100</v>
      </c>
      <c r="L1298" s="352" t="s">
        <v>1116</v>
      </c>
      <c r="M1298" s="351">
        <v>4</v>
      </c>
      <c r="N1298" s="351" t="s">
        <v>1109</v>
      </c>
      <c r="O1298" s="351">
        <v>100</v>
      </c>
      <c r="P1298" s="349" t="s">
        <v>1836</v>
      </c>
      <c r="R1298" s="349">
        <f t="shared" si="20"/>
        <v>25</v>
      </c>
      <c r="S1298" s="352"/>
      <c r="T1298" s="352"/>
      <c r="U1298" s="352"/>
      <c r="V1298" s="353"/>
      <c r="W1298" s="352"/>
      <c r="X1298" s="176"/>
      <c r="Y1298" s="176"/>
      <c r="Z1298" s="352"/>
      <c r="AA1298" s="352"/>
      <c r="AB1298" s="352"/>
      <c r="AC1298" s="352"/>
      <c r="AD1298" s="352"/>
    </row>
    <row r="1299" spans="1:30" ht="25.65" hidden="1" x14ac:dyDescent="0.35">
      <c r="A1299" s="349">
        <v>1298</v>
      </c>
      <c r="B1299" s="352" t="s">
        <v>1080</v>
      </c>
      <c r="C1299" s="351" t="s">
        <v>2810</v>
      </c>
      <c r="D1299" s="352" t="s">
        <v>2810</v>
      </c>
      <c r="E1299" s="352" t="s">
        <v>1995</v>
      </c>
      <c r="F1299" s="353">
        <v>2.2000000000000002</v>
      </c>
      <c r="G1299" s="352" t="s">
        <v>2126</v>
      </c>
      <c r="H1299" s="176" t="s">
        <v>2218</v>
      </c>
      <c r="I1299" s="176" t="s">
        <v>2811</v>
      </c>
      <c r="J1299" s="352" t="s">
        <v>3580</v>
      </c>
      <c r="K1299" s="352">
        <v>50</v>
      </c>
      <c r="L1299" s="352" t="s">
        <v>3581</v>
      </c>
      <c r="M1299" s="351"/>
      <c r="N1299" s="351"/>
      <c r="O1299" s="351">
        <v>50</v>
      </c>
      <c r="P1299" s="349" t="s">
        <v>1836</v>
      </c>
      <c r="R1299" s="349">
        <f t="shared" si="20"/>
        <v>14</v>
      </c>
      <c r="S1299" s="352"/>
      <c r="T1299" s="352"/>
      <c r="U1299" s="352"/>
      <c r="V1299" s="353"/>
      <c r="W1299" s="352"/>
      <c r="X1299" s="176"/>
      <c r="Y1299" s="176"/>
      <c r="Z1299" s="352"/>
      <c r="AA1299" s="352"/>
      <c r="AB1299" s="352"/>
      <c r="AC1299" s="352"/>
      <c r="AD1299" s="352"/>
    </row>
    <row r="1300" spans="1:30" ht="166.65" hidden="1" x14ac:dyDescent="0.35">
      <c r="A1300" s="349">
        <v>1299</v>
      </c>
      <c r="B1300" s="352" t="s">
        <v>3090</v>
      </c>
      <c r="C1300" s="351" t="s">
        <v>4623</v>
      </c>
      <c r="D1300" s="352" t="s">
        <v>1820</v>
      </c>
      <c r="E1300" s="352" t="s">
        <v>1997</v>
      </c>
      <c r="F1300" s="353">
        <v>71.069999999999993</v>
      </c>
      <c r="G1300" s="352" t="s">
        <v>1107</v>
      </c>
      <c r="H1300" s="176" t="s">
        <v>2084</v>
      </c>
      <c r="I1300" s="176" t="s">
        <v>1751</v>
      </c>
      <c r="J1300" s="352" t="s">
        <v>1115</v>
      </c>
      <c r="K1300" s="352">
        <v>1</v>
      </c>
      <c r="L1300" s="352" t="s">
        <v>3252</v>
      </c>
      <c r="M1300" s="352"/>
      <c r="N1300" s="352"/>
      <c r="O1300" s="351">
        <v>1000</v>
      </c>
      <c r="P1300" s="349" t="s">
        <v>1836</v>
      </c>
      <c r="R1300" s="349">
        <f t="shared" si="20"/>
        <v>9</v>
      </c>
      <c r="S1300" s="352"/>
      <c r="T1300" s="352"/>
      <c r="U1300" s="352"/>
      <c r="V1300" s="353"/>
      <c r="W1300" s="352"/>
      <c r="X1300" s="176"/>
      <c r="Y1300" s="176"/>
      <c r="Z1300" s="352"/>
      <c r="AA1300" s="352"/>
      <c r="AB1300" s="352"/>
      <c r="AC1300" s="351"/>
      <c r="AD1300" s="351"/>
    </row>
    <row r="1301" spans="1:30" ht="166.65" hidden="1" x14ac:dyDescent="0.35">
      <c r="A1301" s="349">
        <v>1300</v>
      </c>
      <c r="B1301" s="352" t="s">
        <v>3090</v>
      </c>
      <c r="C1301" s="351" t="s">
        <v>4623</v>
      </c>
      <c r="D1301" s="352" t="s">
        <v>1820</v>
      </c>
      <c r="E1301" s="352" t="s">
        <v>1997</v>
      </c>
      <c r="F1301" s="353">
        <v>35.950000000000003</v>
      </c>
      <c r="G1301" s="352" t="s">
        <v>1107</v>
      </c>
      <c r="H1301" s="176" t="s">
        <v>2084</v>
      </c>
      <c r="I1301" s="176" t="s">
        <v>1751</v>
      </c>
      <c r="J1301" s="352" t="s">
        <v>1115</v>
      </c>
      <c r="K1301" s="352">
        <v>500</v>
      </c>
      <c r="L1301" s="352" t="s">
        <v>1464</v>
      </c>
      <c r="M1301" s="351"/>
      <c r="N1301" s="351"/>
      <c r="O1301" s="351">
        <v>500</v>
      </c>
      <c r="P1301" s="349" t="s">
        <v>1836</v>
      </c>
      <c r="R1301" s="349">
        <f t="shared" si="20"/>
        <v>9</v>
      </c>
      <c r="S1301" s="352"/>
      <c r="T1301" s="352"/>
      <c r="U1301" s="352"/>
      <c r="V1301" s="353"/>
      <c r="W1301" s="352"/>
      <c r="X1301" s="176"/>
      <c r="Y1301" s="176"/>
      <c r="Z1301" s="352"/>
      <c r="AA1301" s="352"/>
      <c r="AB1301" s="352"/>
      <c r="AC1301" s="351"/>
      <c r="AD1301" s="351"/>
    </row>
    <row r="1302" spans="1:30" ht="166.65" hidden="1" x14ac:dyDescent="0.35">
      <c r="A1302" s="349">
        <v>1301</v>
      </c>
      <c r="B1302" s="352" t="s">
        <v>3090</v>
      </c>
      <c r="C1302" s="351" t="s">
        <v>1820</v>
      </c>
      <c r="D1302" s="352" t="s">
        <v>1820</v>
      </c>
      <c r="E1302" s="352" t="s">
        <v>1997</v>
      </c>
      <c r="F1302" s="353">
        <v>71.069999999999993</v>
      </c>
      <c r="G1302" s="352" t="s">
        <v>1107</v>
      </c>
      <c r="H1302" s="176" t="s">
        <v>2084</v>
      </c>
      <c r="I1302" s="176" t="s">
        <v>1751</v>
      </c>
      <c r="J1302" s="352" t="s">
        <v>1115</v>
      </c>
      <c r="K1302" s="352">
        <v>1</v>
      </c>
      <c r="L1302" s="352" t="s">
        <v>3252</v>
      </c>
      <c r="M1302" s="351"/>
      <c r="N1302" s="351"/>
      <c r="O1302" s="351">
        <v>1000</v>
      </c>
      <c r="P1302" s="349" t="s">
        <v>1836</v>
      </c>
      <c r="R1302" s="349">
        <f t="shared" si="20"/>
        <v>9</v>
      </c>
      <c r="S1302" s="352"/>
      <c r="T1302" s="352"/>
      <c r="U1302" s="352"/>
      <c r="V1302" s="353"/>
      <c r="W1302" s="352"/>
      <c r="X1302" s="176"/>
      <c r="Y1302" s="176"/>
      <c r="Z1302" s="352"/>
      <c r="AA1302" s="352"/>
      <c r="AB1302" s="352"/>
      <c r="AC1302" s="352"/>
      <c r="AD1302" s="352"/>
    </row>
    <row r="1303" spans="1:30" ht="166.65" hidden="1" x14ac:dyDescent="0.35">
      <c r="A1303" s="349">
        <v>1302</v>
      </c>
      <c r="B1303" s="352" t="s">
        <v>3090</v>
      </c>
      <c r="C1303" s="351" t="s">
        <v>1820</v>
      </c>
      <c r="D1303" s="352" t="s">
        <v>1820</v>
      </c>
      <c r="E1303" s="352" t="s">
        <v>1997</v>
      </c>
      <c r="F1303" s="353">
        <v>35.950000000000003</v>
      </c>
      <c r="G1303" s="352" t="s">
        <v>1107</v>
      </c>
      <c r="H1303" s="176" t="s">
        <v>2084</v>
      </c>
      <c r="I1303" s="176" t="s">
        <v>1751</v>
      </c>
      <c r="J1303" s="352" t="s">
        <v>1115</v>
      </c>
      <c r="K1303" s="352">
        <v>500</v>
      </c>
      <c r="L1303" s="352" t="s">
        <v>1464</v>
      </c>
      <c r="M1303" s="351"/>
      <c r="N1303" s="351"/>
      <c r="O1303" s="351">
        <v>500</v>
      </c>
      <c r="P1303" s="349" t="s">
        <v>1836</v>
      </c>
      <c r="R1303" s="349">
        <f t="shared" si="20"/>
        <v>9</v>
      </c>
      <c r="S1303" s="352"/>
      <c r="T1303" s="352"/>
      <c r="U1303" s="352"/>
      <c r="V1303" s="353"/>
      <c r="W1303" s="352"/>
      <c r="X1303" s="176"/>
      <c r="Y1303" s="37"/>
      <c r="Z1303" s="352"/>
      <c r="AA1303" s="352"/>
      <c r="AB1303" s="352"/>
      <c r="AC1303" s="351"/>
      <c r="AD1303" s="351"/>
    </row>
    <row r="1304" spans="1:30" ht="38.450000000000003" hidden="1" x14ac:dyDescent="0.35">
      <c r="A1304" s="349">
        <v>1303</v>
      </c>
      <c r="B1304" s="352" t="s">
        <v>1609</v>
      </c>
      <c r="C1304" s="351" t="s">
        <v>3060</v>
      </c>
      <c r="D1304" s="352" t="s">
        <v>3060</v>
      </c>
      <c r="E1304" s="352" t="s">
        <v>2003</v>
      </c>
      <c r="F1304" s="353">
        <v>0.51</v>
      </c>
      <c r="G1304" s="352" t="s">
        <v>2126</v>
      </c>
      <c r="H1304" s="176" t="s">
        <v>311</v>
      </c>
      <c r="I1304" s="176" t="s">
        <v>1100</v>
      </c>
      <c r="J1304" s="352" t="s">
        <v>966</v>
      </c>
      <c r="K1304" s="352">
        <v>250</v>
      </c>
      <c r="L1304" s="352" t="s">
        <v>3581</v>
      </c>
      <c r="M1304" s="351"/>
      <c r="N1304" s="351"/>
      <c r="O1304" s="351">
        <v>250</v>
      </c>
      <c r="P1304" s="349" t="s">
        <v>1836</v>
      </c>
      <c r="R1304" s="349">
        <f t="shared" si="20"/>
        <v>10</v>
      </c>
      <c r="S1304" s="352"/>
      <c r="T1304" s="352"/>
      <c r="U1304" s="352"/>
      <c r="V1304" s="353"/>
      <c r="W1304" s="352"/>
      <c r="X1304" s="176"/>
      <c r="Y1304" s="37"/>
      <c r="Z1304" s="352"/>
      <c r="AA1304" s="352"/>
      <c r="AB1304" s="352"/>
      <c r="AC1304" s="352"/>
      <c r="AD1304" s="352"/>
    </row>
    <row r="1305" spans="1:30" ht="89.75" hidden="1" x14ac:dyDescent="0.35">
      <c r="A1305" s="349">
        <v>1304</v>
      </c>
      <c r="B1305" s="352" t="s">
        <v>1609</v>
      </c>
      <c r="C1305" s="351" t="s">
        <v>3060</v>
      </c>
      <c r="D1305" s="352" t="s">
        <v>3060</v>
      </c>
      <c r="E1305" s="352" t="s">
        <v>2000</v>
      </c>
      <c r="F1305" s="353">
        <v>0.55000000000000004</v>
      </c>
      <c r="G1305" s="352" t="s">
        <v>2126</v>
      </c>
      <c r="H1305" s="176" t="s">
        <v>311</v>
      </c>
      <c r="I1305" s="176" t="s">
        <v>2062</v>
      </c>
      <c r="J1305" s="352" t="s">
        <v>2695</v>
      </c>
      <c r="K1305" s="352">
        <v>250</v>
      </c>
      <c r="L1305" s="352" t="s">
        <v>3581</v>
      </c>
      <c r="M1305" s="352"/>
      <c r="N1305" s="352"/>
      <c r="O1305" s="351">
        <v>250</v>
      </c>
      <c r="P1305" s="349" t="s">
        <v>1836</v>
      </c>
      <c r="R1305" s="349">
        <f t="shared" si="20"/>
        <v>10</v>
      </c>
      <c r="S1305" s="352"/>
      <c r="T1305" s="352"/>
      <c r="U1305" s="352"/>
      <c r="V1305" s="353"/>
      <c r="W1305" s="352"/>
      <c r="X1305" s="176"/>
      <c r="Y1305" s="37"/>
      <c r="Z1305" s="352"/>
      <c r="AA1305" s="352"/>
      <c r="AB1305" s="352"/>
      <c r="AC1305" s="352"/>
      <c r="AD1305" s="352"/>
    </row>
    <row r="1306" spans="1:30" ht="89.75" hidden="1" x14ac:dyDescent="0.35">
      <c r="A1306" s="349">
        <v>1305</v>
      </c>
      <c r="B1306" s="352" t="s">
        <v>1609</v>
      </c>
      <c r="C1306" s="351" t="s">
        <v>3060</v>
      </c>
      <c r="D1306" s="352" t="s">
        <v>3060</v>
      </c>
      <c r="E1306" s="352" t="s">
        <v>2000</v>
      </c>
      <c r="F1306" s="353">
        <v>0.93</v>
      </c>
      <c r="G1306" s="352" t="s">
        <v>2126</v>
      </c>
      <c r="H1306" s="176" t="s">
        <v>311</v>
      </c>
      <c r="I1306" s="176" t="s">
        <v>2062</v>
      </c>
      <c r="J1306" s="352" t="s">
        <v>2695</v>
      </c>
      <c r="K1306" s="352">
        <v>500</v>
      </c>
      <c r="L1306" s="352" t="s">
        <v>3581</v>
      </c>
      <c r="M1306" s="351"/>
      <c r="N1306" s="351"/>
      <c r="O1306" s="351">
        <v>500</v>
      </c>
      <c r="P1306" s="349" t="s">
        <v>1836</v>
      </c>
      <c r="R1306" s="349">
        <f t="shared" si="20"/>
        <v>10</v>
      </c>
      <c r="S1306" s="352"/>
      <c r="T1306" s="352"/>
      <c r="U1306" s="352"/>
      <c r="V1306" s="353"/>
      <c r="W1306" s="352"/>
      <c r="X1306" s="176"/>
      <c r="Y1306" s="37"/>
      <c r="Z1306" s="352"/>
      <c r="AA1306" s="352"/>
      <c r="AB1306" s="352"/>
      <c r="AC1306" s="351"/>
      <c r="AD1306" s="351"/>
    </row>
    <row r="1307" spans="1:30" ht="89.75" hidden="1" x14ac:dyDescent="0.35">
      <c r="A1307" s="349">
        <v>1306</v>
      </c>
      <c r="B1307" s="352" t="s">
        <v>1609</v>
      </c>
      <c r="C1307" s="351" t="s">
        <v>3060</v>
      </c>
      <c r="D1307" s="352" t="s">
        <v>3060</v>
      </c>
      <c r="E1307" s="352" t="s">
        <v>1007</v>
      </c>
      <c r="F1307" s="353">
        <v>9.9</v>
      </c>
      <c r="G1307" s="352" t="s">
        <v>967</v>
      </c>
      <c r="H1307" s="176" t="s">
        <v>2656</v>
      </c>
      <c r="I1307" s="176" t="s">
        <v>2062</v>
      </c>
      <c r="J1307" s="352" t="s">
        <v>806</v>
      </c>
      <c r="K1307" s="352">
        <v>10</v>
      </c>
      <c r="L1307" s="352" t="s">
        <v>1116</v>
      </c>
      <c r="M1307" s="352">
        <v>100</v>
      </c>
      <c r="N1307" s="352" t="s">
        <v>1109</v>
      </c>
      <c r="O1307" s="351">
        <v>10</v>
      </c>
      <c r="P1307" s="349" t="s">
        <v>1836</v>
      </c>
      <c r="R1307" s="349">
        <f t="shared" si="20"/>
        <v>10</v>
      </c>
      <c r="S1307" s="352"/>
      <c r="T1307" s="352"/>
      <c r="U1307" s="352"/>
      <c r="V1307" s="353"/>
      <c r="W1307" s="352"/>
      <c r="X1307" s="176"/>
      <c r="Y1307" s="176"/>
      <c r="Z1307" s="352"/>
      <c r="AA1307" s="352"/>
      <c r="AB1307" s="352"/>
      <c r="AC1307" s="352"/>
      <c r="AD1307" s="352"/>
    </row>
    <row r="1308" spans="1:30" ht="89.75" hidden="1" x14ac:dyDescent="0.35">
      <c r="A1308" s="349">
        <v>1307</v>
      </c>
      <c r="B1308" s="352" t="s">
        <v>1609</v>
      </c>
      <c r="C1308" s="351" t="s">
        <v>3060</v>
      </c>
      <c r="D1308" s="352" t="s">
        <v>3060</v>
      </c>
      <c r="E1308" s="352" t="s">
        <v>1999</v>
      </c>
      <c r="F1308" s="353">
        <v>5.85</v>
      </c>
      <c r="G1308" s="352" t="s">
        <v>967</v>
      </c>
      <c r="H1308" s="176" t="s">
        <v>2656</v>
      </c>
      <c r="I1308" s="176" t="s">
        <v>2062</v>
      </c>
      <c r="J1308" s="352" t="s">
        <v>968</v>
      </c>
      <c r="K1308" s="352">
        <v>1</v>
      </c>
      <c r="L1308" s="352" t="s">
        <v>2739</v>
      </c>
      <c r="M1308" s="351"/>
      <c r="N1308" s="351"/>
      <c r="O1308" s="351">
        <v>1</v>
      </c>
      <c r="P1308" s="349" t="s">
        <v>818</v>
      </c>
      <c r="R1308" s="349">
        <f t="shared" si="20"/>
        <v>10</v>
      </c>
      <c r="S1308" s="352"/>
      <c r="T1308" s="352"/>
      <c r="U1308" s="352"/>
      <c r="V1308" s="353"/>
      <c r="W1308" s="352"/>
      <c r="X1308" s="176"/>
      <c r="Y1308" s="176"/>
      <c r="Z1308" s="352"/>
      <c r="AA1308" s="352"/>
      <c r="AB1308" s="352"/>
      <c r="AC1308" s="352"/>
      <c r="AD1308" s="352"/>
    </row>
    <row r="1309" spans="1:30" ht="38.450000000000003" hidden="1" x14ac:dyDescent="0.35">
      <c r="A1309" s="349">
        <v>1308</v>
      </c>
      <c r="B1309" s="352" t="s">
        <v>1609</v>
      </c>
      <c r="C1309" s="351" t="s">
        <v>3060</v>
      </c>
      <c r="D1309" s="352" t="s">
        <v>3060</v>
      </c>
      <c r="E1309" s="352" t="s">
        <v>1999</v>
      </c>
      <c r="F1309" s="353">
        <v>1.23</v>
      </c>
      <c r="G1309" s="352" t="s">
        <v>967</v>
      </c>
      <c r="H1309" s="176" t="s">
        <v>2656</v>
      </c>
      <c r="I1309" s="176" t="s">
        <v>1100</v>
      </c>
      <c r="J1309" s="352" t="s">
        <v>968</v>
      </c>
      <c r="K1309" s="352">
        <v>250</v>
      </c>
      <c r="L1309" s="352" t="s">
        <v>969</v>
      </c>
      <c r="M1309" s="351"/>
      <c r="N1309" s="351"/>
      <c r="O1309" s="351">
        <v>250</v>
      </c>
      <c r="P1309" s="349" t="s">
        <v>1836</v>
      </c>
      <c r="R1309" s="349">
        <f t="shared" si="20"/>
        <v>10</v>
      </c>
      <c r="S1309" s="352"/>
      <c r="T1309" s="352"/>
      <c r="U1309" s="352"/>
      <c r="V1309" s="353"/>
      <c r="W1309" s="352"/>
      <c r="X1309" s="176"/>
      <c r="Y1309" s="176"/>
      <c r="Z1309" s="352"/>
      <c r="AA1309" s="352"/>
      <c r="AB1309" s="352"/>
      <c r="AC1309" s="352"/>
      <c r="AD1309" s="352"/>
    </row>
    <row r="1310" spans="1:30" ht="38.450000000000003" hidden="1" x14ac:dyDescent="0.35">
      <c r="A1310" s="349">
        <v>1309</v>
      </c>
      <c r="B1310" s="352" t="s">
        <v>1609</v>
      </c>
      <c r="C1310" s="351" t="s">
        <v>3060</v>
      </c>
      <c r="D1310" s="352" t="s">
        <v>3060</v>
      </c>
      <c r="E1310" s="352" t="s">
        <v>1999</v>
      </c>
      <c r="F1310" s="353">
        <v>1.23</v>
      </c>
      <c r="G1310" s="352" t="s">
        <v>967</v>
      </c>
      <c r="H1310" s="176" t="s">
        <v>2656</v>
      </c>
      <c r="I1310" s="176" t="s">
        <v>1100</v>
      </c>
      <c r="J1310" s="352" t="s">
        <v>968</v>
      </c>
      <c r="K1310" s="352">
        <v>500</v>
      </c>
      <c r="L1310" s="352" t="s">
        <v>969</v>
      </c>
      <c r="M1310" s="351"/>
      <c r="N1310" s="351"/>
      <c r="O1310" s="351">
        <v>500</v>
      </c>
      <c r="P1310" s="349" t="s">
        <v>1836</v>
      </c>
      <c r="R1310" s="349">
        <f t="shared" si="20"/>
        <v>10</v>
      </c>
      <c r="S1310" s="352"/>
      <c r="T1310" s="352"/>
      <c r="U1310" s="352"/>
      <c r="V1310" s="353"/>
      <c r="W1310" s="352"/>
      <c r="X1310" s="176"/>
      <c r="Y1310" s="176"/>
      <c r="Z1310" s="352"/>
      <c r="AA1310" s="352"/>
      <c r="AB1310" s="352"/>
      <c r="AC1310" s="352"/>
      <c r="AD1310" s="352"/>
    </row>
    <row r="1311" spans="1:30" ht="38.450000000000003" hidden="1" x14ac:dyDescent="0.35">
      <c r="A1311" s="349">
        <v>1310</v>
      </c>
      <c r="B1311" s="352" t="s">
        <v>3032</v>
      </c>
      <c r="C1311" s="351" t="s">
        <v>4624</v>
      </c>
      <c r="D1311" s="352" t="s">
        <v>2498</v>
      </c>
      <c r="E1311" s="352" t="s">
        <v>2737</v>
      </c>
      <c r="F1311" s="353">
        <v>23.55</v>
      </c>
      <c r="G1311" s="352" t="s">
        <v>3034</v>
      </c>
      <c r="H1311" s="176" t="s">
        <v>811</v>
      </c>
      <c r="I1311" s="176" t="s">
        <v>812</v>
      </c>
      <c r="J1311" s="352" t="s">
        <v>3035</v>
      </c>
      <c r="K1311" s="352">
        <v>100</v>
      </c>
      <c r="L1311" s="352" t="s">
        <v>1116</v>
      </c>
      <c r="M1311" s="352">
        <v>24</v>
      </c>
      <c r="N1311" s="352" t="s">
        <v>1109</v>
      </c>
      <c r="O1311" s="351">
        <v>100</v>
      </c>
      <c r="P1311" s="349" t="s">
        <v>1836</v>
      </c>
      <c r="R1311" s="349">
        <f t="shared" si="20"/>
        <v>25</v>
      </c>
      <c r="S1311" s="352"/>
      <c r="T1311" s="352"/>
      <c r="U1311" s="352"/>
      <c r="V1311" s="353"/>
      <c r="W1311" s="352"/>
      <c r="X1311" s="176"/>
      <c r="Y1311" s="176"/>
      <c r="Z1311" s="352"/>
      <c r="AA1311" s="352"/>
      <c r="AB1311" s="352"/>
      <c r="AC1311" s="352"/>
      <c r="AD1311" s="352"/>
    </row>
    <row r="1312" spans="1:30" ht="51.3" hidden="1" x14ac:dyDescent="0.35">
      <c r="A1312" s="349">
        <v>1311</v>
      </c>
      <c r="B1312" s="352" t="s">
        <v>965</v>
      </c>
      <c r="C1312" s="351" t="s">
        <v>4625</v>
      </c>
      <c r="D1312" s="352" t="s">
        <v>1812</v>
      </c>
      <c r="E1312" s="352" t="s">
        <v>2004</v>
      </c>
      <c r="F1312" s="353">
        <v>0.45</v>
      </c>
      <c r="G1312" s="352" t="s">
        <v>2126</v>
      </c>
      <c r="H1312" s="176" t="s">
        <v>127</v>
      </c>
      <c r="I1312" s="176" t="s">
        <v>128</v>
      </c>
      <c r="J1312" s="352" t="s">
        <v>3577</v>
      </c>
      <c r="K1312" s="352">
        <v>3.4</v>
      </c>
      <c r="L1312" s="352" t="s">
        <v>2740</v>
      </c>
      <c r="M1312" s="352"/>
      <c r="N1312" s="352"/>
      <c r="O1312" s="351">
        <v>3.4</v>
      </c>
      <c r="P1312" s="349" t="s">
        <v>818</v>
      </c>
      <c r="R1312" s="349">
        <f t="shared" si="20"/>
        <v>14</v>
      </c>
      <c r="S1312" s="352"/>
      <c r="T1312" s="352"/>
      <c r="U1312" s="352"/>
      <c r="V1312" s="353"/>
      <c r="W1312" s="352"/>
      <c r="X1312" s="176"/>
      <c r="Y1312" s="176"/>
      <c r="Z1312" s="352"/>
      <c r="AA1312" s="352"/>
      <c r="AB1312" s="352"/>
      <c r="AC1312" s="352"/>
      <c r="AD1312" s="352"/>
    </row>
    <row r="1313" spans="1:30" ht="51.3" hidden="1" x14ac:dyDescent="0.35">
      <c r="A1313" s="349">
        <v>1312</v>
      </c>
      <c r="B1313" s="352" t="s">
        <v>4027</v>
      </c>
      <c r="C1313" s="351" t="s">
        <v>4018</v>
      </c>
      <c r="D1313" s="352" t="s">
        <v>5035</v>
      </c>
      <c r="E1313" s="352" t="s">
        <v>1996</v>
      </c>
      <c r="F1313" s="353">
        <v>7.0000000000000007E-2</v>
      </c>
      <c r="G1313" s="352" t="s">
        <v>2126</v>
      </c>
      <c r="H1313" s="176" t="s">
        <v>4019</v>
      </c>
      <c r="I1313" s="176" t="s">
        <v>3429</v>
      </c>
      <c r="J1313" s="352" t="s">
        <v>3579</v>
      </c>
      <c r="K1313" s="352">
        <v>1</v>
      </c>
      <c r="L1313" s="352" t="s">
        <v>1116</v>
      </c>
      <c r="M1313" s="352"/>
      <c r="N1313" s="352"/>
      <c r="O1313" s="351">
        <v>1</v>
      </c>
      <c r="P1313" s="349" t="s">
        <v>1836</v>
      </c>
      <c r="R1313" s="349">
        <f t="shared" si="20"/>
        <v>23</v>
      </c>
      <c r="S1313" s="352"/>
      <c r="T1313" s="352"/>
      <c r="U1313" s="352"/>
      <c r="V1313" s="353"/>
      <c r="W1313" s="352"/>
      <c r="X1313" s="176"/>
      <c r="Y1313" s="176"/>
      <c r="Z1313" s="352"/>
      <c r="AA1313" s="352"/>
      <c r="AB1313" s="352"/>
      <c r="AC1313" s="351"/>
      <c r="AD1313" s="351"/>
    </row>
    <row r="1314" spans="1:30" ht="51.3" hidden="1" x14ac:dyDescent="0.35">
      <c r="A1314" s="349">
        <v>1313</v>
      </c>
      <c r="B1314" s="352" t="s">
        <v>4027</v>
      </c>
      <c r="C1314" s="351" t="s">
        <v>4626</v>
      </c>
      <c r="D1314" s="352" t="s">
        <v>5035</v>
      </c>
      <c r="E1314" s="352" t="s">
        <v>1996</v>
      </c>
      <c r="F1314" s="353">
        <v>7.0000000000000007E-2</v>
      </c>
      <c r="G1314" s="352" t="s">
        <v>2126</v>
      </c>
      <c r="H1314" s="176" t="s">
        <v>4019</v>
      </c>
      <c r="I1314" s="176" t="s">
        <v>3429</v>
      </c>
      <c r="J1314" s="352" t="s">
        <v>3579</v>
      </c>
      <c r="K1314" s="352">
        <v>1</v>
      </c>
      <c r="L1314" s="352" t="s">
        <v>1116</v>
      </c>
      <c r="M1314" s="352"/>
      <c r="N1314" s="352"/>
      <c r="O1314" s="351">
        <v>1</v>
      </c>
      <c r="P1314" s="349" t="s">
        <v>1836</v>
      </c>
      <c r="R1314" s="349">
        <f t="shared" si="20"/>
        <v>23</v>
      </c>
      <c r="S1314" s="352"/>
      <c r="T1314" s="352"/>
      <c r="U1314" s="352"/>
      <c r="V1314" s="353"/>
      <c r="W1314" s="352"/>
      <c r="X1314" s="176"/>
      <c r="Y1314" s="176"/>
      <c r="Z1314" s="352"/>
      <c r="AA1314" s="352"/>
      <c r="AB1314" s="352"/>
      <c r="AC1314" s="351"/>
      <c r="AD1314" s="351"/>
    </row>
    <row r="1315" spans="1:30" ht="128.19999999999999" hidden="1" x14ac:dyDescent="0.35">
      <c r="A1315" s="349">
        <v>1314</v>
      </c>
      <c r="B1315" s="352" t="s">
        <v>1080</v>
      </c>
      <c r="C1315" s="351" t="s">
        <v>1249</v>
      </c>
      <c r="D1315" s="352" t="s">
        <v>1249</v>
      </c>
      <c r="E1315" s="352" t="s">
        <v>730</v>
      </c>
      <c r="F1315" s="353">
        <v>41.319600000000001</v>
      </c>
      <c r="G1315" s="352" t="s">
        <v>1107</v>
      </c>
      <c r="H1315" s="37" t="s">
        <v>932</v>
      </c>
      <c r="I1315" s="176" t="s">
        <v>4601</v>
      </c>
      <c r="J1315" s="352" t="s">
        <v>1115</v>
      </c>
      <c r="K1315" s="352">
        <v>100</v>
      </c>
      <c r="L1315" s="352" t="s">
        <v>1116</v>
      </c>
      <c r="M1315" s="351">
        <v>10</v>
      </c>
      <c r="N1315" s="351" t="s">
        <v>1109</v>
      </c>
      <c r="O1315" s="351">
        <v>100</v>
      </c>
      <c r="P1315" s="349" t="s">
        <v>1836</v>
      </c>
      <c r="R1315" s="349">
        <f t="shared" si="20"/>
        <v>12</v>
      </c>
      <c r="S1315" s="352"/>
      <c r="T1315" s="352"/>
      <c r="U1315" s="352"/>
      <c r="V1315" s="353"/>
      <c r="W1315" s="352"/>
      <c r="X1315" s="176"/>
      <c r="Y1315" s="176"/>
      <c r="Z1315" s="352"/>
      <c r="AA1315" s="352"/>
      <c r="AB1315" s="352"/>
      <c r="AC1315" s="352"/>
      <c r="AD1315" s="352"/>
    </row>
    <row r="1316" spans="1:30" ht="128.19999999999999" hidden="1" x14ac:dyDescent="0.35">
      <c r="A1316" s="349">
        <v>1315</v>
      </c>
      <c r="B1316" s="352" t="s">
        <v>1080</v>
      </c>
      <c r="C1316" s="351" t="s">
        <v>1249</v>
      </c>
      <c r="D1316" s="352" t="s">
        <v>1249</v>
      </c>
      <c r="E1316" s="352" t="s">
        <v>730</v>
      </c>
      <c r="F1316" s="353">
        <v>41.319600000000001</v>
      </c>
      <c r="G1316" s="352" t="s">
        <v>1107</v>
      </c>
      <c r="H1316" s="37"/>
      <c r="I1316" s="176" t="s">
        <v>4601</v>
      </c>
      <c r="J1316" s="352" t="s">
        <v>1115</v>
      </c>
      <c r="K1316" s="352">
        <v>100</v>
      </c>
      <c r="L1316" s="352" t="s">
        <v>1116</v>
      </c>
      <c r="M1316" s="351">
        <v>10</v>
      </c>
      <c r="N1316" s="351" t="s">
        <v>1109</v>
      </c>
      <c r="O1316" s="351">
        <v>100</v>
      </c>
      <c r="P1316" s="349" t="s">
        <v>1836</v>
      </c>
      <c r="R1316" s="349">
        <f t="shared" si="20"/>
        <v>12</v>
      </c>
      <c r="S1316" s="352"/>
      <c r="T1316" s="352"/>
      <c r="U1316" s="352"/>
      <c r="V1316" s="353"/>
      <c r="W1316" s="352"/>
      <c r="X1316" s="176"/>
      <c r="Y1316" s="37"/>
      <c r="Z1316" s="352"/>
      <c r="AA1316" s="352"/>
      <c r="AB1316" s="352"/>
      <c r="AC1316" s="351"/>
      <c r="AD1316" s="351"/>
    </row>
    <row r="1317" spans="1:30" ht="128.19999999999999" hidden="1" x14ac:dyDescent="0.35">
      <c r="A1317" s="349">
        <v>1316</v>
      </c>
      <c r="B1317" s="352" t="s">
        <v>1080</v>
      </c>
      <c r="C1317" s="351" t="s">
        <v>1249</v>
      </c>
      <c r="D1317" s="352" t="s">
        <v>1249</v>
      </c>
      <c r="E1317" s="352" t="s">
        <v>3250</v>
      </c>
      <c r="F1317" s="353">
        <v>2.7</v>
      </c>
      <c r="G1317" s="352" t="s">
        <v>1107</v>
      </c>
      <c r="H1317" s="37" t="s">
        <v>932</v>
      </c>
      <c r="I1317" s="176" t="s">
        <v>4601</v>
      </c>
      <c r="J1317" s="352" t="s">
        <v>1115</v>
      </c>
      <c r="K1317" s="352">
        <v>25</v>
      </c>
      <c r="L1317" s="352" t="s">
        <v>1116</v>
      </c>
      <c r="M1317" s="352">
        <v>2</v>
      </c>
      <c r="N1317" s="352" t="s">
        <v>1109</v>
      </c>
      <c r="O1317" s="351">
        <v>25</v>
      </c>
      <c r="P1317" s="349" t="s">
        <v>1836</v>
      </c>
      <c r="R1317" s="349">
        <f t="shared" si="20"/>
        <v>12</v>
      </c>
      <c r="S1317" s="352"/>
      <c r="T1317" s="352"/>
      <c r="U1317" s="352"/>
      <c r="V1317" s="353"/>
      <c r="W1317" s="352"/>
      <c r="X1317" s="176"/>
      <c r="Y1317" s="37"/>
      <c r="Z1317" s="352"/>
      <c r="AA1317" s="352"/>
      <c r="AB1317" s="352"/>
      <c r="AC1317" s="352"/>
      <c r="AD1317" s="352"/>
    </row>
    <row r="1318" spans="1:30" ht="128.19999999999999" hidden="1" x14ac:dyDescent="0.35">
      <c r="A1318" s="349">
        <v>1317</v>
      </c>
      <c r="B1318" s="352" t="s">
        <v>1080</v>
      </c>
      <c r="C1318" s="351" t="s">
        <v>1249</v>
      </c>
      <c r="D1318" s="352" t="s">
        <v>1249</v>
      </c>
      <c r="E1318" s="352" t="s">
        <v>3250</v>
      </c>
      <c r="F1318" s="353">
        <v>2.7</v>
      </c>
      <c r="G1318" s="352" t="s">
        <v>1107</v>
      </c>
      <c r="H1318" s="37"/>
      <c r="I1318" s="176" t="s">
        <v>4601</v>
      </c>
      <c r="J1318" s="352" t="s">
        <v>1115</v>
      </c>
      <c r="K1318" s="352">
        <v>25</v>
      </c>
      <c r="L1318" s="352" t="s">
        <v>1116</v>
      </c>
      <c r="M1318" s="352">
        <v>2</v>
      </c>
      <c r="N1318" s="352" t="s">
        <v>1109</v>
      </c>
      <c r="O1318" s="351">
        <v>25</v>
      </c>
      <c r="P1318" s="349" t="s">
        <v>1836</v>
      </c>
      <c r="R1318" s="349">
        <f t="shared" si="20"/>
        <v>12</v>
      </c>
      <c r="S1318" s="352"/>
      <c r="T1318" s="352"/>
      <c r="U1318" s="352"/>
      <c r="V1318" s="353"/>
      <c r="W1318" s="352"/>
      <c r="X1318" s="176"/>
      <c r="Y1318" s="37"/>
      <c r="Z1318" s="352"/>
      <c r="AA1318" s="352"/>
      <c r="AB1318" s="352"/>
      <c r="AC1318" s="352"/>
      <c r="AD1318" s="352"/>
    </row>
    <row r="1319" spans="1:30" ht="128.19999999999999" hidden="1" x14ac:dyDescent="0.35">
      <c r="A1319" s="349">
        <v>1318</v>
      </c>
      <c r="B1319" s="352" t="s">
        <v>1080</v>
      </c>
      <c r="C1319" s="351" t="s">
        <v>1249</v>
      </c>
      <c r="D1319" s="352" t="s">
        <v>1249</v>
      </c>
      <c r="E1319" s="352" t="s">
        <v>3583</v>
      </c>
      <c r="F1319" s="353">
        <v>22.04</v>
      </c>
      <c r="G1319" s="352" t="s">
        <v>1107</v>
      </c>
      <c r="H1319" s="176"/>
      <c r="I1319" s="176" t="s">
        <v>4601</v>
      </c>
      <c r="J1319" s="352" t="s">
        <v>1115</v>
      </c>
      <c r="K1319" s="352">
        <v>25</v>
      </c>
      <c r="L1319" s="352" t="s">
        <v>1116</v>
      </c>
      <c r="M1319" s="352">
        <v>20</v>
      </c>
      <c r="N1319" s="352" t="s">
        <v>1109</v>
      </c>
      <c r="O1319" s="351">
        <v>25</v>
      </c>
      <c r="P1319" s="349" t="s">
        <v>1836</v>
      </c>
      <c r="R1319" s="349">
        <f t="shared" si="20"/>
        <v>12</v>
      </c>
      <c r="S1319" s="352"/>
      <c r="T1319" s="352"/>
      <c r="U1319" s="352"/>
      <c r="V1319" s="353"/>
      <c r="W1319" s="352"/>
      <c r="X1319" s="176"/>
      <c r="Y1319" s="37"/>
      <c r="Z1319" s="352"/>
      <c r="AA1319" s="352"/>
      <c r="AB1319" s="352"/>
      <c r="AC1319" s="351"/>
      <c r="AD1319" s="351"/>
    </row>
    <row r="1320" spans="1:30" ht="128.19999999999999" hidden="1" x14ac:dyDescent="0.35">
      <c r="A1320" s="349">
        <v>1319</v>
      </c>
      <c r="B1320" s="352" t="s">
        <v>1080</v>
      </c>
      <c r="C1320" s="351" t="s">
        <v>1249</v>
      </c>
      <c r="D1320" s="352" t="s">
        <v>1249</v>
      </c>
      <c r="E1320" s="352" t="s">
        <v>3583</v>
      </c>
      <c r="F1320" s="353">
        <v>22.04</v>
      </c>
      <c r="G1320" s="352" t="s">
        <v>1107</v>
      </c>
      <c r="H1320" s="37" t="s">
        <v>932</v>
      </c>
      <c r="I1320" s="176" t="s">
        <v>4601</v>
      </c>
      <c r="J1320" s="352" t="s">
        <v>1115</v>
      </c>
      <c r="K1320" s="352">
        <v>25</v>
      </c>
      <c r="L1320" s="352" t="s">
        <v>1116</v>
      </c>
      <c r="M1320" s="352">
        <v>20</v>
      </c>
      <c r="N1320" s="352" t="s">
        <v>1109</v>
      </c>
      <c r="O1320" s="351">
        <v>25</v>
      </c>
      <c r="P1320" s="349" t="s">
        <v>1836</v>
      </c>
      <c r="R1320" s="349">
        <f t="shared" si="20"/>
        <v>12</v>
      </c>
      <c r="S1320" s="352"/>
      <c r="T1320" s="352"/>
      <c r="U1320" s="352"/>
      <c r="V1320" s="353"/>
      <c r="W1320" s="352"/>
      <c r="X1320" s="176"/>
      <c r="Y1320" s="176"/>
      <c r="Z1320" s="352"/>
      <c r="AA1320" s="352"/>
      <c r="AB1320" s="352"/>
      <c r="AC1320" s="351"/>
      <c r="AD1320" s="351"/>
    </row>
    <row r="1321" spans="1:30" ht="128.19999999999999" hidden="1" x14ac:dyDescent="0.35">
      <c r="A1321" s="349">
        <v>1320</v>
      </c>
      <c r="B1321" s="352" t="s">
        <v>1080</v>
      </c>
      <c r="C1321" s="351" t="s">
        <v>1249</v>
      </c>
      <c r="D1321" s="352" t="s">
        <v>1249</v>
      </c>
      <c r="E1321" s="352" t="s">
        <v>2741</v>
      </c>
      <c r="F1321" s="353">
        <v>6.5449999999999999</v>
      </c>
      <c r="G1321" s="352" t="s">
        <v>756</v>
      </c>
      <c r="H1321" s="176"/>
      <c r="I1321" s="176" t="s">
        <v>4601</v>
      </c>
      <c r="J1321" s="352" t="s">
        <v>1115</v>
      </c>
      <c r="K1321" s="352">
        <v>5</v>
      </c>
      <c r="L1321" s="352" t="s">
        <v>1116</v>
      </c>
      <c r="M1321" s="352">
        <v>3</v>
      </c>
      <c r="N1321" s="352" t="s">
        <v>1109</v>
      </c>
      <c r="O1321" s="351">
        <v>5</v>
      </c>
      <c r="P1321" s="349" t="s">
        <v>1836</v>
      </c>
      <c r="R1321" s="349">
        <f t="shared" si="20"/>
        <v>12</v>
      </c>
      <c r="S1321" s="352"/>
      <c r="T1321" s="352"/>
      <c r="U1321" s="352"/>
      <c r="V1321" s="353"/>
      <c r="W1321" s="352"/>
      <c r="X1321" s="176"/>
      <c r="Y1321" s="176"/>
      <c r="Z1321" s="352"/>
      <c r="AA1321" s="352"/>
      <c r="AB1321" s="352"/>
      <c r="AC1321" s="352"/>
      <c r="AD1321" s="352"/>
    </row>
    <row r="1322" spans="1:30" ht="179.45" hidden="1" x14ac:dyDescent="0.35">
      <c r="A1322" s="349">
        <v>1321</v>
      </c>
      <c r="B1322" s="352" t="s">
        <v>1490</v>
      </c>
      <c r="C1322" s="351" t="s">
        <v>1249</v>
      </c>
      <c r="D1322" s="352" t="s">
        <v>1249</v>
      </c>
      <c r="E1322" s="352" t="s">
        <v>1995</v>
      </c>
      <c r="F1322" s="353">
        <v>0.48</v>
      </c>
      <c r="G1322" s="352" t="s">
        <v>2126</v>
      </c>
      <c r="H1322" s="37" t="s">
        <v>346</v>
      </c>
      <c r="I1322" s="176" t="s">
        <v>4593</v>
      </c>
      <c r="J1322" s="352" t="s">
        <v>3580</v>
      </c>
      <c r="K1322" s="352">
        <v>2.5</v>
      </c>
      <c r="L1322" s="352" t="s">
        <v>3581</v>
      </c>
      <c r="M1322" s="352"/>
      <c r="N1322" s="352"/>
      <c r="O1322" s="351">
        <v>2.5</v>
      </c>
      <c r="P1322" s="349" t="s">
        <v>1836</v>
      </c>
      <c r="R1322" s="349">
        <f t="shared" si="20"/>
        <v>12</v>
      </c>
      <c r="S1322" s="352"/>
      <c r="T1322" s="352"/>
      <c r="U1322" s="352"/>
      <c r="V1322" s="353"/>
      <c r="W1322" s="352"/>
      <c r="X1322" s="176"/>
      <c r="Y1322" s="176"/>
      <c r="Z1322" s="352"/>
      <c r="AA1322" s="352"/>
      <c r="AB1322" s="352"/>
      <c r="AC1322" s="351"/>
      <c r="AD1322" s="351"/>
    </row>
    <row r="1323" spans="1:30" ht="128.19999999999999" hidden="1" x14ac:dyDescent="0.35">
      <c r="A1323" s="349">
        <v>1322</v>
      </c>
      <c r="B1323" s="352" t="s">
        <v>1080</v>
      </c>
      <c r="C1323" s="351" t="s">
        <v>1249</v>
      </c>
      <c r="D1323" s="352" t="s">
        <v>1249</v>
      </c>
      <c r="E1323" s="352" t="s">
        <v>1995</v>
      </c>
      <c r="F1323" s="353">
        <v>0.48480000000000001</v>
      </c>
      <c r="G1323" s="352" t="s">
        <v>2126</v>
      </c>
      <c r="H1323" s="176"/>
      <c r="I1323" s="176" t="s">
        <v>4601</v>
      </c>
      <c r="J1323" s="352" t="s">
        <v>3580</v>
      </c>
      <c r="K1323" s="352">
        <v>2.5</v>
      </c>
      <c r="L1323" s="352" t="s">
        <v>3581</v>
      </c>
      <c r="M1323" s="352"/>
      <c r="N1323" s="352"/>
      <c r="O1323" s="351">
        <v>2.5</v>
      </c>
      <c r="P1323" s="349" t="s">
        <v>1836</v>
      </c>
      <c r="R1323" s="349">
        <f t="shared" si="20"/>
        <v>12</v>
      </c>
      <c r="S1323" s="352"/>
      <c r="T1323" s="352"/>
      <c r="U1323" s="352"/>
      <c r="V1323" s="353"/>
      <c r="W1323" s="352"/>
      <c r="X1323" s="176"/>
      <c r="Y1323" s="176"/>
      <c r="Z1323" s="352"/>
      <c r="AA1323" s="352"/>
      <c r="AB1323" s="352"/>
      <c r="AC1323" s="351"/>
      <c r="AD1323" s="351"/>
    </row>
    <row r="1324" spans="1:30" ht="179.45" hidden="1" x14ac:dyDescent="0.35">
      <c r="A1324" s="349">
        <v>1323</v>
      </c>
      <c r="B1324" s="352" t="s">
        <v>1490</v>
      </c>
      <c r="C1324" s="351" t="s">
        <v>1249</v>
      </c>
      <c r="D1324" s="352" t="s">
        <v>1249</v>
      </c>
      <c r="E1324" s="352" t="s">
        <v>3250</v>
      </c>
      <c r="F1324" s="353">
        <v>2.86</v>
      </c>
      <c r="G1324" s="352" t="s">
        <v>471</v>
      </c>
      <c r="H1324" s="176" t="s">
        <v>147</v>
      </c>
      <c r="I1324" s="176" t="s">
        <v>4593</v>
      </c>
      <c r="J1324" s="352" t="s">
        <v>1115</v>
      </c>
      <c r="K1324" s="352">
        <v>25</v>
      </c>
      <c r="L1324" s="352" t="s">
        <v>1116</v>
      </c>
      <c r="M1324" s="352">
        <v>2</v>
      </c>
      <c r="N1324" s="352" t="s">
        <v>1109</v>
      </c>
      <c r="O1324" s="351">
        <v>25</v>
      </c>
      <c r="P1324" s="349" t="s">
        <v>1836</v>
      </c>
      <c r="R1324" s="349">
        <f t="shared" si="20"/>
        <v>12</v>
      </c>
      <c r="S1324" s="352"/>
      <c r="T1324" s="352"/>
      <c r="U1324" s="352"/>
      <c r="V1324" s="353"/>
      <c r="W1324" s="352"/>
      <c r="X1324" s="176"/>
      <c r="Y1324" s="176"/>
      <c r="Z1324" s="352"/>
      <c r="AA1324" s="352"/>
      <c r="AB1324" s="352"/>
      <c r="AC1324" s="351"/>
      <c r="AD1324" s="351"/>
    </row>
    <row r="1325" spans="1:30" ht="128.19999999999999" hidden="1" x14ac:dyDescent="0.35">
      <c r="A1325" s="349">
        <v>1324</v>
      </c>
      <c r="B1325" s="352" t="s">
        <v>1080</v>
      </c>
      <c r="C1325" s="351" t="s">
        <v>1249</v>
      </c>
      <c r="D1325" s="352" t="s">
        <v>1249</v>
      </c>
      <c r="E1325" s="352" t="s">
        <v>730</v>
      </c>
      <c r="F1325" s="353">
        <v>41.319600000000001</v>
      </c>
      <c r="G1325" s="352" t="s">
        <v>1107</v>
      </c>
      <c r="H1325" s="176" t="s">
        <v>932</v>
      </c>
      <c r="I1325" s="176" t="s">
        <v>4601</v>
      </c>
      <c r="J1325" s="352" t="s">
        <v>1115</v>
      </c>
      <c r="K1325" s="352">
        <v>100</v>
      </c>
      <c r="L1325" s="352" t="s">
        <v>1116</v>
      </c>
      <c r="M1325" s="352">
        <v>10</v>
      </c>
      <c r="N1325" s="352" t="s">
        <v>1109</v>
      </c>
      <c r="O1325" s="351">
        <v>100</v>
      </c>
      <c r="P1325" s="349" t="s">
        <v>1836</v>
      </c>
      <c r="R1325" s="349">
        <f t="shared" si="20"/>
        <v>12</v>
      </c>
      <c r="S1325" s="352"/>
      <c r="T1325" s="352"/>
      <c r="U1325" s="352"/>
      <c r="V1325" s="353"/>
      <c r="W1325" s="352"/>
      <c r="X1325" s="176"/>
      <c r="Y1325" s="176"/>
      <c r="Z1325" s="352"/>
      <c r="AA1325" s="352"/>
      <c r="AB1325" s="352"/>
      <c r="AC1325" s="351"/>
      <c r="AD1325" s="351"/>
    </row>
    <row r="1326" spans="1:30" ht="128.19999999999999" hidden="1" x14ac:dyDescent="0.35">
      <c r="A1326" s="349">
        <v>1325</v>
      </c>
      <c r="B1326" s="352" t="s">
        <v>1080</v>
      </c>
      <c r="C1326" s="351" t="s">
        <v>1249</v>
      </c>
      <c r="D1326" s="352" t="s">
        <v>1249</v>
      </c>
      <c r="E1326" s="352" t="s">
        <v>730</v>
      </c>
      <c r="F1326" s="353">
        <v>41.319600000000001</v>
      </c>
      <c r="G1326" s="352" t="s">
        <v>1107</v>
      </c>
      <c r="H1326" s="37"/>
      <c r="I1326" s="176" t="s">
        <v>4601</v>
      </c>
      <c r="J1326" s="352" t="s">
        <v>1115</v>
      </c>
      <c r="K1326" s="352">
        <v>100</v>
      </c>
      <c r="L1326" s="352" t="s">
        <v>1116</v>
      </c>
      <c r="M1326" s="352">
        <v>10</v>
      </c>
      <c r="N1326" s="352" t="s">
        <v>1109</v>
      </c>
      <c r="O1326" s="351">
        <v>100</v>
      </c>
      <c r="P1326" s="349" t="s">
        <v>1836</v>
      </c>
      <c r="R1326" s="349">
        <f t="shared" si="20"/>
        <v>12</v>
      </c>
      <c r="S1326" s="352"/>
      <c r="T1326" s="352"/>
      <c r="U1326" s="352"/>
      <c r="V1326" s="353"/>
      <c r="W1326" s="352"/>
      <c r="X1326" s="176"/>
      <c r="Y1326" s="176"/>
      <c r="Z1326" s="352"/>
      <c r="AA1326" s="351"/>
      <c r="AB1326" s="351"/>
      <c r="AC1326" s="351"/>
      <c r="AD1326" s="351"/>
    </row>
    <row r="1327" spans="1:30" ht="128.19999999999999" hidden="1" x14ac:dyDescent="0.35">
      <c r="A1327" s="349">
        <v>1326</v>
      </c>
      <c r="B1327" s="352" t="s">
        <v>1080</v>
      </c>
      <c r="C1327" s="351" t="s">
        <v>1249</v>
      </c>
      <c r="D1327" s="352" t="s">
        <v>1249</v>
      </c>
      <c r="E1327" s="352" t="s">
        <v>3250</v>
      </c>
      <c r="F1327" s="353">
        <v>2.7</v>
      </c>
      <c r="G1327" s="352" t="s">
        <v>1107</v>
      </c>
      <c r="H1327" s="176" t="s">
        <v>932</v>
      </c>
      <c r="I1327" s="176" t="s">
        <v>4601</v>
      </c>
      <c r="J1327" s="352" t="s">
        <v>1115</v>
      </c>
      <c r="K1327" s="352">
        <v>25</v>
      </c>
      <c r="L1327" s="352" t="s">
        <v>1116</v>
      </c>
      <c r="M1327" s="352">
        <v>2</v>
      </c>
      <c r="N1327" s="352" t="s">
        <v>1109</v>
      </c>
      <c r="O1327" s="351">
        <v>25</v>
      </c>
      <c r="P1327" s="349" t="s">
        <v>1836</v>
      </c>
      <c r="R1327" s="349">
        <f t="shared" si="20"/>
        <v>12</v>
      </c>
      <c r="S1327" s="352"/>
      <c r="T1327" s="352"/>
      <c r="U1327" s="352"/>
      <c r="V1327" s="353"/>
      <c r="W1327" s="352"/>
      <c r="X1327" s="176"/>
      <c r="Y1327" s="176"/>
      <c r="Z1327" s="352"/>
      <c r="AA1327" s="351"/>
      <c r="AB1327" s="351"/>
      <c r="AC1327" s="351"/>
      <c r="AD1327" s="351"/>
    </row>
    <row r="1328" spans="1:30" ht="128.19999999999999" hidden="1" x14ac:dyDescent="0.35">
      <c r="A1328" s="349">
        <v>1327</v>
      </c>
      <c r="B1328" s="352" t="s">
        <v>1080</v>
      </c>
      <c r="C1328" s="351" t="s">
        <v>1249</v>
      </c>
      <c r="D1328" s="352" t="s">
        <v>1249</v>
      </c>
      <c r="E1328" s="352" t="s">
        <v>3250</v>
      </c>
      <c r="F1328" s="353">
        <v>2.7</v>
      </c>
      <c r="G1328" s="352" t="s">
        <v>1107</v>
      </c>
      <c r="H1328" s="37"/>
      <c r="I1328" s="176" t="s">
        <v>4601</v>
      </c>
      <c r="J1328" s="352" t="s">
        <v>1115</v>
      </c>
      <c r="K1328" s="352">
        <v>25</v>
      </c>
      <c r="L1328" s="352" t="s">
        <v>1116</v>
      </c>
      <c r="M1328" s="352">
        <v>2</v>
      </c>
      <c r="N1328" s="352" t="s">
        <v>1109</v>
      </c>
      <c r="O1328" s="351">
        <v>25</v>
      </c>
      <c r="P1328" s="349" t="s">
        <v>1836</v>
      </c>
      <c r="R1328" s="349">
        <f t="shared" si="20"/>
        <v>12</v>
      </c>
      <c r="S1328" s="352"/>
      <c r="T1328" s="352"/>
      <c r="U1328" s="352"/>
      <c r="V1328" s="353"/>
      <c r="W1328" s="352"/>
      <c r="X1328" s="176"/>
      <c r="Y1328" s="176"/>
      <c r="Z1328" s="352"/>
      <c r="AA1328" s="352"/>
      <c r="AB1328" s="352"/>
      <c r="AC1328" s="351"/>
      <c r="AD1328" s="351"/>
    </row>
    <row r="1329" spans="1:30" ht="128.19999999999999" hidden="1" x14ac:dyDescent="0.35">
      <c r="A1329" s="349">
        <v>1328</v>
      </c>
      <c r="B1329" s="352" t="s">
        <v>1080</v>
      </c>
      <c r="C1329" s="351" t="s">
        <v>1249</v>
      </c>
      <c r="D1329" s="352" t="s">
        <v>1249</v>
      </c>
      <c r="E1329" s="352" t="s">
        <v>3583</v>
      </c>
      <c r="F1329" s="353">
        <v>22.04</v>
      </c>
      <c r="G1329" s="352" t="s">
        <v>1107</v>
      </c>
      <c r="H1329" s="176"/>
      <c r="I1329" s="176" t="s">
        <v>4601</v>
      </c>
      <c r="J1329" s="352" t="s">
        <v>1115</v>
      </c>
      <c r="K1329" s="352">
        <v>25</v>
      </c>
      <c r="L1329" s="352" t="s">
        <v>1116</v>
      </c>
      <c r="M1329" s="352">
        <v>20</v>
      </c>
      <c r="N1329" s="352" t="s">
        <v>1109</v>
      </c>
      <c r="O1329" s="351">
        <v>25</v>
      </c>
      <c r="P1329" s="349" t="s">
        <v>1836</v>
      </c>
      <c r="R1329" s="349">
        <f t="shared" si="20"/>
        <v>12</v>
      </c>
      <c r="S1329" s="352"/>
      <c r="T1329" s="352"/>
      <c r="U1329" s="352"/>
      <c r="V1329" s="353"/>
      <c r="W1329" s="352"/>
      <c r="X1329" s="176"/>
      <c r="Y1329" s="176"/>
      <c r="Z1329" s="352"/>
      <c r="AA1329" s="351"/>
      <c r="AB1329" s="351"/>
      <c r="AC1329" s="351"/>
      <c r="AD1329" s="351"/>
    </row>
    <row r="1330" spans="1:30" ht="128.19999999999999" hidden="1" x14ac:dyDescent="0.35">
      <c r="A1330" s="349">
        <v>1329</v>
      </c>
      <c r="B1330" s="352" t="s">
        <v>1080</v>
      </c>
      <c r="C1330" s="351" t="s">
        <v>1249</v>
      </c>
      <c r="D1330" s="352" t="s">
        <v>1249</v>
      </c>
      <c r="E1330" s="352" t="s">
        <v>3583</v>
      </c>
      <c r="F1330" s="353">
        <v>22.04</v>
      </c>
      <c r="G1330" s="352" t="s">
        <v>1107</v>
      </c>
      <c r="H1330" s="176" t="s">
        <v>932</v>
      </c>
      <c r="I1330" s="176" t="s">
        <v>4601</v>
      </c>
      <c r="J1330" s="352" t="s">
        <v>1115</v>
      </c>
      <c r="K1330" s="352">
        <v>25</v>
      </c>
      <c r="L1330" s="352" t="s">
        <v>1116</v>
      </c>
      <c r="M1330" s="352">
        <v>20</v>
      </c>
      <c r="N1330" s="352" t="s">
        <v>1109</v>
      </c>
      <c r="O1330" s="351">
        <v>25</v>
      </c>
      <c r="P1330" s="349" t="s">
        <v>1836</v>
      </c>
      <c r="R1330" s="349">
        <f t="shared" si="20"/>
        <v>12</v>
      </c>
      <c r="S1330" s="352"/>
      <c r="T1330" s="352"/>
      <c r="U1330" s="352"/>
      <c r="V1330" s="353"/>
      <c r="W1330" s="352"/>
      <c r="X1330" s="176"/>
      <c r="Y1330" s="176"/>
      <c r="Z1330" s="352"/>
      <c r="AA1330" s="352"/>
      <c r="AB1330" s="352"/>
      <c r="AC1330" s="351"/>
      <c r="AD1330" s="351"/>
    </row>
    <row r="1331" spans="1:30" ht="128.19999999999999" hidden="1" x14ac:dyDescent="0.35">
      <c r="A1331" s="349">
        <v>1330</v>
      </c>
      <c r="B1331" s="352" t="s">
        <v>1080</v>
      </c>
      <c r="C1331" s="351" t="s">
        <v>1249</v>
      </c>
      <c r="D1331" s="352" t="s">
        <v>1249</v>
      </c>
      <c r="E1331" s="352" t="s">
        <v>2741</v>
      </c>
      <c r="F1331" s="353">
        <v>6.5449999999999999</v>
      </c>
      <c r="G1331" s="352" t="s">
        <v>756</v>
      </c>
      <c r="H1331" s="176"/>
      <c r="I1331" s="176" t="s">
        <v>4601</v>
      </c>
      <c r="J1331" s="352" t="s">
        <v>1115</v>
      </c>
      <c r="K1331" s="352">
        <v>5</v>
      </c>
      <c r="L1331" s="352" t="s">
        <v>1116</v>
      </c>
      <c r="M1331" s="352">
        <v>3</v>
      </c>
      <c r="N1331" s="352" t="s">
        <v>1109</v>
      </c>
      <c r="O1331" s="351">
        <v>5</v>
      </c>
      <c r="P1331" s="349" t="s">
        <v>1836</v>
      </c>
      <c r="R1331" s="349">
        <f t="shared" si="20"/>
        <v>12</v>
      </c>
      <c r="S1331" s="352"/>
      <c r="T1331" s="352"/>
      <c r="U1331" s="352"/>
      <c r="V1331" s="353"/>
      <c r="W1331" s="352"/>
      <c r="X1331" s="176"/>
      <c r="Y1331" s="176"/>
      <c r="Z1331" s="352"/>
      <c r="AA1331" s="351"/>
      <c r="AB1331" s="351"/>
      <c r="AC1331" s="351"/>
      <c r="AD1331" s="351"/>
    </row>
    <row r="1332" spans="1:30" ht="179.45" hidden="1" x14ac:dyDescent="0.35">
      <c r="A1332" s="349">
        <v>1331</v>
      </c>
      <c r="B1332" s="352" t="s">
        <v>1490</v>
      </c>
      <c r="C1332" s="351" t="s">
        <v>1249</v>
      </c>
      <c r="D1332" s="352" t="s">
        <v>1249</v>
      </c>
      <c r="E1332" s="352" t="s">
        <v>1995</v>
      </c>
      <c r="F1332" s="353">
        <v>0.48</v>
      </c>
      <c r="G1332" s="352" t="s">
        <v>2126</v>
      </c>
      <c r="H1332" s="176" t="s">
        <v>346</v>
      </c>
      <c r="I1332" s="176" t="s">
        <v>4593</v>
      </c>
      <c r="J1332" s="352" t="s">
        <v>3580</v>
      </c>
      <c r="K1332" s="352">
        <v>2.5</v>
      </c>
      <c r="L1332" s="352" t="s">
        <v>3581</v>
      </c>
      <c r="M1332" s="352"/>
      <c r="N1332" s="352"/>
      <c r="O1332" s="351">
        <v>2.5</v>
      </c>
      <c r="P1332" s="349" t="s">
        <v>1836</v>
      </c>
      <c r="R1332" s="349">
        <f t="shared" si="20"/>
        <v>12</v>
      </c>
      <c r="S1332" s="352"/>
      <c r="T1332" s="352"/>
      <c r="U1332" s="352"/>
      <c r="V1332" s="353"/>
      <c r="W1332" s="352"/>
      <c r="X1332" s="176"/>
      <c r="Y1332" s="176"/>
      <c r="Z1332" s="352"/>
      <c r="AA1332" s="351"/>
      <c r="AB1332" s="351"/>
      <c r="AC1332" s="351"/>
      <c r="AD1332" s="351"/>
    </row>
    <row r="1333" spans="1:30" ht="128.19999999999999" hidden="1" x14ac:dyDescent="0.35">
      <c r="A1333" s="349">
        <v>1332</v>
      </c>
      <c r="B1333" s="352" t="s">
        <v>1080</v>
      </c>
      <c r="C1333" s="351" t="s">
        <v>1249</v>
      </c>
      <c r="D1333" s="352" t="s">
        <v>1249</v>
      </c>
      <c r="E1333" s="352" t="s">
        <v>1995</v>
      </c>
      <c r="F1333" s="353">
        <v>0.48480000000000001</v>
      </c>
      <c r="G1333" s="352" t="s">
        <v>2126</v>
      </c>
      <c r="H1333" s="176"/>
      <c r="I1333" s="176" t="s">
        <v>4601</v>
      </c>
      <c r="J1333" s="352" t="s">
        <v>3580</v>
      </c>
      <c r="K1333" s="352">
        <v>2.5</v>
      </c>
      <c r="L1333" s="352" t="s">
        <v>3581</v>
      </c>
      <c r="M1333" s="352"/>
      <c r="N1333" s="352"/>
      <c r="O1333" s="351">
        <v>2.5</v>
      </c>
      <c r="P1333" s="349" t="s">
        <v>1836</v>
      </c>
      <c r="R1333" s="349">
        <f t="shared" si="20"/>
        <v>12</v>
      </c>
      <c r="S1333" s="352"/>
      <c r="T1333" s="352"/>
      <c r="U1333" s="352"/>
      <c r="V1333" s="353"/>
      <c r="W1333" s="352"/>
      <c r="X1333" s="176"/>
      <c r="Y1333" s="176"/>
      <c r="Z1333" s="352"/>
      <c r="AA1333" s="351"/>
      <c r="AB1333" s="351"/>
      <c r="AC1333" s="351"/>
      <c r="AD1333" s="351"/>
    </row>
    <row r="1334" spans="1:30" ht="179.45" hidden="1" x14ac:dyDescent="0.35">
      <c r="A1334" s="349">
        <v>1333</v>
      </c>
      <c r="B1334" s="352" t="s">
        <v>1490</v>
      </c>
      <c r="C1334" s="351" t="s">
        <v>1249</v>
      </c>
      <c r="D1334" s="352" t="s">
        <v>1249</v>
      </c>
      <c r="E1334" s="352" t="s">
        <v>3250</v>
      </c>
      <c r="F1334" s="353">
        <v>2.86</v>
      </c>
      <c r="G1334" s="352" t="s">
        <v>471</v>
      </c>
      <c r="H1334" s="176" t="s">
        <v>147</v>
      </c>
      <c r="I1334" s="176" t="s">
        <v>4593</v>
      </c>
      <c r="J1334" s="352" t="s">
        <v>1115</v>
      </c>
      <c r="K1334" s="352">
        <v>25</v>
      </c>
      <c r="L1334" s="352" t="s">
        <v>1116</v>
      </c>
      <c r="M1334" s="352">
        <v>2</v>
      </c>
      <c r="N1334" s="352" t="s">
        <v>1109</v>
      </c>
      <c r="O1334" s="351">
        <v>25</v>
      </c>
      <c r="P1334" s="349" t="s">
        <v>1836</v>
      </c>
      <c r="R1334" s="349">
        <f t="shared" si="20"/>
        <v>12</v>
      </c>
      <c r="S1334" s="352"/>
      <c r="T1334" s="352"/>
      <c r="U1334" s="352"/>
      <c r="V1334" s="353"/>
      <c r="W1334" s="352"/>
      <c r="X1334" s="176"/>
      <c r="Y1334" s="176"/>
      <c r="Z1334" s="352"/>
      <c r="AA1334" s="352"/>
      <c r="AB1334" s="352"/>
      <c r="AC1334" s="351"/>
      <c r="AD1334" s="351"/>
    </row>
    <row r="1335" spans="1:30" ht="25.65" hidden="1" x14ac:dyDescent="0.35">
      <c r="A1335" s="349">
        <v>1334</v>
      </c>
      <c r="B1335" s="352" t="s">
        <v>1790</v>
      </c>
      <c r="C1335" s="351" t="s">
        <v>2835</v>
      </c>
      <c r="D1335" s="352" t="s">
        <v>2835</v>
      </c>
      <c r="E1335" s="352" t="s">
        <v>1756</v>
      </c>
      <c r="F1335" s="353">
        <v>7.6909000000000001</v>
      </c>
      <c r="G1335" s="352" t="s">
        <v>34</v>
      </c>
      <c r="H1335" s="176" t="s">
        <v>3770</v>
      </c>
      <c r="I1335" s="176" t="s">
        <v>974</v>
      </c>
      <c r="J1335" s="352" t="s">
        <v>4025</v>
      </c>
      <c r="K1335" s="352">
        <v>5</v>
      </c>
      <c r="L1335" s="352" t="s">
        <v>1116</v>
      </c>
      <c r="M1335" s="351">
        <v>10</v>
      </c>
      <c r="N1335" s="351" t="s">
        <v>1109</v>
      </c>
      <c r="O1335" s="351">
        <v>5</v>
      </c>
      <c r="P1335" s="349" t="s">
        <v>1836</v>
      </c>
      <c r="R1335" s="349">
        <f t="shared" si="20"/>
        <v>15</v>
      </c>
      <c r="S1335" s="352"/>
      <c r="T1335" s="352"/>
      <c r="U1335" s="352"/>
      <c r="V1335" s="353"/>
      <c r="W1335" s="352"/>
      <c r="X1335" s="176"/>
      <c r="Y1335" s="176"/>
      <c r="Z1335" s="352"/>
      <c r="AA1335" s="352"/>
      <c r="AB1335" s="352"/>
      <c r="AC1335" s="351"/>
      <c r="AD1335" s="351"/>
    </row>
    <row r="1336" spans="1:30" ht="25.65" hidden="1" x14ac:dyDescent="0.35">
      <c r="A1336" s="349">
        <v>1335</v>
      </c>
      <c r="B1336" s="352" t="s">
        <v>1790</v>
      </c>
      <c r="C1336" s="351" t="s">
        <v>4627</v>
      </c>
      <c r="D1336" s="352" t="s">
        <v>2835</v>
      </c>
      <c r="E1336" s="352" t="s">
        <v>1756</v>
      </c>
      <c r="F1336" s="353">
        <v>7.6909000000000001</v>
      </c>
      <c r="G1336" s="352" t="s">
        <v>34</v>
      </c>
      <c r="H1336" s="176" t="s">
        <v>3770</v>
      </c>
      <c r="I1336" s="176" t="s">
        <v>974</v>
      </c>
      <c r="J1336" s="352" t="s">
        <v>4025</v>
      </c>
      <c r="K1336" s="352">
        <v>5</v>
      </c>
      <c r="L1336" s="352" t="s">
        <v>1116</v>
      </c>
      <c r="M1336" s="351">
        <v>10</v>
      </c>
      <c r="N1336" s="351" t="s">
        <v>1109</v>
      </c>
      <c r="O1336" s="351">
        <v>5</v>
      </c>
      <c r="P1336" s="349" t="s">
        <v>1836</v>
      </c>
      <c r="R1336" s="349">
        <f t="shared" si="20"/>
        <v>15</v>
      </c>
      <c r="S1336" s="352"/>
      <c r="T1336" s="352"/>
      <c r="U1336" s="352"/>
      <c r="V1336" s="353"/>
      <c r="W1336" s="352"/>
      <c r="X1336" s="176"/>
      <c r="Y1336" s="176"/>
      <c r="Z1336" s="352"/>
      <c r="AA1336" s="352"/>
      <c r="AB1336" s="352"/>
      <c r="AC1336" s="351"/>
      <c r="AD1336" s="351"/>
    </row>
    <row r="1337" spans="1:30" ht="25.65" hidden="1" x14ac:dyDescent="0.35">
      <c r="A1337" s="349">
        <v>1336</v>
      </c>
      <c r="B1337" s="352" t="s">
        <v>1113</v>
      </c>
      <c r="C1337" s="351" t="s">
        <v>3771</v>
      </c>
      <c r="D1337" s="352" t="s">
        <v>3771</v>
      </c>
      <c r="E1337" s="352" t="s">
        <v>2857</v>
      </c>
      <c r="F1337" s="353">
        <v>1.5</v>
      </c>
      <c r="G1337" s="352" t="s">
        <v>1107</v>
      </c>
      <c r="H1337" s="176" t="s">
        <v>3772</v>
      </c>
      <c r="I1337" s="176" t="s">
        <v>4589</v>
      </c>
      <c r="J1337" s="352" t="s">
        <v>828</v>
      </c>
      <c r="K1337" s="352">
        <v>10</v>
      </c>
      <c r="L1337" s="352" t="s">
        <v>1116</v>
      </c>
      <c r="M1337" s="351">
        <v>10</v>
      </c>
      <c r="N1337" s="351" t="s">
        <v>1109</v>
      </c>
      <c r="O1337" s="351">
        <v>10</v>
      </c>
      <c r="P1337" s="349" t="s">
        <v>1836</v>
      </c>
      <c r="R1337" s="349">
        <f t="shared" si="20"/>
        <v>14</v>
      </c>
      <c r="S1337" s="352"/>
      <c r="T1337" s="352"/>
      <c r="U1337" s="352"/>
      <c r="V1337" s="353"/>
      <c r="W1337" s="352"/>
      <c r="X1337" s="176"/>
      <c r="Y1337" s="176"/>
      <c r="Z1337" s="352"/>
      <c r="AA1337" s="352"/>
      <c r="AB1337" s="352"/>
      <c r="AC1337" s="351"/>
      <c r="AD1337" s="351"/>
    </row>
    <row r="1338" spans="1:30" ht="25.65" hidden="1" x14ac:dyDescent="0.35">
      <c r="A1338" s="349">
        <v>1337</v>
      </c>
      <c r="B1338" s="352" t="s">
        <v>1113</v>
      </c>
      <c r="C1338" s="351" t="s">
        <v>4628</v>
      </c>
      <c r="D1338" s="352" t="s">
        <v>3771</v>
      </c>
      <c r="E1338" s="352" t="s">
        <v>2857</v>
      </c>
      <c r="F1338" s="353">
        <v>1.5</v>
      </c>
      <c r="G1338" s="352" t="s">
        <v>1107</v>
      </c>
      <c r="H1338" s="176" t="s">
        <v>3772</v>
      </c>
      <c r="I1338" s="176" t="s">
        <v>4589</v>
      </c>
      <c r="J1338" s="352" t="s">
        <v>828</v>
      </c>
      <c r="K1338" s="352">
        <v>10</v>
      </c>
      <c r="L1338" s="352" t="s">
        <v>1116</v>
      </c>
      <c r="M1338" s="351">
        <v>10</v>
      </c>
      <c r="N1338" s="351" t="s">
        <v>1109</v>
      </c>
      <c r="O1338" s="351">
        <v>10</v>
      </c>
      <c r="P1338" s="349" t="s">
        <v>1836</v>
      </c>
      <c r="R1338" s="349">
        <f t="shared" si="20"/>
        <v>14</v>
      </c>
      <c r="S1338" s="352"/>
      <c r="T1338" s="352"/>
      <c r="U1338" s="352"/>
      <c r="V1338" s="353"/>
      <c r="W1338" s="352"/>
      <c r="X1338" s="176"/>
      <c r="Y1338" s="176"/>
      <c r="Z1338" s="352"/>
      <c r="AA1338" s="352"/>
      <c r="AB1338" s="352"/>
      <c r="AC1338" s="351"/>
      <c r="AD1338" s="351"/>
    </row>
    <row r="1339" spans="1:30" ht="76.900000000000006" hidden="1" x14ac:dyDescent="0.35">
      <c r="A1339" s="349">
        <v>1338</v>
      </c>
      <c r="B1339" s="352" t="s">
        <v>3457</v>
      </c>
      <c r="C1339" s="351" t="s">
        <v>2759</v>
      </c>
      <c r="D1339" s="352" t="s">
        <v>2759</v>
      </c>
      <c r="E1339" s="352" t="s">
        <v>1995</v>
      </c>
      <c r="F1339" s="353">
        <v>0.50690000000000002</v>
      </c>
      <c r="G1339" s="352" t="s">
        <v>2126</v>
      </c>
      <c r="H1339" s="176" t="s">
        <v>3851</v>
      </c>
      <c r="I1339" s="176" t="s">
        <v>2943</v>
      </c>
      <c r="J1339" s="352" t="s">
        <v>3580</v>
      </c>
      <c r="K1339" s="352">
        <v>10</v>
      </c>
      <c r="L1339" s="352" t="s">
        <v>3581</v>
      </c>
      <c r="M1339" s="352"/>
      <c r="N1339" s="352"/>
      <c r="O1339" s="351">
        <v>10</v>
      </c>
      <c r="P1339" s="349" t="s">
        <v>1836</v>
      </c>
      <c r="R1339" s="349">
        <f t="shared" si="20"/>
        <v>14</v>
      </c>
      <c r="S1339" s="352"/>
      <c r="T1339" s="352"/>
      <c r="U1339" s="352"/>
      <c r="V1339" s="353"/>
      <c r="W1339" s="352"/>
      <c r="X1339" s="176"/>
      <c r="Y1339" s="176"/>
      <c r="Z1339" s="352"/>
      <c r="AA1339" s="352"/>
      <c r="AB1339" s="352"/>
      <c r="AC1339" s="351"/>
      <c r="AD1339" s="351"/>
    </row>
    <row r="1340" spans="1:30" ht="153.80000000000001" hidden="1" x14ac:dyDescent="0.35">
      <c r="A1340" s="349">
        <v>1339</v>
      </c>
      <c r="B1340" s="352" t="s">
        <v>778</v>
      </c>
      <c r="C1340" s="351" t="s">
        <v>2944</v>
      </c>
      <c r="D1340" s="352" t="s">
        <v>2944</v>
      </c>
      <c r="E1340" s="352" t="s">
        <v>1997</v>
      </c>
      <c r="F1340" s="353">
        <v>19.260400000000001</v>
      </c>
      <c r="G1340" s="352" t="s">
        <v>1107</v>
      </c>
      <c r="H1340" s="176" t="s">
        <v>4272</v>
      </c>
      <c r="I1340" s="176" t="s">
        <v>4927</v>
      </c>
      <c r="J1340" s="352" t="s">
        <v>1115</v>
      </c>
      <c r="K1340" s="352">
        <v>500</v>
      </c>
      <c r="L1340" s="352" t="s">
        <v>1464</v>
      </c>
      <c r="M1340" s="351"/>
      <c r="N1340" s="351"/>
      <c r="O1340" s="351">
        <v>500</v>
      </c>
      <c r="P1340" s="349" t="s">
        <v>1836</v>
      </c>
      <c r="R1340" s="349">
        <f t="shared" si="20"/>
        <v>17</v>
      </c>
      <c r="S1340" s="352"/>
      <c r="T1340" s="352"/>
      <c r="U1340" s="352"/>
      <c r="V1340" s="353"/>
      <c r="W1340" s="352"/>
      <c r="X1340" s="176"/>
      <c r="Y1340" s="176"/>
      <c r="Z1340" s="352"/>
      <c r="AA1340" s="352"/>
      <c r="AB1340" s="352"/>
      <c r="AC1340" s="351"/>
      <c r="AD1340" s="351"/>
    </row>
    <row r="1341" spans="1:30" ht="102.55" hidden="1" x14ac:dyDescent="0.35">
      <c r="A1341" s="349">
        <v>1340</v>
      </c>
      <c r="B1341" s="352" t="s">
        <v>3160</v>
      </c>
      <c r="C1341" s="351" t="s">
        <v>312</v>
      </c>
      <c r="D1341" s="352" t="s">
        <v>312</v>
      </c>
      <c r="E1341" s="352" t="s">
        <v>762</v>
      </c>
      <c r="F1341" s="353">
        <v>0.31</v>
      </c>
      <c r="G1341" s="352" t="s">
        <v>1107</v>
      </c>
      <c r="H1341" s="176" t="s">
        <v>313</v>
      </c>
      <c r="I1341" s="176" t="s">
        <v>1577</v>
      </c>
      <c r="J1341" s="352" t="s">
        <v>828</v>
      </c>
      <c r="K1341" s="352">
        <v>5</v>
      </c>
      <c r="L1341" s="352" t="s">
        <v>1116</v>
      </c>
      <c r="M1341" s="352">
        <v>2</v>
      </c>
      <c r="N1341" s="352" t="s">
        <v>1109</v>
      </c>
      <c r="O1341" s="351">
        <v>5</v>
      </c>
      <c r="P1341" s="349" t="s">
        <v>1836</v>
      </c>
      <c r="R1341" s="349">
        <f t="shared" si="20"/>
        <v>14</v>
      </c>
      <c r="S1341" s="352"/>
      <c r="T1341" s="352"/>
      <c r="U1341" s="352"/>
      <c r="V1341" s="353"/>
      <c r="W1341" s="352"/>
      <c r="X1341" s="176"/>
      <c r="Y1341" s="176"/>
      <c r="Z1341" s="352"/>
      <c r="AA1341" s="352"/>
      <c r="AB1341" s="352"/>
      <c r="AC1341" s="351"/>
      <c r="AD1341" s="351"/>
    </row>
    <row r="1342" spans="1:30" ht="38.450000000000003" hidden="1" x14ac:dyDescent="0.35">
      <c r="A1342" s="349">
        <v>1341</v>
      </c>
      <c r="B1342" s="352" t="s">
        <v>3160</v>
      </c>
      <c r="C1342" s="351" t="s">
        <v>312</v>
      </c>
      <c r="D1342" s="352" t="s">
        <v>312</v>
      </c>
      <c r="E1342" s="352" t="s">
        <v>553</v>
      </c>
      <c r="F1342" s="353">
        <v>6.35</v>
      </c>
      <c r="G1342" s="352" t="s">
        <v>2126</v>
      </c>
      <c r="H1342" s="176" t="s">
        <v>2905</v>
      </c>
      <c r="I1342" s="176" t="s">
        <v>1577</v>
      </c>
      <c r="J1342" s="352" t="s">
        <v>3579</v>
      </c>
      <c r="K1342" s="352">
        <v>1</v>
      </c>
      <c r="L1342" s="352" t="s">
        <v>1116</v>
      </c>
      <c r="M1342" s="351">
        <v>200</v>
      </c>
      <c r="N1342" s="351" t="s">
        <v>1109</v>
      </c>
      <c r="O1342" s="351">
        <v>1</v>
      </c>
      <c r="P1342" s="349" t="s">
        <v>1836</v>
      </c>
      <c r="R1342" s="349">
        <f t="shared" si="20"/>
        <v>14</v>
      </c>
      <c r="S1342" s="352"/>
      <c r="T1342" s="352"/>
      <c r="U1342" s="352"/>
      <c r="V1342" s="353"/>
      <c r="W1342" s="352"/>
      <c r="X1342" s="176"/>
      <c r="Y1342" s="176"/>
      <c r="Z1342" s="352"/>
      <c r="AA1342" s="352"/>
      <c r="AB1342" s="352"/>
      <c r="AC1342" s="351"/>
      <c r="AD1342" s="351"/>
    </row>
    <row r="1343" spans="1:30" ht="38.450000000000003" hidden="1" x14ac:dyDescent="0.35">
      <c r="A1343" s="349">
        <v>1342</v>
      </c>
      <c r="B1343" s="352" t="s">
        <v>3160</v>
      </c>
      <c r="C1343" s="351" t="s">
        <v>312</v>
      </c>
      <c r="D1343" s="352" t="s">
        <v>312</v>
      </c>
      <c r="E1343" s="352" t="s">
        <v>1995</v>
      </c>
      <c r="F1343" s="353">
        <v>0.22</v>
      </c>
      <c r="G1343" s="352" t="s">
        <v>2126</v>
      </c>
      <c r="H1343" s="176" t="s">
        <v>2905</v>
      </c>
      <c r="I1343" s="176" t="s">
        <v>1577</v>
      </c>
      <c r="J1343" s="352" t="s">
        <v>3580</v>
      </c>
      <c r="K1343" s="352">
        <v>10</v>
      </c>
      <c r="L1343" s="352" t="s">
        <v>3581</v>
      </c>
      <c r="M1343" s="351"/>
      <c r="N1343" s="351"/>
      <c r="O1343" s="351">
        <v>10</v>
      </c>
      <c r="P1343" s="349" t="s">
        <v>1836</v>
      </c>
      <c r="R1343" s="349">
        <f t="shared" si="20"/>
        <v>14</v>
      </c>
      <c r="S1343" s="352"/>
      <c r="T1343" s="352"/>
      <c r="U1343" s="352"/>
      <c r="V1343" s="353"/>
      <c r="W1343" s="352"/>
      <c r="X1343" s="176"/>
      <c r="Y1343" s="176"/>
      <c r="Z1343" s="352"/>
      <c r="AA1343" s="352"/>
      <c r="AB1343" s="352"/>
      <c r="AC1343" s="351"/>
      <c r="AD1343" s="351"/>
    </row>
    <row r="1344" spans="1:30" ht="38.450000000000003" hidden="1" x14ac:dyDescent="0.35">
      <c r="A1344" s="349">
        <v>1343</v>
      </c>
      <c r="B1344" s="352" t="s">
        <v>3160</v>
      </c>
      <c r="C1344" s="351" t="s">
        <v>312</v>
      </c>
      <c r="D1344" s="352" t="s">
        <v>312</v>
      </c>
      <c r="E1344" s="352" t="s">
        <v>1999</v>
      </c>
      <c r="F1344" s="353">
        <v>0.22</v>
      </c>
      <c r="G1344" s="352" t="s">
        <v>967</v>
      </c>
      <c r="H1344" s="176" t="s">
        <v>2906</v>
      </c>
      <c r="I1344" s="176" t="s">
        <v>1577</v>
      </c>
      <c r="J1344" s="352" t="s">
        <v>968</v>
      </c>
      <c r="K1344" s="352">
        <v>10</v>
      </c>
      <c r="L1344" s="352" t="s">
        <v>969</v>
      </c>
      <c r="M1344" s="351"/>
      <c r="N1344" s="351"/>
      <c r="O1344" s="351">
        <v>10</v>
      </c>
      <c r="P1344" s="349" t="s">
        <v>1836</v>
      </c>
      <c r="R1344" s="349">
        <f t="shared" si="20"/>
        <v>14</v>
      </c>
      <c r="S1344" s="352"/>
      <c r="T1344" s="352"/>
      <c r="U1344" s="352"/>
      <c r="V1344" s="353"/>
      <c r="W1344" s="352"/>
      <c r="X1344" s="176"/>
      <c r="Y1344" s="37"/>
      <c r="Z1344" s="352"/>
      <c r="AA1344" s="352"/>
      <c r="AB1344" s="352"/>
      <c r="AC1344" s="351"/>
      <c r="AD1344" s="351"/>
    </row>
    <row r="1345" spans="1:30" ht="38.450000000000003" hidden="1" x14ac:dyDescent="0.35">
      <c r="A1345" s="349">
        <v>1344</v>
      </c>
      <c r="B1345" s="352" t="s">
        <v>3160</v>
      </c>
      <c r="C1345" s="351" t="s">
        <v>312</v>
      </c>
      <c r="D1345" s="352" t="s">
        <v>312</v>
      </c>
      <c r="E1345" s="352" t="s">
        <v>1999</v>
      </c>
      <c r="F1345" s="353">
        <v>0.6</v>
      </c>
      <c r="G1345" s="352" t="s">
        <v>967</v>
      </c>
      <c r="H1345" s="176" t="s">
        <v>2906</v>
      </c>
      <c r="I1345" s="176" t="s">
        <v>1577</v>
      </c>
      <c r="J1345" s="352" t="s">
        <v>968</v>
      </c>
      <c r="K1345" s="352">
        <v>20</v>
      </c>
      <c r="L1345" s="352" t="s">
        <v>969</v>
      </c>
      <c r="M1345" s="351"/>
      <c r="N1345" s="351"/>
      <c r="O1345" s="351">
        <v>20</v>
      </c>
      <c r="P1345" s="349" t="s">
        <v>1836</v>
      </c>
      <c r="R1345" s="349">
        <f t="shared" si="20"/>
        <v>14</v>
      </c>
      <c r="S1345" s="352"/>
      <c r="T1345" s="352"/>
      <c r="U1345" s="352"/>
      <c r="V1345" s="353"/>
      <c r="W1345" s="352"/>
      <c r="X1345" s="176"/>
      <c r="Y1345" s="37"/>
      <c r="Z1345" s="352"/>
      <c r="AA1345" s="352"/>
      <c r="AB1345" s="352"/>
      <c r="AC1345" s="351"/>
      <c r="AD1345" s="351"/>
    </row>
    <row r="1346" spans="1:30" ht="141" hidden="1" x14ac:dyDescent="0.35">
      <c r="A1346" s="349">
        <v>1345</v>
      </c>
      <c r="B1346" s="352" t="s">
        <v>2070</v>
      </c>
      <c r="C1346" s="351" t="s">
        <v>2310</v>
      </c>
      <c r="D1346" s="352" t="s">
        <v>2310</v>
      </c>
      <c r="E1346" s="352" t="s">
        <v>827</v>
      </c>
      <c r="F1346" s="353">
        <v>0.15</v>
      </c>
      <c r="G1346" s="352" t="s">
        <v>1107</v>
      </c>
      <c r="H1346" s="176" t="s">
        <v>4463</v>
      </c>
      <c r="I1346" s="176" t="s">
        <v>4942</v>
      </c>
      <c r="J1346" s="352" t="s">
        <v>828</v>
      </c>
      <c r="K1346" s="352">
        <v>1</v>
      </c>
      <c r="L1346" s="352" t="s">
        <v>1116</v>
      </c>
      <c r="M1346" s="352">
        <v>5</v>
      </c>
      <c r="N1346" s="352" t="s">
        <v>1109</v>
      </c>
      <c r="O1346" s="351">
        <v>1</v>
      </c>
      <c r="P1346" s="349" t="s">
        <v>1836</v>
      </c>
      <c r="R1346" s="349">
        <f t="shared" si="20"/>
        <v>10</v>
      </c>
      <c r="S1346" s="352"/>
      <c r="T1346" s="352"/>
      <c r="U1346" s="352"/>
      <c r="V1346" s="353"/>
      <c r="W1346" s="352"/>
      <c r="X1346" s="176"/>
      <c r="Y1346" s="176"/>
      <c r="Z1346" s="352"/>
      <c r="AA1346" s="352"/>
      <c r="AB1346" s="352"/>
      <c r="AC1346" s="351"/>
      <c r="AD1346" s="351"/>
    </row>
    <row r="1347" spans="1:30" ht="179.45" hidden="1" x14ac:dyDescent="0.35">
      <c r="A1347" s="349">
        <v>1346</v>
      </c>
      <c r="B1347" s="352" t="s">
        <v>2070</v>
      </c>
      <c r="C1347" s="351" t="s">
        <v>2310</v>
      </c>
      <c r="D1347" s="352" t="s">
        <v>2310</v>
      </c>
      <c r="E1347" s="352" t="s">
        <v>1995</v>
      </c>
      <c r="F1347" s="353">
        <v>0.35</v>
      </c>
      <c r="G1347" s="352" t="s">
        <v>2126</v>
      </c>
      <c r="H1347" s="176" t="s">
        <v>4464</v>
      </c>
      <c r="I1347" s="176" t="s">
        <v>4942</v>
      </c>
      <c r="J1347" s="352" t="s">
        <v>3580</v>
      </c>
      <c r="K1347" s="352">
        <v>50</v>
      </c>
      <c r="L1347" s="352" t="s">
        <v>3581</v>
      </c>
      <c r="M1347" s="352"/>
      <c r="N1347" s="352"/>
      <c r="O1347" s="351">
        <v>50</v>
      </c>
      <c r="P1347" s="349" t="s">
        <v>1836</v>
      </c>
      <c r="R1347" s="349">
        <f t="shared" ref="R1347:R1410" si="21">LEN(D1347)</f>
        <v>10</v>
      </c>
      <c r="S1347" s="352"/>
      <c r="T1347" s="352"/>
      <c r="U1347" s="352"/>
      <c r="V1347" s="353"/>
      <c r="W1347" s="352"/>
      <c r="X1347" s="176"/>
      <c r="Y1347" s="176"/>
      <c r="Z1347" s="352"/>
      <c r="AA1347" s="352"/>
      <c r="AB1347" s="352"/>
      <c r="AC1347" s="351"/>
      <c r="AD1347" s="351"/>
    </row>
    <row r="1348" spans="1:30" ht="179.45" hidden="1" x14ac:dyDescent="0.35">
      <c r="A1348" s="349">
        <v>1347</v>
      </c>
      <c r="B1348" s="352" t="s">
        <v>2070</v>
      </c>
      <c r="C1348" s="351" t="s">
        <v>2310</v>
      </c>
      <c r="D1348" s="352" t="s">
        <v>2310</v>
      </c>
      <c r="E1348" s="352" t="s">
        <v>1995</v>
      </c>
      <c r="F1348" s="353">
        <v>0.31</v>
      </c>
      <c r="G1348" s="352" t="s">
        <v>2126</v>
      </c>
      <c r="H1348" s="176" t="s">
        <v>4464</v>
      </c>
      <c r="I1348" s="176" t="s">
        <v>4942</v>
      </c>
      <c r="J1348" s="352" t="s">
        <v>3580</v>
      </c>
      <c r="K1348" s="352">
        <v>100</v>
      </c>
      <c r="L1348" s="352" t="s">
        <v>3581</v>
      </c>
      <c r="M1348" s="352"/>
      <c r="N1348" s="352"/>
      <c r="O1348" s="351">
        <v>100</v>
      </c>
      <c r="P1348" s="349" t="s">
        <v>1836</v>
      </c>
      <c r="R1348" s="349">
        <f t="shared" si="21"/>
        <v>10</v>
      </c>
      <c r="S1348" s="352"/>
      <c r="T1348" s="352"/>
      <c r="U1348" s="352"/>
      <c r="V1348" s="353"/>
      <c r="W1348" s="352"/>
      <c r="X1348" s="176"/>
      <c r="Y1348" s="176"/>
      <c r="Z1348" s="352"/>
      <c r="AA1348" s="352"/>
      <c r="AB1348" s="352"/>
      <c r="AC1348" s="351"/>
      <c r="AD1348" s="351"/>
    </row>
    <row r="1349" spans="1:30" ht="179.45" hidden="1" x14ac:dyDescent="0.35">
      <c r="A1349" s="349">
        <v>1348</v>
      </c>
      <c r="B1349" s="352" t="s">
        <v>2070</v>
      </c>
      <c r="C1349" s="351" t="s">
        <v>2310</v>
      </c>
      <c r="D1349" s="352" t="s">
        <v>2310</v>
      </c>
      <c r="E1349" s="352" t="s">
        <v>2000</v>
      </c>
      <c r="F1349" s="353">
        <v>0.35260000000000002</v>
      </c>
      <c r="G1349" s="352" t="s">
        <v>2126</v>
      </c>
      <c r="H1349" s="176" t="s">
        <v>4464</v>
      </c>
      <c r="I1349" s="176" t="s">
        <v>4942</v>
      </c>
      <c r="J1349" s="352" t="s">
        <v>2695</v>
      </c>
      <c r="K1349" s="352">
        <v>50</v>
      </c>
      <c r="L1349" s="352" t="s">
        <v>3581</v>
      </c>
      <c r="M1349" s="351"/>
      <c r="N1349" s="351"/>
      <c r="O1349" s="351">
        <v>50</v>
      </c>
      <c r="P1349" s="349" t="s">
        <v>1836</v>
      </c>
      <c r="R1349" s="349">
        <f t="shared" si="21"/>
        <v>10</v>
      </c>
      <c r="S1349" s="352"/>
      <c r="T1349" s="352"/>
      <c r="U1349" s="352"/>
      <c r="V1349" s="353"/>
      <c r="W1349" s="352"/>
      <c r="X1349" s="176"/>
      <c r="Y1349" s="176"/>
      <c r="Z1349" s="352"/>
      <c r="AA1349" s="352"/>
      <c r="AB1349" s="352"/>
      <c r="AC1349" s="351"/>
      <c r="AD1349" s="351"/>
    </row>
    <row r="1350" spans="1:30" ht="179.45" hidden="1" x14ac:dyDescent="0.35">
      <c r="A1350" s="349">
        <v>1349</v>
      </c>
      <c r="B1350" s="352" t="s">
        <v>2070</v>
      </c>
      <c r="C1350" s="351" t="s">
        <v>2310</v>
      </c>
      <c r="D1350" s="352" t="s">
        <v>2310</v>
      </c>
      <c r="E1350" s="352" t="s">
        <v>2000</v>
      </c>
      <c r="F1350" s="353">
        <v>0.55089999999999995</v>
      </c>
      <c r="G1350" s="352" t="s">
        <v>2126</v>
      </c>
      <c r="H1350" s="176" t="s">
        <v>4464</v>
      </c>
      <c r="I1350" s="176" t="s">
        <v>4942</v>
      </c>
      <c r="J1350" s="352" t="s">
        <v>2695</v>
      </c>
      <c r="K1350" s="352">
        <v>100</v>
      </c>
      <c r="L1350" s="352" t="s">
        <v>3581</v>
      </c>
      <c r="M1350" s="351"/>
      <c r="N1350" s="351"/>
      <c r="O1350" s="351">
        <v>100</v>
      </c>
      <c r="P1350" s="349" t="s">
        <v>1836</v>
      </c>
      <c r="R1350" s="349">
        <f t="shared" si="21"/>
        <v>10</v>
      </c>
      <c r="S1350" s="352"/>
      <c r="T1350" s="352"/>
      <c r="U1350" s="352"/>
      <c r="V1350" s="353"/>
      <c r="W1350" s="352"/>
      <c r="X1350" s="176"/>
      <c r="Y1350" s="176"/>
      <c r="Z1350" s="352"/>
      <c r="AA1350" s="352"/>
      <c r="AB1350" s="352"/>
      <c r="AC1350" s="352"/>
      <c r="AD1350" s="352"/>
    </row>
    <row r="1351" spans="1:30" ht="115.35" hidden="1" x14ac:dyDescent="0.35">
      <c r="A1351" s="349">
        <v>1350</v>
      </c>
      <c r="B1351" s="352" t="s">
        <v>3205</v>
      </c>
      <c r="C1351" s="351" t="s">
        <v>907</v>
      </c>
      <c r="D1351" s="352" t="s">
        <v>907</v>
      </c>
      <c r="E1351" s="352" t="s">
        <v>1586</v>
      </c>
      <c r="F1351" s="353">
        <v>2.0935000000000001</v>
      </c>
      <c r="G1351" s="352" t="s">
        <v>1107</v>
      </c>
      <c r="H1351" s="176" t="s">
        <v>927</v>
      </c>
      <c r="I1351" s="176" t="s">
        <v>928</v>
      </c>
      <c r="J1351" s="352" t="s">
        <v>1115</v>
      </c>
      <c r="K1351" s="352">
        <v>5</v>
      </c>
      <c r="L1351" s="352" t="s">
        <v>1116</v>
      </c>
      <c r="M1351" s="351">
        <v>100</v>
      </c>
      <c r="N1351" s="351" t="s">
        <v>1109</v>
      </c>
      <c r="O1351" s="351">
        <v>5</v>
      </c>
      <c r="P1351" s="349" t="s">
        <v>1836</v>
      </c>
      <c r="R1351" s="349">
        <f t="shared" si="21"/>
        <v>12</v>
      </c>
      <c r="S1351" s="352"/>
      <c r="T1351" s="352"/>
      <c r="U1351" s="352"/>
      <c r="V1351" s="353"/>
      <c r="W1351" s="352"/>
      <c r="X1351" s="176"/>
      <c r="Y1351" s="176"/>
      <c r="Z1351" s="352"/>
      <c r="AA1351" s="352"/>
      <c r="AB1351" s="352"/>
      <c r="AC1351" s="352"/>
      <c r="AD1351" s="352"/>
    </row>
    <row r="1352" spans="1:30" ht="25.65" hidden="1" x14ac:dyDescent="0.35">
      <c r="A1352" s="349">
        <v>1351</v>
      </c>
      <c r="B1352" s="352" t="s">
        <v>3205</v>
      </c>
      <c r="C1352" s="351" t="s">
        <v>907</v>
      </c>
      <c r="D1352" s="352" t="s">
        <v>907</v>
      </c>
      <c r="E1352" s="352" t="s">
        <v>2129</v>
      </c>
      <c r="F1352" s="353">
        <v>12.25</v>
      </c>
      <c r="G1352" s="352" t="s">
        <v>2126</v>
      </c>
      <c r="H1352" s="176" t="s">
        <v>929</v>
      </c>
      <c r="I1352" s="176" t="s">
        <v>928</v>
      </c>
      <c r="J1352" s="352" t="s">
        <v>3579</v>
      </c>
      <c r="K1352" s="352">
        <v>40</v>
      </c>
      <c r="L1352" s="352" t="s">
        <v>1116</v>
      </c>
      <c r="M1352" s="352">
        <v>100</v>
      </c>
      <c r="N1352" s="352" t="s">
        <v>1109</v>
      </c>
      <c r="O1352" s="351">
        <v>40</v>
      </c>
      <c r="P1352" s="349" t="s">
        <v>1836</v>
      </c>
      <c r="R1352" s="349">
        <f t="shared" si="21"/>
        <v>12</v>
      </c>
      <c r="S1352" s="352"/>
      <c r="T1352" s="352"/>
      <c r="U1352" s="352"/>
      <c r="V1352" s="353"/>
      <c r="W1352" s="352"/>
      <c r="X1352" s="176"/>
      <c r="Y1352" s="176"/>
      <c r="Z1352" s="352"/>
      <c r="AA1352" s="352"/>
      <c r="AB1352" s="352"/>
      <c r="AC1352" s="352"/>
      <c r="AD1352" s="352"/>
    </row>
    <row r="1353" spans="1:30" ht="51.3" hidden="1" x14ac:dyDescent="0.35">
      <c r="A1353" s="349">
        <v>1352</v>
      </c>
      <c r="B1353" s="352" t="s">
        <v>1018</v>
      </c>
      <c r="C1353" s="351" t="s">
        <v>907</v>
      </c>
      <c r="D1353" s="352" t="s">
        <v>907</v>
      </c>
      <c r="E1353" s="352" t="s">
        <v>2129</v>
      </c>
      <c r="F1353" s="353">
        <v>12.274699999999999</v>
      </c>
      <c r="G1353" s="352" t="s">
        <v>2126</v>
      </c>
      <c r="H1353" s="176" t="s">
        <v>155</v>
      </c>
      <c r="I1353" s="176" t="s">
        <v>156</v>
      </c>
      <c r="J1353" s="352" t="s">
        <v>3579</v>
      </c>
      <c r="K1353" s="352">
        <v>40</v>
      </c>
      <c r="L1353" s="352" t="s">
        <v>1116</v>
      </c>
      <c r="M1353" s="352">
        <v>100</v>
      </c>
      <c r="N1353" s="352" t="s">
        <v>1109</v>
      </c>
      <c r="O1353" s="351">
        <v>40</v>
      </c>
      <c r="P1353" s="349" t="s">
        <v>1836</v>
      </c>
      <c r="R1353" s="349">
        <f t="shared" si="21"/>
        <v>12</v>
      </c>
      <c r="S1353" s="352"/>
      <c r="T1353" s="352"/>
      <c r="U1353" s="352"/>
      <c r="V1353" s="353"/>
      <c r="W1353" s="352"/>
      <c r="X1353" s="176"/>
      <c r="Y1353" s="176"/>
      <c r="Z1353" s="352"/>
      <c r="AA1353" s="352"/>
      <c r="AB1353" s="352"/>
      <c r="AC1353" s="352"/>
      <c r="AD1353" s="352"/>
    </row>
    <row r="1354" spans="1:30" ht="25.65" hidden="1" x14ac:dyDescent="0.35">
      <c r="A1354" s="349">
        <v>1353</v>
      </c>
      <c r="B1354" s="352" t="s">
        <v>3205</v>
      </c>
      <c r="C1354" s="351" t="s">
        <v>907</v>
      </c>
      <c r="D1354" s="352" t="s">
        <v>907</v>
      </c>
      <c r="E1354" s="352" t="s">
        <v>1995</v>
      </c>
      <c r="F1354" s="353">
        <v>0.45</v>
      </c>
      <c r="G1354" s="352" t="s">
        <v>2126</v>
      </c>
      <c r="H1354" s="176" t="s">
        <v>929</v>
      </c>
      <c r="I1354" s="176" t="s">
        <v>928</v>
      </c>
      <c r="J1354" s="352" t="s">
        <v>3580</v>
      </c>
      <c r="K1354" s="352">
        <v>250</v>
      </c>
      <c r="L1354" s="352" t="s">
        <v>3581</v>
      </c>
      <c r="M1354" s="352"/>
      <c r="N1354" s="352"/>
      <c r="O1354" s="351">
        <v>250</v>
      </c>
      <c r="P1354" s="349" t="s">
        <v>1836</v>
      </c>
      <c r="R1354" s="349">
        <f t="shared" si="21"/>
        <v>12</v>
      </c>
      <c r="S1354" s="352"/>
      <c r="T1354" s="352"/>
      <c r="U1354" s="352"/>
      <c r="V1354" s="353"/>
      <c r="W1354" s="352"/>
      <c r="X1354" s="176"/>
      <c r="Y1354" s="176"/>
      <c r="Z1354" s="352"/>
      <c r="AA1354" s="352"/>
      <c r="AB1354" s="352"/>
      <c r="AC1354" s="352"/>
      <c r="AD1354" s="352"/>
    </row>
    <row r="1355" spans="1:30" ht="25.65" hidden="1" x14ac:dyDescent="0.35">
      <c r="A1355" s="349">
        <v>1354</v>
      </c>
      <c r="B1355" s="352" t="s">
        <v>3205</v>
      </c>
      <c r="C1355" s="351" t="s">
        <v>907</v>
      </c>
      <c r="D1355" s="352" t="s">
        <v>907</v>
      </c>
      <c r="E1355" s="352" t="s">
        <v>1995</v>
      </c>
      <c r="F1355" s="353">
        <v>0.59499999999999997</v>
      </c>
      <c r="G1355" s="352" t="s">
        <v>2126</v>
      </c>
      <c r="H1355" s="176" t="s">
        <v>929</v>
      </c>
      <c r="I1355" s="176" t="s">
        <v>928</v>
      </c>
      <c r="J1355" s="352" t="s">
        <v>3580</v>
      </c>
      <c r="K1355" s="352">
        <v>500</v>
      </c>
      <c r="L1355" s="352" t="s">
        <v>3581</v>
      </c>
      <c r="M1355" s="352"/>
      <c r="N1355" s="352"/>
      <c r="O1355" s="351">
        <v>500</v>
      </c>
      <c r="P1355" s="349" t="s">
        <v>1836</v>
      </c>
      <c r="R1355" s="349">
        <f t="shared" si="21"/>
        <v>12</v>
      </c>
      <c r="S1355" s="352"/>
      <c r="T1355" s="352"/>
      <c r="U1355" s="352"/>
      <c r="V1355" s="353"/>
      <c r="W1355" s="352"/>
      <c r="X1355" s="176"/>
      <c r="Y1355" s="176"/>
      <c r="Z1355" s="352"/>
      <c r="AA1355" s="352"/>
      <c r="AB1355" s="352"/>
      <c r="AC1355" s="352"/>
      <c r="AD1355" s="352"/>
    </row>
    <row r="1356" spans="1:30" ht="51.3" hidden="1" x14ac:dyDescent="0.35">
      <c r="A1356" s="349">
        <v>1355</v>
      </c>
      <c r="B1356" s="352" t="s">
        <v>1018</v>
      </c>
      <c r="C1356" s="351" t="s">
        <v>907</v>
      </c>
      <c r="D1356" s="352" t="s">
        <v>907</v>
      </c>
      <c r="E1356" s="352" t="s">
        <v>1995</v>
      </c>
      <c r="F1356" s="353">
        <v>0.59499999999999997</v>
      </c>
      <c r="G1356" s="352" t="s">
        <v>2126</v>
      </c>
      <c r="H1356" s="176" t="s">
        <v>155</v>
      </c>
      <c r="I1356" s="176" t="s">
        <v>156</v>
      </c>
      <c r="J1356" s="352" t="s">
        <v>3580</v>
      </c>
      <c r="K1356" s="352">
        <v>500</v>
      </c>
      <c r="L1356" s="352" t="s">
        <v>3581</v>
      </c>
      <c r="M1356" s="352"/>
      <c r="N1356" s="352"/>
      <c r="O1356" s="351">
        <v>500</v>
      </c>
      <c r="P1356" s="349" t="s">
        <v>1836</v>
      </c>
      <c r="R1356" s="349">
        <f t="shared" si="21"/>
        <v>12</v>
      </c>
      <c r="S1356" s="352"/>
      <c r="T1356" s="352"/>
      <c r="U1356" s="352"/>
      <c r="V1356" s="353"/>
      <c r="W1356" s="352"/>
      <c r="X1356" s="176"/>
      <c r="Y1356" s="176"/>
      <c r="Z1356" s="352"/>
      <c r="AA1356" s="352"/>
      <c r="AB1356" s="352"/>
      <c r="AC1356" s="352"/>
      <c r="AD1356" s="352"/>
    </row>
    <row r="1357" spans="1:30" ht="38.450000000000003" hidden="1" x14ac:dyDescent="0.35">
      <c r="A1357" s="349">
        <v>1356</v>
      </c>
      <c r="B1357" s="352" t="s">
        <v>3582</v>
      </c>
      <c r="C1357" s="351" t="s">
        <v>1163</v>
      </c>
      <c r="D1357" s="352" t="s">
        <v>1163</v>
      </c>
      <c r="E1357" s="352" t="s">
        <v>1793</v>
      </c>
      <c r="F1357" s="353">
        <v>6.5</v>
      </c>
      <c r="G1357" s="352" t="s">
        <v>28</v>
      </c>
      <c r="H1357" s="176" t="s">
        <v>3814</v>
      </c>
      <c r="I1357" s="176" t="s">
        <v>1458</v>
      </c>
      <c r="J1357" s="352" t="s">
        <v>29</v>
      </c>
      <c r="K1357" s="352">
        <v>20</v>
      </c>
      <c r="L1357" s="352" t="s">
        <v>1311</v>
      </c>
      <c r="M1357" s="352">
        <v>30</v>
      </c>
      <c r="N1357" s="352" t="s">
        <v>31</v>
      </c>
      <c r="O1357" s="351">
        <v>20</v>
      </c>
      <c r="P1357" s="349" t="s">
        <v>1836</v>
      </c>
      <c r="R1357" s="349">
        <f t="shared" si="21"/>
        <v>9</v>
      </c>
      <c r="S1357" s="352"/>
      <c r="T1357" s="352"/>
      <c r="U1357" s="352"/>
      <c r="V1357" s="353"/>
      <c r="W1357" s="352"/>
      <c r="X1357" s="176"/>
      <c r="Y1357" s="176"/>
      <c r="Z1357" s="352"/>
      <c r="AA1357" s="352"/>
      <c r="AB1357" s="352"/>
      <c r="AC1357" s="352"/>
      <c r="AD1357" s="352"/>
    </row>
    <row r="1358" spans="1:30" ht="25.65" hidden="1" x14ac:dyDescent="0.35">
      <c r="A1358" s="349">
        <v>1357</v>
      </c>
      <c r="B1358" s="352" t="s">
        <v>2132</v>
      </c>
      <c r="C1358" s="351" t="s">
        <v>1163</v>
      </c>
      <c r="D1358" s="352" t="s">
        <v>1163</v>
      </c>
      <c r="E1358" s="352" t="s">
        <v>1793</v>
      </c>
      <c r="F1358" s="353">
        <v>6.5008999999999997</v>
      </c>
      <c r="G1358" s="352" t="s">
        <v>34</v>
      </c>
      <c r="H1358" s="176" t="s">
        <v>3509</v>
      </c>
      <c r="I1358" s="176" t="s">
        <v>4677</v>
      </c>
      <c r="J1358" s="352" t="s">
        <v>29</v>
      </c>
      <c r="K1358" s="352">
        <v>2</v>
      </c>
      <c r="L1358" s="352" t="s">
        <v>470</v>
      </c>
      <c r="M1358" s="352">
        <v>30</v>
      </c>
      <c r="N1358" s="352" t="s">
        <v>31</v>
      </c>
      <c r="O1358" s="351">
        <v>2</v>
      </c>
      <c r="P1358" s="349" t="s">
        <v>1838</v>
      </c>
      <c r="R1358" s="349">
        <f t="shared" si="21"/>
        <v>9</v>
      </c>
      <c r="S1358" s="352"/>
      <c r="T1358" s="352"/>
      <c r="U1358" s="352"/>
      <c r="V1358" s="353"/>
      <c r="W1358" s="352"/>
      <c r="X1358" s="176"/>
      <c r="Y1358" s="176"/>
      <c r="Z1358" s="352"/>
      <c r="AA1358" s="352"/>
      <c r="AB1358" s="352"/>
      <c r="AC1358" s="352"/>
      <c r="AD1358" s="352"/>
    </row>
    <row r="1359" spans="1:30" ht="25.65" hidden="1" x14ac:dyDescent="0.35">
      <c r="A1359" s="349">
        <v>1358</v>
      </c>
      <c r="B1359" s="352" t="s">
        <v>2132</v>
      </c>
      <c r="C1359" s="351" t="s">
        <v>1163</v>
      </c>
      <c r="D1359" s="352" t="s">
        <v>1163</v>
      </c>
      <c r="E1359" s="352" t="s">
        <v>3458</v>
      </c>
      <c r="F1359" s="353">
        <v>13.222300000000001</v>
      </c>
      <c r="G1359" s="352" t="s">
        <v>34</v>
      </c>
      <c r="H1359" s="176" t="s">
        <v>3509</v>
      </c>
      <c r="I1359" s="176" t="s">
        <v>4725</v>
      </c>
      <c r="J1359" s="352" t="s">
        <v>961</v>
      </c>
      <c r="K1359" s="351">
        <v>2</v>
      </c>
      <c r="L1359" s="351" t="s">
        <v>470</v>
      </c>
      <c r="M1359" s="352">
        <v>100</v>
      </c>
      <c r="N1359" s="352" t="s">
        <v>31</v>
      </c>
      <c r="O1359" s="351">
        <v>2</v>
      </c>
      <c r="P1359" s="349" t="s">
        <v>1838</v>
      </c>
      <c r="R1359" s="349">
        <f t="shared" si="21"/>
        <v>9</v>
      </c>
      <c r="S1359" s="352"/>
      <c r="T1359" s="352"/>
      <c r="U1359" s="352"/>
      <c r="V1359" s="353"/>
      <c r="W1359" s="352"/>
      <c r="X1359" s="176"/>
      <c r="Y1359" s="176"/>
      <c r="Z1359" s="352"/>
      <c r="AA1359" s="352"/>
      <c r="AB1359" s="352"/>
      <c r="AC1359" s="352"/>
      <c r="AD1359" s="352"/>
    </row>
    <row r="1360" spans="1:30" ht="25.65" hidden="1" x14ac:dyDescent="0.35">
      <c r="A1360" s="349">
        <v>1359</v>
      </c>
      <c r="B1360" s="352" t="s">
        <v>2132</v>
      </c>
      <c r="C1360" s="351" t="s">
        <v>1163</v>
      </c>
      <c r="D1360" s="352" t="s">
        <v>1163</v>
      </c>
      <c r="E1360" s="352" t="s">
        <v>3458</v>
      </c>
      <c r="F1360" s="353">
        <v>13.222300000000001</v>
      </c>
      <c r="G1360" s="352" t="s">
        <v>34</v>
      </c>
      <c r="H1360" s="176" t="s">
        <v>1254</v>
      </c>
      <c r="I1360" s="176" t="s">
        <v>4725</v>
      </c>
      <c r="J1360" s="352" t="s">
        <v>961</v>
      </c>
      <c r="K1360" s="351">
        <v>2</v>
      </c>
      <c r="L1360" s="351" t="s">
        <v>470</v>
      </c>
      <c r="M1360" s="352">
        <v>100</v>
      </c>
      <c r="N1360" s="352" t="s">
        <v>31</v>
      </c>
      <c r="O1360" s="351">
        <v>2</v>
      </c>
      <c r="P1360" s="349" t="s">
        <v>1838</v>
      </c>
      <c r="R1360" s="349">
        <f t="shared" si="21"/>
        <v>9</v>
      </c>
      <c r="S1360" s="352"/>
      <c r="T1360" s="352"/>
      <c r="U1360" s="352"/>
      <c r="V1360" s="353"/>
      <c r="W1360" s="352"/>
      <c r="X1360" s="176"/>
      <c r="Y1360" s="176"/>
      <c r="Z1360" s="352"/>
      <c r="AA1360" s="352"/>
      <c r="AB1360" s="352"/>
      <c r="AC1360" s="352"/>
      <c r="AD1360" s="352"/>
    </row>
    <row r="1361" spans="1:30" ht="25.65" hidden="1" x14ac:dyDescent="0.35">
      <c r="A1361" s="349">
        <v>1360</v>
      </c>
      <c r="B1361" s="352" t="s">
        <v>2132</v>
      </c>
      <c r="C1361" s="351" t="s">
        <v>4629</v>
      </c>
      <c r="D1361" s="352" t="s">
        <v>1163</v>
      </c>
      <c r="E1361" s="352" t="s">
        <v>3458</v>
      </c>
      <c r="F1361" s="353">
        <v>13.222300000000001</v>
      </c>
      <c r="G1361" s="352" t="s">
        <v>34</v>
      </c>
      <c r="H1361" s="176" t="s">
        <v>3509</v>
      </c>
      <c r="I1361" s="176" t="s">
        <v>4725</v>
      </c>
      <c r="J1361" s="352" t="s">
        <v>961</v>
      </c>
      <c r="K1361" s="351">
        <v>2</v>
      </c>
      <c r="L1361" s="351" t="s">
        <v>470</v>
      </c>
      <c r="M1361" s="352">
        <v>100</v>
      </c>
      <c r="N1361" s="352" t="s">
        <v>31</v>
      </c>
      <c r="O1361" s="351">
        <v>2</v>
      </c>
      <c r="P1361" s="349" t="s">
        <v>1838</v>
      </c>
      <c r="R1361" s="349">
        <f t="shared" si="21"/>
        <v>9</v>
      </c>
      <c r="S1361" s="352"/>
      <c r="T1361" s="352"/>
      <c r="U1361" s="352"/>
      <c r="V1361" s="353"/>
      <c r="W1361" s="352"/>
      <c r="X1361" s="176"/>
      <c r="Y1361" s="176"/>
      <c r="Z1361" s="352"/>
      <c r="AA1361" s="352"/>
      <c r="AB1361" s="352"/>
      <c r="AC1361" s="352"/>
      <c r="AD1361" s="352"/>
    </row>
    <row r="1362" spans="1:30" ht="25.65" hidden="1" x14ac:dyDescent="0.35">
      <c r="A1362" s="349">
        <v>1361</v>
      </c>
      <c r="B1362" s="352" t="s">
        <v>2132</v>
      </c>
      <c r="C1362" s="351" t="s">
        <v>4630</v>
      </c>
      <c r="D1362" s="352" t="s">
        <v>1163</v>
      </c>
      <c r="E1362" s="352" t="s">
        <v>3458</v>
      </c>
      <c r="F1362" s="353">
        <v>13.222300000000001</v>
      </c>
      <c r="G1362" s="352" t="s">
        <v>34</v>
      </c>
      <c r="H1362" s="176" t="s">
        <v>1254</v>
      </c>
      <c r="I1362" s="176" t="s">
        <v>4725</v>
      </c>
      <c r="J1362" s="352" t="s">
        <v>961</v>
      </c>
      <c r="K1362" s="352">
        <v>2</v>
      </c>
      <c r="L1362" s="352" t="s">
        <v>470</v>
      </c>
      <c r="M1362" s="351">
        <v>100</v>
      </c>
      <c r="N1362" s="351" t="s">
        <v>31</v>
      </c>
      <c r="O1362" s="351">
        <v>2</v>
      </c>
      <c r="P1362" s="349" t="s">
        <v>1838</v>
      </c>
      <c r="R1362" s="349">
        <f t="shared" si="21"/>
        <v>9</v>
      </c>
      <c r="S1362" s="352"/>
      <c r="T1362" s="352"/>
      <c r="U1362" s="352"/>
      <c r="V1362" s="353"/>
      <c r="W1362" s="352"/>
      <c r="X1362" s="176"/>
      <c r="Y1362" s="176"/>
      <c r="Z1362" s="352"/>
      <c r="AA1362" s="351"/>
      <c r="AB1362" s="351"/>
      <c r="AC1362" s="352"/>
      <c r="AD1362" s="352"/>
    </row>
    <row r="1363" spans="1:30" ht="128.19999999999999" hidden="1" x14ac:dyDescent="0.35">
      <c r="A1363" s="349">
        <v>1362</v>
      </c>
      <c r="B1363" s="352" t="s">
        <v>965</v>
      </c>
      <c r="C1363" s="351" t="s">
        <v>4631</v>
      </c>
      <c r="D1363" s="352" t="s">
        <v>1387</v>
      </c>
      <c r="E1363" s="352" t="s">
        <v>3459</v>
      </c>
      <c r="F1363" s="353">
        <v>1.5</v>
      </c>
      <c r="G1363" s="352" t="s">
        <v>967</v>
      </c>
      <c r="H1363" s="176" t="s">
        <v>129</v>
      </c>
      <c r="I1363" s="176" t="s">
        <v>4428</v>
      </c>
      <c r="J1363" s="352" t="s">
        <v>806</v>
      </c>
      <c r="K1363" s="352"/>
      <c r="L1363" s="352"/>
      <c r="M1363" s="352">
        <v>5</v>
      </c>
      <c r="N1363" s="352" t="s">
        <v>1109</v>
      </c>
      <c r="O1363" s="351">
        <v>0</v>
      </c>
      <c r="P1363" s="349" t="s">
        <v>1837</v>
      </c>
      <c r="R1363" s="349">
        <f t="shared" si="21"/>
        <v>20</v>
      </c>
      <c r="S1363" s="352"/>
      <c r="T1363" s="352"/>
      <c r="U1363" s="352"/>
      <c r="V1363" s="353"/>
      <c r="W1363" s="352"/>
      <c r="X1363" s="176"/>
      <c r="Y1363" s="176"/>
      <c r="Z1363" s="352"/>
      <c r="AA1363" s="351"/>
      <c r="AB1363" s="351"/>
      <c r="AC1363" s="352"/>
      <c r="AD1363" s="352"/>
    </row>
    <row r="1364" spans="1:30" ht="128.19999999999999" hidden="1" x14ac:dyDescent="0.35">
      <c r="A1364" s="349">
        <v>1363</v>
      </c>
      <c r="B1364" s="352" t="s">
        <v>965</v>
      </c>
      <c r="C1364" s="351" t="s">
        <v>723</v>
      </c>
      <c r="D1364" s="352" t="s">
        <v>1387</v>
      </c>
      <c r="E1364" s="352" t="s">
        <v>3459</v>
      </c>
      <c r="F1364" s="353">
        <v>1.5</v>
      </c>
      <c r="G1364" s="352" t="s">
        <v>967</v>
      </c>
      <c r="H1364" s="176" t="s">
        <v>129</v>
      </c>
      <c r="I1364" s="176" t="s">
        <v>4428</v>
      </c>
      <c r="J1364" s="352" t="s">
        <v>806</v>
      </c>
      <c r="K1364" s="352"/>
      <c r="L1364" s="352"/>
      <c r="M1364" s="352">
        <v>5</v>
      </c>
      <c r="N1364" s="352" t="s">
        <v>1109</v>
      </c>
      <c r="O1364" s="351">
        <v>0</v>
      </c>
      <c r="P1364" s="349" t="s">
        <v>1837</v>
      </c>
      <c r="R1364" s="349">
        <f t="shared" si="21"/>
        <v>20</v>
      </c>
      <c r="S1364" s="352"/>
      <c r="T1364" s="352"/>
      <c r="U1364" s="352"/>
      <c r="V1364" s="353"/>
      <c r="W1364" s="352"/>
      <c r="X1364" s="176"/>
      <c r="Y1364" s="176"/>
      <c r="Z1364" s="352"/>
      <c r="AA1364" s="351"/>
      <c r="AB1364" s="351"/>
      <c r="AC1364" s="352"/>
      <c r="AD1364" s="352"/>
    </row>
    <row r="1365" spans="1:30" ht="64.099999999999994" hidden="1" x14ac:dyDescent="0.35">
      <c r="A1365" s="349">
        <v>1364</v>
      </c>
      <c r="B1365" s="352" t="s">
        <v>746</v>
      </c>
      <c r="C1365" s="351" t="s">
        <v>4632</v>
      </c>
      <c r="D1365" s="352" t="s">
        <v>2758</v>
      </c>
      <c r="E1365" s="352" t="s">
        <v>3328</v>
      </c>
      <c r="F1365" s="353">
        <v>45.352400000000003</v>
      </c>
      <c r="G1365" s="352" t="s">
        <v>2126</v>
      </c>
      <c r="H1365" s="176" t="s">
        <v>193</v>
      </c>
      <c r="I1365" s="176" t="s">
        <v>194</v>
      </c>
      <c r="J1365" s="352" t="s">
        <v>3329</v>
      </c>
      <c r="K1365" s="352"/>
      <c r="L1365" s="352"/>
      <c r="M1365" s="352">
        <v>2</v>
      </c>
      <c r="N1365" s="352" t="s">
        <v>3330</v>
      </c>
      <c r="O1365" s="351">
        <v>0</v>
      </c>
      <c r="P1365" s="349" t="s">
        <v>2313</v>
      </c>
      <c r="R1365" s="349">
        <f t="shared" si="21"/>
        <v>13</v>
      </c>
      <c r="S1365" s="352"/>
      <c r="T1365" s="352"/>
      <c r="U1365" s="352"/>
      <c r="V1365" s="353"/>
      <c r="W1365" s="352"/>
      <c r="X1365" s="176"/>
      <c r="Y1365" s="176"/>
      <c r="Z1365" s="352"/>
      <c r="AA1365" s="351"/>
      <c r="AB1365" s="351"/>
      <c r="AC1365" s="352"/>
      <c r="AD1365" s="352"/>
    </row>
    <row r="1366" spans="1:30" ht="282" hidden="1" x14ac:dyDescent="0.35">
      <c r="A1366" s="349">
        <v>1365</v>
      </c>
      <c r="B1366" s="352" t="s">
        <v>1073</v>
      </c>
      <c r="C1366" s="351" t="s">
        <v>3517</v>
      </c>
      <c r="D1366" s="352" t="s">
        <v>3517</v>
      </c>
      <c r="E1366" s="352" t="s">
        <v>2857</v>
      </c>
      <c r="F1366" s="353">
        <v>2.64</v>
      </c>
      <c r="G1366" s="352" t="s">
        <v>1107</v>
      </c>
      <c r="H1366" s="176" t="s">
        <v>895</v>
      </c>
      <c r="I1366" s="176" t="s">
        <v>5079</v>
      </c>
      <c r="J1366" s="352" t="s">
        <v>828</v>
      </c>
      <c r="K1366" s="352">
        <v>5</v>
      </c>
      <c r="L1366" s="352" t="s">
        <v>1116</v>
      </c>
      <c r="M1366" s="352">
        <v>10</v>
      </c>
      <c r="N1366" s="352" t="s">
        <v>1109</v>
      </c>
      <c r="O1366" s="351">
        <v>5</v>
      </c>
      <c r="P1366" s="349" t="s">
        <v>1836</v>
      </c>
      <c r="R1366" s="349">
        <f t="shared" si="21"/>
        <v>9</v>
      </c>
      <c r="S1366" s="352"/>
      <c r="T1366" s="352"/>
      <c r="U1366" s="352"/>
      <c r="V1366" s="353"/>
      <c r="W1366" s="352"/>
      <c r="X1366" s="176"/>
      <c r="Y1366" s="176"/>
      <c r="Z1366" s="352"/>
      <c r="AA1366" s="352"/>
      <c r="AB1366" s="352"/>
      <c r="AC1366" s="352"/>
      <c r="AD1366" s="352"/>
    </row>
    <row r="1367" spans="1:30" ht="115.35" hidden="1" x14ac:dyDescent="0.35">
      <c r="A1367" s="349">
        <v>1366</v>
      </c>
      <c r="B1367" s="352" t="s">
        <v>1787</v>
      </c>
      <c r="C1367" s="351" t="s">
        <v>3517</v>
      </c>
      <c r="D1367" s="352" t="s">
        <v>3517</v>
      </c>
      <c r="E1367" s="352" t="s">
        <v>2857</v>
      </c>
      <c r="F1367" s="353">
        <v>2.64</v>
      </c>
      <c r="G1367" s="352" t="s">
        <v>1107</v>
      </c>
      <c r="H1367" s="176" t="s">
        <v>2333</v>
      </c>
      <c r="I1367" s="176" t="s">
        <v>427</v>
      </c>
      <c r="J1367" s="352" t="s">
        <v>828</v>
      </c>
      <c r="K1367" s="352">
        <v>5</v>
      </c>
      <c r="L1367" s="352" t="s">
        <v>1116</v>
      </c>
      <c r="M1367" s="352">
        <v>10</v>
      </c>
      <c r="N1367" s="352" t="s">
        <v>1109</v>
      </c>
      <c r="O1367" s="351">
        <v>5</v>
      </c>
      <c r="P1367" s="349" t="s">
        <v>1836</v>
      </c>
      <c r="R1367" s="349">
        <f t="shared" si="21"/>
        <v>9</v>
      </c>
      <c r="S1367" s="352"/>
      <c r="T1367" s="352"/>
      <c r="U1367" s="352"/>
      <c r="V1367" s="353"/>
      <c r="W1367" s="352"/>
      <c r="X1367" s="176"/>
      <c r="Y1367" s="176"/>
      <c r="Z1367" s="352"/>
      <c r="AA1367" s="351"/>
      <c r="AB1367" s="351"/>
      <c r="AC1367" s="352"/>
      <c r="AD1367" s="352"/>
    </row>
    <row r="1368" spans="1:30" ht="282" hidden="1" x14ac:dyDescent="0.35">
      <c r="A1368" s="349">
        <v>1367</v>
      </c>
      <c r="B1368" s="352" t="s">
        <v>1073</v>
      </c>
      <c r="C1368" s="351" t="s">
        <v>3517</v>
      </c>
      <c r="D1368" s="352" t="s">
        <v>3517</v>
      </c>
      <c r="E1368" s="352" t="s">
        <v>1991</v>
      </c>
      <c r="F1368" s="353">
        <v>1.59</v>
      </c>
      <c r="G1368" s="352" t="s">
        <v>1107</v>
      </c>
      <c r="H1368" s="176" t="s">
        <v>895</v>
      </c>
      <c r="I1368" s="176" t="s">
        <v>5079</v>
      </c>
      <c r="J1368" s="352" t="s">
        <v>828</v>
      </c>
      <c r="K1368" s="352">
        <v>5</v>
      </c>
      <c r="L1368" s="352" t="s">
        <v>1116</v>
      </c>
      <c r="M1368" s="351">
        <v>3</v>
      </c>
      <c r="N1368" s="351" t="s">
        <v>1109</v>
      </c>
      <c r="O1368" s="351">
        <v>5</v>
      </c>
      <c r="P1368" s="349" t="s">
        <v>1836</v>
      </c>
      <c r="R1368" s="349">
        <f t="shared" si="21"/>
        <v>9</v>
      </c>
      <c r="S1368" s="352"/>
      <c r="T1368" s="352"/>
      <c r="U1368" s="352"/>
      <c r="V1368" s="353"/>
      <c r="W1368" s="352"/>
      <c r="X1368" s="176"/>
      <c r="Y1368" s="176"/>
      <c r="Z1368" s="352"/>
      <c r="AA1368" s="351"/>
      <c r="AB1368" s="351"/>
      <c r="AC1368" s="352"/>
      <c r="AD1368" s="352"/>
    </row>
    <row r="1369" spans="1:30" ht="115.35" hidden="1" x14ac:dyDescent="0.35">
      <c r="A1369" s="349">
        <v>1368</v>
      </c>
      <c r="B1369" s="352" t="s">
        <v>1787</v>
      </c>
      <c r="C1369" s="351" t="s">
        <v>3517</v>
      </c>
      <c r="D1369" s="352" t="s">
        <v>3517</v>
      </c>
      <c r="E1369" s="352" t="s">
        <v>1991</v>
      </c>
      <c r="F1369" s="353">
        <v>1.61</v>
      </c>
      <c r="G1369" s="352" t="s">
        <v>1107</v>
      </c>
      <c r="H1369" s="176" t="s">
        <v>2333</v>
      </c>
      <c r="I1369" s="176" t="s">
        <v>427</v>
      </c>
      <c r="J1369" s="352" t="s">
        <v>828</v>
      </c>
      <c r="K1369" s="352">
        <v>5</v>
      </c>
      <c r="L1369" s="352" t="s">
        <v>1116</v>
      </c>
      <c r="M1369" s="351">
        <v>3</v>
      </c>
      <c r="N1369" s="351" t="s">
        <v>1109</v>
      </c>
      <c r="O1369" s="351">
        <v>5</v>
      </c>
      <c r="P1369" s="349" t="s">
        <v>1836</v>
      </c>
      <c r="R1369" s="349">
        <f t="shared" si="21"/>
        <v>9</v>
      </c>
      <c r="S1369" s="352"/>
      <c r="T1369" s="352"/>
      <c r="U1369" s="352"/>
      <c r="V1369" s="353"/>
      <c r="W1369" s="352"/>
      <c r="X1369" s="176"/>
      <c r="Y1369" s="176"/>
      <c r="Z1369" s="352"/>
      <c r="AA1369" s="351"/>
      <c r="AB1369" s="351"/>
      <c r="AC1369" s="352"/>
      <c r="AD1369" s="352"/>
    </row>
    <row r="1370" spans="1:30" ht="205.1" hidden="1" x14ac:dyDescent="0.35">
      <c r="A1370" s="349">
        <v>1369</v>
      </c>
      <c r="B1370" s="352" t="s">
        <v>1073</v>
      </c>
      <c r="C1370" s="351" t="s">
        <v>3517</v>
      </c>
      <c r="D1370" s="352" t="s">
        <v>3517</v>
      </c>
      <c r="E1370" s="352" t="s">
        <v>1995</v>
      </c>
      <c r="F1370" s="353">
        <v>0.45</v>
      </c>
      <c r="G1370" s="352" t="s">
        <v>2126</v>
      </c>
      <c r="H1370" s="176" t="s">
        <v>2735</v>
      </c>
      <c r="I1370" s="176" t="s">
        <v>5079</v>
      </c>
      <c r="J1370" s="352" t="s">
        <v>3580</v>
      </c>
      <c r="K1370" s="352">
        <v>15</v>
      </c>
      <c r="L1370" s="352" t="s">
        <v>3581</v>
      </c>
      <c r="M1370" s="351"/>
      <c r="N1370" s="351"/>
      <c r="O1370" s="351">
        <v>15</v>
      </c>
      <c r="P1370" s="349" t="s">
        <v>1836</v>
      </c>
      <c r="R1370" s="349">
        <f t="shared" si="21"/>
        <v>9</v>
      </c>
      <c r="S1370" s="352"/>
      <c r="T1370" s="352"/>
      <c r="U1370" s="352"/>
      <c r="V1370" s="353"/>
      <c r="W1370" s="352"/>
      <c r="X1370" s="176"/>
      <c r="Y1370" s="176"/>
      <c r="Z1370" s="352"/>
      <c r="AA1370" s="351"/>
      <c r="AB1370" s="351"/>
      <c r="AC1370" s="352"/>
      <c r="AD1370" s="352"/>
    </row>
    <row r="1371" spans="1:30" ht="64.099999999999994" hidden="1" x14ac:dyDescent="0.35">
      <c r="A1371" s="349">
        <v>1370</v>
      </c>
      <c r="B1371" s="352" t="s">
        <v>2059</v>
      </c>
      <c r="C1371" s="351" t="s">
        <v>3155</v>
      </c>
      <c r="D1371" s="352" t="s">
        <v>3155</v>
      </c>
      <c r="E1371" s="352" t="s">
        <v>2857</v>
      </c>
      <c r="F1371" s="353">
        <v>53.572200000000002</v>
      </c>
      <c r="G1371" s="352" t="s">
        <v>1107</v>
      </c>
      <c r="H1371" s="37" t="s">
        <v>754</v>
      </c>
      <c r="I1371" s="176" t="s">
        <v>2681</v>
      </c>
      <c r="J1371" s="352" t="s">
        <v>828</v>
      </c>
      <c r="K1371" s="352">
        <v>1</v>
      </c>
      <c r="L1371" s="352" t="s">
        <v>1116</v>
      </c>
      <c r="M1371" s="351">
        <v>10</v>
      </c>
      <c r="N1371" s="351" t="s">
        <v>1109</v>
      </c>
      <c r="O1371" s="351">
        <v>1</v>
      </c>
      <c r="P1371" s="349" t="s">
        <v>1836</v>
      </c>
      <c r="R1371" s="349">
        <f t="shared" si="21"/>
        <v>8</v>
      </c>
      <c r="S1371" s="352"/>
      <c r="T1371" s="352"/>
      <c r="U1371" s="352"/>
      <c r="V1371" s="353"/>
      <c r="W1371" s="352"/>
      <c r="X1371" s="176"/>
      <c r="Y1371" s="176"/>
      <c r="Z1371" s="352"/>
      <c r="AA1371" s="352"/>
      <c r="AB1371" s="352"/>
      <c r="AC1371" s="352"/>
      <c r="AD1371" s="352"/>
    </row>
    <row r="1372" spans="1:30" ht="76.900000000000006" hidden="1" x14ac:dyDescent="0.35">
      <c r="A1372" s="349">
        <v>1371</v>
      </c>
      <c r="B1372" s="352" t="s">
        <v>2694</v>
      </c>
      <c r="C1372" s="351" t="s">
        <v>3364</v>
      </c>
      <c r="D1372" s="352" t="s">
        <v>3364</v>
      </c>
      <c r="E1372" s="352" t="s">
        <v>1998</v>
      </c>
      <c r="F1372" s="353">
        <v>1.1000000000000001</v>
      </c>
      <c r="G1372" s="352" t="s">
        <v>2126</v>
      </c>
      <c r="H1372" s="176" t="s">
        <v>400</v>
      </c>
      <c r="I1372" s="176" t="s">
        <v>401</v>
      </c>
      <c r="J1372" s="352" t="s">
        <v>22</v>
      </c>
      <c r="K1372" s="352">
        <v>1</v>
      </c>
      <c r="L1372" s="352" t="s">
        <v>23</v>
      </c>
      <c r="M1372" s="352"/>
      <c r="N1372" s="352"/>
      <c r="O1372" s="351">
        <v>1</v>
      </c>
      <c r="P1372" s="349" t="s">
        <v>1836</v>
      </c>
      <c r="R1372" s="349">
        <f t="shared" si="21"/>
        <v>9</v>
      </c>
      <c r="S1372" s="352"/>
      <c r="T1372" s="352"/>
      <c r="U1372" s="352"/>
      <c r="V1372" s="353"/>
      <c r="W1372" s="352"/>
      <c r="X1372" s="176"/>
      <c r="Y1372" s="176"/>
      <c r="Z1372" s="352"/>
      <c r="AA1372" s="352"/>
      <c r="AB1372" s="352"/>
      <c r="AC1372" s="352"/>
      <c r="AD1372" s="352"/>
    </row>
    <row r="1373" spans="1:30" ht="76.900000000000006" hidden="1" x14ac:dyDescent="0.35">
      <c r="A1373" s="349">
        <v>1372</v>
      </c>
      <c r="B1373" s="352" t="s">
        <v>2694</v>
      </c>
      <c r="C1373" s="351" t="s">
        <v>3364</v>
      </c>
      <c r="D1373" s="352" t="s">
        <v>3364</v>
      </c>
      <c r="E1373" s="352" t="s">
        <v>1995</v>
      </c>
      <c r="F1373" s="353">
        <v>1.6528</v>
      </c>
      <c r="G1373" s="352" t="s">
        <v>2126</v>
      </c>
      <c r="H1373" s="176" t="s">
        <v>400</v>
      </c>
      <c r="I1373" s="176" t="s">
        <v>401</v>
      </c>
      <c r="J1373" s="352" t="s">
        <v>3580</v>
      </c>
      <c r="K1373" s="352">
        <v>10</v>
      </c>
      <c r="L1373" s="352" t="s">
        <v>3581</v>
      </c>
      <c r="M1373" s="352"/>
      <c r="N1373" s="352"/>
      <c r="O1373" s="351">
        <v>10</v>
      </c>
      <c r="P1373" s="349" t="s">
        <v>1836</v>
      </c>
      <c r="R1373" s="349">
        <f t="shared" si="21"/>
        <v>9</v>
      </c>
      <c r="S1373" s="352"/>
      <c r="T1373" s="352"/>
      <c r="U1373" s="352"/>
      <c r="V1373" s="353"/>
      <c r="W1373" s="352"/>
      <c r="X1373" s="176"/>
      <c r="Y1373" s="176"/>
      <c r="Z1373" s="352"/>
      <c r="AA1373" s="352"/>
      <c r="AB1373" s="352"/>
      <c r="AC1373" s="352"/>
      <c r="AD1373" s="352"/>
    </row>
    <row r="1374" spans="1:30" ht="64.099999999999994" hidden="1" x14ac:dyDescent="0.35">
      <c r="A1374" s="349">
        <v>1373</v>
      </c>
      <c r="B1374" s="352" t="s">
        <v>2372</v>
      </c>
      <c r="C1374" s="351" t="s">
        <v>4633</v>
      </c>
      <c r="D1374" s="352" t="s">
        <v>2675</v>
      </c>
      <c r="E1374" s="352" t="s">
        <v>1995</v>
      </c>
      <c r="F1374" s="353">
        <v>3.8784999999999998</v>
      </c>
      <c r="G1374" s="352" t="s">
        <v>2126</v>
      </c>
      <c r="H1374" s="176" t="s">
        <v>365</v>
      </c>
      <c r="I1374" s="176" t="s">
        <v>1513</v>
      </c>
      <c r="J1374" s="352" t="s">
        <v>3580</v>
      </c>
      <c r="K1374" s="352">
        <v>0.2</v>
      </c>
      <c r="L1374" s="352" t="s">
        <v>3581</v>
      </c>
      <c r="M1374" s="352"/>
      <c r="N1374" s="352"/>
      <c r="O1374" s="351">
        <v>0.2</v>
      </c>
      <c r="P1374" s="349" t="s">
        <v>1836</v>
      </c>
      <c r="R1374" s="349">
        <f t="shared" si="21"/>
        <v>13</v>
      </c>
      <c r="S1374" s="352"/>
      <c r="T1374" s="352"/>
      <c r="U1374" s="352"/>
      <c r="V1374" s="353"/>
      <c r="W1374" s="352"/>
      <c r="X1374" s="176"/>
      <c r="Y1374" s="176"/>
      <c r="Z1374" s="352"/>
      <c r="AA1374" s="352"/>
      <c r="AB1374" s="352"/>
      <c r="AC1374" s="352"/>
      <c r="AD1374" s="352"/>
    </row>
    <row r="1375" spans="1:30" ht="76.900000000000006" hidden="1" x14ac:dyDescent="0.35">
      <c r="A1375" s="349">
        <v>1374</v>
      </c>
      <c r="B1375" s="352" t="s">
        <v>2891</v>
      </c>
      <c r="C1375" s="351" t="s">
        <v>4634</v>
      </c>
      <c r="D1375" s="352" t="s">
        <v>2675</v>
      </c>
      <c r="E1375" s="352" t="s">
        <v>95</v>
      </c>
      <c r="F1375" s="353">
        <v>41.694200000000002</v>
      </c>
      <c r="G1375" s="352" t="s">
        <v>96</v>
      </c>
      <c r="H1375" s="176" t="s">
        <v>1089</v>
      </c>
      <c r="I1375" s="176" t="s">
        <v>2888</v>
      </c>
      <c r="J1375" s="352" t="s">
        <v>4025</v>
      </c>
      <c r="K1375" s="352">
        <v>100</v>
      </c>
      <c r="L1375" s="352" t="s">
        <v>4022</v>
      </c>
      <c r="M1375" s="352">
        <v>2.5</v>
      </c>
      <c r="N1375" s="352" t="s">
        <v>1109</v>
      </c>
      <c r="O1375" s="351">
        <v>100</v>
      </c>
      <c r="P1375" s="349" t="s">
        <v>1850</v>
      </c>
      <c r="R1375" s="349">
        <f t="shared" si="21"/>
        <v>13</v>
      </c>
      <c r="S1375" s="352"/>
      <c r="T1375" s="352"/>
      <c r="U1375" s="352"/>
      <c r="V1375" s="353"/>
      <c r="W1375" s="352"/>
      <c r="X1375" s="176"/>
      <c r="Y1375" s="176"/>
      <c r="Z1375" s="352"/>
      <c r="AA1375" s="352"/>
      <c r="AB1375" s="352"/>
      <c r="AC1375" s="352"/>
      <c r="AD1375" s="352"/>
    </row>
    <row r="1376" spans="1:30" ht="76.900000000000006" hidden="1" x14ac:dyDescent="0.35">
      <c r="A1376" s="349">
        <v>1375</v>
      </c>
      <c r="B1376" s="352" t="s">
        <v>2891</v>
      </c>
      <c r="C1376" s="351" t="s">
        <v>4634</v>
      </c>
      <c r="D1376" s="352" t="s">
        <v>2675</v>
      </c>
      <c r="E1376" s="352" t="s">
        <v>97</v>
      </c>
      <c r="F1376" s="353">
        <v>95.8</v>
      </c>
      <c r="G1376" s="352" t="s">
        <v>96</v>
      </c>
      <c r="H1376" s="176" t="s">
        <v>1089</v>
      </c>
      <c r="I1376" s="176" t="s">
        <v>2888</v>
      </c>
      <c r="J1376" s="352" t="s">
        <v>98</v>
      </c>
      <c r="K1376" s="352">
        <v>2.5</v>
      </c>
      <c r="L1376" s="352" t="s">
        <v>2902</v>
      </c>
      <c r="M1376" s="352">
        <v>50</v>
      </c>
      <c r="N1376" s="352" t="s">
        <v>1656</v>
      </c>
      <c r="O1376" s="351">
        <v>2.5</v>
      </c>
      <c r="P1376" s="349" t="s">
        <v>1850</v>
      </c>
      <c r="R1376" s="349">
        <f t="shared" si="21"/>
        <v>13</v>
      </c>
      <c r="S1376" s="352"/>
      <c r="T1376" s="352"/>
      <c r="U1376" s="352"/>
      <c r="V1376" s="353"/>
      <c r="W1376" s="352"/>
      <c r="X1376" s="176"/>
      <c r="Y1376" s="176"/>
      <c r="Z1376" s="352"/>
      <c r="AA1376" s="352"/>
      <c r="AB1376" s="352"/>
      <c r="AC1376" s="352"/>
      <c r="AD1376" s="352"/>
    </row>
    <row r="1377" spans="1:30" ht="76.900000000000006" hidden="1" x14ac:dyDescent="0.35">
      <c r="A1377" s="349">
        <v>1376</v>
      </c>
      <c r="B1377" s="352" t="s">
        <v>2891</v>
      </c>
      <c r="C1377" s="351" t="s">
        <v>4634</v>
      </c>
      <c r="D1377" s="352" t="s">
        <v>2675</v>
      </c>
      <c r="E1377" s="352" t="s">
        <v>97</v>
      </c>
      <c r="F1377" s="353">
        <v>80.83</v>
      </c>
      <c r="G1377" s="352" t="s">
        <v>96</v>
      </c>
      <c r="H1377" s="176" t="s">
        <v>1089</v>
      </c>
      <c r="I1377" s="176" t="s">
        <v>2888</v>
      </c>
      <c r="J1377" s="352" t="s">
        <v>98</v>
      </c>
      <c r="K1377" s="352">
        <v>10</v>
      </c>
      <c r="L1377" s="352" t="s">
        <v>2902</v>
      </c>
      <c r="M1377" s="352">
        <v>50</v>
      </c>
      <c r="N1377" s="352" t="s">
        <v>1656</v>
      </c>
      <c r="O1377" s="351">
        <v>10</v>
      </c>
      <c r="P1377" s="349" t="s">
        <v>1850</v>
      </c>
      <c r="R1377" s="349">
        <f t="shared" si="21"/>
        <v>13</v>
      </c>
      <c r="S1377" s="352"/>
      <c r="T1377" s="352"/>
      <c r="U1377" s="352"/>
      <c r="V1377" s="353"/>
      <c r="W1377" s="352"/>
      <c r="X1377" s="176"/>
      <c r="Y1377" s="176"/>
      <c r="Z1377" s="352"/>
      <c r="AA1377" s="352"/>
      <c r="AB1377" s="352"/>
      <c r="AC1377" s="352"/>
      <c r="AD1377" s="352"/>
    </row>
    <row r="1378" spans="1:30" ht="102.55" hidden="1" x14ac:dyDescent="0.35">
      <c r="A1378" s="349">
        <v>1377</v>
      </c>
      <c r="B1378" s="352" t="s">
        <v>4044</v>
      </c>
      <c r="C1378" s="351" t="s">
        <v>4634</v>
      </c>
      <c r="D1378" s="352" t="s">
        <v>2675</v>
      </c>
      <c r="E1378" s="352" t="s">
        <v>2855</v>
      </c>
      <c r="F1378" s="353">
        <v>15.7125</v>
      </c>
      <c r="G1378" s="352" t="s">
        <v>1107</v>
      </c>
      <c r="H1378" s="37" t="s">
        <v>3188</v>
      </c>
      <c r="I1378" s="176" t="s">
        <v>3189</v>
      </c>
      <c r="J1378" s="352" t="s">
        <v>828</v>
      </c>
      <c r="K1378" s="352">
        <v>4</v>
      </c>
      <c r="L1378" s="352" t="s">
        <v>4022</v>
      </c>
      <c r="M1378" s="352">
        <v>1</v>
      </c>
      <c r="N1378" s="352" t="s">
        <v>1109</v>
      </c>
      <c r="O1378" s="351">
        <v>4</v>
      </c>
      <c r="P1378" s="349" t="s">
        <v>1850</v>
      </c>
      <c r="R1378" s="349">
        <f t="shared" si="21"/>
        <v>13</v>
      </c>
      <c r="S1378" s="352"/>
      <c r="T1378" s="352"/>
      <c r="U1378" s="352"/>
      <c r="V1378" s="353"/>
      <c r="W1378" s="352"/>
      <c r="X1378" s="176"/>
      <c r="Y1378" s="37"/>
      <c r="Z1378" s="352"/>
      <c r="AA1378" s="352"/>
      <c r="AB1378" s="352"/>
      <c r="AC1378" s="352"/>
      <c r="AD1378" s="352"/>
    </row>
    <row r="1379" spans="1:30" ht="38.450000000000003" hidden="1" x14ac:dyDescent="0.35">
      <c r="A1379" s="349">
        <v>1378</v>
      </c>
      <c r="B1379" s="352" t="s">
        <v>2891</v>
      </c>
      <c r="C1379" s="351" t="s">
        <v>4634</v>
      </c>
      <c r="D1379" s="352" t="s">
        <v>2675</v>
      </c>
      <c r="E1379" s="352" t="s">
        <v>2855</v>
      </c>
      <c r="F1379" s="353">
        <v>15.71</v>
      </c>
      <c r="G1379" s="352" t="s">
        <v>1107</v>
      </c>
      <c r="H1379" s="37"/>
      <c r="I1379" s="176" t="s">
        <v>2888</v>
      </c>
      <c r="J1379" s="352" t="s">
        <v>828</v>
      </c>
      <c r="K1379" s="352">
        <v>4</v>
      </c>
      <c r="L1379" s="352" t="s">
        <v>4022</v>
      </c>
      <c r="M1379" s="352">
        <v>1</v>
      </c>
      <c r="N1379" s="352" t="s">
        <v>1109</v>
      </c>
      <c r="O1379" s="351">
        <v>4</v>
      </c>
      <c r="P1379" s="349" t="s">
        <v>1850</v>
      </c>
      <c r="R1379" s="349">
        <f t="shared" si="21"/>
        <v>13</v>
      </c>
      <c r="S1379" s="352"/>
      <c r="T1379" s="352"/>
      <c r="U1379" s="352"/>
      <c r="V1379" s="353"/>
      <c r="W1379" s="352"/>
      <c r="X1379" s="176"/>
      <c r="Y1379" s="37"/>
      <c r="Z1379" s="352"/>
      <c r="AA1379" s="352"/>
      <c r="AB1379" s="352"/>
      <c r="AC1379" s="352"/>
      <c r="AD1379" s="352"/>
    </row>
    <row r="1380" spans="1:30" ht="38.450000000000003" hidden="1" x14ac:dyDescent="0.35">
      <c r="A1380" s="349">
        <v>1379</v>
      </c>
      <c r="B1380" s="352" t="s">
        <v>2891</v>
      </c>
      <c r="C1380" s="351" t="s">
        <v>4634</v>
      </c>
      <c r="D1380" s="352" t="s">
        <v>2675</v>
      </c>
      <c r="E1380" s="352" t="s">
        <v>1995</v>
      </c>
      <c r="F1380" s="353">
        <v>2.56</v>
      </c>
      <c r="G1380" s="352" t="s">
        <v>2126</v>
      </c>
      <c r="H1380" s="176"/>
      <c r="I1380" s="176" t="s">
        <v>2888</v>
      </c>
      <c r="J1380" s="352" t="s">
        <v>3580</v>
      </c>
      <c r="K1380" s="352">
        <v>100</v>
      </c>
      <c r="L1380" s="352" t="s">
        <v>1757</v>
      </c>
      <c r="M1380" s="352"/>
      <c r="N1380" s="352"/>
      <c r="O1380" s="351">
        <v>100</v>
      </c>
      <c r="P1380" s="349" t="s">
        <v>1850</v>
      </c>
      <c r="R1380" s="349">
        <f t="shared" si="21"/>
        <v>13</v>
      </c>
      <c r="S1380" s="352"/>
      <c r="T1380" s="352"/>
      <c r="U1380" s="352"/>
      <c r="V1380" s="353"/>
      <c r="W1380" s="352"/>
      <c r="X1380" s="176"/>
      <c r="Y1380" s="37"/>
      <c r="Z1380" s="352"/>
      <c r="AA1380" s="352"/>
      <c r="AB1380" s="352"/>
      <c r="AC1380" s="352"/>
      <c r="AD1380" s="352"/>
    </row>
    <row r="1381" spans="1:30" ht="51.3" hidden="1" x14ac:dyDescent="0.35">
      <c r="A1381" s="349">
        <v>1380</v>
      </c>
      <c r="B1381" s="352" t="s">
        <v>3032</v>
      </c>
      <c r="C1381" s="351" t="s">
        <v>4635</v>
      </c>
      <c r="D1381" s="352" t="s">
        <v>2498</v>
      </c>
      <c r="E1381" s="352" t="s">
        <v>2457</v>
      </c>
      <c r="F1381" s="353">
        <v>0.6</v>
      </c>
      <c r="G1381" s="352" t="s">
        <v>3034</v>
      </c>
      <c r="H1381" s="176" t="s">
        <v>813</v>
      </c>
      <c r="I1381" s="176" t="s">
        <v>814</v>
      </c>
      <c r="J1381" s="352" t="s">
        <v>3035</v>
      </c>
      <c r="K1381" s="352">
        <v>200</v>
      </c>
      <c r="L1381" s="352" t="s">
        <v>1116</v>
      </c>
      <c r="M1381" s="352">
        <v>1</v>
      </c>
      <c r="N1381" s="352" t="s">
        <v>1109</v>
      </c>
      <c r="O1381" s="351">
        <v>200</v>
      </c>
      <c r="P1381" s="349" t="s">
        <v>1836</v>
      </c>
      <c r="R1381" s="349">
        <f t="shared" si="21"/>
        <v>25</v>
      </c>
      <c r="S1381" s="352"/>
      <c r="T1381" s="352"/>
      <c r="U1381" s="352"/>
      <c r="V1381" s="353"/>
      <c r="W1381" s="352"/>
      <c r="X1381" s="176"/>
      <c r="Y1381" s="37"/>
      <c r="Z1381" s="352"/>
      <c r="AA1381" s="352"/>
      <c r="AB1381" s="352"/>
      <c r="AC1381" s="352"/>
      <c r="AD1381" s="352"/>
    </row>
    <row r="1382" spans="1:30" ht="51.3" hidden="1" x14ac:dyDescent="0.35">
      <c r="A1382" s="349">
        <v>1381</v>
      </c>
      <c r="B1382" s="352" t="s">
        <v>1080</v>
      </c>
      <c r="C1382" s="351" t="s">
        <v>2989</v>
      </c>
      <c r="D1382" s="352" t="s">
        <v>2989</v>
      </c>
      <c r="E1382" s="352" t="s">
        <v>730</v>
      </c>
      <c r="F1382" s="353">
        <v>544.62490000000003</v>
      </c>
      <c r="G1382" s="352" t="s">
        <v>1107</v>
      </c>
      <c r="H1382" s="176"/>
      <c r="I1382" s="176" t="s">
        <v>933</v>
      </c>
      <c r="J1382" s="352" t="s">
        <v>1115</v>
      </c>
      <c r="K1382" s="352">
        <v>2</v>
      </c>
      <c r="L1382" s="352" t="s">
        <v>1116</v>
      </c>
      <c r="M1382" s="352">
        <v>10</v>
      </c>
      <c r="N1382" s="352" t="s">
        <v>1109</v>
      </c>
      <c r="O1382" s="351">
        <v>2</v>
      </c>
      <c r="P1382" s="349" t="s">
        <v>1836</v>
      </c>
      <c r="R1382" s="349">
        <f t="shared" si="21"/>
        <v>11</v>
      </c>
      <c r="S1382" s="352"/>
      <c r="T1382" s="352"/>
      <c r="U1382" s="352"/>
      <c r="V1382" s="353"/>
      <c r="W1382" s="352"/>
      <c r="X1382" s="176"/>
      <c r="Y1382" s="37"/>
      <c r="Z1382" s="352"/>
      <c r="AA1382" s="352"/>
      <c r="AB1382" s="352"/>
      <c r="AC1382" s="352"/>
      <c r="AD1382" s="352"/>
    </row>
    <row r="1383" spans="1:30" ht="51.3" hidden="1" x14ac:dyDescent="0.35">
      <c r="A1383" s="349">
        <v>1382</v>
      </c>
      <c r="B1383" s="352" t="s">
        <v>1080</v>
      </c>
      <c r="C1383" s="351" t="s">
        <v>2989</v>
      </c>
      <c r="D1383" s="352" t="s">
        <v>2989</v>
      </c>
      <c r="E1383" s="352" t="s">
        <v>1114</v>
      </c>
      <c r="F1383" s="353">
        <v>341.09019999999998</v>
      </c>
      <c r="G1383" s="352" t="s">
        <v>1107</v>
      </c>
      <c r="H1383" s="37"/>
      <c r="I1383" s="37" t="s">
        <v>933</v>
      </c>
      <c r="J1383" s="352" t="s">
        <v>1115</v>
      </c>
      <c r="K1383" s="352">
        <v>2</v>
      </c>
      <c r="L1383" s="352" t="s">
        <v>1116</v>
      </c>
      <c r="M1383" s="352">
        <v>5</v>
      </c>
      <c r="N1383" s="352" t="s">
        <v>1109</v>
      </c>
      <c r="O1383" s="351">
        <v>2</v>
      </c>
      <c r="P1383" s="349" t="s">
        <v>1836</v>
      </c>
      <c r="R1383" s="349">
        <f t="shared" si="21"/>
        <v>11</v>
      </c>
      <c r="S1383" s="352"/>
      <c r="T1383" s="352"/>
      <c r="U1383" s="352"/>
      <c r="V1383" s="353"/>
      <c r="W1383" s="352"/>
      <c r="X1383" s="176"/>
      <c r="Y1383" s="176"/>
      <c r="Z1383" s="352"/>
      <c r="AA1383" s="352"/>
      <c r="AB1383" s="352"/>
      <c r="AC1383" s="352"/>
      <c r="AD1383" s="352"/>
    </row>
    <row r="1384" spans="1:30" ht="38.450000000000003" hidden="1" x14ac:dyDescent="0.35">
      <c r="A1384" s="349">
        <v>1383</v>
      </c>
      <c r="B1384" s="352" t="s">
        <v>3587</v>
      </c>
      <c r="C1384" s="351" t="s">
        <v>4636</v>
      </c>
      <c r="D1384" s="352" t="s">
        <v>3310</v>
      </c>
      <c r="E1384" s="352" t="s">
        <v>2857</v>
      </c>
      <c r="F1384" s="353">
        <v>13.1</v>
      </c>
      <c r="G1384" s="352" t="s">
        <v>1107</v>
      </c>
      <c r="H1384" s="37" t="s">
        <v>2060</v>
      </c>
      <c r="I1384" s="37" t="s">
        <v>2061</v>
      </c>
      <c r="J1384" s="352" t="s">
        <v>828</v>
      </c>
      <c r="K1384" s="352">
        <v>2</v>
      </c>
      <c r="L1384" s="352" t="s">
        <v>1116</v>
      </c>
      <c r="M1384" s="352">
        <v>10</v>
      </c>
      <c r="N1384" s="352" t="s">
        <v>1109</v>
      </c>
      <c r="O1384" s="351">
        <v>2</v>
      </c>
      <c r="P1384" s="349" t="s">
        <v>1836</v>
      </c>
      <c r="R1384" s="349">
        <f t="shared" si="21"/>
        <v>10</v>
      </c>
      <c r="S1384" s="352"/>
      <c r="T1384" s="352"/>
      <c r="U1384" s="352"/>
      <c r="V1384" s="353"/>
      <c r="W1384" s="352"/>
      <c r="X1384" s="176"/>
      <c r="Y1384" s="176"/>
      <c r="Z1384" s="352"/>
      <c r="AA1384" s="352"/>
      <c r="AB1384" s="352"/>
      <c r="AC1384" s="352"/>
      <c r="AD1384" s="352"/>
    </row>
    <row r="1385" spans="1:30" ht="38.450000000000003" hidden="1" x14ac:dyDescent="0.35">
      <c r="A1385" s="349">
        <v>1384</v>
      </c>
      <c r="B1385" s="352" t="s">
        <v>3587</v>
      </c>
      <c r="C1385" s="351" t="s">
        <v>3310</v>
      </c>
      <c r="D1385" s="352" t="s">
        <v>3310</v>
      </c>
      <c r="E1385" s="352" t="s">
        <v>2857</v>
      </c>
      <c r="F1385" s="353">
        <v>13.1</v>
      </c>
      <c r="G1385" s="352" t="s">
        <v>1107</v>
      </c>
      <c r="H1385" s="37" t="s">
        <v>2060</v>
      </c>
      <c r="I1385" s="37" t="s">
        <v>2061</v>
      </c>
      <c r="J1385" s="352" t="s">
        <v>828</v>
      </c>
      <c r="K1385" s="352">
        <v>2</v>
      </c>
      <c r="L1385" s="352" t="s">
        <v>1116</v>
      </c>
      <c r="M1385" s="352">
        <v>10</v>
      </c>
      <c r="N1385" s="352" t="s">
        <v>1109</v>
      </c>
      <c r="O1385" s="351">
        <v>2</v>
      </c>
      <c r="P1385" s="349" t="s">
        <v>1836</v>
      </c>
      <c r="R1385" s="349">
        <f t="shared" si="21"/>
        <v>10</v>
      </c>
      <c r="S1385" s="352"/>
      <c r="T1385" s="352"/>
      <c r="U1385" s="352"/>
      <c r="V1385" s="353"/>
      <c r="W1385" s="352"/>
      <c r="X1385" s="176"/>
      <c r="Y1385" s="176"/>
      <c r="Z1385" s="352"/>
      <c r="AA1385" s="352"/>
      <c r="AB1385" s="352"/>
      <c r="AC1385" s="352"/>
      <c r="AD1385" s="352"/>
    </row>
    <row r="1386" spans="1:30" ht="64.099999999999994" hidden="1" x14ac:dyDescent="0.35">
      <c r="A1386" s="349">
        <v>1385</v>
      </c>
      <c r="B1386" s="352" t="s">
        <v>729</v>
      </c>
      <c r="C1386" s="351" t="s">
        <v>4637</v>
      </c>
      <c r="D1386" s="352" t="s">
        <v>1425</v>
      </c>
      <c r="E1386" s="352" t="s">
        <v>1649</v>
      </c>
      <c r="F1386" s="353">
        <v>14.68</v>
      </c>
      <c r="G1386" s="352" t="s">
        <v>315</v>
      </c>
      <c r="H1386" s="176" t="s">
        <v>3312</v>
      </c>
      <c r="I1386" s="176" t="s">
        <v>1471</v>
      </c>
      <c r="J1386" s="352" t="s">
        <v>1650</v>
      </c>
      <c r="K1386" s="352">
        <v>100</v>
      </c>
      <c r="L1386" s="352" t="s">
        <v>732</v>
      </c>
      <c r="M1386" s="351">
        <v>3</v>
      </c>
      <c r="N1386" s="351" t="s">
        <v>1109</v>
      </c>
      <c r="O1386" s="351">
        <v>100</v>
      </c>
      <c r="P1386" s="349" t="s">
        <v>2030</v>
      </c>
      <c r="R1386" s="349">
        <f t="shared" si="21"/>
        <v>28</v>
      </c>
      <c r="S1386" s="352"/>
      <c r="T1386" s="352"/>
      <c r="U1386" s="352"/>
      <c r="V1386" s="353"/>
      <c r="W1386" s="352"/>
      <c r="X1386" s="176"/>
      <c r="Y1386" s="176"/>
      <c r="Z1386" s="352"/>
      <c r="AA1386" s="352"/>
      <c r="AB1386" s="352"/>
      <c r="AC1386" s="352"/>
      <c r="AD1386" s="352"/>
    </row>
    <row r="1387" spans="1:30" hidden="1" x14ac:dyDescent="0.35">
      <c r="A1387" s="349">
        <v>1386</v>
      </c>
      <c r="B1387" s="352" t="s">
        <v>729</v>
      </c>
      <c r="C1387" s="351" t="s">
        <v>4638</v>
      </c>
      <c r="D1387" s="352" t="s">
        <v>1425</v>
      </c>
      <c r="E1387" s="352" t="s">
        <v>1649</v>
      </c>
      <c r="F1387" s="353">
        <v>14.68</v>
      </c>
      <c r="G1387" s="352" t="s">
        <v>315</v>
      </c>
      <c r="H1387" s="176" t="s">
        <v>2313</v>
      </c>
      <c r="I1387" s="176" t="s">
        <v>2313</v>
      </c>
      <c r="J1387" s="352" t="s">
        <v>1650</v>
      </c>
      <c r="K1387" s="352">
        <v>100</v>
      </c>
      <c r="L1387" s="352" t="s">
        <v>732</v>
      </c>
      <c r="M1387" s="352">
        <v>3</v>
      </c>
      <c r="N1387" s="352" t="s">
        <v>1109</v>
      </c>
      <c r="O1387" s="351">
        <v>100</v>
      </c>
      <c r="P1387" s="349" t="s">
        <v>2030</v>
      </c>
      <c r="R1387" s="349">
        <f t="shared" si="21"/>
        <v>28</v>
      </c>
      <c r="S1387" s="352"/>
      <c r="T1387" s="352"/>
      <c r="U1387" s="352"/>
      <c r="V1387" s="353"/>
      <c r="W1387" s="352"/>
      <c r="X1387" s="176"/>
      <c r="Y1387" s="37"/>
      <c r="Z1387" s="352"/>
      <c r="AA1387" s="352"/>
      <c r="AB1387" s="352"/>
      <c r="AC1387" s="352"/>
      <c r="AD1387" s="352"/>
    </row>
    <row r="1388" spans="1:30" hidden="1" x14ac:dyDescent="0.35">
      <c r="A1388" s="349">
        <v>1387</v>
      </c>
      <c r="B1388" s="352" t="s">
        <v>729</v>
      </c>
      <c r="C1388" s="351" t="s">
        <v>4639</v>
      </c>
      <c r="D1388" s="352" t="s">
        <v>1425</v>
      </c>
      <c r="E1388" s="352" t="s">
        <v>1649</v>
      </c>
      <c r="F1388" s="353">
        <v>14.68</v>
      </c>
      <c r="G1388" s="352" t="s">
        <v>315</v>
      </c>
      <c r="H1388" s="176" t="s">
        <v>2313</v>
      </c>
      <c r="I1388" s="176" t="s">
        <v>2313</v>
      </c>
      <c r="J1388" s="352" t="s">
        <v>1650</v>
      </c>
      <c r="K1388" s="352">
        <v>100</v>
      </c>
      <c r="L1388" s="352" t="s">
        <v>732</v>
      </c>
      <c r="M1388" s="352">
        <v>3</v>
      </c>
      <c r="N1388" s="352" t="s">
        <v>1109</v>
      </c>
      <c r="O1388" s="351">
        <v>100</v>
      </c>
      <c r="P1388" s="349" t="s">
        <v>2030</v>
      </c>
      <c r="R1388" s="349">
        <f t="shared" si="21"/>
        <v>28</v>
      </c>
      <c r="S1388" s="352"/>
      <c r="T1388" s="352"/>
      <c r="U1388" s="352"/>
      <c r="V1388" s="353"/>
      <c r="W1388" s="352"/>
      <c r="X1388" s="176"/>
      <c r="Y1388" s="176"/>
      <c r="Z1388" s="352"/>
      <c r="AA1388" s="352"/>
      <c r="AB1388" s="352"/>
      <c r="AC1388" s="352"/>
      <c r="AD1388" s="352"/>
    </row>
    <row r="1389" spans="1:30" hidden="1" x14ac:dyDescent="0.35">
      <c r="A1389" s="349">
        <v>1388</v>
      </c>
      <c r="B1389" s="352" t="s">
        <v>729</v>
      </c>
      <c r="C1389" s="351" t="s">
        <v>4640</v>
      </c>
      <c r="D1389" s="352" t="s">
        <v>1425</v>
      </c>
      <c r="E1389" s="352" t="s">
        <v>1649</v>
      </c>
      <c r="F1389" s="353">
        <v>14.68</v>
      </c>
      <c r="G1389" s="352" t="s">
        <v>315</v>
      </c>
      <c r="H1389" s="176" t="s">
        <v>2313</v>
      </c>
      <c r="I1389" s="176" t="s">
        <v>2313</v>
      </c>
      <c r="J1389" s="352" t="s">
        <v>1650</v>
      </c>
      <c r="K1389" s="352">
        <v>100</v>
      </c>
      <c r="L1389" s="352" t="s">
        <v>732</v>
      </c>
      <c r="M1389" s="351">
        <v>3</v>
      </c>
      <c r="N1389" s="351" t="s">
        <v>1109</v>
      </c>
      <c r="O1389" s="351">
        <v>100</v>
      </c>
      <c r="P1389" s="349" t="s">
        <v>2030</v>
      </c>
      <c r="R1389" s="349">
        <f t="shared" si="21"/>
        <v>28</v>
      </c>
      <c r="S1389" s="352"/>
      <c r="T1389" s="352"/>
      <c r="U1389" s="352"/>
      <c r="V1389" s="353"/>
      <c r="W1389" s="352"/>
      <c r="X1389" s="176"/>
      <c r="Y1389" s="176"/>
      <c r="Z1389" s="352"/>
      <c r="AA1389" s="352"/>
      <c r="AB1389" s="352"/>
      <c r="AC1389" s="352"/>
      <c r="AD1389" s="352"/>
    </row>
    <row r="1390" spans="1:30" ht="51.3" hidden="1" x14ac:dyDescent="0.35">
      <c r="A1390" s="349">
        <v>1389</v>
      </c>
      <c r="B1390" s="352" t="s">
        <v>962</v>
      </c>
      <c r="C1390" s="351" t="s">
        <v>3945</v>
      </c>
      <c r="D1390" s="352" t="s">
        <v>3945</v>
      </c>
      <c r="E1390" s="352" t="s">
        <v>1997</v>
      </c>
      <c r="F1390" s="353">
        <v>245.0966</v>
      </c>
      <c r="G1390" s="352" t="s">
        <v>731</v>
      </c>
      <c r="H1390" s="176" t="s">
        <v>1859</v>
      </c>
      <c r="I1390" s="176" t="s">
        <v>1860</v>
      </c>
      <c r="J1390" s="352" t="s">
        <v>1115</v>
      </c>
      <c r="K1390" s="352">
        <v>300</v>
      </c>
      <c r="L1390" s="352" t="s">
        <v>768</v>
      </c>
      <c r="M1390" s="351"/>
      <c r="N1390" s="351"/>
      <c r="O1390" s="351">
        <v>300</v>
      </c>
      <c r="P1390" s="349" t="s">
        <v>1850</v>
      </c>
      <c r="R1390" s="349">
        <f t="shared" si="21"/>
        <v>12</v>
      </c>
      <c r="S1390" s="352"/>
      <c r="T1390" s="352"/>
      <c r="U1390" s="352"/>
      <c r="V1390" s="353"/>
      <c r="W1390" s="352"/>
      <c r="X1390" s="176"/>
      <c r="Y1390" s="176"/>
      <c r="Z1390" s="352"/>
      <c r="AA1390" s="352"/>
      <c r="AB1390" s="352"/>
      <c r="AC1390" s="352"/>
      <c r="AD1390" s="352"/>
    </row>
    <row r="1391" spans="1:30" ht="38.450000000000003" hidden="1" x14ac:dyDescent="0.35">
      <c r="A1391" s="349">
        <v>1390</v>
      </c>
      <c r="B1391" s="352" t="s">
        <v>1792</v>
      </c>
      <c r="C1391" s="351" t="s">
        <v>1338</v>
      </c>
      <c r="D1391" s="352" t="s">
        <v>1338</v>
      </c>
      <c r="E1391" s="352" t="s">
        <v>2389</v>
      </c>
      <c r="F1391" s="353">
        <v>14.1478</v>
      </c>
      <c r="G1391" s="352" t="s">
        <v>34</v>
      </c>
      <c r="H1391" s="176" t="s">
        <v>1339</v>
      </c>
      <c r="I1391" s="176" t="s">
        <v>2405</v>
      </c>
      <c r="J1391" s="352" t="s">
        <v>2131</v>
      </c>
      <c r="K1391" s="352">
        <v>1</v>
      </c>
      <c r="L1391" s="352" t="s">
        <v>30</v>
      </c>
      <c r="M1391" s="351">
        <v>30</v>
      </c>
      <c r="N1391" s="351" t="s">
        <v>31</v>
      </c>
      <c r="O1391" s="351">
        <v>1</v>
      </c>
      <c r="P1391" s="349" t="s">
        <v>1836</v>
      </c>
      <c r="R1391" s="349">
        <f t="shared" si="21"/>
        <v>10</v>
      </c>
      <c r="S1391" s="352"/>
      <c r="T1391" s="352"/>
      <c r="U1391" s="352"/>
      <c r="V1391" s="353"/>
      <c r="W1391" s="352"/>
      <c r="X1391" s="176"/>
      <c r="Y1391" s="176"/>
      <c r="Z1391" s="352"/>
      <c r="AA1391" s="352"/>
      <c r="AB1391" s="352"/>
      <c r="AC1391" s="352"/>
      <c r="AD1391" s="352"/>
    </row>
    <row r="1392" spans="1:30" ht="153.80000000000001" hidden="1" x14ac:dyDescent="0.35">
      <c r="A1392" s="349">
        <v>1391</v>
      </c>
      <c r="B1392" s="352" t="s">
        <v>3090</v>
      </c>
      <c r="C1392" s="351" t="s">
        <v>4641</v>
      </c>
      <c r="D1392" s="352" t="s">
        <v>1821</v>
      </c>
      <c r="E1392" s="352" t="s">
        <v>2129</v>
      </c>
      <c r="F1392" s="353">
        <v>7.8</v>
      </c>
      <c r="G1392" s="352" t="s">
        <v>2126</v>
      </c>
      <c r="H1392" s="176" t="s">
        <v>4013</v>
      </c>
      <c r="I1392" s="176" t="s">
        <v>4014</v>
      </c>
      <c r="J1392" s="352" t="s">
        <v>3579</v>
      </c>
      <c r="K1392" s="352">
        <v>10</v>
      </c>
      <c r="L1392" s="352" t="s">
        <v>1116</v>
      </c>
      <c r="M1392" s="352">
        <v>100</v>
      </c>
      <c r="N1392" s="352" t="s">
        <v>1109</v>
      </c>
      <c r="O1392" s="351">
        <v>10</v>
      </c>
      <c r="P1392" s="349" t="s">
        <v>1836</v>
      </c>
      <c r="R1392" s="349">
        <f t="shared" si="21"/>
        <v>12</v>
      </c>
      <c r="S1392" s="352"/>
      <c r="T1392" s="352"/>
      <c r="U1392" s="352"/>
      <c r="V1392" s="353"/>
      <c r="W1392" s="352"/>
      <c r="X1392" s="176"/>
      <c r="Y1392" s="176"/>
      <c r="Z1392" s="352"/>
      <c r="AA1392" s="352"/>
      <c r="AB1392" s="352"/>
      <c r="AC1392" s="352"/>
      <c r="AD1392" s="352"/>
    </row>
    <row r="1393" spans="1:30" ht="153.80000000000001" hidden="1" x14ac:dyDescent="0.35">
      <c r="A1393" s="349">
        <v>1392</v>
      </c>
      <c r="B1393" s="352" t="s">
        <v>3090</v>
      </c>
      <c r="C1393" s="351" t="s">
        <v>4641</v>
      </c>
      <c r="D1393" s="352" t="s">
        <v>1821</v>
      </c>
      <c r="E1393" s="352" t="s">
        <v>1995</v>
      </c>
      <c r="F1393" s="353">
        <v>0.18</v>
      </c>
      <c r="G1393" s="352" t="s">
        <v>2126</v>
      </c>
      <c r="H1393" s="176" t="s">
        <v>4013</v>
      </c>
      <c r="I1393" s="176" t="s">
        <v>4014</v>
      </c>
      <c r="J1393" s="352" t="s">
        <v>3580</v>
      </c>
      <c r="K1393" s="352">
        <v>100</v>
      </c>
      <c r="L1393" s="352" t="s">
        <v>3581</v>
      </c>
      <c r="M1393" s="352"/>
      <c r="N1393" s="352"/>
      <c r="O1393" s="351">
        <v>100</v>
      </c>
      <c r="P1393" s="349" t="s">
        <v>1836</v>
      </c>
      <c r="R1393" s="349">
        <f t="shared" si="21"/>
        <v>12</v>
      </c>
      <c r="S1393" s="352"/>
      <c r="T1393" s="352"/>
      <c r="U1393" s="352"/>
      <c r="V1393" s="353"/>
      <c r="W1393" s="352"/>
      <c r="X1393" s="176"/>
      <c r="Y1393" s="176"/>
      <c r="Z1393" s="352"/>
      <c r="AA1393" s="352"/>
      <c r="AB1393" s="352"/>
      <c r="AC1393" s="352"/>
      <c r="AD1393" s="352"/>
    </row>
    <row r="1394" spans="1:30" ht="115.35" hidden="1" x14ac:dyDescent="0.35">
      <c r="A1394" s="349">
        <v>1393</v>
      </c>
      <c r="B1394" s="352" t="s">
        <v>4027</v>
      </c>
      <c r="C1394" s="351" t="s">
        <v>1279</v>
      </c>
      <c r="D1394" s="352" t="s">
        <v>1279</v>
      </c>
      <c r="E1394" s="352" t="s">
        <v>1754</v>
      </c>
      <c r="F1394" s="353">
        <v>0.66</v>
      </c>
      <c r="G1394" s="352" t="s">
        <v>3460</v>
      </c>
      <c r="H1394" s="176" t="s">
        <v>3976</v>
      </c>
      <c r="I1394" s="176" t="s">
        <v>4849</v>
      </c>
      <c r="J1394" s="352" t="s">
        <v>1115</v>
      </c>
      <c r="K1394" s="352">
        <v>0.08</v>
      </c>
      <c r="L1394" s="352" t="s">
        <v>1116</v>
      </c>
      <c r="M1394" s="352">
        <v>50</v>
      </c>
      <c r="N1394" s="352" t="s">
        <v>1109</v>
      </c>
      <c r="O1394" s="351">
        <v>0.08</v>
      </c>
      <c r="P1394" s="349" t="s">
        <v>1836</v>
      </c>
      <c r="R1394" s="349">
        <f t="shared" si="21"/>
        <v>7</v>
      </c>
      <c r="S1394" s="352"/>
      <c r="T1394" s="352"/>
      <c r="U1394" s="352"/>
      <c r="V1394" s="353"/>
      <c r="W1394" s="352"/>
      <c r="X1394" s="176"/>
      <c r="Y1394" s="176"/>
      <c r="Z1394" s="352"/>
      <c r="AA1394" s="352"/>
      <c r="AB1394" s="352"/>
      <c r="AC1394" s="352"/>
      <c r="AD1394" s="352"/>
    </row>
    <row r="1395" spans="1:30" ht="179.45" hidden="1" x14ac:dyDescent="0.35">
      <c r="A1395" s="349">
        <v>1394</v>
      </c>
      <c r="B1395" s="352" t="s">
        <v>4027</v>
      </c>
      <c r="C1395" s="351" t="s">
        <v>1279</v>
      </c>
      <c r="D1395" s="352" t="s">
        <v>1279</v>
      </c>
      <c r="E1395" s="352" t="s">
        <v>2855</v>
      </c>
      <c r="F1395" s="353">
        <v>0.7</v>
      </c>
      <c r="G1395" s="352" t="s">
        <v>1107</v>
      </c>
      <c r="H1395" s="176" t="s">
        <v>4134</v>
      </c>
      <c r="I1395" s="176" t="s">
        <v>3977</v>
      </c>
      <c r="J1395" s="352" t="s">
        <v>828</v>
      </c>
      <c r="K1395" s="351">
        <v>10</v>
      </c>
      <c r="L1395" s="351" t="s">
        <v>1116</v>
      </c>
      <c r="M1395" s="352">
        <v>1</v>
      </c>
      <c r="N1395" s="352" t="s">
        <v>1109</v>
      </c>
      <c r="O1395" s="351">
        <v>10</v>
      </c>
      <c r="P1395" s="349" t="s">
        <v>1836</v>
      </c>
      <c r="R1395" s="349">
        <f t="shared" si="21"/>
        <v>7</v>
      </c>
      <c r="S1395" s="352"/>
      <c r="T1395" s="352"/>
      <c r="U1395" s="352"/>
      <c r="V1395" s="353"/>
      <c r="W1395" s="352"/>
      <c r="X1395" s="176"/>
      <c r="Y1395" s="176"/>
      <c r="Z1395" s="352"/>
      <c r="AA1395" s="352"/>
      <c r="AB1395" s="352"/>
      <c r="AC1395" s="352"/>
      <c r="AD1395" s="352"/>
    </row>
    <row r="1396" spans="1:30" ht="179.45" hidden="1" x14ac:dyDescent="0.35">
      <c r="A1396" s="349">
        <v>1395</v>
      </c>
      <c r="B1396" s="352" t="s">
        <v>4027</v>
      </c>
      <c r="C1396" s="351" t="s">
        <v>1279</v>
      </c>
      <c r="D1396" s="352" t="s">
        <v>1279</v>
      </c>
      <c r="E1396" s="352" t="s">
        <v>2857</v>
      </c>
      <c r="F1396" s="353">
        <v>2.5</v>
      </c>
      <c r="G1396" s="352" t="s">
        <v>1107</v>
      </c>
      <c r="H1396" s="176" t="s">
        <v>4134</v>
      </c>
      <c r="I1396" s="176" t="s">
        <v>3977</v>
      </c>
      <c r="J1396" s="352" t="s">
        <v>828</v>
      </c>
      <c r="K1396" s="351">
        <v>10</v>
      </c>
      <c r="L1396" s="351" t="s">
        <v>1116</v>
      </c>
      <c r="M1396" s="352">
        <v>10</v>
      </c>
      <c r="N1396" s="352" t="s">
        <v>1109</v>
      </c>
      <c r="O1396" s="351">
        <v>10</v>
      </c>
      <c r="P1396" s="349" t="s">
        <v>1836</v>
      </c>
      <c r="R1396" s="349">
        <f t="shared" si="21"/>
        <v>7</v>
      </c>
      <c r="S1396" s="352"/>
      <c r="T1396" s="352"/>
      <c r="U1396" s="352"/>
      <c r="V1396" s="353"/>
      <c r="W1396" s="352"/>
      <c r="X1396" s="176"/>
      <c r="Y1396" s="176"/>
      <c r="Z1396" s="352"/>
      <c r="AA1396" s="352"/>
      <c r="AB1396" s="352"/>
      <c r="AC1396" s="352"/>
      <c r="AD1396" s="352"/>
    </row>
    <row r="1397" spans="1:30" ht="102.55" hidden="1" x14ac:dyDescent="0.35">
      <c r="A1397" s="349">
        <v>1396</v>
      </c>
      <c r="B1397" s="352" t="s">
        <v>4027</v>
      </c>
      <c r="C1397" s="351" t="s">
        <v>1279</v>
      </c>
      <c r="D1397" s="352" t="s">
        <v>1279</v>
      </c>
      <c r="E1397" s="352" t="s">
        <v>2000</v>
      </c>
      <c r="F1397" s="353">
        <v>0.13</v>
      </c>
      <c r="G1397" s="352" t="s">
        <v>2126</v>
      </c>
      <c r="H1397" s="176" t="s">
        <v>3978</v>
      </c>
      <c r="I1397" s="176" t="s">
        <v>4850</v>
      </c>
      <c r="J1397" s="352" t="s">
        <v>2695</v>
      </c>
      <c r="K1397" s="352">
        <v>10</v>
      </c>
      <c r="L1397" s="352" t="s">
        <v>3581</v>
      </c>
      <c r="M1397" s="352"/>
      <c r="N1397" s="352"/>
      <c r="O1397" s="351">
        <v>10</v>
      </c>
      <c r="P1397" s="349" t="s">
        <v>1836</v>
      </c>
      <c r="R1397" s="349">
        <f t="shared" si="21"/>
        <v>7</v>
      </c>
      <c r="S1397" s="352"/>
      <c r="T1397" s="352"/>
      <c r="U1397" s="352"/>
      <c r="V1397" s="353"/>
      <c r="W1397" s="352"/>
      <c r="X1397" s="176"/>
      <c r="Y1397" s="176"/>
      <c r="Z1397" s="352"/>
      <c r="AA1397" s="352"/>
      <c r="AB1397" s="352"/>
      <c r="AC1397" s="352"/>
      <c r="AD1397" s="352"/>
    </row>
    <row r="1398" spans="1:30" ht="102.55" hidden="1" x14ac:dyDescent="0.35">
      <c r="A1398" s="349">
        <v>1397</v>
      </c>
      <c r="B1398" s="352" t="s">
        <v>4027</v>
      </c>
      <c r="C1398" s="351" t="s">
        <v>1279</v>
      </c>
      <c r="D1398" s="352" t="s">
        <v>1279</v>
      </c>
      <c r="E1398" s="352" t="s">
        <v>2000</v>
      </c>
      <c r="F1398" s="353">
        <v>0.4</v>
      </c>
      <c r="G1398" s="352" t="s">
        <v>2126</v>
      </c>
      <c r="H1398" s="176" t="s">
        <v>3978</v>
      </c>
      <c r="I1398" s="176" t="s">
        <v>4850</v>
      </c>
      <c r="J1398" s="352" t="s">
        <v>2695</v>
      </c>
      <c r="K1398" s="352">
        <v>30</v>
      </c>
      <c r="L1398" s="352" t="s">
        <v>3581</v>
      </c>
      <c r="M1398" s="352"/>
      <c r="N1398" s="352"/>
      <c r="O1398" s="351">
        <v>30</v>
      </c>
      <c r="P1398" s="349" t="s">
        <v>1836</v>
      </c>
      <c r="R1398" s="349">
        <f t="shared" si="21"/>
        <v>7</v>
      </c>
      <c r="S1398" s="352"/>
      <c r="T1398" s="352"/>
      <c r="U1398" s="352"/>
      <c r="V1398" s="353"/>
      <c r="W1398" s="352"/>
      <c r="X1398" s="37"/>
      <c r="Y1398" s="176"/>
      <c r="Z1398" s="352"/>
      <c r="AA1398" s="351"/>
      <c r="AB1398" s="351"/>
      <c r="AC1398" s="352"/>
      <c r="AD1398" s="352"/>
    </row>
    <row r="1399" spans="1:30" ht="179.45" hidden="1" x14ac:dyDescent="0.35">
      <c r="A1399" s="349">
        <v>1398</v>
      </c>
      <c r="B1399" s="352" t="s">
        <v>4027</v>
      </c>
      <c r="C1399" s="351" t="s">
        <v>3430</v>
      </c>
      <c r="D1399" s="352" t="s">
        <v>1388</v>
      </c>
      <c r="E1399" s="352" t="s">
        <v>1754</v>
      </c>
      <c r="F1399" s="353">
        <v>6.96</v>
      </c>
      <c r="G1399" s="352" t="s">
        <v>3460</v>
      </c>
      <c r="H1399" s="176" t="s">
        <v>2500</v>
      </c>
      <c r="I1399" s="176" t="s">
        <v>4848</v>
      </c>
      <c r="J1399" s="352" t="s">
        <v>1115</v>
      </c>
      <c r="K1399" s="352"/>
      <c r="L1399" s="352"/>
      <c r="M1399" s="352">
        <v>50</v>
      </c>
      <c r="N1399" s="352" t="s">
        <v>1109</v>
      </c>
      <c r="O1399" s="351">
        <v>0</v>
      </c>
      <c r="P1399" s="349" t="s">
        <v>1837</v>
      </c>
      <c r="R1399" s="349">
        <f t="shared" si="21"/>
        <v>31</v>
      </c>
      <c r="S1399" s="352"/>
      <c r="T1399" s="352"/>
      <c r="U1399" s="352"/>
      <c r="V1399" s="353"/>
      <c r="W1399" s="352"/>
      <c r="X1399" s="37"/>
      <c r="Y1399" s="176"/>
      <c r="Z1399" s="352"/>
      <c r="AA1399" s="351"/>
      <c r="AB1399" s="351"/>
      <c r="AC1399" s="352"/>
      <c r="AD1399" s="352"/>
    </row>
    <row r="1400" spans="1:30" ht="179.45" hidden="1" x14ac:dyDescent="0.35">
      <c r="A1400" s="349">
        <v>1399</v>
      </c>
      <c r="B1400" s="352" t="s">
        <v>4027</v>
      </c>
      <c r="C1400" s="351" t="s">
        <v>4642</v>
      </c>
      <c r="D1400" s="352" t="s">
        <v>1388</v>
      </c>
      <c r="E1400" s="352" t="s">
        <v>1754</v>
      </c>
      <c r="F1400" s="353">
        <v>6.96</v>
      </c>
      <c r="G1400" s="352" t="s">
        <v>3460</v>
      </c>
      <c r="H1400" s="176" t="s">
        <v>2500</v>
      </c>
      <c r="I1400" s="176" t="s">
        <v>4848</v>
      </c>
      <c r="J1400" s="352" t="s">
        <v>1115</v>
      </c>
      <c r="K1400" s="352"/>
      <c r="L1400" s="352"/>
      <c r="M1400" s="351">
        <v>50</v>
      </c>
      <c r="N1400" s="351" t="s">
        <v>1109</v>
      </c>
      <c r="O1400" s="351">
        <v>0</v>
      </c>
      <c r="P1400" s="349" t="s">
        <v>1837</v>
      </c>
      <c r="R1400" s="349">
        <f t="shared" si="21"/>
        <v>31</v>
      </c>
      <c r="S1400" s="352"/>
      <c r="T1400" s="352"/>
      <c r="U1400" s="352"/>
      <c r="V1400" s="353"/>
      <c r="W1400" s="352"/>
      <c r="X1400" s="37"/>
      <c r="Y1400" s="176"/>
      <c r="Z1400" s="352"/>
      <c r="AA1400" s="351"/>
      <c r="AB1400" s="351"/>
      <c r="AC1400" s="352"/>
      <c r="AD1400" s="352"/>
    </row>
    <row r="1401" spans="1:30" ht="115.35" hidden="1" x14ac:dyDescent="0.35">
      <c r="A1401" s="349">
        <v>1400</v>
      </c>
      <c r="B1401" s="352" t="s">
        <v>4027</v>
      </c>
      <c r="C1401" s="351" t="s">
        <v>4643</v>
      </c>
      <c r="D1401" s="352" t="s">
        <v>1279</v>
      </c>
      <c r="E1401" s="352" t="s">
        <v>1754</v>
      </c>
      <c r="F1401" s="353">
        <v>0.66</v>
      </c>
      <c r="G1401" s="352" t="s">
        <v>3460</v>
      </c>
      <c r="H1401" s="176" t="s">
        <v>3976</v>
      </c>
      <c r="I1401" s="176" t="s">
        <v>4849</v>
      </c>
      <c r="J1401" s="352" t="s">
        <v>1115</v>
      </c>
      <c r="K1401" s="352">
        <v>0.08</v>
      </c>
      <c r="L1401" s="352" t="s">
        <v>1116</v>
      </c>
      <c r="M1401" s="351">
        <v>50</v>
      </c>
      <c r="N1401" s="351" t="s">
        <v>1109</v>
      </c>
      <c r="O1401" s="351">
        <v>0.08</v>
      </c>
      <c r="P1401" s="349" t="s">
        <v>1836</v>
      </c>
      <c r="R1401" s="349">
        <f t="shared" si="21"/>
        <v>7</v>
      </c>
      <c r="S1401" s="352"/>
      <c r="T1401" s="352"/>
      <c r="U1401" s="352"/>
      <c r="V1401" s="353"/>
      <c r="W1401" s="352"/>
      <c r="X1401" s="37"/>
      <c r="Y1401" s="176"/>
      <c r="Z1401" s="352"/>
      <c r="AA1401" s="351"/>
      <c r="AB1401" s="351"/>
      <c r="AC1401" s="352"/>
      <c r="AD1401" s="352"/>
    </row>
    <row r="1402" spans="1:30" ht="179.45" hidden="1" x14ac:dyDescent="0.35">
      <c r="A1402" s="349">
        <v>1401</v>
      </c>
      <c r="B1402" s="352" t="s">
        <v>4027</v>
      </c>
      <c r="C1402" s="351" t="s">
        <v>4644</v>
      </c>
      <c r="D1402" s="352" t="s">
        <v>1279</v>
      </c>
      <c r="E1402" s="352" t="s">
        <v>2855</v>
      </c>
      <c r="F1402" s="353">
        <v>0.7</v>
      </c>
      <c r="G1402" s="352" t="s">
        <v>1107</v>
      </c>
      <c r="H1402" s="176" t="s">
        <v>4134</v>
      </c>
      <c r="I1402" s="176" t="s">
        <v>3977</v>
      </c>
      <c r="J1402" s="352" t="s">
        <v>828</v>
      </c>
      <c r="K1402" s="352">
        <v>10</v>
      </c>
      <c r="L1402" s="352" t="s">
        <v>1116</v>
      </c>
      <c r="M1402" s="351">
        <v>1</v>
      </c>
      <c r="N1402" s="351" t="s">
        <v>1109</v>
      </c>
      <c r="O1402" s="351">
        <v>10</v>
      </c>
      <c r="P1402" s="349" t="s">
        <v>1836</v>
      </c>
      <c r="R1402" s="349">
        <f t="shared" si="21"/>
        <v>7</v>
      </c>
      <c r="S1402" s="352"/>
      <c r="T1402" s="352"/>
      <c r="U1402" s="352"/>
      <c r="V1402" s="353"/>
      <c r="W1402" s="352"/>
      <c r="X1402" s="37"/>
      <c r="Y1402" s="176"/>
      <c r="Z1402" s="352"/>
      <c r="AA1402" s="351"/>
      <c r="AB1402" s="351"/>
      <c r="AC1402" s="352"/>
      <c r="AD1402" s="352"/>
    </row>
    <row r="1403" spans="1:30" ht="179.45" hidden="1" x14ac:dyDescent="0.35">
      <c r="A1403" s="349">
        <v>1402</v>
      </c>
      <c r="B1403" s="352" t="s">
        <v>4027</v>
      </c>
      <c r="C1403" s="351" t="s">
        <v>4644</v>
      </c>
      <c r="D1403" s="352" t="s">
        <v>1279</v>
      </c>
      <c r="E1403" s="352" t="s">
        <v>2857</v>
      </c>
      <c r="F1403" s="353">
        <v>2.5</v>
      </c>
      <c r="G1403" s="352" t="s">
        <v>1107</v>
      </c>
      <c r="H1403" s="176" t="s">
        <v>4134</v>
      </c>
      <c r="I1403" s="176" t="s">
        <v>3977</v>
      </c>
      <c r="J1403" s="352" t="s">
        <v>828</v>
      </c>
      <c r="K1403" s="352">
        <v>10</v>
      </c>
      <c r="L1403" s="352" t="s">
        <v>1116</v>
      </c>
      <c r="M1403" s="352">
        <v>10</v>
      </c>
      <c r="N1403" s="352" t="s">
        <v>1109</v>
      </c>
      <c r="O1403" s="351">
        <v>10</v>
      </c>
      <c r="P1403" s="349" t="s">
        <v>1836</v>
      </c>
      <c r="R1403" s="349">
        <f t="shared" si="21"/>
        <v>7</v>
      </c>
      <c r="S1403" s="352"/>
      <c r="T1403" s="352"/>
      <c r="U1403" s="352"/>
      <c r="V1403" s="353"/>
      <c r="W1403" s="352"/>
      <c r="X1403" s="37"/>
      <c r="Y1403" s="176"/>
      <c r="Z1403" s="352"/>
      <c r="AA1403" s="351"/>
      <c r="AB1403" s="351"/>
      <c r="AC1403" s="352"/>
      <c r="AD1403" s="352"/>
    </row>
    <row r="1404" spans="1:30" ht="153.80000000000001" hidden="1" x14ac:dyDescent="0.35">
      <c r="A1404" s="349">
        <v>1403</v>
      </c>
      <c r="B1404" s="352" t="s">
        <v>3160</v>
      </c>
      <c r="C1404" s="351" t="s">
        <v>4763</v>
      </c>
      <c r="D1404" s="352" t="s">
        <v>783</v>
      </c>
      <c r="E1404" s="352" t="s">
        <v>553</v>
      </c>
      <c r="F1404" s="353">
        <v>11.64</v>
      </c>
      <c r="G1404" s="352" t="s">
        <v>2126</v>
      </c>
      <c r="H1404" s="176" t="s">
        <v>2701</v>
      </c>
      <c r="I1404" s="176" t="s">
        <v>4753</v>
      </c>
      <c r="J1404" s="352" t="s">
        <v>3579</v>
      </c>
      <c r="K1404" s="352">
        <v>1</v>
      </c>
      <c r="L1404" s="352" t="s">
        <v>1116</v>
      </c>
      <c r="M1404" s="351">
        <v>200</v>
      </c>
      <c r="N1404" s="351" t="s">
        <v>1109</v>
      </c>
      <c r="O1404" s="351">
        <v>1</v>
      </c>
      <c r="P1404" s="349" t="s">
        <v>1836</v>
      </c>
      <c r="R1404" s="349">
        <f t="shared" si="21"/>
        <v>10</v>
      </c>
      <c r="S1404" s="352"/>
      <c r="T1404" s="352"/>
      <c r="U1404" s="352"/>
      <c r="V1404" s="353"/>
      <c r="W1404" s="352"/>
      <c r="X1404" s="37"/>
      <c r="Y1404" s="176"/>
      <c r="Z1404" s="352"/>
      <c r="AA1404" s="351"/>
      <c r="AB1404" s="351"/>
      <c r="AC1404" s="352"/>
      <c r="AD1404" s="352"/>
    </row>
    <row r="1405" spans="1:30" ht="153.80000000000001" hidden="1" x14ac:dyDescent="0.35">
      <c r="A1405" s="349">
        <v>1404</v>
      </c>
      <c r="B1405" s="352" t="s">
        <v>3160</v>
      </c>
      <c r="C1405" s="351" t="s">
        <v>4763</v>
      </c>
      <c r="D1405" s="352" t="s">
        <v>783</v>
      </c>
      <c r="E1405" s="352" t="s">
        <v>1995</v>
      </c>
      <c r="F1405" s="353">
        <v>0.45</v>
      </c>
      <c r="G1405" s="352" t="s">
        <v>2126</v>
      </c>
      <c r="H1405" s="176" t="s">
        <v>2701</v>
      </c>
      <c r="I1405" s="176" t="s">
        <v>4753</v>
      </c>
      <c r="J1405" s="352" t="s">
        <v>3580</v>
      </c>
      <c r="K1405" s="352">
        <v>10</v>
      </c>
      <c r="L1405" s="352" t="s">
        <v>3581</v>
      </c>
      <c r="M1405" s="351"/>
      <c r="N1405" s="351"/>
      <c r="O1405" s="351">
        <v>10</v>
      </c>
      <c r="P1405" s="349" t="s">
        <v>1836</v>
      </c>
      <c r="R1405" s="349">
        <f t="shared" si="21"/>
        <v>10</v>
      </c>
      <c r="S1405" s="352"/>
      <c r="T1405" s="352"/>
      <c r="U1405" s="352"/>
      <c r="V1405" s="353"/>
      <c r="W1405" s="352"/>
      <c r="X1405" s="37"/>
      <c r="Y1405" s="176"/>
      <c r="Z1405" s="352"/>
      <c r="AA1405" s="351"/>
      <c r="AB1405" s="351"/>
      <c r="AC1405" s="352"/>
      <c r="AD1405" s="352"/>
    </row>
    <row r="1406" spans="1:30" ht="153.80000000000001" hidden="1" x14ac:dyDescent="0.35">
      <c r="A1406" s="349">
        <v>1405</v>
      </c>
      <c r="B1406" s="352" t="s">
        <v>3160</v>
      </c>
      <c r="C1406" s="351" t="s">
        <v>4763</v>
      </c>
      <c r="D1406" s="352" t="s">
        <v>783</v>
      </c>
      <c r="E1406" s="352" t="s">
        <v>1999</v>
      </c>
      <c r="F1406" s="353">
        <v>0.9476</v>
      </c>
      <c r="G1406" s="352" t="s">
        <v>967</v>
      </c>
      <c r="H1406" s="176" t="s">
        <v>2702</v>
      </c>
      <c r="I1406" s="176" t="s">
        <v>4753</v>
      </c>
      <c r="J1406" s="352" t="s">
        <v>968</v>
      </c>
      <c r="K1406" s="352">
        <v>10</v>
      </c>
      <c r="L1406" s="352" t="s">
        <v>969</v>
      </c>
      <c r="M1406" s="351"/>
      <c r="N1406" s="351"/>
      <c r="O1406" s="351">
        <v>10</v>
      </c>
      <c r="P1406" s="349" t="s">
        <v>1836</v>
      </c>
      <c r="R1406" s="349">
        <f t="shared" si="21"/>
        <v>10</v>
      </c>
      <c r="S1406" s="352"/>
      <c r="T1406" s="352"/>
      <c r="U1406" s="352"/>
      <c r="V1406" s="353"/>
      <c r="W1406" s="352"/>
      <c r="X1406" s="37"/>
      <c r="Y1406" s="176"/>
      <c r="Z1406" s="352"/>
      <c r="AA1406" s="351"/>
      <c r="AB1406" s="351"/>
      <c r="AC1406" s="352"/>
      <c r="AD1406" s="352"/>
    </row>
    <row r="1407" spans="1:30" ht="153.80000000000001" hidden="1" x14ac:dyDescent="0.35">
      <c r="A1407" s="349">
        <v>1406</v>
      </c>
      <c r="B1407" s="352" t="s">
        <v>3160</v>
      </c>
      <c r="C1407" s="351" t="s">
        <v>4763</v>
      </c>
      <c r="D1407" s="352" t="s">
        <v>783</v>
      </c>
      <c r="E1407" s="352" t="s">
        <v>1999</v>
      </c>
      <c r="F1407" s="353">
        <v>1.4543999999999999</v>
      </c>
      <c r="G1407" s="352" t="s">
        <v>967</v>
      </c>
      <c r="H1407" s="176" t="s">
        <v>2702</v>
      </c>
      <c r="I1407" s="176" t="s">
        <v>4753</v>
      </c>
      <c r="J1407" s="352" t="s">
        <v>968</v>
      </c>
      <c r="K1407" s="351">
        <v>30</v>
      </c>
      <c r="L1407" s="351" t="s">
        <v>969</v>
      </c>
      <c r="M1407" s="351"/>
      <c r="N1407" s="351"/>
      <c r="O1407" s="351">
        <v>30</v>
      </c>
      <c r="P1407" s="349" t="s">
        <v>1836</v>
      </c>
      <c r="R1407" s="349">
        <f t="shared" si="21"/>
        <v>10</v>
      </c>
      <c r="S1407" s="352"/>
      <c r="T1407" s="352"/>
      <c r="U1407" s="352"/>
      <c r="V1407" s="353"/>
      <c r="W1407" s="352"/>
      <c r="X1407" s="37"/>
      <c r="Y1407" s="176"/>
      <c r="Z1407" s="352"/>
      <c r="AA1407" s="351"/>
      <c r="AB1407" s="351"/>
      <c r="AC1407" s="352"/>
      <c r="AD1407" s="352"/>
    </row>
    <row r="1408" spans="1:30" ht="153.80000000000001" hidden="1" x14ac:dyDescent="0.35">
      <c r="A1408" s="349">
        <v>1407</v>
      </c>
      <c r="B1408" s="352" t="s">
        <v>3160</v>
      </c>
      <c r="C1408" s="351" t="s">
        <v>4763</v>
      </c>
      <c r="D1408" s="352" t="s">
        <v>783</v>
      </c>
      <c r="E1408" s="352" t="s">
        <v>1999</v>
      </c>
      <c r="F1408" s="353">
        <v>1.6969000000000001</v>
      </c>
      <c r="G1408" s="352" t="s">
        <v>967</v>
      </c>
      <c r="H1408" s="176" t="s">
        <v>2702</v>
      </c>
      <c r="I1408" s="176" t="s">
        <v>4753</v>
      </c>
      <c r="J1408" s="352" t="s">
        <v>968</v>
      </c>
      <c r="K1408" s="351">
        <v>60</v>
      </c>
      <c r="L1408" s="351" t="s">
        <v>969</v>
      </c>
      <c r="M1408" s="352"/>
      <c r="N1408" s="352"/>
      <c r="O1408" s="351">
        <v>60</v>
      </c>
      <c r="P1408" s="349" t="s">
        <v>1836</v>
      </c>
      <c r="R1408" s="349">
        <f t="shared" si="21"/>
        <v>10</v>
      </c>
      <c r="S1408" s="352"/>
      <c r="T1408" s="352"/>
      <c r="U1408" s="352"/>
      <c r="V1408" s="353"/>
      <c r="W1408" s="352"/>
      <c r="X1408" s="176"/>
      <c r="Y1408" s="176"/>
      <c r="Z1408" s="352"/>
      <c r="AA1408" s="352"/>
      <c r="AB1408" s="352"/>
      <c r="AC1408" s="352"/>
      <c r="AD1408" s="352"/>
    </row>
    <row r="1409" spans="1:30" ht="102.55" hidden="1" x14ac:dyDescent="0.35">
      <c r="A1409" s="349">
        <v>1408</v>
      </c>
      <c r="B1409" s="352" t="s">
        <v>4027</v>
      </c>
      <c r="C1409" s="351" t="s">
        <v>4764</v>
      </c>
      <c r="D1409" s="352" t="s">
        <v>1279</v>
      </c>
      <c r="E1409" s="352" t="s">
        <v>2000</v>
      </c>
      <c r="F1409" s="353">
        <v>0.13</v>
      </c>
      <c r="G1409" s="352" t="s">
        <v>2126</v>
      </c>
      <c r="H1409" s="176" t="s">
        <v>3978</v>
      </c>
      <c r="I1409" s="176" t="s">
        <v>4850</v>
      </c>
      <c r="J1409" s="352" t="s">
        <v>2695</v>
      </c>
      <c r="K1409" s="352">
        <v>10</v>
      </c>
      <c r="L1409" s="352" t="s">
        <v>3581</v>
      </c>
      <c r="M1409" s="352"/>
      <c r="N1409" s="352"/>
      <c r="O1409" s="351">
        <v>10</v>
      </c>
      <c r="P1409" s="349" t="s">
        <v>1836</v>
      </c>
      <c r="R1409" s="349">
        <f t="shared" si="21"/>
        <v>7</v>
      </c>
      <c r="S1409" s="352"/>
      <c r="T1409" s="352"/>
      <c r="U1409" s="352"/>
      <c r="V1409" s="353"/>
      <c r="W1409" s="352"/>
      <c r="X1409" s="176"/>
      <c r="Y1409" s="176"/>
      <c r="Z1409" s="352"/>
      <c r="AA1409" s="352"/>
      <c r="AB1409" s="352"/>
      <c r="AC1409" s="352"/>
      <c r="AD1409" s="352"/>
    </row>
    <row r="1410" spans="1:30" ht="102.55" hidden="1" x14ac:dyDescent="0.35">
      <c r="A1410" s="349">
        <v>1409</v>
      </c>
      <c r="B1410" s="352" t="s">
        <v>4027</v>
      </c>
      <c r="C1410" s="351" t="s">
        <v>4764</v>
      </c>
      <c r="D1410" s="352" t="s">
        <v>1279</v>
      </c>
      <c r="E1410" s="352" t="s">
        <v>2000</v>
      </c>
      <c r="F1410" s="353">
        <v>0.4</v>
      </c>
      <c r="G1410" s="352" t="s">
        <v>2126</v>
      </c>
      <c r="H1410" s="176" t="s">
        <v>3978</v>
      </c>
      <c r="I1410" s="176" t="s">
        <v>4850</v>
      </c>
      <c r="J1410" s="352" t="s">
        <v>2695</v>
      </c>
      <c r="K1410" s="352">
        <v>30</v>
      </c>
      <c r="L1410" s="352" t="s">
        <v>3581</v>
      </c>
      <c r="M1410" s="352"/>
      <c r="N1410" s="352"/>
      <c r="O1410" s="351">
        <v>30</v>
      </c>
      <c r="P1410" s="349" t="s">
        <v>1836</v>
      </c>
      <c r="R1410" s="349">
        <f t="shared" si="21"/>
        <v>7</v>
      </c>
      <c r="S1410" s="352"/>
      <c r="T1410" s="352"/>
      <c r="U1410" s="352"/>
      <c r="V1410" s="353"/>
      <c r="W1410" s="352"/>
      <c r="X1410" s="176"/>
      <c r="Y1410" s="176"/>
      <c r="Z1410" s="352"/>
      <c r="AA1410" s="352"/>
      <c r="AB1410" s="352"/>
      <c r="AC1410" s="352"/>
      <c r="AD1410" s="352"/>
    </row>
    <row r="1411" spans="1:30" ht="51.3" hidden="1" x14ac:dyDescent="0.35">
      <c r="A1411" s="349">
        <v>1410</v>
      </c>
      <c r="B1411" s="352" t="s">
        <v>757</v>
      </c>
      <c r="C1411" s="351" t="s">
        <v>3339</v>
      </c>
      <c r="D1411" s="352" t="s">
        <v>1383</v>
      </c>
      <c r="E1411" s="352" t="s">
        <v>2002</v>
      </c>
      <c r="F1411" s="353">
        <v>0.11020000000000001</v>
      </c>
      <c r="G1411" s="352" t="s">
        <v>2126</v>
      </c>
      <c r="H1411" s="176" t="s">
        <v>4048</v>
      </c>
      <c r="I1411" s="176" t="s">
        <v>4049</v>
      </c>
      <c r="J1411" s="352" t="s">
        <v>1502</v>
      </c>
      <c r="K1411" s="352"/>
      <c r="L1411" s="352"/>
      <c r="M1411" s="352"/>
      <c r="N1411" s="352"/>
      <c r="O1411" s="351">
        <v>0</v>
      </c>
      <c r="P1411" s="349" t="s">
        <v>2313</v>
      </c>
      <c r="R1411" s="349">
        <f t="shared" ref="R1411:R1474" si="22">LEN(D1411)</f>
        <v>24</v>
      </c>
      <c r="S1411" s="352"/>
      <c r="T1411" s="352"/>
      <c r="U1411" s="352"/>
      <c r="V1411" s="353"/>
      <c r="W1411" s="352"/>
      <c r="X1411" s="176"/>
      <c r="Y1411" s="176"/>
      <c r="Z1411" s="352"/>
      <c r="AA1411" s="352"/>
      <c r="AB1411" s="352"/>
      <c r="AC1411" s="352"/>
      <c r="AD1411" s="352"/>
    </row>
    <row r="1412" spans="1:30" ht="51.3" hidden="1" x14ac:dyDescent="0.35">
      <c r="A1412" s="349">
        <v>1411</v>
      </c>
      <c r="B1412" s="352" t="s">
        <v>757</v>
      </c>
      <c r="C1412" s="351" t="s">
        <v>3339</v>
      </c>
      <c r="D1412" s="352" t="s">
        <v>1383</v>
      </c>
      <c r="E1412" s="352" t="s">
        <v>4030</v>
      </c>
      <c r="F1412" s="353">
        <v>8.0214999999999996</v>
      </c>
      <c r="G1412" s="352" t="s">
        <v>2126</v>
      </c>
      <c r="H1412" s="176" t="s">
        <v>4050</v>
      </c>
      <c r="I1412" s="176" t="s">
        <v>1534</v>
      </c>
      <c r="J1412" s="352" t="s">
        <v>4031</v>
      </c>
      <c r="K1412" s="352"/>
      <c r="L1412" s="352"/>
      <c r="M1412" s="352">
        <v>30</v>
      </c>
      <c r="N1412" s="352" t="s">
        <v>1109</v>
      </c>
      <c r="O1412" s="351">
        <v>0</v>
      </c>
      <c r="P1412" s="349" t="s">
        <v>1837</v>
      </c>
      <c r="R1412" s="349">
        <f t="shared" si="22"/>
        <v>24</v>
      </c>
      <c r="S1412" s="352"/>
      <c r="T1412" s="352"/>
      <c r="U1412" s="352"/>
      <c r="V1412" s="353"/>
      <c r="W1412" s="352"/>
      <c r="X1412" s="176"/>
      <c r="Y1412" s="176"/>
      <c r="Z1412" s="352"/>
      <c r="AA1412" s="352"/>
      <c r="AB1412" s="352"/>
      <c r="AC1412" s="352"/>
      <c r="AD1412" s="352"/>
    </row>
    <row r="1413" spans="1:30" ht="38.450000000000003" hidden="1" x14ac:dyDescent="0.35">
      <c r="A1413" s="349">
        <v>1412</v>
      </c>
      <c r="B1413" s="352" t="s">
        <v>3090</v>
      </c>
      <c r="C1413" s="351" t="s">
        <v>537</v>
      </c>
      <c r="D1413" s="352" t="s">
        <v>537</v>
      </c>
      <c r="E1413" s="352" t="s">
        <v>2130</v>
      </c>
      <c r="F1413" s="353">
        <v>12.34</v>
      </c>
      <c r="G1413" s="352" t="s">
        <v>28</v>
      </c>
      <c r="H1413" s="176" t="s">
        <v>3941</v>
      </c>
      <c r="I1413" s="176" t="s">
        <v>210</v>
      </c>
      <c r="J1413" s="352" t="s">
        <v>2131</v>
      </c>
      <c r="K1413" s="352">
        <v>2</v>
      </c>
      <c r="L1413" s="352" t="s">
        <v>470</v>
      </c>
      <c r="M1413" s="352">
        <v>15</v>
      </c>
      <c r="N1413" s="352" t="s">
        <v>31</v>
      </c>
      <c r="O1413" s="351">
        <v>2</v>
      </c>
      <c r="P1413" s="349" t="s">
        <v>1838</v>
      </c>
      <c r="R1413" s="349">
        <f t="shared" si="22"/>
        <v>9</v>
      </c>
      <c r="S1413" s="352"/>
      <c r="T1413" s="352"/>
      <c r="U1413" s="352"/>
      <c r="V1413" s="353"/>
      <c r="W1413" s="352"/>
      <c r="X1413" s="176"/>
      <c r="Y1413" s="176"/>
      <c r="Z1413" s="352"/>
      <c r="AA1413" s="352"/>
      <c r="AB1413" s="352"/>
      <c r="AC1413" s="352"/>
      <c r="AD1413" s="352"/>
    </row>
    <row r="1414" spans="1:30" ht="38.450000000000003" hidden="1" x14ac:dyDescent="0.35">
      <c r="A1414" s="349">
        <v>1413</v>
      </c>
      <c r="B1414" s="352" t="s">
        <v>2132</v>
      </c>
      <c r="C1414" s="351" t="s">
        <v>537</v>
      </c>
      <c r="D1414" s="352" t="s">
        <v>537</v>
      </c>
      <c r="E1414" s="352" t="s">
        <v>2133</v>
      </c>
      <c r="F1414" s="353">
        <v>16.4176</v>
      </c>
      <c r="G1414" s="352" t="s">
        <v>34</v>
      </c>
      <c r="H1414" s="176" t="s">
        <v>3508</v>
      </c>
      <c r="I1414" s="176" t="s">
        <v>4363</v>
      </c>
      <c r="J1414" s="352" t="s">
        <v>2134</v>
      </c>
      <c r="K1414" s="352">
        <v>2</v>
      </c>
      <c r="L1414" s="352" t="s">
        <v>470</v>
      </c>
      <c r="M1414" s="352">
        <v>3</v>
      </c>
      <c r="N1414" s="352" t="s">
        <v>31</v>
      </c>
      <c r="O1414" s="351">
        <v>2</v>
      </c>
      <c r="P1414" s="349" t="s">
        <v>1838</v>
      </c>
      <c r="R1414" s="349">
        <f t="shared" si="22"/>
        <v>9</v>
      </c>
      <c r="S1414" s="352"/>
      <c r="T1414" s="352"/>
      <c r="U1414" s="352"/>
      <c r="V1414" s="353"/>
      <c r="W1414" s="352"/>
      <c r="X1414" s="176"/>
      <c r="Y1414" s="176"/>
      <c r="Z1414" s="352"/>
      <c r="AA1414" s="352"/>
      <c r="AB1414" s="352"/>
      <c r="AC1414" s="352"/>
      <c r="AD1414" s="352"/>
    </row>
    <row r="1415" spans="1:30" ht="76.900000000000006" hidden="1" x14ac:dyDescent="0.35">
      <c r="A1415" s="349">
        <v>1414</v>
      </c>
      <c r="B1415" s="352" t="s">
        <v>1310</v>
      </c>
      <c r="C1415" s="351" t="s">
        <v>537</v>
      </c>
      <c r="D1415" s="352" t="s">
        <v>537</v>
      </c>
      <c r="E1415" s="352" t="s">
        <v>2133</v>
      </c>
      <c r="F1415" s="353">
        <v>16.4176</v>
      </c>
      <c r="G1415" s="352" t="s">
        <v>34</v>
      </c>
      <c r="H1415" s="176" t="s">
        <v>934</v>
      </c>
      <c r="I1415" s="176" t="s">
        <v>3984</v>
      </c>
      <c r="J1415" s="352" t="s">
        <v>2134</v>
      </c>
      <c r="K1415" s="352">
        <v>20</v>
      </c>
      <c r="L1415" s="352" t="s">
        <v>1311</v>
      </c>
      <c r="M1415" s="351">
        <v>3</v>
      </c>
      <c r="N1415" s="351" t="s">
        <v>31</v>
      </c>
      <c r="O1415" s="351">
        <v>20</v>
      </c>
      <c r="P1415" s="349" t="s">
        <v>1836</v>
      </c>
      <c r="R1415" s="349">
        <f t="shared" si="22"/>
        <v>9</v>
      </c>
      <c r="S1415" s="352"/>
      <c r="T1415" s="352"/>
      <c r="U1415" s="352"/>
      <c r="V1415" s="353"/>
      <c r="W1415" s="352"/>
      <c r="X1415" s="176"/>
      <c r="Y1415" s="176"/>
      <c r="Z1415" s="352"/>
      <c r="AA1415" s="352"/>
      <c r="AB1415" s="352"/>
      <c r="AC1415" s="352"/>
      <c r="AD1415" s="352"/>
    </row>
    <row r="1416" spans="1:30" ht="38.450000000000003" hidden="1" x14ac:dyDescent="0.35">
      <c r="A1416" s="349">
        <v>1415</v>
      </c>
      <c r="B1416" s="352" t="s">
        <v>2132</v>
      </c>
      <c r="C1416" s="351" t="s">
        <v>537</v>
      </c>
      <c r="D1416" s="352" t="s">
        <v>537</v>
      </c>
      <c r="E1416" s="352" t="s">
        <v>2130</v>
      </c>
      <c r="F1416" s="353">
        <v>12.34</v>
      </c>
      <c r="G1416" s="352" t="s">
        <v>34</v>
      </c>
      <c r="H1416" s="176" t="s">
        <v>3508</v>
      </c>
      <c r="I1416" s="176" t="s">
        <v>4363</v>
      </c>
      <c r="J1416" s="352" t="s">
        <v>2131</v>
      </c>
      <c r="K1416" s="352">
        <v>2</v>
      </c>
      <c r="L1416" s="352" t="s">
        <v>470</v>
      </c>
      <c r="M1416" s="351">
        <v>15</v>
      </c>
      <c r="N1416" s="351" t="s">
        <v>31</v>
      </c>
      <c r="O1416" s="351">
        <v>2</v>
      </c>
      <c r="P1416" s="349" t="s">
        <v>1838</v>
      </c>
      <c r="R1416" s="349">
        <f t="shared" si="22"/>
        <v>9</v>
      </c>
      <c r="S1416" s="352"/>
      <c r="T1416" s="352"/>
      <c r="U1416" s="352"/>
      <c r="V1416" s="353"/>
      <c r="W1416" s="352"/>
      <c r="X1416" s="176"/>
      <c r="Y1416" s="176"/>
      <c r="Z1416" s="352"/>
      <c r="AA1416" s="352"/>
      <c r="AB1416" s="352"/>
      <c r="AC1416" s="352"/>
      <c r="AD1416" s="352"/>
    </row>
    <row r="1417" spans="1:30" ht="25.65" hidden="1" x14ac:dyDescent="0.35">
      <c r="A1417" s="349">
        <v>1416</v>
      </c>
      <c r="B1417" s="352" t="s">
        <v>3090</v>
      </c>
      <c r="C1417" s="351" t="s">
        <v>537</v>
      </c>
      <c r="D1417" s="352" t="s">
        <v>537</v>
      </c>
      <c r="E1417" s="352" t="s">
        <v>2133</v>
      </c>
      <c r="F1417" s="353">
        <v>16.420000000000002</v>
      </c>
      <c r="G1417" s="352" t="s">
        <v>1312</v>
      </c>
      <c r="H1417" s="176" t="s">
        <v>237</v>
      </c>
      <c r="I1417" s="37" t="s">
        <v>238</v>
      </c>
      <c r="J1417" s="352" t="s">
        <v>2134</v>
      </c>
      <c r="K1417" s="352">
        <v>2</v>
      </c>
      <c r="L1417" s="352" t="s">
        <v>470</v>
      </c>
      <c r="M1417" s="352">
        <v>3</v>
      </c>
      <c r="N1417" s="352" t="s">
        <v>31</v>
      </c>
      <c r="O1417" s="351">
        <v>2</v>
      </c>
      <c r="P1417" s="349" t="s">
        <v>1838</v>
      </c>
      <c r="R1417" s="349">
        <f t="shared" si="22"/>
        <v>9</v>
      </c>
      <c r="S1417" s="352"/>
      <c r="T1417" s="352"/>
      <c r="U1417" s="352"/>
      <c r="V1417" s="353"/>
      <c r="W1417" s="352"/>
      <c r="X1417" s="176"/>
      <c r="Y1417" s="176"/>
      <c r="Z1417" s="352"/>
      <c r="AA1417" s="352"/>
      <c r="AB1417" s="352"/>
      <c r="AC1417" s="352"/>
      <c r="AD1417" s="352"/>
    </row>
    <row r="1418" spans="1:30" ht="51.3" hidden="1" x14ac:dyDescent="0.35">
      <c r="A1418" s="349">
        <v>1417</v>
      </c>
      <c r="B1418" s="352" t="s">
        <v>3204</v>
      </c>
      <c r="C1418" s="351" t="s">
        <v>3699</v>
      </c>
      <c r="D1418" s="352" t="s">
        <v>3699</v>
      </c>
      <c r="E1418" s="352" t="s">
        <v>827</v>
      </c>
      <c r="F1418" s="353">
        <v>1094.49</v>
      </c>
      <c r="G1418" s="352" t="s">
        <v>1107</v>
      </c>
      <c r="H1418" s="176" t="s">
        <v>1132</v>
      </c>
      <c r="I1418" s="37" t="s">
        <v>686</v>
      </c>
      <c r="J1418" s="352" t="s">
        <v>828</v>
      </c>
      <c r="K1418" s="352">
        <v>1</v>
      </c>
      <c r="L1418" s="352" t="s">
        <v>1116</v>
      </c>
      <c r="M1418" s="351">
        <v>5</v>
      </c>
      <c r="N1418" s="351" t="s">
        <v>1109</v>
      </c>
      <c r="O1418" s="351">
        <v>1</v>
      </c>
      <c r="P1418" s="349" t="s">
        <v>1836</v>
      </c>
      <c r="R1418" s="349">
        <f t="shared" si="22"/>
        <v>13</v>
      </c>
      <c r="S1418" s="352"/>
      <c r="T1418" s="352"/>
      <c r="U1418" s="352"/>
      <c r="V1418" s="353"/>
      <c r="W1418" s="352"/>
      <c r="X1418" s="176"/>
      <c r="Y1418" s="176"/>
      <c r="Z1418" s="352"/>
      <c r="AA1418" s="352"/>
      <c r="AB1418" s="352"/>
      <c r="AC1418" s="352"/>
      <c r="AD1418" s="352"/>
    </row>
    <row r="1419" spans="1:30" ht="51.3" hidden="1" x14ac:dyDescent="0.35">
      <c r="A1419" s="349">
        <v>1418</v>
      </c>
      <c r="B1419" s="352" t="s">
        <v>1533</v>
      </c>
      <c r="C1419" s="351" t="s">
        <v>4765</v>
      </c>
      <c r="D1419" s="352" t="s">
        <v>1822</v>
      </c>
      <c r="E1419" s="352" t="s">
        <v>1995</v>
      </c>
      <c r="F1419" s="353">
        <v>0.65</v>
      </c>
      <c r="G1419" s="352" t="s">
        <v>2126</v>
      </c>
      <c r="H1419" s="176" t="s">
        <v>2261</v>
      </c>
      <c r="I1419" s="37" t="s">
        <v>2262</v>
      </c>
      <c r="J1419" s="352" t="s">
        <v>3580</v>
      </c>
      <c r="K1419" s="352">
        <v>400</v>
      </c>
      <c r="L1419" s="352" t="s">
        <v>3581</v>
      </c>
      <c r="M1419" s="352"/>
      <c r="N1419" s="352"/>
      <c r="O1419" s="351">
        <v>400</v>
      </c>
      <c r="P1419" s="349" t="s">
        <v>1836</v>
      </c>
      <c r="R1419" s="349">
        <f t="shared" si="22"/>
        <v>10</v>
      </c>
      <c r="S1419" s="352"/>
      <c r="T1419" s="352"/>
      <c r="U1419" s="352"/>
      <c r="V1419" s="353"/>
      <c r="W1419" s="352"/>
      <c r="X1419" s="176"/>
      <c r="Y1419" s="176"/>
      <c r="Z1419" s="352"/>
      <c r="AA1419" s="352"/>
      <c r="AB1419" s="352"/>
      <c r="AC1419" s="352"/>
      <c r="AD1419" s="352"/>
    </row>
    <row r="1420" spans="1:30" ht="89.75" hidden="1" x14ac:dyDescent="0.35">
      <c r="A1420" s="349">
        <v>1419</v>
      </c>
      <c r="B1420" s="352" t="s">
        <v>1533</v>
      </c>
      <c r="C1420" s="351" t="s">
        <v>4766</v>
      </c>
      <c r="D1420" s="352" t="s">
        <v>2263</v>
      </c>
      <c r="E1420" s="352" t="s">
        <v>1998</v>
      </c>
      <c r="F1420" s="353">
        <v>7.87</v>
      </c>
      <c r="G1420" s="352" t="s">
        <v>2126</v>
      </c>
      <c r="H1420" s="176" t="s">
        <v>2294</v>
      </c>
      <c r="I1420" s="37" t="s">
        <v>3553</v>
      </c>
      <c r="J1420" s="352" t="s">
        <v>22</v>
      </c>
      <c r="K1420" s="352">
        <v>150</v>
      </c>
      <c r="L1420" s="352" t="s">
        <v>23</v>
      </c>
      <c r="M1420" s="351"/>
      <c r="N1420" s="351"/>
      <c r="O1420" s="351">
        <v>150</v>
      </c>
      <c r="P1420" s="349" t="s">
        <v>1836</v>
      </c>
      <c r="R1420" s="349">
        <f t="shared" si="22"/>
        <v>10</v>
      </c>
      <c r="S1420" s="352"/>
      <c r="T1420" s="352"/>
      <c r="U1420" s="352"/>
      <c r="V1420" s="353"/>
      <c r="W1420" s="352"/>
      <c r="X1420" s="176"/>
      <c r="Y1420" s="176"/>
      <c r="Z1420" s="352"/>
      <c r="AA1420" s="352"/>
      <c r="AB1420" s="352"/>
      <c r="AC1420" s="352"/>
      <c r="AD1420" s="352"/>
    </row>
    <row r="1421" spans="1:30" ht="38.450000000000003" hidden="1" x14ac:dyDescent="0.35">
      <c r="A1421" s="349">
        <v>1420</v>
      </c>
      <c r="B1421" s="352" t="s">
        <v>3204</v>
      </c>
      <c r="C1421" s="351" t="s">
        <v>1370</v>
      </c>
      <c r="D1421" s="352" t="s">
        <v>1370</v>
      </c>
      <c r="E1421" s="352" t="s">
        <v>1997</v>
      </c>
      <c r="F1421" s="353">
        <v>42.18</v>
      </c>
      <c r="G1421" s="352" t="s">
        <v>1107</v>
      </c>
      <c r="H1421" s="176" t="s">
        <v>1571</v>
      </c>
      <c r="I1421" s="176"/>
      <c r="J1421" s="352" t="s">
        <v>1115</v>
      </c>
      <c r="K1421" s="352">
        <v>500</v>
      </c>
      <c r="L1421" s="352" t="s">
        <v>1464</v>
      </c>
      <c r="M1421" s="351"/>
      <c r="N1421" s="351"/>
      <c r="O1421" s="351">
        <v>500</v>
      </c>
      <c r="P1421" s="349" t="s">
        <v>1836</v>
      </c>
      <c r="R1421" s="349">
        <f t="shared" si="22"/>
        <v>12</v>
      </c>
      <c r="S1421" s="352"/>
      <c r="T1421" s="352"/>
      <c r="U1421" s="352"/>
      <c r="V1421" s="353"/>
      <c r="W1421" s="352"/>
      <c r="X1421" s="176"/>
      <c r="Y1421" s="176"/>
      <c r="Z1421" s="352"/>
      <c r="AA1421" s="352"/>
      <c r="AB1421" s="352"/>
      <c r="AC1421" s="352"/>
      <c r="AD1421" s="352"/>
    </row>
    <row r="1422" spans="1:30" ht="89.75" hidden="1" x14ac:dyDescent="0.35">
      <c r="A1422" s="349">
        <v>1421</v>
      </c>
      <c r="B1422" s="352" t="s">
        <v>3204</v>
      </c>
      <c r="C1422" s="351" t="s">
        <v>1370</v>
      </c>
      <c r="D1422" s="352" t="s">
        <v>1370</v>
      </c>
      <c r="E1422" s="352" t="s">
        <v>1998</v>
      </c>
      <c r="F1422" s="353">
        <v>2.9750000000000001</v>
      </c>
      <c r="G1422" s="352" t="s">
        <v>2126</v>
      </c>
      <c r="H1422" s="176" t="s">
        <v>3974</v>
      </c>
      <c r="I1422" s="176"/>
      <c r="J1422" s="352" t="s">
        <v>22</v>
      </c>
      <c r="K1422" s="352">
        <v>250</v>
      </c>
      <c r="L1422" s="352" t="s">
        <v>23</v>
      </c>
      <c r="M1422" s="352"/>
      <c r="N1422" s="352"/>
      <c r="O1422" s="351">
        <v>250</v>
      </c>
      <c r="P1422" s="349" t="s">
        <v>1836</v>
      </c>
      <c r="R1422" s="349">
        <f t="shared" si="22"/>
        <v>12</v>
      </c>
      <c r="S1422" s="352"/>
      <c r="T1422" s="352"/>
      <c r="U1422" s="352"/>
      <c r="V1422" s="353"/>
      <c r="W1422" s="352"/>
      <c r="X1422" s="176"/>
      <c r="Y1422" s="176"/>
      <c r="Z1422" s="352"/>
      <c r="AA1422" s="352"/>
      <c r="AB1422" s="352"/>
      <c r="AC1422" s="352"/>
      <c r="AD1422" s="352"/>
    </row>
    <row r="1423" spans="1:30" ht="89.75" hidden="1" x14ac:dyDescent="0.35">
      <c r="A1423" s="349">
        <v>1422</v>
      </c>
      <c r="B1423" s="352" t="s">
        <v>3204</v>
      </c>
      <c r="C1423" s="351" t="s">
        <v>1370</v>
      </c>
      <c r="D1423" s="352" t="s">
        <v>1370</v>
      </c>
      <c r="E1423" s="352" t="s">
        <v>1998</v>
      </c>
      <c r="F1423" s="353">
        <v>5.95</v>
      </c>
      <c r="G1423" s="352" t="s">
        <v>2126</v>
      </c>
      <c r="H1423" s="176" t="s">
        <v>3974</v>
      </c>
      <c r="I1423" s="176"/>
      <c r="J1423" s="352" t="s">
        <v>22</v>
      </c>
      <c r="K1423" s="352">
        <v>500</v>
      </c>
      <c r="L1423" s="352" t="s">
        <v>23</v>
      </c>
      <c r="M1423" s="352"/>
      <c r="N1423" s="352"/>
      <c r="O1423" s="351">
        <v>500</v>
      </c>
      <c r="P1423" s="349" t="s">
        <v>1836</v>
      </c>
      <c r="R1423" s="349">
        <f t="shared" si="22"/>
        <v>12</v>
      </c>
      <c r="S1423" s="352"/>
      <c r="T1423" s="352"/>
      <c r="U1423" s="352"/>
      <c r="V1423" s="353"/>
      <c r="W1423" s="352"/>
      <c r="X1423" s="176"/>
      <c r="Y1423" s="176"/>
      <c r="Z1423" s="352"/>
      <c r="AA1423" s="352"/>
      <c r="AB1423" s="352"/>
      <c r="AC1423" s="352"/>
      <c r="AD1423" s="352"/>
    </row>
    <row r="1424" spans="1:30" ht="89.75" hidden="1" x14ac:dyDescent="0.35">
      <c r="A1424" s="349">
        <v>1423</v>
      </c>
      <c r="B1424" s="352" t="s">
        <v>3204</v>
      </c>
      <c r="C1424" s="351" t="s">
        <v>1370</v>
      </c>
      <c r="D1424" s="352" t="s">
        <v>1370</v>
      </c>
      <c r="E1424" s="352" t="s">
        <v>552</v>
      </c>
      <c r="F1424" s="353">
        <v>495.83</v>
      </c>
      <c r="G1424" s="352" t="s">
        <v>2126</v>
      </c>
      <c r="H1424" s="176" t="s">
        <v>3974</v>
      </c>
      <c r="I1424" s="176"/>
      <c r="J1424" s="352" t="s">
        <v>3579</v>
      </c>
      <c r="K1424" s="352">
        <v>200</v>
      </c>
      <c r="L1424" s="352" t="s">
        <v>1116</v>
      </c>
      <c r="M1424" s="352">
        <v>110</v>
      </c>
      <c r="N1424" s="352" t="s">
        <v>31</v>
      </c>
      <c r="O1424" s="351">
        <v>200</v>
      </c>
      <c r="P1424" s="349" t="s">
        <v>1836</v>
      </c>
      <c r="R1424" s="349">
        <f t="shared" si="22"/>
        <v>12</v>
      </c>
      <c r="S1424" s="352"/>
      <c r="T1424" s="352"/>
      <c r="U1424" s="352"/>
      <c r="V1424" s="353"/>
      <c r="W1424" s="352"/>
      <c r="X1424" s="176"/>
      <c r="Y1424" s="176"/>
      <c r="Z1424" s="352"/>
      <c r="AA1424" s="352"/>
      <c r="AB1424" s="352"/>
      <c r="AC1424" s="352"/>
      <c r="AD1424" s="352"/>
    </row>
    <row r="1425" spans="1:30" ht="25.65" hidden="1" x14ac:dyDescent="0.35">
      <c r="A1425" s="349">
        <v>1424</v>
      </c>
      <c r="B1425" s="352" t="s">
        <v>1080</v>
      </c>
      <c r="C1425" s="351" t="s">
        <v>4767</v>
      </c>
      <c r="D1425" s="352" t="s">
        <v>2655</v>
      </c>
      <c r="E1425" s="352" t="s">
        <v>2002</v>
      </c>
      <c r="F1425" s="353">
        <v>0.81540000000000001</v>
      </c>
      <c r="G1425" s="352" t="s">
        <v>2126</v>
      </c>
      <c r="H1425" s="176" t="s">
        <v>2218</v>
      </c>
      <c r="I1425" s="176" t="s">
        <v>1739</v>
      </c>
      <c r="J1425" s="352" t="s">
        <v>1502</v>
      </c>
      <c r="K1425" s="352">
        <v>2</v>
      </c>
      <c r="L1425" s="352" t="s">
        <v>1503</v>
      </c>
      <c r="M1425" s="352"/>
      <c r="N1425" s="352"/>
      <c r="O1425" s="351">
        <v>2</v>
      </c>
      <c r="P1425" s="349" t="s">
        <v>1836</v>
      </c>
      <c r="R1425" s="349">
        <f t="shared" si="22"/>
        <v>8</v>
      </c>
      <c r="S1425" s="352"/>
      <c r="T1425" s="352"/>
      <c r="U1425" s="352"/>
      <c r="V1425" s="353"/>
      <c r="W1425" s="352"/>
      <c r="X1425" s="176"/>
      <c r="Y1425" s="176"/>
      <c r="Z1425" s="352"/>
      <c r="AA1425" s="352"/>
      <c r="AB1425" s="352"/>
      <c r="AC1425" s="352"/>
      <c r="AD1425" s="352"/>
    </row>
    <row r="1426" spans="1:30" ht="141" hidden="1" x14ac:dyDescent="0.35">
      <c r="A1426" s="349">
        <v>1425</v>
      </c>
      <c r="B1426" s="352" t="s">
        <v>1113</v>
      </c>
      <c r="C1426" s="351" t="s">
        <v>3171</v>
      </c>
      <c r="D1426" s="352" t="s">
        <v>3171</v>
      </c>
      <c r="E1426" s="352" t="s">
        <v>2855</v>
      </c>
      <c r="F1426" s="353">
        <v>0.88</v>
      </c>
      <c r="G1426" s="352" t="s">
        <v>3461</v>
      </c>
      <c r="H1426" s="176" t="s">
        <v>2689</v>
      </c>
      <c r="I1426" s="176" t="s">
        <v>2506</v>
      </c>
      <c r="J1426" s="352" t="s">
        <v>828</v>
      </c>
      <c r="K1426" s="352">
        <v>400</v>
      </c>
      <c r="L1426" s="352" t="s">
        <v>4022</v>
      </c>
      <c r="M1426" s="351">
        <v>1</v>
      </c>
      <c r="N1426" s="351" t="s">
        <v>1109</v>
      </c>
      <c r="O1426" s="351">
        <v>400</v>
      </c>
      <c r="P1426" s="349" t="s">
        <v>1850</v>
      </c>
      <c r="R1426" s="349">
        <f t="shared" si="22"/>
        <v>7</v>
      </c>
      <c r="S1426" s="352"/>
      <c r="T1426" s="352"/>
      <c r="U1426" s="352"/>
      <c r="V1426" s="353"/>
      <c r="W1426" s="352"/>
      <c r="X1426" s="176"/>
      <c r="Y1426" s="176"/>
      <c r="Z1426" s="352"/>
      <c r="AA1426" s="352"/>
      <c r="AB1426" s="352"/>
      <c r="AC1426" s="352"/>
      <c r="AD1426" s="352"/>
    </row>
    <row r="1427" spans="1:30" ht="141" hidden="1" x14ac:dyDescent="0.35">
      <c r="A1427" s="349">
        <v>1426</v>
      </c>
      <c r="B1427" s="352" t="s">
        <v>1113</v>
      </c>
      <c r="C1427" s="351" t="s">
        <v>3171</v>
      </c>
      <c r="D1427" s="352" t="s">
        <v>3171</v>
      </c>
      <c r="E1427" s="352" t="s">
        <v>762</v>
      </c>
      <c r="F1427" s="353">
        <v>0.4</v>
      </c>
      <c r="G1427" s="352" t="s">
        <v>3461</v>
      </c>
      <c r="H1427" s="176" t="s">
        <v>2689</v>
      </c>
      <c r="I1427" s="176" t="s">
        <v>2506</v>
      </c>
      <c r="J1427" s="352" t="s">
        <v>828</v>
      </c>
      <c r="K1427" s="352">
        <v>20</v>
      </c>
      <c r="L1427" s="352" t="s">
        <v>4022</v>
      </c>
      <c r="M1427" s="351">
        <v>2</v>
      </c>
      <c r="N1427" s="351" t="s">
        <v>1109</v>
      </c>
      <c r="O1427" s="351">
        <v>20</v>
      </c>
      <c r="P1427" s="349" t="s">
        <v>1850</v>
      </c>
      <c r="R1427" s="349">
        <f t="shared" si="22"/>
        <v>7</v>
      </c>
      <c r="S1427" s="352"/>
      <c r="T1427" s="352"/>
      <c r="U1427" s="352"/>
      <c r="V1427" s="353"/>
      <c r="W1427" s="352"/>
      <c r="X1427" s="176"/>
      <c r="Y1427" s="176"/>
      <c r="Z1427" s="352"/>
      <c r="AA1427" s="352"/>
      <c r="AB1427" s="352"/>
      <c r="AC1427" s="352"/>
      <c r="AD1427" s="352"/>
    </row>
    <row r="1428" spans="1:30" ht="141" hidden="1" x14ac:dyDescent="0.35">
      <c r="A1428" s="349">
        <v>1427</v>
      </c>
      <c r="B1428" s="352" t="s">
        <v>1113</v>
      </c>
      <c r="C1428" s="351" t="s">
        <v>3171</v>
      </c>
      <c r="D1428" s="352" t="s">
        <v>3171</v>
      </c>
      <c r="E1428" s="352" t="s">
        <v>2855</v>
      </c>
      <c r="F1428" s="353">
        <v>0.88</v>
      </c>
      <c r="G1428" s="352" t="s">
        <v>3461</v>
      </c>
      <c r="H1428" s="176" t="s">
        <v>2689</v>
      </c>
      <c r="I1428" s="176" t="s">
        <v>2506</v>
      </c>
      <c r="J1428" s="352" t="s">
        <v>828</v>
      </c>
      <c r="K1428" s="352">
        <v>400</v>
      </c>
      <c r="L1428" s="352" t="s">
        <v>4022</v>
      </c>
      <c r="M1428" s="351">
        <v>1</v>
      </c>
      <c r="N1428" s="351" t="s">
        <v>1109</v>
      </c>
      <c r="O1428" s="351">
        <v>400</v>
      </c>
      <c r="P1428" s="349" t="s">
        <v>1850</v>
      </c>
      <c r="R1428" s="349">
        <f t="shared" si="22"/>
        <v>7</v>
      </c>
      <c r="S1428" s="352"/>
      <c r="T1428" s="352"/>
      <c r="U1428" s="352"/>
      <c r="V1428" s="353"/>
      <c r="W1428" s="352"/>
      <c r="X1428" s="176"/>
      <c r="Y1428" s="176"/>
      <c r="Z1428" s="352"/>
      <c r="AA1428" s="352"/>
      <c r="AB1428" s="352"/>
      <c r="AC1428" s="352"/>
      <c r="AD1428" s="352"/>
    </row>
    <row r="1429" spans="1:30" ht="141" hidden="1" x14ac:dyDescent="0.35">
      <c r="A1429" s="349">
        <v>1428</v>
      </c>
      <c r="B1429" s="352" t="s">
        <v>1113</v>
      </c>
      <c r="C1429" s="351" t="s">
        <v>3171</v>
      </c>
      <c r="D1429" s="352" t="s">
        <v>3171</v>
      </c>
      <c r="E1429" s="352" t="s">
        <v>762</v>
      </c>
      <c r="F1429" s="353">
        <v>0.4</v>
      </c>
      <c r="G1429" s="352" t="s">
        <v>3461</v>
      </c>
      <c r="H1429" s="176" t="s">
        <v>2689</v>
      </c>
      <c r="I1429" s="176" t="s">
        <v>2506</v>
      </c>
      <c r="J1429" s="352" t="s">
        <v>828</v>
      </c>
      <c r="K1429" s="352">
        <v>20</v>
      </c>
      <c r="L1429" s="352" t="s">
        <v>4022</v>
      </c>
      <c r="M1429" s="351">
        <v>2</v>
      </c>
      <c r="N1429" s="351" t="s">
        <v>1109</v>
      </c>
      <c r="O1429" s="351">
        <v>20</v>
      </c>
      <c r="P1429" s="349" t="s">
        <v>1850</v>
      </c>
      <c r="R1429" s="349">
        <f t="shared" si="22"/>
        <v>7</v>
      </c>
      <c r="S1429" s="352"/>
      <c r="T1429" s="352"/>
      <c r="U1429" s="352"/>
      <c r="V1429" s="353"/>
      <c r="W1429" s="352"/>
      <c r="X1429" s="176"/>
      <c r="Y1429" s="176"/>
      <c r="Z1429" s="352"/>
      <c r="AA1429" s="352"/>
      <c r="AB1429" s="352"/>
      <c r="AC1429" s="352"/>
      <c r="AD1429" s="352"/>
    </row>
    <row r="1430" spans="1:30" ht="51.3" hidden="1" x14ac:dyDescent="0.35">
      <c r="A1430" s="349">
        <v>1429</v>
      </c>
      <c r="B1430" s="352" t="s">
        <v>2067</v>
      </c>
      <c r="C1430" s="351" t="s">
        <v>4036</v>
      </c>
      <c r="D1430" s="352" t="s">
        <v>4036</v>
      </c>
      <c r="E1430" s="352" t="s">
        <v>1995</v>
      </c>
      <c r="F1430" s="353">
        <v>0.2</v>
      </c>
      <c r="G1430" s="352" t="s">
        <v>2126</v>
      </c>
      <c r="H1430" s="176" t="s">
        <v>2256</v>
      </c>
      <c r="I1430" s="176" t="s">
        <v>4549</v>
      </c>
      <c r="J1430" s="352" t="s">
        <v>3580</v>
      </c>
      <c r="K1430" s="352">
        <v>250</v>
      </c>
      <c r="L1430" s="352" t="s">
        <v>3581</v>
      </c>
      <c r="M1430" s="352"/>
      <c r="N1430" s="352"/>
      <c r="O1430" s="351">
        <v>250</v>
      </c>
      <c r="P1430" s="349" t="s">
        <v>1836</v>
      </c>
      <c r="R1430" s="349">
        <f t="shared" si="22"/>
        <v>8</v>
      </c>
      <c r="S1430" s="352"/>
      <c r="T1430" s="352"/>
      <c r="U1430" s="352"/>
      <c r="V1430" s="353"/>
      <c r="W1430" s="352"/>
      <c r="X1430" s="176"/>
      <c r="Y1430" s="176"/>
      <c r="Z1430" s="352"/>
      <c r="AA1430" s="352"/>
      <c r="AB1430" s="352"/>
      <c r="AC1430" s="352"/>
      <c r="AD1430" s="352"/>
    </row>
    <row r="1431" spans="1:30" ht="51.3" hidden="1" x14ac:dyDescent="0.35">
      <c r="A1431" s="349">
        <v>1430</v>
      </c>
      <c r="B1431" s="352" t="s">
        <v>2067</v>
      </c>
      <c r="C1431" s="351" t="s">
        <v>4036</v>
      </c>
      <c r="D1431" s="352" t="s">
        <v>4036</v>
      </c>
      <c r="E1431" s="352" t="s">
        <v>1999</v>
      </c>
      <c r="F1431" s="353">
        <v>0.4</v>
      </c>
      <c r="G1431" s="352" t="s">
        <v>967</v>
      </c>
      <c r="H1431" s="176" t="s">
        <v>1094</v>
      </c>
      <c r="I1431" s="37" t="s">
        <v>4549</v>
      </c>
      <c r="J1431" s="352" t="s">
        <v>968</v>
      </c>
      <c r="K1431" s="352">
        <v>500</v>
      </c>
      <c r="L1431" s="352" t="s">
        <v>969</v>
      </c>
      <c r="M1431" s="352"/>
      <c r="N1431" s="352"/>
      <c r="O1431" s="351">
        <v>500</v>
      </c>
      <c r="P1431" s="349" t="s">
        <v>1836</v>
      </c>
      <c r="R1431" s="349">
        <f t="shared" si="22"/>
        <v>8</v>
      </c>
      <c r="S1431" s="352"/>
      <c r="T1431" s="352"/>
      <c r="U1431" s="352"/>
      <c r="V1431" s="353"/>
      <c r="W1431" s="352"/>
      <c r="X1431" s="176"/>
      <c r="Y1431" s="176"/>
      <c r="Z1431" s="352"/>
      <c r="AA1431" s="352"/>
      <c r="AB1431" s="352"/>
      <c r="AC1431" s="352"/>
      <c r="AD1431" s="352"/>
    </row>
    <row r="1432" spans="1:30" ht="51.3" hidden="1" x14ac:dyDescent="0.35">
      <c r="A1432" s="349">
        <v>1431</v>
      </c>
      <c r="B1432" s="352" t="s">
        <v>2067</v>
      </c>
      <c r="C1432" s="351" t="s">
        <v>4036</v>
      </c>
      <c r="D1432" s="352" t="s">
        <v>4036</v>
      </c>
      <c r="E1432" s="352" t="s">
        <v>1995</v>
      </c>
      <c r="F1432" s="353">
        <v>0.2</v>
      </c>
      <c r="G1432" s="352" t="s">
        <v>2126</v>
      </c>
      <c r="H1432" s="176" t="s">
        <v>2256</v>
      </c>
      <c r="I1432" s="176" t="s">
        <v>4549</v>
      </c>
      <c r="J1432" s="352" t="s">
        <v>3580</v>
      </c>
      <c r="K1432" s="352">
        <v>250</v>
      </c>
      <c r="L1432" s="352" t="s">
        <v>3581</v>
      </c>
      <c r="M1432" s="352"/>
      <c r="N1432" s="352"/>
      <c r="O1432" s="351">
        <v>250</v>
      </c>
      <c r="P1432" s="349" t="s">
        <v>1836</v>
      </c>
      <c r="R1432" s="349">
        <f t="shared" si="22"/>
        <v>8</v>
      </c>
      <c r="S1432" s="352"/>
      <c r="T1432" s="352"/>
      <c r="U1432" s="352"/>
      <c r="V1432" s="353"/>
      <c r="W1432" s="352"/>
      <c r="X1432" s="176"/>
      <c r="Y1432" s="176"/>
      <c r="Z1432" s="352"/>
      <c r="AA1432" s="352"/>
      <c r="AB1432" s="352"/>
      <c r="AC1432" s="352"/>
      <c r="AD1432" s="352"/>
    </row>
    <row r="1433" spans="1:30" ht="51.3" hidden="1" x14ac:dyDescent="0.35">
      <c r="A1433" s="349">
        <v>1432</v>
      </c>
      <c r="B1433" s="352" t="s">
        <v>2067</v>
      </c>
      <c r="C1433" s="351" t="s">
        <v>4036</v>
      </c>
      <c r="D1433" s="352" t="s">
        <v>4036</v>
      </c>
      <c r="E1433" s="352" t="s">
        <v>1999</v>
      </c>
      <c r="F1433" s="353">
        <v>0.4</v>
      </c>
      <c r="G1433" s="352" t="s">
        <v>967</v>
      </c>
      <c r="H1433" s="176" t="s">
        <v>1094</v>
      </c>
      <c r="I1433" s="176" t="s">
        <v>4549</v>
      </c>
      <c r="J1433" s="352" t="s">
        <v>968</v>
      </c>
      <c r="K1433" s="352">
        <v>500</v>
      </c>
      <c r="L1433" s="352" t="s">
        <v>969</v>
      </c>
      <c r="M1433" s="352"/>
      <c r="N1433" s="352"/>
      <c r="O1433" s="351">
        <v>500</v>
      </c>
      <c r="P1433" s="349" t="s">
        <v>1836</v>
      </c>
      <c r="R1433" s="349">
        <f t="shared" si="22"/>
        <v>8</v>
      </c>
      <c r="S1433" s="352"/>
      <c r="T1433" s="352"/>
      <c r="U1433" s="352"/>
      <c r="V1433" s="353"/>
      <c r="W1433" s="352"/>
      <c r="X1433" s="176"/>
      <c r="Y1433" s="176"/>
      <c r="Z1433" s="352"/>
      <c r="AA1433" s="352"/>
      <c r="AB1433" s="352"/>
      <c r="AC1433" s="352"/>
      <c r="AD1433" s="352"/>
    </row>
    <row r="1434" spans="1:30" ht="38.450000000000003" hidden="1" x14ac:dyDescent="0.35">
      <c r="A1434" s="349">
        <v>1433</v>
      </c>
      <c r="B1434" s="352" t="s">
        <v>807</v>
      </c>
      <c r="C1434" s="351" t="s">
        <v>4768</v>
      </c>
      <c r="D1434" s="352" t="s">
        <v>2639</v>
      </c>
      <c r="E1434" s="352" t="s">
        <v>3583</v>
      </c>
      <c r="F1434" s="353">
        <v>7.34</v>
      </c>
      <c r="G1434" s="352" t="s">
        <v>1318</v>
      </c>
      <c r="H1434" s="176" t="s">
        <v>2640</v>
      </c>
      <c r="I1434" s="176" t="s">
        <v>2641</v>
      </c>
      <c r="J1434" s="352" t="s">
        <v>1115</v>
      </c>
      <c r="K1434" s="352">
        <v>2</v>
      </c>
      <c r="L1434" s="352" t="s">
        <v>1116</v>
      </c>
      <c r="M1434" s="352">
        <v>20</v>
      </c>
      <c r="N1434" s="352" t="s">
        <v>1109</v>
      </c>
      <c r="O1434" s="351">
        <v>2</v>
      </c>
      <c r="P1434" s="349" t="s">
        <v>1836</v>
      </c>
      <c r="R1434" s="349">
        <f t="shared" si="22"/>
        <v>11</v>
      </c>
      <c r="S1434" s="352"/>
      <c r="T1434" s="352"/>
      <c r="U1434" s="352"/>
      <c r="V1434" s="353"/>
      <c r="W1434" s="352"/>
      <c r="X1434" s="176"/>
      <c r="Y1434" s="176"/>
      <c r="Z1434" s="352"/>
      <c r="AA1434" s="351"/>
      <c r="AB1434" s="351"/>
      <c r="AC1434" s="352"/>
      <c r="AD1434" s="352"/>
    </row>
    <row r="1435" spans="1:30" ht="25.65" hidden="1" x14ac:dyDescent="0.35">
      <c r="A1435" s="349">
        <v>1434</v>
      </c>
      <c r="B1435" s="352" t="s">
        <v>3462</v>
      </c>
      <c r="C1435" s="351" t="s">
        <v>4769</v>
      </c>
      <c r="D1435" s="352" t="s">
        <v>3085</v>
      </c>
      <c r="E1435" s="352" t="s">
        <v>1756</v>
      </c>
      <c r="F1435" s="353">
        <v>4.2972000000000001</v>
      </c>
      <c r="G1435" s="352" t="s">
        <v>3463</v>
      </c>
      <c r="H1435" s="176" t="s">
        <v>3086</v>
      </c>
      <c r="I1435" s="176"/>
      <c r="J1435" s="352" t="s">
        <v>4025</v>
      </c>
      <c r="K1435" s="352">
        <v>0.25</v>
      </c>
      <c r="L1435" s="352" t="s">
        <v>1116</v>
      </c>
      <c r="M1435" s="352">
        <v>10</v>
      </c>
      <c r="N1435" s="352" t="s">
        <v>1109</v>
      </c>
      <c r="O1435" s="351">
        <v>0.25</v>
      </c>
      <c r="P1435" s="349" t="s">
        <v>1836</v>
      </c>
      <c r="R1435" s="349">
        <f t="shared" si="22"/>
        <v>13</v>
      </c>
      <c r="S1435" s="352"/>
      <c r="T1435" s="352"/>
      <c r="U1435" s="352"/>
      <c r="V1435" s="353"/>
      <c r="W1435" s="352"/>
      <c r="X1435" s="176"/>
      <c r="Y1435" s="176"/>
      <c r="Z1435" s="352"/>
      <c r="AA1435" s="351"/>
      <c r="AB1435" s="351"/>
      <c r="AC1435" s="352"/>
      <c r="AD1435" s="352"/>
    </row>
    <row r="1436" spans="1:30" ht="25.65" hidden="1" x14ac:dyDescent="0.35">
      <c r="A1436" s="349">
        <v>1435</v>
      </c>
      <c r="B1436" s="352" t="s">
        <v>3462</v>
      </c>
      <c r="C1436" s="351" t="s">
        <v>4770</v>
      </c>
      <c r="D1436" s="352" t="s">
        <v>3085</v>
      </c>
      <c r="E1436" s="352" t="s">
        <v>1756</v>
      </c>
      <c r="F1436" s="353">
        <v>4.8899999999999997</v>
      </c>
      <c r="G1436" s="352" t="s">
        <v>3463</v>
      </c>
      <c r="H1436" s="176" t="s">
        <v>3045</v>
      </c>
      <c r="I1436" s="176"/>
      <c r="J1436" s="352" t="s">
        <v>4025</v>
      </c>
      <c r="K1436" s="352">
        <v>0.5</v>
      </c>
      <c r="L1436" s="352" t="s">
        <v>1116</v>
      </c>
      <c r="M1436" s="352">
        <v>10</v>
      </c>
      <c r="N1436" s="352" t="s">
        <v>1109</v>
      </c>
      <c r="O1436" s="351">
        <v>0.5</v>
      </c>
      <c r="P1436" s="349" t="s">
        <v>1836</v>
      </c>
      <c r="R1436" s="349">
        <f t="shared" si="22"/>
        <v>13</v>
      </c>
      <c r="S1436" s="352"/>
      <c r="T1436" s="352"/>
      <c r="U1436" s="352"/>
      <c r="V1436" s="353"/>
      <c r="W1436" s="352"/>
      <c r="X1436" s="176"/>
      <c r="Y1436" s="176"/>
      <c r="Z1436" s="352"/>
      <c r="AA1436" s="351"/>
      <c r="AB1436" s="351"/>
      <c r="AC1436" s="352"/>
      <c r="AD1436" s="352"/>
    </row>
    <row r="1437" spans="1:30" ht="64.099999999999994" hidden="1" x14ac:dyDescent="0.35">
      <c r="A1437" s="349">
        <v>1436</v>
      </c>
      <c r="B1437" s="352" t="s">
        <v>1113</v>
      </c>
      <c r="C1437" s="351" t="s">
        <v>4771</v>
      </c>
      <c r="D1437" s="352" t="s">
        <v>3340</v>
      </c>
      <c r="E1437" s="352" t="s">
        <v>2857</v>
      </c>
      <c r="F1437" s="353">
        <v>1.45</v>
      </c>
      <c r="G1437" s="352" t="s">
        <v>1107</v>
      </c>
      <c r="H1437" s="37" t="s">
        <v>2507</v>
      </c>
      <c r="I1437" s="176" t="s">
        <v>2508</v>
      </c>
      <c r="J1437" s="352" t="s">
        <v>828</v>
      </c>
      <c r="K1437" s="352">
        <v>250</v>
      </c>
      <c r="L1437" s="352" t="s">
        <v>1116</v>
      </c>
      <c r="M1437" s="351">
        <v>10</v>
      </c>
      <c r="N1437" s="351" t="s">
        <v>1109</v>
      </c>
      <c r="O1437" s="351">
        <v>250</v>
      </c>
      <c r="P1437" s="349" t="s">
        <v>1836</v>
      </c>
      <c r="R1437" s="349">
        <f t="shared" si="22"/>
        <v>18</v>
      </c>
      <c r="S1437" s="352"/>
      <c r="T1437" s="352"/>
      <c r="U1437" s="352"/>
      <c r="V1437" s="353"/>
      <c r="W1437" s="352"/>
      <c r="X1437" s="176"/>
      <c r="Y1437" s="176"/>
      <c r="Z1437" s="352"/>
      <c r="AA1437" s="352"/>
      <c r="AB1437" s="352"/>
      <c r="AC1437" s="352"/>
      <c r="AD1437" s="352"/>
    </row>
    <row r="1438" spans="1:30" ht="64.099999999999994" hidden="1" x14ac:dyDescent="0.35">
      <c r="A1438" s="349">
        <v>1437</v>
      </c>
      <c r="B1438" s="352" t="s">
        <v>1113</v>
      </c>
      <c r="C1438" s="351" t="s">
        <v>4771</v>
      </c>
      <c r="D1438" s="352" t="s">
        <v>3340</v>
      </c>
      <c r="E1438" s="352" t="s">
        <v>2857</v>
      </c>
      <c r="F1438" s="353">
        <v>0.65</v>
      </c>
      <c r="G1438" s="352" t="s">
        <v>34</v>
      </c>
      <c r="H1438" s="176" t="s">
        <v>3652</v>
      </c>
      <c r="I1438" s="176" t="s">
        <v>2508</v>
      </c>
      <c r="J1438" s="352" t="s">
        <v>828</v>
      </c>
      <c r="K1438" s="352">
        <v>40</v>
      </c>
      <c r="L1438" s="352" t="s">
        <v>1116</v>
      </c>
      <c r="M1438" s="352">
        <v>10</v>
      </c>
      <c r="N1438" s="352" t="s">
        <v>1109</v>
      </c>
      <c r="O1438" s="351">
        <v>40</v>
      </c>
      <c r="P1438" s="349" t="s">
        <v>1836</v>
      </c>
      <c r="R1438" s="349">
        <f t="shared" si="22"/>
        <v>18</v>
      </c>
      <c r="S1438" s="352"/>
      <c r="T1438" s="352"/>
      <c r="U1438" s="352"/>
      <c r="V1438" s="353"/>
      <c r="W1438" s="352"/>
      <c r="X1438" s="176"/>
      <c r="Y1438" s="176"/>
      <c r="Z1438" s="352"/>
      <c r="AA1438" s="351"/>
      <c r="AB1438" s="351"/>
      <c r="AC1438" s="352"/>
      <c r="AD1438" s="352"/>
    </row>
    <row r="1439" spans="1:30" ht="128.19999999999999" hidden="1" x14ac:dyDescent="0.35">
      <c r="A1439" s="349">
        <v>1438</v>
      </c>
      <c r="B1439" s="352" t="s">
        <v>3968</v>
      </c>
      <c r="C1439" s="351" t="s">
        <v>1298</v>
      </c>
      <c r="D1439" s="352" t="s">
        <v>1298</v>
      </c>
      <c r="E1439" s="352" t="s">
        <v>1319</v>
      </c>
      <c r="F1439" s="353">
        <v>2.0499999999999998</v>
      </c>
      <c r="G1439" s="352" t="s">
        <v>1107</v>
      </c>
      <c r="H1439" s="176" t="s">
        <v>4648</v>
      </c>
      <c r="I1439" s="176" t="s">
        <v>403</v>
      </c>
      <c r="J1439" s="352" t="s">
        <v>1115</v>
      </c>
      <c r="K1439" s="352">
        <v>50</v>
      </c>
      <c r="L1439" s="352" t="s">
        <v>1116</v>
      </c>
      <c r="M1439" s="352">
        <v>30</v>
      </c>
      <c r="N1439" s="352" t="s">
        <v>1109</v>
      </c>
      <c r="O1439" s="351">
        <v>50</v>
      </c>
      <c r="P1439" s="349" t="s">
        <v>1836</v>
      </c>
      <c r="R1439" s="349">
        <f t="shared" si="22"/>
        <v>15</v>
      </c>
      <c r="S1439" s="352"/>
      <c r="T1439" s="352"/>
      <c r="U1439" s="352"/>
      <c r="V1439" s="353"/>
      <c r="W1439" s="352"/>
      <c r="X1439" s="176"/>
      <c r="Y1439" s="176"/>
      <c r="Z1439" s="352"/>
      <c r="AA1439" s="352"/>
      <c r="AB1439" s="352"/>
      <c r="AC1439" s="352"/>
      <c r="AD1439" s="352"/>
    </row>
    <row r="1440" spans="1:30" ht="128.19999999999999" hidden="1" x14ac:dyDescent="0.35">
      <c r="A1440" s="349">
        <v>1439</v>
      </c>
      <c r="B1440" s="352" t="s">
        <v>3968</v>
      </c>
      <c r="C1440" s="351" t="s">
        <v>1298</v>
      </c>
      <c r="D1440" s="352" t="s">
        <v>1298</v>
      </c>
      <c r="E1440" s="352" t="s">
        <v>1319</v>
      </c>
      <c r="F1440" s="353">
        <v>2.0499999999999998</v>
      </c>
      <c r="G1440" s="352" t="s">
        <v>1107</v>
      </c>
      <c r="H1440" s="176" t="s">
        <v>4648</v>
      </c>
      <c r="I1440" s="176" t="s">
        <v>403</v>
      </c>
      <c r="J1440" s="352" t="s">
        <v>1115</v>
      </c>
      <c r="K1440" s="352">
        <v>50</v>
      </c>
      <c r="L1440" s="352" t="s">
        <v>1116</v>
      </c>
      <c r="M1440" s="352">
        <v>30</v>
      </c>
      <c r="N1440" s="352" t="s">
        <v>1109</v>
      </c>
      <c r="O1440" s="351">
        <v>50</v>
      </c>
      <c r="P1440" s="349" t="s">
        <v>1836</v>
      </c>
      <c r="R1440" s="349">
        <f t="shared" si="22"/>
        <v>15</v>
      </c>
      <c r="S1440" s="352"/>
      <c r="T1440" s="352"/>
      <c r="U1440" s="352"/>
      <c r="V1440" s="353"/>
      <c r="W1440" s="352"/>
      <c r="X1440" s="176"/>
      <c r="Y1440" s="176"/>
      <c r="Z1440" s="352"/>
      <c r="AA1440" s="352"/>
      <c r="AB1440" s="352"/>
      <c r="AC1440" s="352"/>
      <c r="AD1440" s="352"/>
    </row>
    <row r="1441" spans="1:30" ht="64.099999999999994" hidden="1" x14ac:dyDescent="0.35">
      <c r="A1441" s="349">
        <v>1440</v>
      </c>
      <c r="B1441" s="352" t="s">
        <v>1442</v>
      </c>
      <c r="C1441" s="351" t="s">
        <v>4772</v>
      </c>
      <c r="D1441" s="352" t="s">
        <v>188</v>
      </c>
      <c r="E1441" s="352" t="s">
        <v>780</v>
      </c>
      <c r="F1441" s="353">
        <v>5.7736999999999998</v>
      </c>
      <c r="G1441" s="352" t="s">
        <v>1107</v>
      </c>
      <c r="H1441" s="176" t="s">
        <v>4040</v>
      </c>
      <c r="I1441" s="176" t="s">
        <v>4041</v>
      </c>
      <c r="J1441" s="352" t="s">
        <v>828</v>
      </c>
      <c r="K1441" s="352">
        <v>8.4</v>
      </c>
      <c r="L1441" s="352" t="s">
        <v>470</v>
      </c>
      <c r="M1441" s="352">
        <v>20</v>
      </c>
      <c r="N1441" s="352" t="s">
        <v>1109</v>
      </c>
      <c r="O1441" s="351">
        <v>8.4</v>
      </c>
      <c r="P1441" s="349" t="s">
        <v>1838</v>
      </c>
      <c r="R1441" s="349">
        <f t="shared" si="22"/>
        <v>26</v>
      </c>
      <c r="S1441" s="352"/>
      <c r="T1441" s="352"/>
      <c r="U1441" s="352"/>
      <c r="V1441" s="353"/>
      <c r="W1441" s="352"/>
      <c r="X1441" s="176"/>
      <c r="Y1441" s="176"/>
      <c r="Z1441" s="352"/>
      <c r="AA1441" s="352"/>
      <c r="AB1441" s="352"/>
      <c r="AC1441" s="352"/>
      <c r="AD1441" s="352"/>
    </row>
    <row r="1442" spans="1:30" ht="64.099999999999994" hidden="1" x14ac:dyDescent="0.35">
      <c r="A1442" s="349">
        <v>1441</v>
      </c>
      <c r="B1442" s="352" t="s">
        <v>1442</v>
      </c>
      <c r="C1442" s="351" t="s">
        <v>4772</v>
      </c>
      <c r="D1442" s="352" t="s">
        <v>188</v>
      </c>
      <c r="E1442" s="352" t="s">
        <v>1443</v>
      </c>
      <c r="F1442" s="353">
        <v>5</v>
      </c>
      <c r="G1442" s="352" t="s">
        <v>1107</v>
      </c>
      <c r="H1442" s="176" t="s">
        <v>4040</v>
      </c>
      <c r="I1442" s="176" t="s">
        <v>4041</v>
      </c>
      <c r="J1442" s="352" t="s">
        <v>1108</v>
      </c>
      <c r="K1442" s="352">
        <v>1.4</v>
      </c>
      <c r="L1442" s="352" t="s">
        <v>470</v>
      </c>
      <c r="M1442" s="352">
        <v>100</v>
      </c>
      <c r="N1442" s="352" t="s">
        <v>1109</v>
      </c>
      <c r="O1442" s="351">
        <v>1.4</v>
      </c>
      <c r="P1442" s="349" t="s">
        <v>1838</v>
      </c>
      <c r="R1442" s="349">
        <f t="shared" si="22"/>
        <v>26</v>
      </c>
      <c r="S1442" s="352"/>
      <c r="T1442" s="352"/>
      <c r="U1442" s="352"/>
      <c r="V1442" s="353"/>
      <c r="W1442" s="352"/>
      <c r="X1442" s="176"/>
      <c r="Y1442" s="176"/>
      <c r="Z1442" s="352"/>
      <c r="AA1442" s="351"/>
      <c r="AB1442" s="351"/>
      <c r="AC1442" s="352"/>
      <c r="AD1442" s="352"/>
    </row>
    <row r="1443" spans="1:30" ht="64.099999999999994" hidden="1" x14ac:dyDescent="0.35">
      <c r="A1443" s="349">
        <v>1442</v>
      </c>
      <c r="B1443" s="352" t="s">
        <v>1442</v>
      </c>
      <c r="C1443" s="351" t="s">
        <v>4772</v>
      </c>
      <c r="D1443" s="352" t="s">
        <v>188</v>
      </c>
      <c r="E1443" s="352" t="s">
        <v>1443</v>
      </c>
      <c r="F1443" s="353">
        <v>5</v>
      </c>
      <c r="G1443" s="352" t="s">
        <v>1107</v>
      </c>
      <c r="H1443" s="176" t="s">
        <v>4040</v>
      </c>
      <c r="I1443" s="176" t="s">
        <v>4041</v>
      </c>
      <c r="J1443" s="352" t="s">
        <v>1108</v>
      </c>
      <c r="K1443" s="352">
        <v>4.2</v>
      </c>
      <c r="L1443" s="352" t="s">
        <v>470</v>
      </c>
      <c r="M1443" s="352">
        <v>100</v>
      </c>
      <c r="N1443" s="352" t="s">
        <v>1109</v>
      </c>
      <c r="O1443" s="351">
        <v>4.2</v>
      </c>
      <c r="P1443" s="349" t="s">
        <v>1838</v>
      </c>
      <c r="R1443" s="349">
        <f t="shared" si="22"/>
        <v>26</v>
      </c>
      <c r="S1443" s="352"/>
      <c r="T1443" s="352"/>
      <c r="U1443" s="352"/>
      <c r="V1443" s="353"/>
      <c r="W1443" s="352"/>
      <c r="X1443" s="176"/>
      <c r="Y1443" s="176"/>
      <c r="Z1443" s="352"/>
      <c r="AA1443" s="352"/>
      <c r="AB1443" s="352"/>
      <c r="AC1443" s="352"/>
      <c r="AD1443" s="352"/>
    </row>
    <row r="1444" spans="1:30" ht="64.099999999999994" hidden="1" x14ac:dyDescent="0.35">
      <c r="A1444" s="349">
        <v>1443</v>
      </c>
      <c r="B1444" s="352" t="s">
        <v>1442</v>
      </c>
      <c r="C1444" s="351" t="s">
        <v>4772</v>
      </c>
      <c r="D1444" s="352" t="s">
        <v>188</v>
      </c>
      <c r="E1444" s="352" t="s">
        <v>1106</v>
      </c>
      <c r="F1444" s="353">
        <v>5.0023999999999997</v>
      </c>
      <c r="G1444" s="352" t="s">
        <v>1107</v>
      </c>
      <c r="H1444" s="176" t="s">
        <v>4040</v>
      </c>
      <c r="I1444" s="176" t="s">
        <v>4041</v>
      </c>
      <c r="J1444" s="352" t="s">
        <v>1108</v>
      </c>
      <c r="K1444" s="352">
        <v>4.2</v>
      </c>
      <c r="L1444" s="352" t="s">
        <v>470</v>
      </c>
      <c r="M1444" s="352">
        <v>500</v>
      </c>
      <c r="N1444" s="352" t="s">
        <v>1109</v>
      </c>
      <c r="O1444" s="351">
        <v>4.2</v>
      </c>
      <c r="P1444" s="349" t="s">
        <v>1838</v>
      </c>
      <c r="R1444" s="349">
        <f t="shared" si="22"/>
        <v>26</v>
      </c>
      <c r="S1444" s="352"/>
      <c r="T1444" s="352"/>
      <c r="U1444" s="352"/>
      <c r="V1444" s="353"/>
      <c r="W1444" s="352"/>
      <c r="X1444" s="176"/>
      <c r="Y1444" s="176"/>
      <c r="Z1444" s="352"/>
      <c r="AA1444" s="352"/>
      <c r="AB1444" s="352"/>
      <c r="AC1444" s="352"/>
      <c r="AD1444" s="352"/>
    </row>
    <row r="1445" spans="1:30" ht="64.099999999999994" hidden="1" x14ac:dyDescent="0.35">
      <c r="A1445" s="349">
        <v>1444</v>
      </c>
      <c r="B1445" s="352" t="s">
        <v>1442</v>
      </c>
      <c r="C1445" s="351" t="s">
        <v>4772</v>
      </c>
      <c r="D1445" s="352" t="s">
        <v>188</v>
      </c>
      <c r="E1445" s="352" t="s">
        <v>1995</v>
      </c>
      <c r="F1445" s="353">
        <v>0.15429999999999999</v>
      </c>
      <c r="G1445" s="352" t="s">
        <v>2126</v>
      </c>
      <c r="H1445" s="176"/>
      <c r="I1445" s="176" t="s">
        <v>4041</v>
      </c>
      <c r="J1445" s="352" t="s">
        <v>3580</v>
      </c>
      <c r="K1445" s="352">
        <v>500</v>
      </c>
      <c r="L1445" s="352" t="s">
        <v>3581</v>
      </c>
      <c r="M1445" s="352"/>
      <c r="N1445" s="352"/>
      <c r="O1445" s="351">
        <v>500</v>
      </c>
      <c r="P1445" s="349" t="s">
        <v>1836</v>
      </c>
      <c r="R1445" s="349">
        <f t="shared" si="22"/>
        <v>26</v>
      </c>
      <c r="S1445" s="352"/>
      <c r="T1445" s="352"/>
      <c r="U1445" s="352"/>
      <c r="V1445" s="353"/>
      <c r="W1445" s="352"/>
      <c r="X1445" s="176"/>
      <c r="Y1445" s="176"/>
      <c r="Z1445" s="352"/>
      <c r="AA1445" s="352"/>
      <c r="AB1445" s="352"/>
      <c r="AC1445" s="352"/>
      <c r="AD1445" s="352"/>
    </row>
    <row r="1446" spans="1:30" ht="25.65" hidden="1" x14ac:dyDescent="0.35">
      <c r="A1446" s="349">
        <v>1445</v>
      </c>
      <c r="B1446" s="352" t="s">
        <v>1113</v>
      </c>
      <c r="C1446" s="351" t="s">
        <v>374</v>
      </c>
      <c r="D1446" s="352" t="s">
        <v>374</v>
      </c>
      <c r="E1446" s="352" t="s">
        <v>3464</v>
      </c>
      <c r="F1446" s="353">
        <v>1.5</v>
      </c>
      <c r="G1446" s="352" t="s">
        <v>34</v>
      </c>
      <c r="H1446" s="176" t="s">
        <v>2509</v>
      </c>
      <c r="I1446" s="176" t="s">
        <v>4586</v>
      </c>
      <c r="J1446" s="352" t="s">
        <v>2704</v>
      </c>
      <c r="K1446" s="352">
        <v>30</v>
      </c>
      <c r="L1446" s="352" t="s">
        <v>1116</v>
      </c>
      <c r="M1446" s="352">
        <v>300</v>
      </c>
      <c r="N1446" s="352" t="s">
        <v>1109</v>
      </c>
      <c r="O1446" s="351">
        <v>30</v>
      </c>
      <c r="P1446" s="349" t="s">
        <v>1836</v>
      </c>
      <c r="R1446" s="349">
        <f t="shared" si="22"/>
        <v>16</v>
      </c>
      <c r="S1446" s="352"/>
      <c r="T1446" s="352"/>
      <c r="U1446" s="352"/>
      <c r="V1446" s="353"/>
      <c r="W1446" s="352"/>
      <c r="X1446" s="176"/>
      <c r="Y1446" s="176"/>
      <c r="Z1446" s="352"/>
      <c r="AA1446" s="351"/>
      <c r="AB1446" s="351"/>
      <c r="AC1446" s="352"/>
      <c r="AD1446" s="352"/>
    </row>
    <row r="1447" spans="1:30" ht="25.65" hidden="1" x14ac:dyDescent="0.35">
      <c r="A1447" s="349">
        <v>1446</v>
      </c>
      <c r="B1447" s="352" t="s">
        <v>1113</v>
      </c>
      <c r="C1447" s="351" t="s">
        <v>4773</v>
      </c>
      <c r="D1447" s="352" t="s">
        <v>374</v>
      </c>
      <c r="E1447" s="352" t="s">
        <v>3464</v>
      </c>
      <c r="F1447" s="353">
        <v>1.5</v>
      </c>
      <c r="G1447" s="352" t="s">
        <v>34</v>
      </c>
      <c r="H1447" s="176" t="s">
        <v>2509</v>
      </c>
      <c r="I1447" s="176" t="s">
        <v>4586</v>
      </c>
      <c r="J1447" s="352" t="s">
        <v>2704</v>
      </c>
      <c r="K1447" s="352">
        <v>30</v>
      </c>
      <c r="L1447" s="352" t="s">
        <v>1116</v>
      </c>
      <c r="M1447" s="352">
        <v>300</v>
      </c>
      <c r="N1447" s="352" t="s">
        <v>1109</v>
      </c>
      <c r="O1447" s="351">
        <v>30</v>
      </c>
      <c r="P1447" s="349" t="s">
        <v>1836</v>
      </c>
      <c r="R1447" s="349">
        <f t="shared" si="22"/>
        <v>16</v>
      </c>
      <c r="S1447" s="352"/>
      <c r="T1447" s="352"/>
      <c r="U1447" s="352"/>
      <c r="V1447" s="353"/>
      <c r="W1447" s="352"/>
      <c r="X1447" s="176"/>
      <c r="Y1447" s="176"/>
      <c r="Z1447" s="352"/>
      <c r="AA1447" s="352"/>
      <c r="AB1447" s="352"/>
      <c r="AC1447" s="352"/>
      <c r="AD1447" s="352"/>
    </row>
    <row r="1448" spans="1:30" ht="38.450000000000003" hidden="1" x14ac:dyDescent="0.35">
      <c r="A1448" s="349">
        <v>1447</v>
      </c>
      <c r="B1448" s="352" t="s">
        <v>1451</v>
      </c>
      <c r="C1448" s="351" t="s">
        <v>3442</v>
      </c>
      <c r="D1448" s="352" t="s">
        <v>3442</v>
      </c>
      <c r="E1448" s="352" t="s">
        <v>1443</v>
      </c>
      <c r="F1448" s="353">
        <v>2.2000000000000002</v>
      </c>
      <c r="G1448" s="352" t="s">
        <v>1107</v>
      </c>
      <c r="H1448" s="176"/>
      <c r="I1448" s="176" t="s">
        <v>1886</v>
      </c>
      <c r="J1448" s="352" t="s">
        <v>1108</v>
      </c>
      <c r="K1448" s="352">
        <v>0.9</v>
      </c>
      <c r="L1448" s="352" t="s">
        <v>470</v>
      </c>
      <c r="M1448" s="352">
        <v>100</v>
      </c>
      <c r="N1448" s="352" t="s">
        <v>1109</v>
      </c>
      <c r="O1448" s="351">
        <v>0.9</v>
      </c>
      <c r="P1448" s="349" t="s">
        <v>1838</v>
      </c>
      <c r="R1448" s="349">
        <f t="shared" si="22"/>
        <v>15</v>
      </c>
      <c r="S1448" s="352"/>
      <c r="T1448" s="352"/>
      <c r="U1448" s="352"/>
      <c r="V1448" s="353"/>
      <c r="W1448" s="352"/>
      <c r="X1448" s="176"/>
      <c r="Y1448" s="176"/>
      <c r="Z1448" s="352"/>
      <c r="AA1448" s="352"/>
      <c r="AB1448" s="352"/>
      <c r="AC1448" s="352"/>
      <c r="AD1448" s="352"/>
    </row>
    <row r="1449" spans="1:30" ht="76.900000000000006" hidden="1" x14ac:dyDescent="0.35">
      <c r="A1449" s="349">
        <v>1448</v>
      </c>
      <c r="B1449" s="352" t="s">
        <v>1451</v>
      </c>
      <c r="C1449" s="351" t="s">
        <v>3442</v>
      </c>
      <c r="D1449" s="352" t="s">
        <v>3442</v>
      </c>
      <c r="E1449" s="352" t="s">
        <v>1443</v>
      </c>
      <c r="F1449" s="353">
        <v>2.4500000000000002</v>
      </c>
      <c r="G1449" s="352" t="s">
        <v>1107</v>
      </c>
      <c r="H1449" s="37" t="s">
        <v>2146</v>
      </c>
      <c r="I1449" s="176" t="s">
        <v>2147</v>
      </c>
      <c r="J1449" s="352" t="s">
        <v>1108</v>
      </c>
      <c r="K1449" s="352">
        <v>0.5</v>
      </c>
      <c r="L1449" s="352" t="s">
        <v>3465</v>
      </c>
      <c r="M1449" s="352">
        <v>100</v>
      </c>
      <c r="N1449" s="352" t="s">
        <v>1109</v>
      </c>
      <c r="O1449" s="351">
        <v>0.5</v>
      </c>
      <c r="P1449" s="349" t="s">
        <v>1837</v>
      </c>
      <c r="R1449" s="349">
        <f t="shared" si="22"/>
        <v>15</v>
      </c>
      <c r="S1449" s="352"/>
      <c r="T1449" s="352"/>
      <c r="U1449" s="352"/>
      <c r="V1449" s="353"/>
      <c r="W1449" s="352"/>
      <c r="X1449" s="176"/>
      <c r="Y1449" s="176"/>
      <c r="Z1449" s="352"/>
      <c r="AA1449" s="352"/>
      <c r="AB1449" s="352"/>
      <c r="AC1449" s="352"/>
      <c r="AD1449" s="352"/>
    </row>
    <row r="1450" spans="1:30" ht="76.900000000000006" hidden="1" x14ac:dyDescent="0.35">
      <c r="A1450" s="349">
        <v>1449</v>
      </c>
      <c r="B1450" s="352" t="s">
        <v>1451</v>
      </c>
      <c r="C1450" s="351" t="s">
        <v>3442</v>
      </c>
      <c r="D1450" s="352" t="s">
        <v>3442</v>
      </c>
      <c r="E1450" s="352" t="s">
        <v>1106</v>
      </c>
      <c r="F1450" s="353">
        <v>1.5867</v>
      </c>
      <c r="G1450" s="352" t="s">
        <v>1107</v>
      </c>
      <c r="H1450" s="176" t="s">
        <v>2146</v>
      </c>
      <c r="I1450" s="176" t="s">
        <v>2147</v>
      </c>
      <c r="J1450" s="352" t="s">
        <v>1108</v>
      </c>
      <c r="K1450" s="352">
        <v>0.1</v>
      </c>
      <c r="L1450" s="352" t="s">
        <v>3465</v>
      </c>
      <c r="M1450" s="352">
        <v>500</v>
      </c>
      <c r="N1450" s="352" t="s">
        <v>1109</v>
      </c>
      <c r="O1450" s="351">
        <v>0.1</v>
      </c>
      <c r="P1450" s="349" t="s">
        <v>1837</v>
      </c>
      <c r="R1450" s="349">
        <f t="shared" si="22"/>
        <v>15</v>
      </c>
      <c r="S1450" s="352"/>
      <c r="T1450" s="352"/>
      <c r="U1450" s="352"/>
      <c r="V1450" s="353"/>
      <c r="W1450" s="352"/>
      <c r="X1450" s="176"/>
      <c r="Y1450" s="176"/>
      <c r="Z1450" s="352"/>
      <c r="AA1450" s="352"/>
      <c r="AB1450" s="352"/>
      <c r="AC1450" s="352"/>
      <c r="AD1450" s="352"/>
    </row>
    <row r="1451" spans="1:30" ht="25.65" hidden="1" x14ac:dyDescent="0.35">
      <c r="A1451" s="349">
        <v>1450</v>
      </c>
      <c r="B1451" s="352" t="s">
        <v>3462</v>
      </c>
      <c r="C1451" s="351" t="s">
        <v>3442</v>
      </c>
      <c r="D1451" s="352" t="s">
        <v>3442</v>
      </c>
      <c r="E1451" s="352" t="s">
        <v>1756</v>
      </c>
      <c r="F1451" s="353">
        <v>4.05</v>
      </c>
      <c r="G1451" s="352" t="s">
        <v>3463</v>
      </c>
      <c r="H1451" s="176" t="s">
        <v>2841</v>
      </c>
      <c r="I1451" s="176" t="s">
        <v>2842</v>
      </c>
      <c r="J1451" s="352" t="s">
        <v>4025</v>
      </c>
      <c r="K1451" s="352">
        <v>9</v>
      </c>
      <c r="L1451" s="352" t="s">
        <v>1116</v>
      </c>
      <c r="M1451" s="352">
        <v>10</v>
      </c>
      <c r="N1451" s="352" t="s">
        <v>1109</v>
      </c>
      <c r="O1451" s="351">
        <v>9</v>
      </c>
      <c r="P1451" s="349" t="s">
        <v>1836</v>
      </c>
      <c r="R1451" s="349">
        <f t="shared" si="22"/>
        <v>15</v>
      </c>
      <c r="S1451" s="352"/>
      <c r="T1451" s="352"/>
      <c r="U1451" s="352"/>
      <c r="V1451" s="353"/>
      <c r="W1451" s="352"/>
      <c r="X1451" s="176"/>
      <c r="Y1451" s="176"/>
      <c r="Z1451" s="352"/>
      <c r="AA1451" s="352"/>
      <c r="AB1451" s="352"/>
      <c r="AC1451" s="352"/>
      <c r="AD1451" s="352"/>
    </row>
    <row r="1452" spans="1:30" ht="76.900000000000006" hidden="1" x14ac:dyDescent="0.35">
      <c r="A1452" s="349">
        <v>1451</v>
      </c>
      <c r="B1452" s="352" t="s">
        <v>1451</v>
      </c>
      <c r="C1452" s="351" t="s">
        <v>3442</v>
      </c>
      <c r="D1452" s="352" t="s">
        <v>3442</v>
      </c>
      <c r="E1452" s="352" t="s">
        <v>1998</v>
      </c>
      <c r="F1452" s="353">
        <v>0.05</v>
      </c>
      <c r="G1452" s="352" t="s">
        <v>2126</v>
      </c>
      <c r="H1452" s="176" t="s">
        <v>2313</v>
      </c>
      <c r="I1452" s="176" t="s">
        <v>2147</v>
      </c>
      <c r="J1452" s="352" t="s">
        <v>22</v>
      </c>
      <c r="K1452" s="351">
        <v>250</v>
      </c>
      <c r="L1452" s="351" t="s">
        <v>23</v>
      </c>
      <c r="M1452" s="352"/>
      <c r="N1452" s="352"/>
      <c r="O1452" s="351">
        <v>250</v>
      </c>
      <c r="P1452" s="349" t="s">
        <v>1836</v>
      </c>
      <c r="R1452" s="349">
        <f t="shared" si="22"/>
        <v>15</v>
      </c>
      <c r="S1452" s="352"/>
      <c r="T1452" s="352"/>
      <c r="U1452" s="352"/>
      <c r="V1452" s="353"/>
      <c r="W1452" s="352"/>
      <c r="X1452" s="176"/>
      <c r="Y1452" s="176"/>
      <c r="Z1452" s="352"/>
      <c r="AA1452" s="352"/>
      <c r="AB1452" s="352"/>
      <c r="AC1452" s="352"/>
      <c r="AD1452" s="352"/>
    </row>
    <row r="1453" spans="1:30" ht="76.900000000000006" hidden="1" x14ac:dyDescent="0.35">
      <c r="A1453" s="349">
        <v>1452</v>
      </c>
      <c r="B1453" s="352" t="s">
        <v>1451</v>
      </c>
      <c r="C1453" s="351" t="s">
        <v>3442</v>
      </c>
      <c r="D1453" s="352" t="s">
        <v>3442</v>
      </c>
      <c r="E1453" s="352" t="s">
        <v>1443</v>
      </c>
      <c r="F1453" s="353">
        <v>2.4500000000000002</v>
      </c>
      <c r="G1453" s="352" t="s">
        <v>1107</v>
      </c>
      <c r="H1453" s="176" t="s">
        <v>2146</v>
      </c>
      <c r="I1453" s="176" t="s">
        <v>2147</v>
      </c>
      <c r="J1453" s="352" t="s">
        <v>1108</v>
      </c>
      <c r="K1453" s="352">
        <v>0.5</v>
      </c>
      <c r="L1453" s="352" t="s">
        <v>3465</v>
      </c>
      <c r="M1453" s="352">
        <v>100</v>
      </c>
      <c r="N1453" s="352" t="s">
        <v>1109</v>
      </c>
      <c r="O1453" s="351">
        <v>0.5</v>
      </c>
      <c r="P1453" s="349" t="s">
        <v>1837</v>
      </c>
      <c r="R1453" s="349">
        <f t="shared" si="22"/>
        <v>15</v>
      </c>
      <c r="S1453" s="352"/>
      <c r="T1453" s="352"/>
      <c r="U1453" s="352"/>
      <c r="V1453" s="353"/>
      <c r="W1453" s="352"/>
      <c r="X1453" s="176"/>
      <c r="Y1453" s="176"/>
      <c r="Z1453" s="352"/>
      <c r="AA1453" s="352"/>
      <c r="AB1453" s="352"/>
      <c r="AC1453" s="352"/>
      <c r="AD1453" s="352"/>
    </row>
    <row r="1454" spans="1:30" ht="76.900000000000006" hidden="1" x14ac:dyDescent="0.35">
      <c r="A1454" s="349">
        <v>1453</v>
      </c>
      <c r="B1454" s="352" t="s">
        <v>1451</v>
      </c>
      <c r="C1454" s="351" t="s">
        <v>3442</v>
      </c>
      <c r="D1454" s="352" t="s">
        <v>3442</v>
      </c>
      <c r="E1454" s="352" t="s">
        <v>1106</v>
      </c>
      <c r="F1454" s="351">
        <v>1.5867</v>
      </c>
      <c r="G1454" s="352" t="s">
        <v>1107</v>
      </c>
      <c r="H1454" s="37" t="s">
        <v>2146</v>
      </c>
      <c r="I1454" s="176" t="s">
        <v>2147</v>
      </c>
      <c r="J1454" s="352" t="s">
        <v>1108</v>
      </c>
      <c r="K1454" s="352">
        <v>0.1</v>
      </c>
      <c r="L1454" s="352" t="s">
        <v>3465</v>
      </c>
      <c r="M1454" s="351">
        <v>500</v>
      </c>
      <c r="N1454" s="351" t="s">
        <v>1109</v>
      </c>
      <c r="O1454" s="351">
        <v>0.1</v>
      </c>
      <c r="P1454" s="349" t="s">
        <v>1837</v>
      </c>
      <c r="R1454" s="349">
        <f t="shared" si="22"/>
        <v>15</v>
      </c>
      <c r="S1454" s="352"/>
      <c r="T1454" s="352"/>
      <c r="U1454" s="352"/>
      <c r="V1454" s="353"/>
      <c r="W1454" s="352"/>
      <c r="X1454" s="176"/>
      <c r="Y1454" s="176"/>
      <c r="Z1454" s="352"/>
      <c r="AA1454" s="352"/>
      <c r="AB1454" s="352"/>
      <c r="AC1454" s="352"/>
      <c r="AD1454" s="352"/>
    </row>
    <row r="1455" spans="1:30" ht="76.900000000000006" hidden="1" x14ac:dyDescent="0.35">
      <c r="A1455" s="349">
        <v>1454</v>
      </c>
      <c r="B1455" s="352" t="s">
        <v>1451</v>
      </c>
      <c r="C1455" s="351" t="s">
        <v>3442</v>
      </c>
      <c r="D1455" s="352" t="s">
        <v>3442</v>
      </c>
      <c r="E1455" s="352" t="s">
        <v>1998</v>
      </c>
      <c r="F1455" s="351">
        <v>0.05</v>
      </c>
      <c r="G1455" s="352" t="s">
        <v>2126</v>
      </c>
      <c r="H1455" s="37" t="s">
        <v>2313</v>
      </c>
      <c r="I1455" s="176" t="s">
        <v>2147</v>
      </c>
      <c r="J1455" s="352" t="s">
        <v>22</v>
      </c>
      <c r="K1455" s="352">
        <v>250</v>
      </c>
      <c r="L1455" s="352" t="s">
        <v>23</v>
      </c>
      <c r="M1455" s="351"/>
      <c r="N1455" s="351"/>
      <c r="O1455" s="351">
        <v>250</v>
      </c>
      <c r="P1455" s="349" t="s">
        <v>1836</v>
      </c>
      <c r="R1455" s="349">
        <f t="shared" si="22"/>
        <v>15</v>
      </c>
      <c r="S1455" s="352"/>
      <c r="T1455" s="352"/>
      <c r="U1455" s="352"/>
      <c r="V1455" s="353"/>
      <c r="W1455" s="352"/>
      <c r="X1455" s="176"/>
      <c r="Y1455" s="176"/>
      <c r="Z1455" s="352"/>
      <c r="AA1455" s="352"/>
      <c r="AB1455" s="352"/>
      <c r="AC1455" s="352"/>
      <c r="AD1455" s="352"/>
    </row>
    <row r="1456" spans="1:30" ht="38.450000000000003" hidden="1" x14ac:dyDescent="0.35">
      <c r="A1456" s="349">
        <v>1455</v>
      </c>
      <c r="B1456" s="352" t="s">
        <v>965</v>
      </c>
      <c r="C1456" s="351" t="s">
        <v>4776</v>
      </c>
      <c r="D1456" s="352" t="s">
        <v>1412</v>
      </c>
      <c r="E1456" s="352" t="s">
        <v>1452</v>
      </c>
      <c r="F1456" s="353">
        <v>0.66110000000000002</v>
      </c>
      <c r="G1456" s="352" t="s">
        <v>967</v>
      </c>
      <c r="H1456" s="176" t="s">
        <v>2391</v>
      </c>
      <c r="I1456" s="176" t="s">
        <v>4551</v>
      </c>
      <c r="J1456" s="352" t="s">
        <v>806</v>
      </c>
      <c r="K1456" s="352"/>
      <c r="L1456" s="352"/>
      <c r="M1456" s="352">
        <v>10</v>
      </c>
      <c r="N1456" s="352" t="s">
        <v>1109</v>
      </c>
      <c r="O1456" s="351">
        <v>0</v>
      </c>
      <c r="P1456" s="349" t="s">
        <v>1837</v>
      </c>
      <c r="R1456" s="349">
        <f t="shared" si="22"/>
        <v>17</v>
      </c>
      <c r="S1456" s="352"/>
      <c r="T1456" s="352"/>
      <c r="U1456" s="352"/>
      <c r="V1456" s="353"/>
      <c r="W1456" s="352"/>
      <c r="X1456" s="176"/>
      <c r="Y1456" s="176"/>
      <c r="Z1456" s="352"/>
      <c r="AA1456" s="352"/>
      <c r="AB1456" s="352"/>
      <c r="AC1456" s="352"/>
      <c r="AD1456" s="352"/>
    </row>
    <row r="1457" spans="1:30" ht="25.65" hidden="1" x14ac:dyDescent="0.35">
      <c r="A1457" s="349">
        <v>1456</v>
      </c>
      <c r="B1457" s="352" t="s">
        <v>3462</v>
      </c>
      <c r="C1457" s="351" t="s">
        <v>4777</v>
      </c>
      <c r="D1457" s="352" t="s">
        <v>3442</v>
      </c>
      <c r="E1457" s="352" t="s">
        <v>1756</v>
      </c>
      <c r="F1457" s="353">
        <v>4.05</v>
      </c>
      <c r="G1457" s="352" t="s">
        <v>3463</v>
      </c>
      <c r="H1457" s="176" t="s">
        <v>2841</v>
      </c>
      <c r="I1457" s="176" t="s">
        <v>2842</v>
      </c>
      <c r="J1457" s="352" t="s">
        <v>4025</v>
      </c>
      <c r="K1457" s="352">
        <v>9</v>
      </c>
      <c r="L1457" s="352" t="s">
        <v>1116</v>
      </c>
      <c r="M1457" s="352">
        <v>10</v>
      </c>
      <c r="N1457" s="352" t="s">
        <v>1109</v>
      </c>
      <c r="O1457" s="351">
        <v>9</v>
      </c>
      <c r="P1457" s="349" t="s">
        <v>1836</v>
      </c>
      <c r="R1457" s="349">
        <f t="shared" si="22"/>
        <v>15</v>
      </c>
      <c r="S1457" s="352"/>
      <c r="T1457" s="352"/>
      <c r="U1457" s="352"/>
      <c r="V1457" s="353"/>
      <c r="W1457" s="352"/>
      <c r="X1457" s="176"/>
      <c r="Y1457" s="176"/>
      <c r="Z1457" s="352"/>
      <c r="AA1457" s="352"/>
      <c r="AB1457" s="352"/>
      <c r="AC1457" s="352"/>
      <c r="AD1457" s="352"/>
    </row>
    <row r="1458" spans="1:30" hidden="1" x14ac:dyDescent="0.35">
      <c r="A1458" s="349">
        <v>1457</v>
      </c>
      <c r="B1458" s="352" t="s">
        <v>1442</v>
      </c>
      <c r="C1458" s="351" t="s">
        <v>4042</v>
      </c>
      <c r="D1458" s="352" t="s">
        <v>4042</v>
      </c>
      <c r="E1458" s="352" t="s">
        <v>1996</v>
      </c>
      <c r="F1458" s="353"/>
      <c r="G1458" s="352" t="s">
        <v>2126</v>
      </c>
      <c r="H1458" s="176"/>
      <c r="I1458" s="176" t="s">
        <v>4043</v>
      </c>
      <c r="J1458" s="352" t="s">
        <v>3579</v>
      </c>
      <c r="K1458" s="351">
        <v>1.5</v>
      </c>
      <c r="L1458" s="351" t="s">
        <v>3465</v>
      </c>
      <c r="M1458" s="352"/>
      <c r="N1458" s="352"/>
      <c r="O1458" s="351">
        <v>1.5</v>
      </c>
      <c r="P1458" s="349" t="s">
        <v>3828</v>
      </c>
      <c r="R1458" s="349">
        <f t="shared" si="22"/>
        <v>14</v>
      </c>
      <c r="S1458" s="352"/>
      <c r="T1458" s="352"/>
      <c r="U1458" s="352"/>
      <c r="V1458" s="353"/>
      <c r="W1458" s="352"/>
      <c r="X1458" s="176"/>
      <c r="Y1458" s="176"/>
      <c r="Z1458" s="352"/>
      <c r="AA1458" s="352"/>
      <c r="AB1458" s="352"/>
      <c r="AC1458" s="352"/>
      <c r="AD1458" s="352"/>
    </row>
    <row r="1459" spans="1:30" hidden="1" x14ac:dyDescent="0.35">
      <c r="A1459" s="349">
        <v>1458</v>
      </c>
      <c r="B1459" s="352" t="s">
        <v>1442</v>
      </c>
      <c r="C1459" s="351" t="s">
        <v>4778</v>
      </c>
      <c r="D1459" s="352" t="s">
        <v>4042</v>
      </c>
      <c r="E1459" s="352" t="s">
        <v>1996</v>
      </c>
      <c r="F1459" s="353"/>
      <c r="G1459" s="352" t="s">
        <v>2126</v>
      </c>
      <c r="H1459" s="176"/>
      <c r="I1459" s="176" t="s">
        <v>4043</v>
      </c>
      <c r="J1459" s="352" t="s">
        <v>3579</v>
      </c>
      <c r="K1459" s="351">
        <v>1.5</v>
      </c>
      <c r="L1459" s="351" t="s">
        <v>3465</v>
      </c>
      <c r="M1459" s="352"/>
      <c r="N1459" s="352"/>
      <c r="O1459" s="351">
        <v>1.5</v>
      </c>
      <c r="P1459" s="349" t="s">
        <v>3828</v>
      </c>
      <c r="R1459" s="349">
        <f t="shared" si="22"/>
        <v>14</v>
      </c>
      <c r="S1459" s="352"/>
      <c r="T1459" s="352"/>
      <c r="U1459" s="352"/>
      <c r="V1459" s="353"/>
      <c r="W1459" s="352"/>
      <c r="X1459" s="176"/>
      <c r="Y1459" s="176"/>
      <c r="Z1459" s="352"/>
      <c r="AA1459" s="352"/>
      <c r="AB1459" s="352"/>
      <c r="AC1459" s="352"/>
      <c r="AD1459" s="352"/>
    </row>
    <row r="1460" spans="1:30" ht="64.099999999999994" hidden="1" x14ac:dyDescent="0.35">
      <c r="A1460" s="349">
        <v>1459</v>
      </c>
      <c r="B1460" s="352" t="s">
        <v>2181</v>
      </c>
      <c r="C1460" s="351" t="s">
        <v>3930</v>
      </c>
      <c r="D1460" s="352" t="s">
        <v>3930</v>
      </c>
      <c r="E1460" s="352" t="s">
        <v>4024</v>
      </c>
      <c r="F1460" s="353">
        <v>5.73</v>
      </c>
      <c r="G1460" s="352" t="s">
        <v>2126</v>
      </c>
      <c r="H1460" s="176" t="s">
        <v>1060</v>
      </c>
      <c r="I1460" s="176" t="s">
        <v>2289</v>
      </c>
      <c r="J1460" s="352" t="s">
        <v>4025</v>
      </c>
      <c r="K1460" s="351">
        <v>0.25</v>
      </c>
      <c r="L1460" s="351" t="s">
        <v>2182</v>
      </c>
      <c r="M1460" s="352">
        <v>20</v>
      </c>
      <c r="N1460" s="352" t="s">
        <v>1109</v>
      </c>
      <c r="O1460" s="351">
        <v>0.25</v>
      </c>
      <c r="P1460" s="349" t="s">
        <v>1836</v>
      </c>
      <c r="R1460" s="349">
        <f t="shared" si="22"/>
        <v>15</v>
      </c>
      <c r="S1460" s="352"/>
      <c r="T1460" s="352"/>
      <c r="U1460" s="352"/>
      <c r="V1460" s="353"/>
      <c r="W1460" s="352"/>
      <c r="X1460" s="176"/>
      <c r="Y1460" s="176"/>
      <c r="Z1460" s="352"/>
      <c r="AA1460" s="352"/>
      <c r="AB1460" s="352"/>
      <c r="AC1460" s="352"/>
      <c r="AD1460" s="352"/>
    </row>
    <row r="1461" spans="1:30" ht="64.099999999999994" hidden="1" x14ac:dyDescent="0.35">
      <c r="A1461" s="349">
        <v>1460</v>
      </c>
      <c r="B1461" s="352" t="s">
        <v>2181</v>
      </c>
      <c r="C1461" s="351" t="s">
        <v>3930</v>
      </c>
      <c r="D1461" s="352" t="s">
        <v>3930</v>
      </c>
      <c r="E1461" s="352" t="s">
        <v>2021</v>
      </c>
      <c r="F1461" s="353">
        <v>0.05</v>
      </c>
      <c r="G1461" s="352" t="s">
        <v>2126</v>
      </c>
      <c r="H1461" s="176" t="s">
        <v>1060</v>
      </c>
      <c r="I1461" s="176" t="s">
        <v>2289</v>
      </c>
      <c r="J1461" s="352" t="s">
        <v>4028</v>
      </c>
      <c r="K1461" s="351">
        <v>0.25</v>
      </c>
      <c r="L1461" s="351" t="s">
        <v>2183</v>
      </c>
      <c r="M1461" s="352"/>
      <c r="N1461" s="352"/>
      <c r="O1461" s="351">
        <v>0.25</v>
      </c>
      <c r="P1461" s="349" t="s">
        <v>1836</v>
      </c>
      <c r="R1461" s="349">
        <f t="shared" si="22"/>
        <v>15</v>
      </c>
      <c r="S1461" s="352"/>
      <c r="T1461" s="352"/>
      <c r="U1461" s="352"/>
      <c r="V1461" s="353"/>
      <c r="W1461" s="352"/>
      <c r="X1461" s="176"/>
      <c r="Y1461" s="176"/>
      <c r="Z1461" s="352"/>
      <c r="AA1461" s="352"/>
      <c r="AB1461" s="352"/>
      <c r="AC1461" s="352"/>
      <c r="AD1461" s="352"/>
    </row>
    <row r="1462" spans="1:30" ht="38.450000000000003" hidden="1" x14ac:dyDescent="0.35">
      <c r="A1462" s="349">
        <v>1461</v>
      </c>
      <c r="B1462" s="352" t="s">
        <v>1113</v>
      </c>
      <c r="C1462" s="351" t="s">
        <v>4070</v>
      </c>
      <c r="D1462" s="352" t="s">
        <v>4070</v>
      </c>
      <c r="E1462" s="352" t="s">
        <v>2184</v>
      </c>
      <c r="F1462" s="351">
        <v>4.75</v>
      </c>
      <c r="G1462" s="352" t="s">
        <v>581</v>
      </c>
      <c r="H1462" s="176" t="s">
        <v>3601</v>
      </c>
      <c r="I1462" s="176" t="s">
        <v>4586</v>
      </c>
      <c r="J1462" s="352" t="s">
        <v>2185</v>
      </c>
      <c r="K1462" s="351"/>
      <c r="L1462" s="351"/>
      <c r="M1462" s="351">
        <v>100</v>
      </c>
      <c r="N1462" s="351" t="s">
        <v>1109</v>
      </c>
      <c r="O1462" s="351">
        <v>0</v>
      </c>
      <c r="P1462" s="349" t="s">
        <v>1837</v>
      </c>
      <c r="R1462" s="349">
        <f t="shared" si="22"/>
        <v>14</v>
      </c>
      <c r="S1462" s="352"/>
      <c r="T1462" s="352"/>
      <c r="U1462" s="352"/>
      <c r="V1462" s="353"/>
      <c r="W1462" s="352"/>
      <c r="X1462" s="176"/>
      <c r="Y1462" s="176"/>
      <c r="Z1462" s="352"/>
      <c r="AA1462" s="352"/>
      <c r="AB1462" s="352"/>
      <c r="AC1462" s="352"/>
      <c r="AD1462" s="352"/>
    </row>
    <row r="1463" spans="1:30" ht="115.35" hidden="1" x14ac:dyDescent="0.35">
      <c r="A1463" s="349">
        <v>1462</v>
      </c>
      <c r="B1463" s="352" t="s">
        <v>965</v>
      </c>
      <c r="C1463" s="351" t="s">
        <v>4070</v>
      </c>
      <c r="D1463" s="352" t="s">
        <v>4070</v>
      </c>
      <c r="E1463" s="352" t="s">
        <v>1446</v>
      </c>
      <c r="F1463" s="353">
        <v>1.1000000000000001</v>
      </c>
      <c r="G1463" s="352" t="s">
        <v>967</v>
      </c>
      <c r="H1463" s="176" t="s">
        <v>1714</v>
      </c>
      <c r="I1463" s="176" t="s">
        <v>4588</v>
      </c>
      <c r="J1463" s="352" t="s">
        <v>806</v>
      </c>
      <c r="K1463" s="352"/>
      <c r="L1463" s="352"/>
      <c r="M1463" s="352">
        <v>130</v>
      </c>
      <c r="N1463" s="352" t="s">
        <v>1109</v>
      </c>
      <c r="O1463" s="351">
        <v>0</v>
      </c>
      <c r="P1463" s="349" t="s">
        <v>1837</v>
      </c>
      <c r="R1463" s="349">
        <f t="shared" si="22"/>
        <v>14</v>
      </c>
      <c r="S1463" s="352"/>
      <c r="T1463" s="352"/>
      <c r="U1463" s="352"/>
      <c r="V1463" s="353"/>
      <c r="W1463" s="352"/>
      <c r="X1463" s="176"/>
      <c r="Y1463" s="176"/>
      <c r="Z1463" s="352"/>
      <c r="AA1463" s="352"/>
      <c r="AB1463" s="352"/>
      <c r="AC1463" s="352"/>
      <c r="AD1463" s="352"/>
    </row>
    <row r="1464" spans="1:30" ht="115.35" hidden="1" x14ac:dyDescent="0.35">
      <c r="A1464" s="349">
        <v>1463</v>
      </c>
      <c r="B1464" s="352" t="s">
        <v>965</v>
      </c>
      <c r="C1464" s="351" t="s">
        <v>4070</v>
      </c>
      <c r="D1464" s="352" t="s">
        <v>4070</v>
      </c>
      <c r="E1464" s="352" t="s">
        <v>1446</v>
      </c>
      <c r="F1464" s="353">
        <v>1.1000000000000001</v>
      </c>
      <c r="G1464" s="352" t="s">
        <v>967</v>
      </c>
      <c r="H1464" s="176" t="s">
        <v>1714</v>
      </c>
      <c r="I1464" s="176" t="s">
        <v>4588</v>
      </c>
      <c r="J1464" s="352" t="s">
        <v>806</v>
      </c>
      <c r="K1464" s="352"/>
      <c r="L1464" s="352"/>
      <c r="M1464" s="352">
        <v>130</v>
      </c>
      <c r="N1464" s="352" t="s">
        <v>1109</v>
      </c>
      <c r="O1464" s="351">
        <v>0</v>
      </c>
      <c r="P1464" s="349" t="s">
        <v>1837</v>
      </c>
      <c r="R1464" s="349">
        <f t="shared" si="22"/>
        <v>14</v>
      </c>
      <c r="S1464" s="352"/>
      <c r="T1464" s="352"/>
      <c r="U1464" s="352"/>
      <c r="V1464" s="353"/>
      <c r="W1464" s="352"/>
      <c r="X1464" s="176"/>
      <c r="Y1464" s="176"/>
      <c r="Z1464" s="352"/>
      <c r="AA1464" s="352"/>
      <c r="AB1464" s="352"/>
      <c r="AC1464" s="352"/>
      <c r="AD1464" s="352"/>
    </row>
    <row r="1465" spans="1:30" ht="38.450000000000003" hidden="1" x14ac:dyDescent="0.35">
      <c r="A1465" s="349">
        <v>1464</v>
      </c>
      <c r="B1465" s="352" t="s">
        <v>1113</v>
      </c>
      <c r="C1465" s="351" t="s">
        <v>4779</v>
      </c>
      <c r="D1465" s="352" t="s">
        <v>4070</v>
      </c>
      <c r="E1465" s="352" t="s">
        <v>2184</v>
      </c>
      <c r="F1465" s="353">
        <v>4.75</v>
      </c>
      <c r="G1465" s="352" t="s">
        <v>581</v>
      </c>
      <c r="H1465" s="37" t="s">
        <v>3601</v>
      </c>
      <c r="I1465" s="176" t="s">
        <v>4586</v>
      </c>
      <c r="J1465" s="352" t="s">
        <v>2185</v>
      </c>
      <c r="K1465" s="352"/>
      <c r="L1465" s="352"/>
      <c r="M1465" s="351">
        <v>100</v>
      </c>
      <c r="N1465" s="351" t="s">
        <v>1109</v>
      </c>
      <c r="O1465" s="351">
        <v>0</v>
      </c>
      <c r="P1465" s="349" t="s">
        <v>1837</v>
      </c>
      <c r="R1465" s="349">
        <f t="shared" si="22"/>
        <v>14</v>
      </c>
      <c r="S1465" s="352"/>
      <c r="T1465" s="352"/>
      <c r="U1465" s="352"/>
      <c r="V1465" s="353"/>
      <c r="W1465" s="352"/>
      <c r="X1465" s="176"/>
      <c r="Y1465" s="176"/>
      <c r="Z1465" s="352"/>
      <c r="AA1465" s="352"/>
      <c r="AB1465" s="352"/>
      <c r="AC1465" s="352"/>
      <c r="AD1465" s="352"/>
    </row>
    <row r="1466" spans="1:30" ht="76.900000000000006" hidden="1" x14ac:dyDescent="0.35">
      <c r="A1466" s="349">
        <v>1465</v>
      </c>
      <c r="B1466" s="352" t="s">
        <v>2181</v>
      </c>
      <c r="C1466" s="351" t="s">
        <v>4780</v>
      </c>
      <c r="D1466" s="352" t="s">
        <v>1869</v>
      </c>
      <c r="E1466" s="352" t="s">
        <v>2004</v>
      </c>
      <c r="F1466" s="353"/>
      <c r="G1466" s="352" t="s">
        <v>2126</v>
      </c>
      <c r="H1466" s="176" t="s">
        <v>2898</v>
      </c>
      <c r="I1466" s="176" t="s">
        <v>2899</v>
      </c>
      <c r="J1466" s="352" t="s">
        <v>3577</v>
      </c>
      <c r="K1466" s="352"/>
      <c r="L1466" s="352"/>
      <c r="M1466" s="352"/>
      <c r="N1466" s="352"/>
      <c r="O1466" s="351">
        <v>0</v>
      </c>
      <c r="P1466" s="349" t="s">
        <v>2313</v>
      </c>
      <c r="R1466" s="349">
        <f t="shared" si="22"/>
        <v>6</v>
      </c>
      <c r="S1466" s="352"/>
      <c r="T1466" s="352"/>
      <c r="U1466" s="352"/>
      <c r="V1466" s="353"/>
      <c r="W1466" s="352"/>
      <c r="X1466" s="176"/>
      <c r="Y1466" s="176"/>
      <c r="Z1466" s="352"/>
      <c r="AA1466" s="352"/>
      <c r="AB1466" s="352"/>
      <c r="AC1466" s="352"/>
      <c r="AD1466" s="352"/>
    </row>
    <row r="1467" spans="1:30" ht="64.099999999999994" hidden="1" x14ac:dyDescent="0.35">
      <c r="A1467" s="349">
        <v>1466</v>
      </c>
      <c r="B1467" s="352" t="s">
        <v>1113</v>
      </c>
      <c r="C1467" s="351" t="s">
        <v>3340</v>
      </c>
      <c r="D1467" s="352" t="s">
        <v>3340</v>
      </c>
      <c r="E1467" s="352" t="s">
        <v>2857</v>
      </c>
      <c r="F1467" s="353">
        <v>1.45</v>
      </c>
      <c r="G1467" s="352" t="s">
        <v>1107</v>
      </c>
      <c r="H1467" s="176" t="s">
        <v>2507</v>
      </c>
      <c r="I1467" s="176" t="s">
        <v>2508</v>
      </c>
      <c r="J1467" s="352" t="s">
        <v>828</v>
      </c>
      <c r="K1467" s="352">
        <v>250</v>
      </c>
      <c r="L1467" s="352" t="s">
        <v>1116</v>
      </c>
      <c r="M1467" s="352">
        <v>10</v>
      </c>
      <c r="N1467" s="352" t="s">
        <v>1109</v>
      </c>
      <c r="O1467" s="351">
        <v>250</v>
      </c>
      <c r="P1467" s="349" t="s">
        <v>1836</v>
      </c>
      <c r="R1467" s="349">
        <f t="shared" si="22"/>
        <v>18</v>
      </c>
      <c r="S1467" s="352"/>
      <c r="T1467" s="352"/>
      <c r="U1467" s="352"/>
      <c r="V1467" s="353"/>
      <c r="W1467" s="352"/>
      <c r="X1467" s="176"/>
      <c r="Y1467" s="176"/>
      <c r="Z1467" s="352"/>
      <c r="AA1467" s="352"/>
      <c r="AB1467" s="352"/>
      <c r="AC1467" s="352"/>
      <c r="AD1467" s="352"/>
    </row>
    <row r="1468" spans="1:30" ht="64.099999999999994" hidden="1" x14ac:dyDescent="0.35">
      <c r="A1468" s="349">
        <v>1467</v>
      </c>
      <c r="B1468" s="352" t="s">
        <v>1113</v>
      </c>
      <c r="C1468" s="351" t="s">
        <v>3340</v>
      </c>
      <c r="D1468" s="352" t="s">
        <v>3340</v>
      </c>
      <c r="E1468" s="352" t="s">
        <v>2857</v>
      </c>
      <c r="F1468" s="353">
        <v>0.65</v>
      </c>
      <c r="G1468" s="352" t="s">
        <v>34</v>
      </c>
      <c r="H1468" s="176" t="s">
        <v>3652</v>
      </c>
      <c r="I1468" s="176" t="s">
        <v>2508</v>
      </c>
      <c r="J1468" s="352" t="s">
        <v>828</v>
      </c>
      <c r="K1468" s="352">
        <v>40</v>
      </c>
      <c r="L1468" s="352" t="s">
        <v>1116</v>
      </c>
      <c r="M1468" s="352">
        <v>10</v>
      </c>
      <c r="N1468" s="352" t="s">
        <v>1109</v>
      </c>
      <c r="O1468" s="351">
        <v>40</v>
      </c>
      <c r="P1468" s="349" t="s">
        <v>1836</v>
      </c>
      <c r="R1468" s="349">
        <f t="shared" si="22"/>
        <v>18</v>
      </c>
      <c r="S1468" s="352"/>
      <c r="T1468" s="352"/>
      <c r="U1468" s="352"/>
      <c r="V1468" s="353"/>
      <c r="W1468" s="352"/>
      <c r="X1468" s="176"/>
      <c r="Y1468" s="176"/>
      <c r="Z1468" s="352"/>
      <c r="AA1468" s="352"/>
      <c r="AB1468" s="352"/>
      <c r="AC1468" s="352"/>
      <c r="AD1468" s="352"/>
    </row>
    <row r="1469" spans="1:30" ht="64.099999999999994" hidden="1" x14ac:dyDescent="0.35">
      <c r="A1469" s="349">
        <v>1468</v>
      </c>
      <c r="B1469" s="352" t="s">
        <v>1442</v>
      </c>
      <c r="C1469" s="351" t="s">
        <v>188</v>
      </c>
      <c r="D1469" s="352" t="s">
        <v>188</v>
      </c>
      <c r="E1469" s="352" t="s">
        <v>780</v>
      </c>
      <c r="F1469" s="353">
        <v>5.7736999999999998</v>
      </c>
      <c r="G1469" s="352" t="s">
        <v>1107</v>
      </c>
      <c r="H1469" s="176" t="s">
        <v>4040</v>
      </c>
      <c r="I1469" s="176" t="s">
        <v>4041</v>
      </c>
      <c r="J1469" s="352" t="s">
        <v>828</v>
      </c>
      <c r="K1469" s="352">
        <v>8.4</v>
      </c>
      <c r="L1469" s="352" t="s">
        <v>470</v>
      </c>
      <c r="M1469" s="352">
        <v>20</v>
      </c>
      <c r="N1469" s="352" t="s">
        <v>1109</v>
      </c>
      <c r="O1469" s="351">
        <v>8.4</v>
      </c>
      <c r="P1469" s="349" t="s">
        <v>1838</v>
      </c>
      <c r="R1469" s="349">
        <f t="shared" si="22"/>
        <v>26</v>
      </c>
      <c r="S1469" s="352"/>
      <c r="T1469" s="352"/>
      <c r="U1469" s="352"/>
      <c r="V1469" s="353"/>
      <c r="W1469" s="352"/>
      <c r="X1469" s="176"/>
      <c r="Y1469" s="176"/>
      <c r="Z1469" s="352"/>
      <c r="AA1469" s="351"/>
      <c r="AB1469" s="351"/>
      <c r="AC1469" s="352"/>
      <c r="AD1469" s="352"/>
    </row>
    <row r="1470" spans="1:30" ht="64.099999999999994" hidden="1" x14ac:dyDescent="0.35">
      <c r="A1470" s="349">
        <v>1469</v>
      </c>
      <c r="B1470" s="352" t="s">
        <v>1442</v>
      </c>
      <c r="C1470" s="351" t="s">
        <v>188</v>
      </c>
      <c r="D1470" s="352" t="s">
        <v>188</v>
      </c>
      <c r="E1470" s="352" t="s">
        <v>1443</v>
      </c>
      <c r="F1470" s="353">
        <v>5</v>
      </c>
      <c r="G1470" s="352" t="s">
        <v>1107</v>
      </c>
      <c r="H1470" s="37" t="s">
        <v>4040</v>
      </c>
      <c r="I1470" s="176" t="s">
        <v>4041</v>
      </c>
      <c r="J1470" s="352" t="s">
        <v>1108</v>
      </c>
      <c r="K1470" s="352">
        <v>1.4</v>
      </c>
      <c r="L1470" s="352" t="s">
        <v>470</v>
      </c>
      <c r="M1470" s="351">
        <v>100</v>
      </c>
      <c r="N1470" s="351" t="s">
        <v>1109</v>
      </c>
      <c r="O1470" s="351">
        <v>1.4</v>
      </c>
      <c r="P1470" s="349" t="s">
        <v>1838</v>
      </c>
      <c r="R1470" s="349">
        <f t="shared" si="22"/>
        <v>26</v>
      </c>
      <c r="S1470" s="352"/>
      <c r="T1470" s="352"/>
      <c r="U1470" s="352"/>
      <c r="V1470" s="353"/>
      <c r="W1470" s="352"/>
      <c r="X1470" s="176"/>
      <c r="Y1470" s="176"/>
      <c r="Z1470" s="352"/>
      <c r="AA1470" s="351"/>
      <c r="AB1470" s="351"/>
      <c r="AC1470" s="352"/>
      <c r="AD1470" s="352"/>
    </row>
    <row r="1471" spans="1:30" ht="64.099999999999994" hidden="1" x14ac:dyDescent="0.35">
      <c r="A1471" s="349">
        <v>1470</v>
      </c>
      <c r="B1471" s="352" t="s">
        <v>1442</v>
      </c>
      <c r="C1471" s="351" t="s">
        <v>188</v>
      </c>
      <c r="D1471" s="352" t="s">
        <v>188</v>
      </c>
      <c r="E1471" s="352" t="s">
        <v>1443</v>
      </c>
      <c r="F1471" s="353">
        <v>5</v>
      </c>
      <c r="G1471" s="352" t="s">
        <v>1107</v>
      </c>
      <c r="H1471" s="176" t="s">
        <v>4040</v>
      </c>
      <c r="I1471" s="176" t="s">
        <v>4041</v>
      </c>
      <c r="J1471" s="352" t="s">
        <v>1108</v>
      </c>
      <c r="K1471" s="352">
        <v>4.2</v>
      </c>
      <c r="L1471" s="352" t="s">
        <v>470</v>
      </c>
      <c r="M1471" s="352">
        <v>100</v>
      </c>
      <c r="N1471" s="352" t="s">
        <v>1109</v>
      </c>
      <c r="O1471" s="351">
        <v>4.2</v>
      </c>
      <c r="P1471" s="349" t="s">
        <v>1838</v>
      </c>
      <c r="R1471" s="349">
        <f t="shared" si="22"/>
        <v>26</v>
      </c>
      <c r="S1471" s="352"/>
      <c r="T1471" s="352"/>
      <c r="U1471" s="352"/>
      <c r="V1471" s="353"/>
      <c r="W1471" s="352"/>
      <c r="X1471" s="176"/>
      <c r="Y1471" s="176"/>
      <c r="Z1471" s="352"/>
      <c r="AA1471" s="352"/>
      <c r="AB1471" s="352"/>
      <c r="AC1471" s="352"/>
      <c r="AD1471" s="352"/>
    </row>
    <row r="1472" spans="1:30" ht="64.099999999999994" hidden="1" x14ac:dyDescent="0.35">
      <c r="A1472" s="349">
        <v>1471</v>
      </c>
      <c r="B1472" s="352" t="s">
        <v>1442</v>
      </c>
      <c r="C1472" s="351" t="s">
        <v>188</v>
      </c>
      <c r="D1472" s="352" t="s">
        <v>188</v>
      </c>
      <c r="E1472" s="352" t="s">
        <v>1106</v>
      </c>
      <c r="F1472" s="353">
        <v>5.0023999999999997</v>
      </c>
      <c r="G1472" s="352" t="s">
        <v>1107</v>
      </c>
      <c r="H1472" s="176" t="s">
        <v>4040</v>
      </c>
      <c r="I1472" s="176" t="s">
        <v>4041</v>
      </c>
      <c r="J1472" s="352" t="s">
        <v>1108</v>
      </c>
      <c r="K1472" s="352">
        <v>4.2</v>
      </c>
      <c r="L1472" s="352" t="s">
        <v>470</v>
      </c>
      <c r="M1472" s="351">
        <v>500</v>
      </c>
      <c r="N1472" s="351" t="s">
        <v>1109</v>
      </c>
      <c r="O1472" s="351">
        <v>4.2</v>
      </c>
      <c r="P1472" s="349" t="s">
        <v>1838</v>
      </c>
      <c r="R1472" s="349">
        <f t="shared" si="22"/>
        <v>26</v>
      </c>
      <c r="S1472" s="352"/>
      <c r="T1472" s="352"/>
      <c r="U1472" s="352"/>
      <c r="V1472" s="353"/>
      <c r="W1472" s="352"/>
      <c r="X1472" s="176"/>
      <c r="Y1472" s="176"/>
      <c r="Z1472" s="352"/>
      <c r="AA1472" s="352"/>
      <c r="AB1472" s="352"/>
      <c r="AC1472" s="352"/>
      <c r="AD1472" s="352"/>
    </row>
    <row r="1473" spans="1:30" ht="64.099999999999994" hidden="1" x14ac:dyDescent="0.35">
      <c r="A1473" s="349">
        <v>1472</v>
      </c>
      <c r="B1473" s="352" t="s">
        <v>1442</v>
      </c>
      <c r="C1473" s="351" t="s">
        <v>188</v>
      </c>
      <c r="D1473" s="352" t="s">
        <v>188</v>
      </c>
      <c r="E1473" s="352" t="s">
        <v>1995</v>
      </c>
      <c r="F1473" s="353">
        <v>0.15429999999999999</v>
      </c>
      <c r="G1473" s="352" t="s">
        <v>2126</v>
      </c>
      <c r="H1473" s="176"/>
      <c r="I1473" s="176" t="s">
        <v>4041</v>
      </c>
      <c r="J1473" s="352" t="s">
        <v>3580</v>
      </c>
      <c r="K1473" s="352">
        <v>500</v>
      </c>
      <c r="L1473" s="352" t="s">
        <v>3581</v>
      </c>
      <c r="M1473" s="351"/>
      <c r="N1473" s="351"/>
      <c r="O1473" s="351">
        <v>500</v>
      </c>
      <c r="P1473" s="349" t="s">
        <v>1836</v>
      </c>
      <c r="R1473" s="349">
        <f t="shared" si="22"/>
        <v>26</v>
      </c>
      <c r="S1473" s="352"/>
      <c r="T1473" s="352"/>
      <c r="U1473" s="352"/>
      <c r="V1473" s="353"/>
      <c r="W1473" s="352"/>
      <c r="X1473" s="176"/>
      <c r="Y1473" s="176"/>
      <c r="Z1473" s="352"/>
      <c r="AA1473" s="351"/>
      <c r="AB1473" s="351"/>
      <c r="AC1473" s="352"/>
      <c r="AD1473" s="352"/>
    </row>
    <row r="1474" spans="1:30" ht="51.3" hidden="1" x14ac:dyDescent="0.35">
      <c r="A1474" s="349">
        <v>1473</v>
      </c>
      <c r="B1474" s="352" t="s">
        <v>1080</v>
      </c>
      <c r="C1474" s="351" t="s">
        <v>4781</v>
      </c>
      <c r="D1474" s="352" t="s">
        <v>919</v>
      </c>
      <c r="E1474" s="352" t="s">
        <v>1998</v>
      </c>
      <c r="F1474" s="353">
        <v>1.5426</v>
      </c>
      <c r="G1474" s="352" t="s">
        <v>2126</v>
      </c>
      <c r="H1474" s="176"/>
      <c r="I1474" s="176" t="s">
        <v>920</v>
      </c>
      <c r="J1474" s="352" t="s">
        <v>22</v>
      </c>
      <c r="K1474" s="352">
        <v>50</v>
      </c>
      <c r="L1474" s="352" t="s">
        <v>23</v>
      </c>
      <c r="M1474" s="351"/>
      <c r="N1474" s="351"/>
      <c r="O1474" s="351">
        <v>50</v>
      </c>
      <c r="P1474" s="349" t="s">
        <v>1836</v>
      </c>
      <c r="R1474" s="349">
        <f t="shared" si="22"/>
        <v>12</v>
      </c>
      <c r="S1474" s="352"/>
      <c r="T1474" s="352"/>
      <c r="U1474" s="352"/>
      <c r="V1474" s="353"/>
      <c r="W1474" s="352"/>
      <c r="X1474" s="176"/>
      <c r="Y1474" s="176"/>
      <c r="Z1474" s="352"/>
      <c r="AA1474" s="351"/>
      <c r="AB1474" s="351"/>
      <c r="AC1474" s="352"/>
      <c r="AD1474" s="352"/>
    </row>
    <row r="1475" spans="1:30" ht="25.65" hidden="1" x14ac:dyDescent="0.35">
      <c r="A1475" s="349">
        <v>1474</v>
      </c>
      <c r="B1475" s="352" t="s">
        <v>314</v>
      </c>
      <c r="C1475" s="351" t="s">
        <v>4782</v>
      </c>
      <c r="D1475" s="352" t="s">
        <v>3557</v>
      </c>
      <c r="E1475" s="352" t="s">
        <v>1574</v>
      </c>
      <c r="F1475" s="353">
        <v>79.113200000000006</v>
      </c>
      <c r="G1475" s="352" t="s">
        <v>2384</v>
      </c>
      <c r="H1475" s="176" t="s">
        <v>3558</v>
      </c>
      <c r="I1475" s="176" t="s">
        <v>3559</v>
      </c>
      <c r="J1475" s="352" t="s">
        <v>964</v>
      </c>
      <c r="K1475" s="352">
        <v>20</v>
      </c>
      <c r="L1475" s="352" t="s">
        <v>4022</v>
      </c>
      <c r="M1475" s="351">
        <v>0.5</v>
      </c>
      <c r="N1475" s="351" t="s">
        <v>1109</v>
      </c>
      <c r="O1475" s="351">
        <v>20</v>
      </c>
      <c r="P1475" s="349" t="s">
        <v>1850</v>
      </c>
      <c r="R1475" s="349">
        <f t="shared" ref="R1475:R1538" si="23">LEN(D1475)</f>
        <v>19</v>
      </c>
      <c r="S1475" s="352"/>
      <c r="T1475" s="352"/>
      <c r="U1475" s="352"/>
      <c r="V1475" s="353"/>
      <c r="W1475" s="352"/>
      <c r="X1475" s="176"/>
      <c r="Y1475" s="176"/>
      <c r="Z1475" s="352"/>
      <c r="AA1475" s="352"/>
      <c r="AB1475" s="352"/>
      <c r="AC1475" s="352"/>
      <c r="AD1475" s="352"/>
    </row>
    <row r="1476" spans="1:30" ht="51.3" hidden="1" x14ac:dyDescent="0.35">
      <c r="A1476" s="349">
        <v>1475</v>
      </c>
      <c r="B1476" s="352" t="s">
        <v>4100</v>
      </c>
      <c r="C1476" s="351" t="s">
        <v>3525</v>
      </c>
      <c r="D1476" s="352" t="s">
        <v>3525</v>
      </c>
      <c r="E1476" s="352" t="s">
        <v>1995</v>
      </c>
      <c r="F1476" s="353">
        <v>2.9969999999999999</v>
      </c>
      <c r="G1476" s="352" t="s">
        <v>2126</v>
      </c>
      <c r="H1476" s="176" t="s">
        <v>2494</v>
      </c>
      <c r="I1476" s="176" t="s">
        <v>2495</v>
      </c>
      <c r="J1476" s="352" t="s">
        <v>3580</v>
      </c>
      <c r="K1476" s="352">
        <v>250</v>
      </c>
      <c r="L1476" s="352" t="s">
        <v>3581</v>
      </c>
      <c r="M1476" s="351"/>
      <c r="N1476" s="351"/>
      <c r="O1476" s="351">
        <v>250</v>
      </c>
      <c r="P1476" s="349" t="s">
        <v>1836</v>
      </c>
      <c r="R1476" s="349">
        <f t="shared" si="23"/>
        <v>10</v>
      </c>
      <c r="S1476" s="352"/>
      <c r="T1476" s="352"/>
      <c r="U1476" s="352"/>
      <c r="V1476" s="353"/>
      <c r="W1476" s="352"/>
      <c r="X1476" s="176"/>
      <c r="Y1476" s="176"/>
      <c r="Z1476" s="352"/>
      <c r="AA1476" s="352"/>
      <c r="AB1476" s="352"/>
      <c r="AC1476" s="351"/>
      <c r="AD1476" s="351"/>
    </row>
    <row r="1477" spans="1:30" ht="51.3" hidden="1" x14ac:dyDescent="0.35">
      <c r="A1477" s="349">
        <v>1476</v>
      </c>
      <c r="B1477" s="352" t="s">
        <v>3248</v>
      </c>
      <c r="C1477" s="351" t="s">
        <v>653</v>
      </c>
      <c r="D1477" s="352" t="s">
        <v>1392</v>
      </c>
      <c r="E1477" s="352" t="s">
        <v>1995</v>
      </c>
      <c r="F1477" s="353">
        <v>0.28649999999999998</v>
      </c>
      <c r="G1477" s="352" t="s">
        <v>2126</v>
      </c>
      <c r="H1477" s="176" t="s">
        <v>2761</v>
      </c>
      <c r="I1477" s="176" t="s">
        <v>3765</v>
      </c>
      <c r="J1477" s="352" t="s">
        <v>3580</v>
      </c>
      <c r="K1477" s="352">
        <v>375</v>
      </c>
      <c r="L1477" s="352" t="s">
        <v>3581</v>
      </c>
      <c r="M1477" s="351"/>
      <c r="N1477" s="351"/>
      <c r="O1477" s="351">
        <v>375</v>
      </c>
      <c r="P1477" s="349" t="s">
        <v>1836</v>
      </c>
      <c r="R1477" s="349">
        <f t="shared" si="23"/>
        <v>17</v>
      </c>
      <c r="S1477" s="352"/>
      <c r="T1477" s="352"/>
      <c r="U1477" s="352"/>
      <c r="V1477" s="353"/>
      <c r="W1477" s="352"/>
      <c r="X1477" s="176"/>
      <c r="Y1477" s="176"/>
      <c r="Z1477" s="352"/>
      <c r="AA1477" s="352"/>
      <c r="AB1477" s="352"/>
      <c r="AC1477" s="351"/>
      <c r="AD1477" s="351"/>
    </row>
    <row r="1478" spans="1:30" ht="51.3" hidden="1" x14ac:dyDescent="0.35">
      <c r="A1478" s="349">
        <v>1477</v>
      </c>
      <c r="B1478" s="352" t="s">
        <v>3248</v>
      </c>
      <c r="C1478" s="351" t="s">
        <v>653</v>
      </c>
      <c r="D1478" s="352" t="s">
        <v>1392</v>
      </c>
      <c r="E1478" s="352" t="s">
        <v>1995</v>
      </c>
      <c r="F1478" s="353">
        <v>0.28649999999999998</v>
      </c>
      <c r="G1478" s="352" t="s">
        <v>2126</v>
      </c>
      <c r="H1478" s="176" t="s">
        <v>2761</v>
      </c>
      <c r="I1478" s="176" t="s">
        <v>3765</v>
      </c>
      <c r="J1478" s="352" t="s">
        <v>3580</v>
      </c>
      <c r="K1478" s="352">
        <v>375</v>
      </c>
      <c r="L1478" s="352" t="s">
        <v>3581</v>
      </c>
      <c r="M1478" s="351"/>
      <c r="N1478" s="351"/>
      <c r="O1478" s="351">
        <v>375</v>
      </c>
      <c r="P1478" s="349" t="s">
        <v>1836</v>
      </c>
      <c r="R1478" s="349">
        <f t="shared" si="23"/>
        <v>17</v>
      </c>
      <c r="S1478" s="352"/>
      <c r="T1478" s="352"/>
      <c r="U1478" s="352"/>
      <c r="V1478" s="353"/>
      <c r="W1478" s="352"/>
      <c r="X1478" s="176"/>
      <c r="Y1478" s="176"/>
      <c r="Z1478" s="352"/>
      <c r="AA1478" s="352"/>
      <c r="AB1478" s="352"/>
      <c r="AC1478" s="352"/>
      <c r="AD1478" s="352"/>
    </row>
    <row r="1479" spans="1:30" ht="102.55" hidden="1" x14ac:dyDescent="0.35">
      <c r="A1479" s="349">
        <v>1478</v>
      </c>
      <c r="B1479" s="352" t="s">
        <v>1133</v>
      </c>
      <c r="C1479" s="351" t="s">
        <v>4783</v>
      </c>
      <c r="D1479" s="352" t="s">
        <v>679</v>
      </c>
      <c r="E1479" s="352" t="s">
        <v>1998</v>
      </c>
      <c r="F1479" s="353">
        <v>1.9172</v>
      </c>
      <c r="G1479" s="352" t="s">
        <v>2126</v>
      </c>
      <c r="H1479" s="176" t="s">
        <v>735</v>
      </c>
      <c r="I1479" s="176" t="s">
        <v>4727</v>
      </c>
      <c r="J1479" s="352" t="s">
        <v>22</v>
      </c>
      <c r="K1479" s="352">
        <v>25</v>
      </c>
      <c r="L1479" s="352" t="s">
        <v>23</v>
      </c>
      <c r="M1479" s="352"/>
      <c r="N1479" s="352"/>
      <c r="O1479" s="351">
        <v>25</v>
      </c>
      <c r="P1479" s="349" t="s">
        <v>1836</v>
      </c>
      <c r="R1479" s="349">
        <f t="shared" si="23"/>
        <v>12</v>
      </c>
      <c r="S1479" s="352"/>
      <c r="T1479" s="352"/>
      <c r="U1479" s="352"/>
      <c r="V1479" s="353"/>
      <c r="W1479" s="352"/>
      <c r="X1479" s="176"/>
      <c r="Y1479" s="176"/>
      <c r="Z1479" s="352"/>
      <c r="AA1479" s="352"/>
      <c r="AB1479" s="352"/>
      <c r="AC1479" s="351"/>
      <c r="AD1479" s="351"/>
    </row>
    <row r="1480" spans="1:30" ht="102.55" hidden="1" x14ac:dyDescent="0.35">
      <c r="A1480" s="349">
        <v>1479</v>
      </c>
      <c r="B1480" s="352" t="s">
        <v>1133</v>
      </c>
      <c r="C1480" s="351" t="s">
        <v>4783</v>
      </c>
      <c r="D1480" s="352" t="s">
        <v>679</v>
      </c>
      <c r="E1480" s="352" t="s">
        <v>1998</v>
      </c>
      <c r="F1480" s="353">
        <v>6.8756000000000004</v>
      </c>
      <c r="G1480" s="352" t="s">
        <v>2126</v>
      </c>
      <c r="H1480" s="176" t="s">
        <v>735</v>
      </c>
      <c r="I1480" s="176" t="s">
        <v>4727</v>
      </c>
      <c r="J1480" s="352" t="s">
        <v>22</v>
      </c>
      <c r="K1480" s="352">
        <v>100</v>
      </c>
      <c r="L1480" s="352" t="s">
        <v>23</v>
      </c>
      <c r="M1480" s="352"/>
      <c r="N1480" s="352"/>
      <c r="O1480" s="351">
        <v>100</v>
      </c>
      <c r="P1480" s="349" t="s">
        <v>1836</v>
      </c>
      <c r="R1480" s="349">
        <f t="shared" si="23"/>
        <v>12</v>
      </c>
      <c r="S1480" s="352"/>
      <c r="T1480" s="352"/>
      <c r="U1480" s="352"/>
      <c r="V1480" s="353"/>
      <c r="W1480" s="352"/>
      <c r="X1480" s="176"/>
      <c r="Y1480" s="176"/>
      <c r="Z1480" s="352"/>
      <c r="AA1480" s="352"/>
      <c r="AB1480" s="352"/>
      <c r="AC1480" s="352"/>
      <c r="AD1480" s="352"/>
    </row>
    <row r="1481" spans="1:30" ht="115.35" hidden="1" x14ac:dyDescent="0.35">
      <c r="A1481" s="349">
        <v>1480</v>
      </c>
      <c r="B1481" s="352" t="s">
        <v>3204</v>
      </c>
      <c r="C1481" s="351" t="s">
        <v>4783</v>
      </c>
      <c r="D1481" s="352" t="s">
        <v>679</v>
      </c>
      <c r="E1481" s="352" t="s">
        <v>1998</v>
      </c>
      <c r="F1481" s="353">
        <v>1.9172</v>
      </c>
      <c r="G1481" s="352" t="s">
        <v>2126</v>
      </c>
      <c r="H1481" s="176" t="s">
        <v>680</v>
      </c>
      <c r="I1481" s="176" t="s">
        <v>5075</v>
      </c>
      <c r="J1481" s="352" t="s">
        <v>22</v>
      </c>
      <c r="K1481" s="352">
        <v>25</v>
      </c>
      <c r="L1481" s="352" t="s">
        <v>23</v>
      </c>
      <c r="M1481" s="352"/>
      <c r="N1481" s="352"/>
      <c r="O1481" s="351">
        <v>25</v>
      </c>
      <c r="P1481" s="349" t="s">
        <v>1836</v>
      </c>
      <c r="R1481" s="349">
        <f t="shared" si="23"/>
        <v>12</v>
      </c>
      <c r="S1481" s="352"/>
      <c r="T1481" s="352"/>
      <c r="U1481" s="352"/>
      <c r="V1481" s="353"/>
      <c r="W1481" s="352"/>
      <c r="X1481" s="176"/>
      <c r="Y1481" s="176"/>
      <c r="Z1481" s="352"/>
      <c r="AA1481" s="352"/>
      <c r="AB1481" s="352"/>
      <c r="AC1481" s="352"/>
      <c r="AD1481" s="352"/>
    </row>
    <row r="1482" spans="1:30" ht="115.35" hidden="1" x14ac:dyDescent="0.35">
      <c r="A1482" s="349">
        <v>1481</v>
      </c>
      <c r="B1482" s="352" t="s">
        <v>3204</v>
      </c>
      <c r="C1482" s="351" t="s">
        <v>4783</v>
      </c>
      <c r="D1482" s="352" t="s">
        <v>679</v>
      </c>
      <c r="E1482" s="352" t="s">
        <v>1998</v>
      </c>
      <c r="F1482" s="353">
        <v>6.8756000000000004</v>
      </c>
      <c r="G1482" s="352" t="s">
        <v>2126</v>
      </c>
      <c r="H1482" s="176" t="s">
        <v>680</v>
      </c>
      <c r="I1482" s="176" t="s">
        <v>5075</v>
      </c>
      <c r="J1482" s="352" t="s">
        <v>22</v>
      </c>
      <c r="K1482" s="352">
        <v>100</v>
      </c>
      <c r="L1482" s="352" t="s">
        <v>23</v>
      </c>
      <c r="M1482" s="352"/>
      <c r="N1482" s="352"/>
      <c r="O1482" s="351">
        <v>100</v>
      </c>
      <c r="P1482" s="349" t="s">
        <v>1836</v>
      </c>
      <c r="R1482" s="349">
        <f t="shared" si="23"/>
        <v>12</v>
      </c>
      <c r="S1482" s="352"/>
      <c r="T1482" s="352"/>
      <c r="U1482" s="352"/>
      <c r="V1482" s="353"/>
      <c r="W1482" s="352"/>
      <c r="X1482" s="176"/>
      <c r="Y1482" s="176"/>
      <c r="Z1482" s="352"/>
      <c r="AA1482" s="352"/>
      <c r="AB1482" s="352"/>
      <c r="AC1482" s="352"/>
      <c r="AD1482" s="352"/>
    </row>
    <row r="1483" spans="1:30" ht="115.35" hidden="1" x14ac:dyDescent="0.35">
      <c r="A1483" s="349">
        <v>1482</v>
      </c>
      <c r="B1483" s="352" t="s">
        <v>3204</v>
      </c>
      <c r="C1483" s="351" t="s">
        <v>4783</v>
      </c>
      <c r="D1483" s="352" t="s">
        <v>679</v>
      </c>
      <c r="E1483" s="352" t="s">
        <v>1137</v>
      </c>
      <c r="F1483" s="353">
        <v>321.87389999999999</v>
      </c>
      <c r="G1483" s="352" t="s">
        <v>2126</v>
      </c>
      <c r="H1483" s="176" t="s">
        <v>680</v>
      </c>
      <c r="I1483" s="176" t="s">
        <v>5075</v>
      </c>
      <c r="J1483" s="352" t="s">
        <v>3579</v>
      </c>
      <c r="K1483" s="352">
        <v>100</v>
      </c>
      <c r="L1483" s="352" t="s">
        <v>1116</v>
      </c>
      <c r="M1483" s="352">
        <v>50</v>
      </c>
      <c r="N1483" s="352" t="s">
        <v>1109</v>
      </c>
      <c r="O1483" s="351">
        <v>100</v>
      </c>
      <c r="P1483" s="349" t="s">
        <v>1836</v>
      </c>
      <c r="R1483" s="349">
        <f t="shared" si="23"/>
        <v>12</v>
      </c>
      <c r="S1483" s="352"/>
      <c r="T1483" s="352"/>
      <c r="U1483" s="352"/>
      <c r="V1483" s="353"/>
      <c r="W1483" s="352"/>
      <c r="X1483" s="176"/>
      <c r="Y1483" s="176"/>
      <c r="Z1483" s="352"/>
      <c r="AA1483" s="352"/>
      <c r="AB1483" s="352"/>
      <c r="AC1483" s="352"/>
      <c r="AD1483" s="352"/>
    </row>
    <row r="1484" spans="1:30" ht="282" hidden="1" x14ac:dyDescent="0.35">
      <c r="A1484" s="349">
        <v>1483</v>
      </c>
      <c r="B1484" s="352" t="s">
        <v>962</v>
      </c>
      <c r="C1484" s="351" t="s">
        <v>4784</v>
      </c>
      <c r="D1484" s="352" t="s">
        <v>3774</v>
      </c>
      <c r="E1484" s="352" t="s">
        <v>1016</v>
      </c>
      <c r="F1484" s="353">
        <v>22.63</v>
      </c>
      <c r="G1484" s="352" t="s">
        <v>1017</v>
      </c>
      <c r="H1484" s="176" t="s">
        <v>3377</v>
      </c>
      <c r="I1484" s="176" t="s">
        <v>4599</v>
      </c>
      <c r="J1484" s="352" t="s">
        <v>964</v>
      </c>
      <c r="K1484" s="352">
        <v>1000</v>
      </c>
      <c r="L1484" s="352" t="s">
        <v>1993</v>
      </c>
      <c r="M1484" s="351">
        <v>0.3</v>
      </c>
      <c r="N1484" s="351" t="s">
        <v>1109</v>
      </c>
      <c r="O1484" s="351">
        <v>1000</v>
      </c>
      <c r="P1484" s="349" t="s">
        <v>2030</v>
      </c>
      <c r="R1484" s="349">
        <f t="shared" si="23"/>
        <v>13</v>
      </c>
      <c r="S1484" s="352"/>
      <c r="T1484" s="352"/>
      <c r="U1484" s="352"/>
      <c r="V1484" s="353"/>
      <c r="W1484" s="352"/>
      <c r="X1484" s="176"/>
      <c r="Y1484" s="176"/>
      <c r="Z1484" s="352"/>
      <c r="AA1484" s="352"/>
      <c r="AB1484" s="352"/>
      <c r="AC1484" s="352"/>
      <c r="AD1484" s="352"/>
    </row>
    <row r="1485" spans="1:30" ht="128.19999999999999" hidden="1" x14ac:dyDescent="0.35">
      <c r="A1485" s="349">
        <v>1484</v>
      </c>
      <c r="B1485" s="352" t="s">
        <v>2694</v>
      </c>
      <c r="C1485" s="351" t="s">
        <v>4785</v>
      </c>
      <c r="D1485" s="352" t="s">
        <v>3533</v>
      </c>
      <c r="E1485" s="352" t="s">
        <v>762</v>
      </c>
      <c r="F1485" s="353">
        <v>17.497499999999999</v>
      </c>
      <c r="G1485" s="352" t="s">
        <v>1107</v>
      </c>
      <c r="H1485" s="176" t="s">
        <v>1823</v>
      </c>
      <c r="I1485" s="176" t="s">
        <v>922</v>
      </c>
      <c r="J1485" s="352" t="s">
        <v>828</v>
      </c>
      <c r="K1485" s="352">
        <v>12.5</v>
      </c>
      <c r="L1485" s="352" t="s">
        <v>1116</v>
      </c>
      <c r="M1485" s="352">
        <v>2</v>
      </c>
      <c r="N1485" s="352" t="s">
        <v>1109</v>
      </c>
      <c r="O1485" s="351">
        <v>12.5</v>
      </c>
      <c r="P1485" s="349" t="s">
        <v>1836</v>
      </c>
      <c r="R1485" s="349">
        <f t="shared" si="23"/>
        <v>13</v>
      </c>
      <c r="S1485" s="352"/>
      <c r="T1485" s="352"/>
      <c r="U1485" s="352"/>
      <c r="V1485" s="353"/>
      <c r="W1485" s="352"/>
      <c r="X1485" s="176"/>
      <c r="Y1485" s="176"/>
      <c r="Z1485" s="352"/>
      <c r="AA1485" s="352"/>
      <c r="AB1485" s="352"/>
      <c r="AC1485" s="352"/>
      <c r="AD1485" s="352"/>
    </row>
    <row r="1486" spans="1:30" ht="64.099999999999994" hidden="1" x14ac:dyDescent="0.35">
      <c r="A1486" s="349">
        <v>1485</v>
      </c>
      <c r="B1486" s="352" t="s">
        <v>962</v>
      </c>
      <c r="C1486" s="351" t="s">
        <v>4786</v>
      </c>
      <c r="D1486" s="352" t="s">
        <v>3897</v>
      </c>
      <c r="E1486" s="352" t="s">
        <v>767</v>
      </c>
      <c r="F1486" s="353">
        <v>147.0976</v>
      </c>
      <c r="G1486" s="352" t="s">
        <v>731</v>
      </c>
      <c r="H1486" s="176" t="s">
        <v>1861</v>
      </c>
      <c r="I1486" s="176" t="s">
        <v>1862</v>
      </c>
      <c r="J1486" s="352" t="s">
        <v>1115</v>
      </c>
      <c r="K1486" s="351">
        <v>300</v>
      </c>
      <c r="L1486" s="351" t="s">
        <v>768</v>
      </c>
      <c r="M1486" s="351">
        <v>1</v>
      </c>
      <c r="N1486" s="351" t="s">
        <v>1109</v>
      </c>
      <c r="O1486" s="351">
        <v>300</v>
      </c>
      <c r="P1486" s="349" t="s">
        <v>1850</v>
      </c>
      <c r="R1486" s="349">
        <f t="shared" si="23"/>
        <v>10</v>
      </c>
      <c r="S1486" s="352"/>
      <c r="T1486" s="352"/>
      <c r="U1486" s="352"/>
      <c r="V1486" s="353"/>
      <c r="W1486" s="352"/>
      <c r="X1486" s="176"/>
      <c r="Y1486" s="176"/>
      <c r="Z1486" s="352"/>
      <c r="AA1486" s="352"/>
      <c r="AB1486" s="352"/>
      <c r="AC1486" s="352"/>
      <c r="AD1486" s="352"/>
    </row>
    <row r="1487" spans="1:30" ht="115.35" hidden="1" x14ac:dyDescent="0.35">
      <c r="A1487" s="349">
        <v>1486</v>
      </c>
      <c r="B1487" s="352" t="s">
        <v>4100</v>
      </c>
      <c r="C1487" s="351" t="s">
        <v>1857</v>
      </c>
      <c r="D1487" s="352" t="s">
        <v>1857</v>
      </c>
      <c r="E1487" s="352" t="s">
        <v>3578</v>
      </c>
      <c r="F1487" s="353">
        <v>158.03</v>
      </c>
      <c r="G1487" s="352" t="s">
        <v>2126</v>
      </c>
      <c r="H1487" s="176" t="s">
        <v>1858</v>
      </c>
      <c r="I1487" s="176" t="s">
        <v>2636</v>
      </c>
      <c r="J1487" s="352" t="s">
        <v>3579</v>
      </c>
      <c r="K1487" s="352">
        <v>10</v>
      </c>
      <c r="L1487" s="352" t="s">
        <v>1116</v>
      </c>
      <c r="M1487" s="351">
        <v>240</v>
      </c>
      <c r="N1487" s="351" t="s">
        <v>1109</v>
      </c>
      <c r="O1487" s="351">
        <v>10</v>
      </c>
      <c r="P1487" s="349" t="s">
        <v>1836</v>
      </c>
      <c r="R1487" s="349">
        <f t="shared" si="23"/>
        <v>10</v>
      </c>
      <c r="S1487" s="352"/>
      <c r="T1487" s="352"/>
      <c r="U1487" s="352"/>
      <c r="V1487" s="353"/>
      <c r="W1487" s="352"/>
      <c r="X1487" s="176"/>
      <c r="Y1487" s="176"/>
      <c r="Z1487" s="352"/>
      <c r="AA1487" s="352"/>
      <c r="AB1487" s="352"/>
      <c r="AC1487" s="351"/>
      <c r="AD1487" s="351"/>
    </row>
    <row r="1488" spans="1:30" ht="115.35" hidden="1" x14ac:dyDescent="0.35">
      <c r="A1488" s="349">
        <v>1487</v>
      </c>
      <c r="B1488" s="352" t="s">
        <v>4100</v>
      </c>
      <c r="C1488" s="351" t="s">
        <v>1857</v>
      </c>
      <c r="D1488" s="352" t="s">
        <v>1857</v>
      </c>
      <c r="E1488" s="352" t="s">
        <v>1995</v>
      </c>
      <c r="F1488" s="353">
        <v>9.56</v>
      </c>
      <c r="G1488" s="352" t="s">
        <v>2126</v>
      </c>
      <c r="H1488" s="176" t="s">
        <v>1858</v>
      </c>
      <c r="I1488" s="176" t="s">
        <v>2636</v>
      </c>
      <c r="J1488" s="352" t="s">
        <v>3580</v>
      </c>
      <c r="K1488" s="352">
        <v>200</v>
      </c>
      <c r="L1488" s="352" t="s">
        <v>3581</v>
      </c>
      <c r="M1488" s="351"/>
      <c r="N1488" s="351"/>
      <c r="O1488" s="351">
        <v>200</v>
      </c>
      <c r="P1488" s="349" t="s">
        <v>1836</v>
      </c>
      <c r="R1488" s="349">
        <f t="shared" si="23"/>
        <v>10</v>
      </c>
      <c r="S1488" s="352"/>
      <c r="T1488" s="352"/>
      <c r="U1488" s="352"/>
      <c r="V1488" s="353"/>
      <c r="W1488" s="352"/>
      <c r="X1488" s="176"/>
      <c r="Y1488" s="176"/>
      <c r="Z1488" s="352"/>
      <c r="AA1488" s="352"/>
      <c r="AB1488" s="352"/>
      <c r="AC1488" s="351"/>
      <c r="AD1488" s="351"/>
    </row>
    <row r="1489" spans="1:30" ht="102.55" hidden="1" x14ac:dyDescent="0.35">
      <c r="A1489" s="349">
        <v>1488</v>
      </c>
      <c r="B1489" s="352" t="s">
        <v>2694</v>
      </c>
      <c r="C1489" s="351" t="s">
        <v>2850</v>
      </c>
      <c r="D1489" s="352" t="s">
        <v>2850</v>
      </c>
      <c r="E1489" s="352" t="s">
        <v>827</v>
      </c>
      <c r="F1489" s="353">
        <v>17.827999999999999</v>
      </c>
      <c r="G1489" s="352" t="s">
        <v>1107</v>
      </c>
      <c r="H1489" s="176" t="s">
        <v>2548</v>
      </c>
      <c r="I1489" s="176" t="s">
        <v>1460</v>
      </c>
      <c r="J1489" s="352" t="s">
        <v>828</v>
      </c>
      <c r="K1489" s="352">
        <v>1</v>
      </c>
      <c r="L1489" s="352" t="s">
        <v>1116</v>
      </c>
      <c r="M1489" s="351">
        <v>5</v>
      </c>
      <c r="N1489" s="351" t="s">
        <v>1109</v>
      </c>
      <c r="O1489" s="351">
        <v>1</v>
      </c>
      <c r="P1489" s="349" t="s">
        <v>1836</v>
      </c>
      <c r="R1489" s="349">
        <f t="shared" si="23"/>
        <v>11</v>
      </c>
      <c r="S1489" s="352"/>
      <c r="T1489" s="352"/>
      <c r="U1489" s="352"/>
      <c r="V1489" s="353"/>
      <c r="W1489" s="352"/>
      <c r="X1489" s="176"/>
      <c r="Y1489" s="176"/>
      <c r="Z1489" s="352"/>
      <c r="AA1489" s="352"/>
      <c r="AB1489" s="352"/>
      <c r="AC1489" s="352"/>
      <c r="AD1489" s="352"/>
    </row>
    <row r="1490" spans="1:30" ht="25.65" hidden="1" x14ac:dyDescent="0.35">
      <c r="A1490" s="349">
        <v>1489</v>
      </c>
      <c r="B1490" s="352" t="s">
        <v>19</v>
      </c>
      <c r="C1490" s="351" t="s">
        <v>1282</v>
      </c>
      <c r="D1490" s="352" t="s">
        <v>1282</v>
      </c>
      <c r="E1490" s="352" t="s">
        <v>2004</v>
      </c>
      <c r="F1490" s="353">
        <v>0.6391</v>
      </c>
      <c r="G1490" s="352" t="s">
        <v>2126</v>
      </c>
      <c r="H1490" s="176" t="s">
        <v>3319</v>
      </c>
      <c r="I1490" s="176" t="s">
        <v>3829</v>
      </c>
      <c r="J1490" s="352" t="s">
        <v>3577</v>
      </c>
      <c r="K1490" s="352"/>
      <c r="L1490" s="352"/>
      <c r="M1490" s="351"/>
      <c r="N1490" s="351"/>
      <c r="O1490" s="351">
        <v>0</v>
      </c>
      <c r="P1490" s="349" t="s">
        <v>2313</v>
      </c>
      <c r="R1490" s="349">
        <f t="shared" si="23"/>
        <v>12</v>
      </c>
      <c r="S1490" s="352"/>
      <c r="T1490" s="352"/>
      <c r="U1490" s="352"/>
      <c r="V1490" s="353"/>
      <c r="W1490" s="352"/>
      <c r="X1490" s="176"/>
      <c r="Y1490" s="176"/>
      <c r="Z1490" s="352"/>
      <c r="AA1490" s="352"/>
      <c r="AB1490" s="352"/>
      <c r="AC1490" s="351"/>
      <c r="AD1490" s="351"/>
    </row>
    <row r="1491" spans="1:30" ht="89.75" hidden="1" x14ac:dyDescent="0.35">
      <c r="A1491" s="349">
        <v>1490</v>
      </c>
      <c r="B1491" s="352" t="s">
        <v>2694</v>
      </c>
      <c r="C1491" s="351" t="s">
        <v>4185</v>
      </c>
      <c r="D1491" s="352" t="s">
        <v>4185</v>
      </c>
      <c r="E1491" s="352" t="s">
        <v>2000</v>
      </c>
      <c r="F1491" s="353">
        <v>0.1983</v>
      </c>
      <c r="G1491" s="352" t="s">
        <v>2126</v>
      </c>
      <c r="H1491" s="176" t="s">
        <v>2559</v>
      </c>
      <c r="I1491" s="176" t="s">
        <v>684</v>
      </c>
      <c r="J1491" s="352" t="s">
        <v>2695</v>
      </c>
      <c r="K1491" s="352">
        <v>10</v>
      </c>
      <c r="L1491" s="352" t="s">
        <v>3581</v>
      </c>
      <c r="M1491" s="351"/>
      <c r="N1491" s="351"/>
      <c r="O1491" s="351">
        <v>10</v>
      </c>
      <c r="P1491" s="349" t="s">
        <v>1836</v>
      </c>
      <c r="R1491" s="349">
        <f t="shared" si="23"/>
        <v>10</v>
      </c>
      <c r="S1491" s="352"/>
      <c r="T1491" s="352"/>
      <c r="U1491" s="352"/>
      <c r="V1491" s="353"/>
      <c r="W1491" s="352"/>
      <c r="X1491" s="176"/>
      <c r="Y1491" s="176"/>
      <c r="Z1491" s="352"/>
      <c r="AA1491" s="352"/>
      <c r="AB1491" s="352"/>
      <c r="AC1491" s="351"/>
      <c r="AD1491" s="351"/>
    </row>
    <row r="1492" spans="1:30" ht="89.75" hidden="1" x14ac:dyDescent="0.35">
      <c r="A1492" s="349">
        <v>1491</v>
      </c>
      <c r="B1492" s="352" t="s">
        <v>2694</v>
      </c>
      <c r="C1492" s="351" t="s">
        <v>4185</v>
      </c>
      <c r="D1492" s="352" t="s">
        <v>4185</v>
      </c>
      <c r="E1492" s="352" t="s">
        <v>2000</v>
      </c>
      <c r="F1492" s="353">
        <v>0.81540000000000001</v>
      </c>
      <c r="G1492" s="352" t="s">
        <v>2126</v>
      </c>
      <c r="H1492" s="176" t="s">
        <v>2559</v>
      </c>
      <c r="I1492" s="176" t="s">
        <v>684</v>
      </c>
      <c r="J1492" s="352" t="s">
        <v>2695</v>
      </c>
      <c r="K1492" s="352">
        <v>30</v>
      </c>
      <c r="L1492" s="352" t="s">
        <v>3581</v>
      </c>
      <c r="M1492" s="352"/>
      <c r="N1492" s="352"/>
      <c r="O1492" s="351">
        <v>30</v>
      </c>
      <c r="P1492" s="349" t="s">
        <v>1836</v>
      </c>
      <c r="R1492" s="349">
        <f t="shared" si="23"/>
        <v>10</v>
      </c>
      <c r="S1492" s="352"/>
      <c r="T1492" s="352"/>
      <c r="U1492" s="352"/>
      <c r="V1492" s="353"/>
      <c r="W1492" s="352"/>
      <c r="X1492" s="176"/>
      <c r="Y1492" s="176"/>
      <c r="Z1492" s="352"/>
      <c r="AA1492" s="352"/>
      <c r="AB1492" s="352"/>
      <c r="AC1492" s="351"/>
      <c r="AD1492" s="351"/>
    </row>
    <row r="1493" spans="1:30" hidden="1" x14ac:dyDescent="0.35">
      <c r="A1493" s="349">
        <v>1492</v>
      </c>
      <c r="B1493" s="352" t="s">
        <v>829</v>
      </c>
      <c r="C1493" s="351" t="s">
        <v>3830</v>
      </c>
      <c r="D1493" s="352" t="s">
        <v>1393</v>
      </c>
      <c r="E1493" s="352" t="s">
        <v>1998</v>
      </c>
      <c r="F1493" s="353">
        <v>21.38</v>
      </c>
      <c r="G1493" s="352" t="s">
        <v>2126</v>
      </c>
      <c r="H1493" s="176" t="s">
        <v>3831</v>
      </c>
      <c r="I1493" s="176" t="s">
        <v>3832</v>
      </c>
      <c r="J1493" s="352" t="s">
        <v>22</v>
      </c>
      <c r="K1493" s="352">
        <v>2</v>
      </c>
      <c r="L1493" s="352" t="s">
        <v>23</v>
      </c>
      <c r="M1493" s="351"/>
      <c r="N1493" s="351"/>
      <c r="O1493" s="351">
        <v>2</v>
      </c>
      <c r="P1493" s="349" t="s">
        <v>1836</v>
      </c>
      <c r="R1493" s="349">
        <f t="shared" si="23"/>
        <v>14</v>
      </c>
      <c r="S1493" s="352"/>
      <c r="T1493" s="352"/>
      <c r="U1493" s="352"/>
      <c r="V1493" s="353"/>
      <c r="W1493" s="352"/>
      <c r="X1493" s="176"/>
      <c r="Y1493" s="176"/>
      <c r="Z1493" s="352"/>
      <c r="AA1493" s="352"/>
      <c r="AB1493" s="352"/>
      <c r="AC1493" s="351"/>
      <c r="AD1493" s="351"/>
    </row>
    <row r="1494" spans="1:30" ht="38.450000000000003" hidden="1" x14ac:dyDescent="0.35">
      <c r="A1494" s="349">
        <v>1493</v>
      </c>
      <c r="B1494" s="352" t="s">
        <v>1787</v>
      </c>
      <c r="C1494" s="351" t="s">
        <v>3365</v>
      </c>
      <c r="D1494" s="352" t="s">
        <v>3365</v>
      </c>
      <c r="E1494" s="352" t="s">
        <v>1995</v>
      </c>
      <c r="F1494" s="353">
        <v>7.0000000000000007E-2</v>
      </c>
      <c r="G1494" s="352" t="s">
        <v>2126</v>
      </c>
      <c r="H1494" s="176" t="s">
        <v>3366</v>
      </c>
      <c r="I1494" s="176" t="s">
        <v>3367</v>
      </c>
      <c r="J1494" s="352" t="s">
        <v>3580</v>
      </c>
      <c r="K1494" s="352">
        <v>5</v>
      </c>
      <c r="L1494" s="352" t="s">
        <v>3581</v>
      </c>
      <c r="M1494" s="351"/>
      <c r="N1494" s="351"/>
      <c r="O1494" s="351">
        <v>5</v>
      </c>
      <c r="P1494" s="349" t="s">
        <v>1836</v>
      </c>
      <c r="R1494" s="349">
        <f t="shared" si="23"/>
        <v>10</v>
      </c>
      <c r="S1494" s="352"/>
      <c r="T1494" s="352"/>
      <c r="U1494" s="352"/>
      <c r="V1494" s="353"/>
      <c r="W1494" s="352"/>
      <c r="X1494" s="176"/>
      <c r="Y1494" s="176"/>
      <c r="Z1494" s="352"/>
      <c r="AA1494" s="352"/>
      <c r="AB1494" s="352"/>
      <c r="AC1494" s="351"/>
      <c r="AD1494" s="351"/>
    </row>
    <row r="1495" spans="1:30" ht="38.450000000000003" hidden="1" x14ac:dyDescent="0.35">
      <c r="A1495" s="349">
        <v>1494</v>
      </c>
      <c r="B1495" s="352" t="s">
        <v>1787</v>
      </c>
      <c r="C1495" s="351" t="s">
        <v>3365</v>
      </c>
      <c r="D1495" s="352" t="s">
        <v>3365</v>
      </c>
      <c r="E1495" s="352" t="s">
        <v>1995</v>
      </c>
      <c r="F1495" s="353">
        <v>7.0000000000000007E-2</v>
      </c>
      <c r="G1495" s="352" t="s">
        <v>2126</v>
      </c>
      <c r="H1495" s="176" t="s">
        <v>3366</v>
      </c>
      <c r="I1495" s="176" t="s">
        <v>3367</v>
      </c>
      <c r="J1495" s="352" t="s">
        <v>3580</v>
      </c>
      <c r="K1495" s="352">
        <v>5</v>
      </c>
      <c r="L1495" s="352" t="s">
        <v>3581</v>
      </c>
      <c r="M1495" s="352"/>
      <c r="N1495" s="352"/>
      <c r="O1495" s="351">
        <v>5</v>
      </c>
      <c r="P1495" s="349" t="s">
        <v>1836</v>
      </c>
      <c r="R1495" s="349">
        <f t="shared" si="23"/>
        <v>10</v>
      </c>
      <c r="S1495" s="352"/>
      <c r="T1495" s="352"/>
      <c r="U1495" s="352"/>
      <c r="V1495" s="353"/>
      <c r="W1495" s="352"/>
      <c r="X1495" s="176"/>
      <c r="Y1495" s="176"/>
      <c r="Z1495" s="352"/>
      <c r="AA1495" s="352"/>
      <c r="AB1495" s="352"/>
      <c r="AC1495" s="352"/>
      <c r="AD1495" s="352"/>
    </row>
    <row r="1496" spans="1:30" ht="51.3" hidden="1" x14ac:dyDescent="0.35">
      <c r="A1496" s="349">
        <v>1495</v>
      </c>
      <c r="B1496" s="352" t="s">
        <v>2694</v>
      </c>
      <c r="C1496" s="351" t="s">
        <v>4787</v>
      </c>
      <c r="D1496" s="352" t="s">
        <v>1782</v>
      </c>
      <c r="E1496" s="352" t="s">
        <v>1754</v>
      </c>
      <c r="F1496" s="353">
        <v>13.69</v>
      </c>
      <c r="G1496" s="352" t="s">
        <v>1107</v>
      </c>
      <c r="H1496" s="176" t="s">
        <v>923</v>
      </c>
      <c r="I1496" s="176" t="s">
        <v>924</v>
      </c>
      <c r="J1496" s="352" t="s">
        <v>1115</v>
      </c>
      <c r="K1496" s="352">
        <v>1</v>
      </c>
      <c r="L1496" s="352" t="s">
        <v>1116</v>
      </c>
      <c r="M1496" s="352">
        <v>50</v>
      </c>
      <c r="N1496" s="352" t="s">
        <v>1109</v>
      </c>
      <c r="O1496" s="351">
        <v>1</v>
      </c>
      <c r="P1496" s="349" t="s">
        <v>1836</v>
      </c>
      <c r="R1496" s="349">
        <f t="shared" si="23"/>
        <v>14</v>
      </c>
      <c r="S1496" s="352"/>
      <c r="T1496" s="352"/>
      <c r="U1496" s="352"/>
      <c r="V1496" s="353"/>
      <c r="W1496" s="352"/>
      <c r="X1496" s="176"/>
      <c r="Y1496" s="176"/>
      <c r="Z1496" s="352"/>
      <c r="AA1496" s="352"/>
      <c r="AB1496" s="352"/>
      <c r="AC1496" s="351"/>
      <c r="AD1496" s="351"/>
    </row>
    <row r="1497" spans="1:30" ht="153.80000000000001" hidden="1" x14ac:dyDescent="0.35">
      <c r="A1497" s="349">
        <v>1496</v>
      </c>
      <c r="B1497" s="352" t="s">
        <v>3090</v>
      </c>
      <c r="C1497" s="351" t="s">
        <v>3368</v>
      </c>
      <c r="D1497" s="352" t="s">
        <v>3368</v>
      </c>
      <c r="E1497" s="352" t="s">
        <v>1998</v>
      </c>
      <c r="F1497" s="353">
        <v>0.4</v>
      </c>
      <c r="G1497" s="352" t="s">
        <v>2126</v>
      </c>
      <c r="H1497" s="176" t="s">
        <v>136</v>
      </c>
      <c r="I1497" s="176" t="s">
        <v>4553</v>
      </c>
      <c r="J1497" s="352" t="s">
        <v>22</v>
      </c>
      <c r="K1497" s="352">
        <v>50</v>
      </c>
      <c r="L1497" s="352" t="s">
        <v>23</v>
      </c>
      <c r="M1497" s="352"/>
      <c r="N1497" s="352"/>
      <c r="O1497" s="351">
        <v>50</v>
      </c>
      <c r="P1497" s="349" t="s">
        <v>1836</v>
      </c>
      <c r="R1497" s="349">
        <f t="shared" si="23"/>
        <v>15</v>
      </c>
      <c r="S1497" s="352"/>
      <c r="T1497" s="352"/>
      <c r="U1497" s="352"/>
      <c r="V1497" s="353"/>
      <c r="W1497" s="352"/>
      <c r="X1497" s="176"/>
      <c r="Y1497" s="176"/>
      <c r="Z1497" s="352"/>
      <c r="AA1497" s="352"/>
      <c r="AB1497" s="352"/>
      <c r="AC1497" s="351"/>
      <c r="AD1497" s="351"/>
    </row>
    <row r="1498" spans="1:30" ht="153.80000000000001" hidden="1" x14ac:dyDescent="0.35">
      <c r="A1498" s="349">
        <v>1497</v>
      </c>
      <c r="B1498" s="352" t="s">
        <v>3090</v>
      </c>
      <c r="C1498" s="351" t="s">
        <v>3368</v>
      </c>
      <c r="D1498" s="352" t="s">
        <v>3368</v>
      </c>
      <c r="E1498" s="352" t="s">
        <v>1998</v>
      </c>
      <c r="F1498" s="353">
        <v>0.4</v>
      </c>
      <c r="G1498" s="352" t="s">
        <v>2126</v>
      </c>
      <c r="H1498" s="176" t="s">
        <v>136</v>
      </c>
      <c r="I1498" s="176" t="s">
        <v>4553</v>
      </c>
      <c r="J1498" s="352" t="s">
        <v>22</v>
      </c>
      <c r="K1498" s="352">
        <v>100</v>
      </c>
      <c r="L1498" s="352" t="s">
        <v>23</v>
      </c>
      <c r="M1498" s="352"/>
      <c r="N1498" s="352"/>
      <c r="O1498" s="351">
        <v>100</v>
      </c>
      <c r="P1498" s="349" t="s">
        <v>1836</v>
      </c>
      <c r="R1498" s="349">
        <f t="shared" si="23"/>
        <v>15</v>
      </c>
      <c r="S1498" s="352"/>
      <c r="T1498" s="352"/>
      <c r="U1498" s="352"/>
      <c r="V1498" s="353"/>
      <c r="W1498" s="352"/>
      <c r="X1498" s="176"/>
      <c r="Y1498" s="176"/>
      <c r="Z1498" s="352"/>
      <c r="AA1498" s="352"/>
      <c r="AB1498" s="352"/>
      <c r="AC1498" s="351"/>
      <c r="AD1498" s="351"/>
    </row>
    <row r="1499" spans="1:30" ht="51.3" hidden="1" x14ac:dyDescent="0.35">
      <c r="A1499" s="349">
        <v>1498</v>
      </c>
      <c r="B1499" s="352" t="s">
        <v>2694</v>
      </c>
      <c r="C1499" s="351" t="s">
        <v>1782</v>
      </c>
      <c r="D1499" s="352" t="s">
        <v>1782</v>
      </c>
      <c r="E1499" s="352" t="s">
        <v>1754</v>
      </c>
      <c r="F1499" s="353">
        <v>13.69</v>
      </c>
      <c r="G1499" s="352" t="s">
        <v>1107</v>
      </c>
      <c r="H1499" s="176" t="s">
        <v>923</v>
      </c>
      <c r="I1499" s="176" t="s">
        <v>924</v>
      </c>
      <c r="J1499" s="352" t="s">
        <v>1115</v>
      </c>
      <c r="K1499" s="352">
        <v>1</v>
      </c>
      <c r="L1499" s="352" t="s">
        <v>1116</v>
      </c>
      <c r="M1499" s="352">
        <v>50</v>
      </c>
      <c r="N1499" s="352" t="s">
        <v>1109</v>
      </c>
      <c r="O1499" s="351">
        <v>1</v>
      </c>
      <c r="P1499" s="349" t="s">
        <v>1836</v>
      </c>
      <c r="R1499" s="349">
        <f t="shared" si="23"/>
        <v>14</v>
      </c>
      <c r="S1499" s="352"/>
      <c r="T1499" s="352"/>
      <c r="U1499" s="352"/>
      <c r="V1499" s="353"/>
      <c r="W1499" s="352"/>
      <c r="X1499" s="176"/>
      <c r="Y1499" s="176"/>
      <c r="Z1499" s="352"/>
      <c r="AA1499" s="352"/>
      <c r="AB1499" s="352"/>
      <c r="AC1499" s="351"/>
      <c r="AD1499" s="351"/>
    </row>
    <row r="1500" spans="1:30" ht="141" hidden="1" x14ac:dyDescent="0.35">
      <c r="A1500" s="349">
        <v>1499</v>
      </c>
      <c r="B1500" s="352" t="s">
        <v>2694</v>
      </c>
      <c r="C1500" s="351" t="s">
        <v>1783</v>
      </c>
      <c r="D1500" s="352" t="s">
        <v>1394</v>
      </c>
      <c r="E1500" s="352" t="s">
        <v>827</v>
      </c>
      <c r="F1500" s="353">
        <v>1.1000000000000001</v>
      </c>
      <c r="G1500" s="352" t="s">
        <v>1107</v>
      </c>
      <c r="H1500" s="176" t="s">
        <v>749</v>
      </c>
      <c r="I1500" s="176" t="s">
        <v>4488</v>
      </c>
      <c r="J1500" s="352" t="s">
        <v>828</v>
      </c>
      <c r="K1500" s="352">
        <v>10</v>
      </c>
      <c r="L1500" s="352" t="s">
        <v>1116</v>
      </c>
      <c r="M1500" s="351">
        <v>5</v>
      </c>
      <c r="N1500" s="351" t="s">
        <v>1109</v>
      </c>
      <c r="O1500" s="351">
        <v>10</v>
      </c>
      <c r="P1500" s="349" t="s">
        <v>1836</v>
      </c>
      <c r="R1500" s="349">
        <f t="shared" si="23"/>
        <v>21</v>
      </c>
      <c r="S1500" s="352"/>
      <c r="T1500" s="352"/>
      <c r="U1500" s="352"/>
      <c r="V1500" s="353"/>
      <c r="W1500" s="352"/>
      <c r="X1500" s="176"/>
      <c r="Y1500" s="176"/>
      <c r="Z1500" s="352"/>
      <c r="AA1500" s="352"/>
      <c r="AB1500" s="352"/>
      <c r="AC1500" s="352"/>
      <c r="AD1500" s="352"/>
    </row>
    <row r="1501" spans="1:30" ht="141" hidden="1" x14ac:dyDescent="0.35">
      <c r="A1501" s="349">
        <v>1500</v>
      </c>
      <c r="B1501" s="352" t="s">
        <v>2694</v>
      </c>
      <c r="C1501" s="351" t="s">
        <v>1783</v>
      </c>
      <c r="D1501" s="352" t="s">
        <v>1394</v>
      </c>
      <c r="E1501" s="352" t="s">
        <v>827</v>
      </c>
      <c r="F1501" s="353">
        <v>1.1000000000000001</v>
      </c>
      <c r="G1501" s="352" t="s">
        <v>1107</v>
      </c>
      <c r="H1501" s="176" t="s">
        <v>749</v>
      </c>
      <c r="I1501" s="176" t="s">
        <v>4488</v>
      </c>
      <c r="J1501" s="352" t="s">
        <v>828</v>
      </c>
      <c r="K1501" s="352">
        <v>10</v>
      </c>
      <c r="L1501" s="352" t="s">
        <v>1116</v>
      </c>
      <c r="M1501" s="352">
        <v>5</v>
      </c>
      <c r="N1501" s="352" t="s">
        <v>1109</v>
      </c>
      <c r="O1501" s="351">
        <v>10</v>
      </c>
      <c r="P1501" s="349" t="s">
        <v>1836</v>
      </c>
      <c r="R1501" s="349">
        <f t="shared" si="23"/>
        <v>21</v>
      </c>
      <c r="S1501" s="352"/>
      <c r="T1501" s="352"/>
      <c r="U1501" s="352"/>
      <c r="V1501" s="353"/>
      <c r="W1501" s="352"/>
      <c r="X1501" s="176"/>
      <c r="Y1501" s="176"/>
      <c r="Z1501" s="352"/>
      <c r="AA1501" s="352"/>
      <c r="AB1501" s="352"/>
      <c r="AC1501" s="351"/>
      <c r="AD1501" s="351"/>
    </row>
    <row r="1502" spans="1:30" ht="25.65" hidden="1" x14ac:dyDescent="0.35">
      <c r="A1502" s="349">
        <v>1501</v>
      </c>
      <c r="B1502" s="352" t="s">
        <v>1474</v>
      </c>
      <c r="C1502" s="351" t="s">
        <v>4788</v>
      </c>
      <c r="D1502" s="352" t="s">
        <v>3733</v>
      </c>
      <c r="E1502" s="352" t="s">
        <v>1475</v>
      </c>
      <c r="F1502" s="353">
        <v>18.7315</v>
      </c>
      <c r="G1502" s="352" t="s">
        <v>34</v>
      </c>
      <c r="H1502" s="176" t="s">
        <v>2993</v>
      </c>
      <c r="I1502" s="176" t="s">
        <v>2994</v>
      </c>
      <c r="J1502" s="352" t="s">
        <v>1476</v>
      </c>
      <c r="K1502" s="352">
        <v>20</v>
      </c>
      <c r="L1502" s="352" t="s">
        <v>1311</v>
      </c>
      <c r="M1502" s="351">
        <v>60</v>
      </c>
      <c r="N1502" s="351" t="s">
        <v>31</v>
      </c>
      <c r="O1502" s="351">
        <v>20</v>
      </c>
      <c r="P1502" s="349" t="s">
        <v>1836</v>
      </c>
      <c r="R1502" s="349">
        <f t="shared" si="23"/>
        <v>11</v>
      </c>
      <c r="S1502" s="352"/>
      <c r="T1502" s="352"/>
      <c r="U1502" s="352"/>
      <c r="V1502" s="353"/>
      <c r="W1502" s="352"/>
      <c r="X1502" s="176"/>
      <c r="Y1502" s="176"/>
      <c r="Z1502" s="352"/>
      <c r="AA1502" s="352"/>
      <c r="AB1502" s="352"/>
      <c r="AC1502" s="351"/>
      <c r="AD1502" s="351"/>
    </row>
    <row r="1503" spans="1:30" ht="76.900000000000006" hidden="1" x14ac:dyDescent="0.35">
      <c r="A1503" s="349">
        <v>1502</v>
      </c>
      <c r="B1503" s="352" t="s">
        <v>2854</v>
      </c>
      <c r="C1503" s="351" t="s">
        <v>4789</v>
      </c>
      <c r="D1503" s="352" t="s">
        <v>2947</v>
      </c>
      <c r="E1503" s="352" t="s">
        <v>827</v>
      </c>
      <c r="F1503" s="353">
        <v>2.4681999999999999</v>
      </c>
      <c r="G1503" s="352" t="s">
        <v>1107</v>
      </c>
      <c r="H1503" s="176" t="s">
        <v>2948</v>
      </c>
      <c r="I1503" s="176" t="s">
        <v>3857</v>
      </c>
      <c r="J1503" s="352" t="s">
        <v>828</v>
      </c>
      <c r="K1503" s="352">
        <v>1</v>
      </c>
      <c r="L1503" s="352" t="s">
        <v>1116</v>
      </c>
      <c r="M1503" s="351">
        <v>5</v>
      </c>
      <c r="N1503" s="351" t="s">
        <v>1109</v>
      </c>
      <c r="O1503" s="351">
        <v>1</v>
      </c>
      <c r="P1503" s="349" t="s">
        <v>1836</v>
      </c>
      <c r="R1503" s="349">
        <f t="shared" si="23"/>
        <v>13</v>
      </c>
      <c r="S1503" s="352"/>
      <c r="T1503" s="352"/>
      <c r="U1503" s="352"/>
      <c r="V1503" s="353"/>
      <c r="W1503" s="352"/>
      <c r="X1503" s="176"/>
      <c r="Y1503" s="176"/>
      <c r="Z1503" s="352"/>
      <c r="AA1503" s="352"/>
      <c r="AB1503" s="352"/>
      <c r="AC1503" s="351"/>
      <c r="AD1503" s="351"/>
    </row>
    <row r="1504" spans="1:30" ht="115.35" hidden="1" x14ac:dyDescent="0.35">
      <c r="A1504" s="349">
        <v>1503</v>
      </c>
      <c r="B1504" s="352" t="s">
        <v>3587</v>
      </c>
      <c r="C1504" s="351" t="s">
        <v>4790</v>
      </c>
      <c r="D1504" s="352" t="s">
        <v>2186</v>
      </c>
      <c r="E1504" s="352" t="s">
        <v>1997</v>
      </c>
      <c r="F1504" s="353">
        <v>14.5886</v>
      </c>
      <c r="G1504" s="352" t="s">
        <v>1107</v>
      </c>
      <c r="H1504" s="176" t="s">
        <v>362</v>
      </c>
      <c r="I1504" s="176" t="s">
        <v>4757</v>
      </c>
      <c r="J1504" s="352" t="s">
        <v>1115</v>
      </c>
      <c r="K1504" s="352">
        <v>10</v>
      </c>
      <c r="L1504" s="352" t="s">
        <v>1464</v>
      </c>
      <c r="M1504" s="352"/>
      <c r="N1504" s="352"/>
      <c r="O1504" s="351">
        <v>10</v>
      </c>
      <c r="P1504" s="349" t="s">
        <v>1836</v>
      </c>
      <c r="R1504" s="349">
        <f t="shared" si="23"/>
        <v>11</v>
      </c>
      <c r="S1504" s="352"/>
      <c r="T1504" s="352"/>
      <c r="U1504" s="352"/>
      <c r="V1504" s="353"/>
      <c r="W1504" s="352"/>
      <c r="X1504" s="176"/>
      <c r="Y1504" s="176"/>
      <c r="Z1504" s="352"/>
      <c r="AA1504" s="352"/>
      <c r="AB1504" s="352"/>
      <c r="AC1504" s="351"/>
      <c r="AD1504" s="351"/>
    </row>
    <row r="1505" spans="1:30" ht="76.900000000000006" hidden="1" x14ac:dyDescent="0.35">
      <c r="A1505" s="349">
        <v>1504</v>
      </c>
      <c r="B1505" s="352" t="s">
        <v>2854</v>
      </c>
      <c r="C1505" s="351" t="s">
        <v>2947</v>
      </c>
      <c r="D1505" s="352" t="s">
        <v>2947</v>
      </c>
      <c r="E1505" s="352" t="s">
        <v>827</v>
      </c>
      <c r="F1505" s="353">
        <v>2.4681999999999999</v>
      </c>
      <c r="G1505" s="352" t="s">
        <v>1107</v>
      </c>
      <c r="H1505" s="176" t="s">
        <v>2948</v>
      </c>
      <c r="I1505" s="176" t="s">
        <v>3857</v>
      </c>
      <c r="J1505" s="352" t="s">
        <v>828</v>
      </c>
      <c r="K1505" s="352">
        <v>1</v>
      </c>
      <c r="L1505" s="352" t="s">
        <v>1116</v>
      </c>
      <c r="M1505" s="351">
        <v>5</v>
      </c>
      <c r="N1505" s="351" t="s">
        <v>1109</v>
      </c>
      <c r="O1505" s="351">
        <v>1</v>
      </c>
      <c r="P1505" s="349" t="s">
        <v>1836</v>
      </c>
      <c r="R1505" s="349">
        <f t="shared" si="23"/>
        <v>13</v>
      </c>
      <c r="S1505" s="352"/>
      <c r="T1505" s="352"/>
      <c r="U1505" s="352"/>
      <c r="V1505" s="353"/>
      <c r="W1505" s="352"/>
      <c r="X1505" s="176"/>
      <c r="Y1505" s="176"/>
      <c r="Z1505" s="352"/>
      <c r="AA1505" s="352"/>
      <c r="AB1505" s="352"/>
      <c r="AC1505" s="351"/>
      <c r="AD1505" s="351"/>
    </row>
    <row r="1506" spans="1:30" ht="64.099999999999994" hidden="1" x14ac:dyDescent="0.35">
      <c r="A1506" s="349">
        <v>1505</v>
      </c>
      <c r="B1506" s="352" t="s">
        <v>1567</v>
      </c>
      <c r="C1506" s="351" t="s">
        <v>3062</v>
      </c>
      <c r="D1506" s="352" t="s">
        <v>3062</v>
      </c>
      <c r="E1506" s="352" t="s">
        <v>1995</v>
      </c>
      <c r="F1506" s="353">
        <v>0.3</v>
      </c>
      <c r="G1506" s="352" t="s">
        <v>2126</v>
      </c>
      <c r="H1506" s="176" t="s">
        <v>4218</v>
      </c>
      <c r="I1506" s="176" t="s">
        <v>3063</v>
      </c>
      <c r="J1506" s="352" t="s">
        <v>3580</v>
      </c>
      <c r="K1506" s="352">
        <v>5</v>
      </c>
      <c r="L1506" s="352" t="s">
        <v>3581</v>
      </c>
      <c r="M1506" s="351"/>
      <c r="N1506" s="351"/>
      <c r="O1506" s="351">
        <v>5</v>
      </c>
      <c r="P1506" s="349" t="s">
        <v>1836</v>
      </c>
      <c r="R1506" s="349">
        <f t="shared" si="23"/>
        <v>13</v>
      </c>
      <c r="S1506" s="352"/>
      <c r="T1506" s="352"/>
      <c r="U1506" s="352"/>
      <c r="V1506" s="353"/>
      <c r="W1506" s="352"/>
      <c r="X1506" s="176"/>
      <c r="Y1506" s="176"/>
      <c r="Z1506" s="352"/>
      <c r="AA1506" s="352"/>
      <c r="AB1506" s="352"/>
      <c r="AC1506" s="351"/>
      <c r="AD1506" s="351"/>
    </row>
    <row r="1507" spans="1:30" ht="64.099999999999994" hidden="1" x14ac:dyDescent="0.35">
      <c r="A1507" s="349">
        <v>1506</v>
      </c>
      <c r="B1507" s="352" t="s">
        <v>1753</v>
      </c>
      <c r="C1507" s="351" t="s">
        <v>654</v>
      </c>
      <c r="D1507" s="352" t="s">
        <v>654</v>
      </c>
      <c r="E1507" s="352" t="s">
        <v>1995</v>
      </c>
      <c r="F1507" s="353">
        <v>1.26</v>
      </c>
      <c r="G1507" s="352" t="s">
        <v>2126</v>
      </c>
      <c r="H1507" s="176" t="s">
        <v>1845</v>
      </c>
      <c r="I1507" s="176" t="s">
        <v>1846</v>
      </c>
      <c r="J1507" s="352" t="s">
        <v>3580</v>
      </c>
      <c r="K1507" s="352">
        <v>400</v>
      </c>
      <c r="L1507" s="352" t="s">
        <v>3581</v>
      </c>
      <c r="M1507" s="351"/>
      <c r="N1507" s="351"/>
      <c r="O1507" s="351">
        <v>400</v>
      </c>
      <c r="P1507" s="349" t="s">
        <v>1836</v>
      </c>
      <c r="R1507" s="349">
        <f t="shared" si="23"/>
        <v>12</v>
      </c>
      <c r="S1507" s="352"/>
      <c r="T1507" s="352"/>
      <c r="U1507" s="352"/>
      <c r="V1507" s="353"/>
      <c r="W1507" s="352"/>
      <c r="X1507" s="176"/>
      <c r="Y1507" s="176"/>
      <c r="Z1507" s="352"/>
      <c r="AA1507" s="352"/>
      <c r="AB1507" s="352"/>
      <c r="AC1507" s="352"/>
      <c r="AD1507" s="352"/>
    </row>
    <row r="1508" spans="1:30" ht="76.900000000000006" hidden="1" x14ac:dyDescent="0.35">
      <c r="A1508" s="349">
        <v>1507</v>
      </c>
      <c r="B1508" s="352" t="s">
        <v>1113</v>
      </c>
      <c r="C1508" s="351" t="s">
        <v>4791</v>
      </c>
      <c r="D1508" s="352" t="s">
        <v>1428</v>
      </c>
      <c r="E1508" s="352" t="s">
        <v>1479</v>
      </c>
      <c r="F1508" s="353">
        <v>20.89</v>
      </c>
      <c r="G1508" s="352" t="s">
        <v>2126</v>
      </c>
      <c r="H1508" s="176" t="s">
        <v>3602</v>
      </c>
      <c r="I1508" s="176" t="s">
        <v>3603</v>
      </c>
      <c r="J1508" s="352" t="s">
        <v>3329</v>
      </c>
      <c r="K1508" s="352">
        <v>100</v>
      </c>
      <c r="L1508" s="352" t="s">
        <v>1116</v>
      </c>
      <c r="M1508" s="351">
        <v>500</v>
      </c>
      <c r="N1508" s="351" t="s">
        <v>1109</v>
      </c>
      <c r="O1508" s="351">
        <v>100</v>
      </c>
      <c r="P1508" s="349" t="s">
        <v>1836</v>
      </c>
      <c r="R1508" s="349">
        <f t="shared" si="23"/>
        <v>16</v>
      </c>
      <c r="S1508" s="352"/>
      <c r="T1508" s="352"/>
      <c r="U1508" s="352"/>
      <c r="V1508" s="353"/>
      <c r="W1508" s="352"/>
      <c r="X1508" s="176"/>
      <c r="Y1508" s="176"/>
      <c r="Z1508" s="352"/>
      <c r="AA1508" s="352"/>
      <c r="AB1508" s="352"/>
      <c r="AC1508" s="352"/>
      <c r="AD1508" s="352"/>
    </row>
    <row r="1509" spans="1:30" ht="25.65" hidden="1" x14ac:dyDescent="0.35">
      <c r="A1509" s="349">
        <v>1508</v>
      </c>
      <c r="B1509" s="352" t="s">
        <v>958</v>
      </c>
      <c r="C1509" s="351" t="s">
        <v>4792</v>
      </c>
      <c r="D1509" s="352" t="s">
        <v>2227</v>
      </c>
      <c r="E1509" s="352" t="s">
        <v>1998</v>
      </c>
      <c r="F1509" s="353">
        <v>0.1</v>
      </c>
      <c r="G1509" s="352" t="s">
        <v>2126</v>
      </c>
      <c r="H1509" s="176" t="s">
        <v>582</v>
      </c>
      <c r="I1509" s="176" t="s">
        <v>3012</v>
      </c>
      <c r="J1509" s="352" t="s">
        <v>22</v>
      </c>
      <c r="K1509" s="352">
        <v>10</v>
      </c>
      <c r="L1509" s="352" t="s">
        <v>23</v>
      </c>
      <c r="M1509" s="352"/>
      <c r="N1509" s="352"/>
      <c r="O1509" s="351">
        <v>10</v>
      </c>
      <c r="P1509" s="349" t="s">
        <v>1836</v>
      </c>
      <c r="R1509" s="349">
        <f t="shared" si="23"/>
        <v>9</v>
      </c>
      <c r="S1509" s="352"/>
      <c r="T1509" s="352"/>
      <c r="U1509" s="352"/>
      <c r="V1509" s="353"/>
      <c r="W1509" s="352"/>
      <c r="X1509" s="176"/>
      <c r="Y1509" s="176"/>
      <c r="Z1509" s="352"/>
      <c r="AA1509" s="352"/>
      <c r="AB1509" s="352"/>
      <c r="AC1509" s="351"/>
      <c r="AD1509" s="351"/>
    </row>
    <row r="1510" spans="1:30" ht="64.099999999999994" hidden="1" x14ac:dyDescent="0.35">
      <c r="A1510" s="349">
        <v>1509</v>
      </c>
      <c r="B1510" s="352" t="s">
        <v>1753</v>
      </c>
      <c r="C1510" s="351" t="s">
        <v>4793</v>
      </c>
      <c r="D1510" s="352" t="s">
        <v>654</v>
      </c>
      <c r="E1510" s="352" t="s">
        <v>1995</v>
      </c>
      <c r="F1510" s="353">
        <v>1.26</v>
      </c>
      <c r="G1510" s="352" t="s">
        <v>2126</v>
      </c>
      <c r="H1510" s="176" t="s">
        <v>1845</v>
      </c>
      <c r="I1510" s="176" t="s">
        <v>1846</v>
      </c>
      <c r="J1510" s="352" t="s">
        <v>3580</v>
      </c>
      <c r="K1510" s="352">
        <v>400</v>
      </c>
      <c r="L1510" s="352" t="s">
        <v>3581</v>
      </c>
      <c r="M1510" s="352"/>
      <c r="N1510" s="352"/>
      <c r="O1510" s="351">
        <v>400</v>
      </c>
      <c r="P1510" s="349" t="s">
        <v>1836</v>
      </c>
      <c r="R1510" s="349">
        <f t="shared" si="23"/>
        <v>12</v>
      </c>
      <c r="S1510" s="352"/>
      <c r="T1510" s="352"/>
      <c r="U1510" s="352"/>
      <c r="V1510" s="353"/>
      <c r="W1510" s="352"/>
      <c r="X1510" s="176"/>
      <c r="Y1510" s="176"/>
      <c r="Z1510" s="352"/>
      <c r="AA1510" s="352"/>
      <c r="AB1510" s="352"/>
      <c r="AC1510" s="351"/>
      <c r="AD1510" s="351"/>
    </row>
    <row r="1511" spans="1:30" ht="89.75" hidden="1" x14ac:dyDescent="0.35">
      <c r="A1511" s="349">
        <v>1510</v>
      </c>
      <c r="B1511" s="352" t="s">
        <v>2694</v>
      </c>
      <c r="C1511" s="351" t="s">
        <v>4794</v>
      </c>
      <c r="D1511" s="352" t="s">
        <v>3694</v>
      </c>
      <c r="E1511" s="352" t="s">
        <v>1995</v>
      </c>
      <c r="F1511" s="353">
        <v>1.2561</v>
      </c>
      <c r="G1511" s="352" t="s">
        <v>2126</v>
      </c>
      <c r="H1511" s="37" t="s">
        <v>750</v>
      </c>
      <c r="I1511" s="176" t="s">
        <v>751</v>
      </c>
      <c r="J1511" s="352" t="s">
        <v>3580</v>
      </c>
      <c r="K1511" s="352">
        <v>5</v>
      </c>
      <c r="L1511" s="352" t="s">
        <v>3581</v>
      </c>
      <c r="M1511" s="352"/>
      <c r="N1511" s="352"/>
      <c r="O1511" s="351">
        <v>5</v>
      </c>
      <c r="P1511" s="349" t="s">
        <v>1836</v>
      </c>
      <c r="R1511" s="349">
        <f t="shared" si="23"/>
        <v>10</v>
      </c>
      <c r="S1511" s="352"/>
      <c r="T1511" s="352"/>
      <c r="U1511" s="352"/>
      <c r="V1511" s="353"/>
      <c r="W1511" s="352"/>
      <c r="X1511" s="176"/>
      <c r="Y1511" s="176"/>
      <c r="Z1511" s="352"/>
      <c r="AA1511" s="352"/>
      <c r="AB1511" s="352"/>
      <c r="AC1511" s="351"/>
      <c r="AD1511" s="351"/>
    </row>
    <row r="1512" spans="1:30" ht="89.75" hidden="1" x14ac:dyDescent="0.35">
      <c r="A1512" s="349">
        <v>1511</v>
      </c>
      <c r="B1512" s="352" t="s">
        <v>2694</v>
      </c>
      <c r="C1512" s="351" t="s">
        <v>4794</v>
      </c>
      <c r="D1512" s="352" t="s">
        <v>3694</v>
      </c>
      <c r="E1512" s="352" t="s">
        <v>1995</v>
      </c>
      <c r="F1512" s="353">
        <v>1.8732</v>
      </c>
      <c r="G1512" s="352" t="s">
        <v>2126</v>
      </c>
      <c r="H1512" s="37" t="s">
        <v>750</v>
      </c>
      <c r="I1512" s="176" t="s">
        <v>751</v>
      </c>
      <c r="J1512" s="352" t="s">
        <v>3580</v>
      </c>
      <c r="K1512" s="352">
        <v>10</v>
      </c>
      <c r="L1512" s="352" t="s">
        <v>3581</v>
      </c>
      <c r="M1512" s="352"/>
      <c r="N1512" s="352"/>
      <c r="O1512" s="351">
        <v>10</v>
      </c>
      <c r="P1512" s="349" t="s">
        <v>1836</v>
      </c>
      <c r="R1512" s="349">
        <f t="shared" si="23"/>
        <v>10</v>
      </c>
      <c r="S1512" s="352"/>
      <c r="T1512" s="352"/>
      <c r="U1512" s="352"/>
      <c r="V1512" s="353"/>
      <c r="W1512" s="352"/>
      <c r="X1512" s="176"/>
      <c r="Y1512" s="176"/>
      <c r="Z1512" s="352"/>
      <c r="AA1512" s="352"/>
      <c r="AB1512" s="352"/>
      <c r="AC1512" s="352"/>
      <c r="AD1512" s="352"/>
    </row>
    <row r="1513" spans="1:30" ht="38.450000000000003" hidden="1" x14ac:dyDescent="0.35">
      <c r="A1513" s="349">
        <v>1512</v>
      </c>
      <c r="B1513" s="352" t="s">
        <v>4100</v>
      </c>
      <c r="C1513" s="351" t="s">
        <v>4520</v>
      </c>
      <c r="D1513" s="352" t="s">
        <v>3631</v>
      </c>
      <c r="E1513" s="352" t="s">
        <v>1998</v>
      </c>
      <c r="F1513" s="351">
        <v>2.6884999999999999</v>
      </c>
      <c r="G1513" s="352" t="s">
        <v>2126</v>
      </c>
      <c r="H1513" s="176" t="s">
        <v>3632</v>
      </c>
      <c r="I1513" s="176" t="s">
        <v>3633</v>
      </c>
      <c r="J1513" s="352" t="s">
        <v>22</v>
      </c>
      <c r="K1513" s="352">
        <v>100</v>
      </c>
      <c r="L1513" s="352" t="s">
        <v>23</v>
      </c>
      <c r="M1513" s="352"/>
      <c r="N1513" s="352"/>
      <c r="O1513" s="351">
        <v>100</v>
      </c>
      <c r="P1513" s="349" t="s">
        <v>1836</v>
      </c>
      <c r="R1513" s="349">
        <f t="shared" si="23"/>
        <v>9</v>
      </c>
      <c r="S1513" s="352"/>
      <c r="T1513" s="352"/>
      <c r="U1513" s="352"/>
      <c r="V1513" s="353"/>
      <c r="W1513" s="352"/>
      <c r="X1513" s="176"/>
      <c r="Y1513" s="176"/>
      <c r="Z1513" s="352"/>
      <c r="AA1513" s="352"/>
      <c r="AB1513" s="352"/>
      <c r="AC1513" s="351"/>
      <c r="AD1513" s="351"/>
    </row>
    <row r="1514" spans="1:30" ht="38.450000000000003" hidden="1" x14ac:dyDescent="0.35">
      <c r="A1514" s="349">
        <v>1513</v>
      </c>
      <c r="B1514" s="352" t="s">
        <v>4100</v>
      </c>
      <c r="C1514" s="351" t="s">
        <v>4520</v>
      </c>
      <c r="D1514" s="352" t="s">
        <v>3631</v>
      </c>
      <c r="E1514" s="352" t="s">
        <v>2187</v>
      </c>
      <c r="F1514" s="353">
        <v>135.21960000000001</v>
      </c>
      <c r="G1514" s="352" t="s">
        <v>2126</v>
      </c>
      <c r="H1514" s="176" t="s">
        <v>3632</v>
      </c>
      <c r="I1514" s="176" t="s">
        <v>3633</v>
      </c>
      <c r="J1514" s="352" t="s">
        <v>3579</v>
      </c>
      <c r="K1514" s="352">
        <v>80</v>
      </c>
      <c r="L1514" s="352" t="s">
        <v>1116</v>
      </c>
      <c r="M1514" s="351">
        <v>90</v>
      </c>
      <c r="N1514" s="351" t="s">
        <v>1109</v>
      </c>
      <c r="O1514" s="351">
        <v>80</v>
      </c>
      <c r="P1514" s="349" t="s">
        <v>1836</v>
      </c>
      <c r="R1514" s="349">
        <f t="shared" si="23"/>
        <v>9</v>
      </c>
      <c r="S1514" s="352"/>
      <c r="T1514" s="352"/>
      <c r="U1514" s="352"/>
      <c r="V1514" s="353"/>
      <c r="W1514" s="352"/>
      <c r="X1514" s="176"/>
      <c r="Y1514" s="176"/>
      <c r="Z1514" s="352"/>
      <c r="AA1514" s="352"/>
      <c r="AB1514" s="352"/>
      <c r="AC1514" s="351"/>
      <c r="AD1514" s="351"/>
    </row>
    <row r="1515" spans="1:30" ht="51.3" hidden="1" x14ac:dyDescent="0.35">
      <c r="A1515" s="349">
        <v>1514</v>
      </c>
      <c r="B1515" s="352" t="s">
        <v>1080</v>
      </c>
      <c r="C1515" s="351" t="s">
        <v>4521</v>
      </c>
      <c r="D1515" s="352" t="s">
        <v>2989</v>
      </c>
      <c r="E1515" s="352" t="s">
        <v>730</v>
      </c>
      <c r="F1515" s="353">
        <v>544.62490000000003</v>
      </c>
      <c r="G1515" s="352" t="s">
        <v>1107</v>
      </c>
      <c r="H1515" s="176"/>
      <c r="I1515" s="176" t="s">
        <v>933</v>
      </c>
      <c r="J1515" s="352" t="s">
        <v>1115</v>
      </c>
      <c r="K1515" s="352">
        <v>2</v>
      </c>
      <c r="L1515" s="352" t="s">
        <v>1116</v>
      </c>
      <c r="M1515" s="352">
        <v>10</v>
      </c>
      <c r="N1515" s="352" t="s">
        <v>1109</v>
      </c>
      <c r="O1515" s="351">
        <v>2</v>
      </c>
      <c r="P1515" s="349" t="s">
        <v>1836</v>
      </c>
      <c r="R1515" s="349">
        <f t="shared" si="23"/>
        <v>11</v>
      </c>
      <c r="S1515" s="352"/>
      <c r="T1515" s="352"/>
      <c r="U1515" s="352"/>
      <c r="V1515" s="353"/>
      <c r="W1515" s="352"/>
      <c r="X1515" s="176"/>
      <c r="Y1515" s="176"/>
      <c r="Z1515" s="352"/>
      <c r="AA1515" s="352"/>
      <c r="AB1515" s="352"/>
      <c r="AC1515" s="351"/>
      <c r="AD1515" s="351"/>
    </row>
    <row r="1516" spans="1:30" ht="51.3" hidden="1" x14ac:dyDescent="0.35">
      <c r="A1516" s="349">
        <v>1515</v>
      </c>
      <c r="B1516" s="352" t="s">
        <v>1080</v>
      </c>
      <c r="C1516" s="351" t="s">
        <v>4521</v>
      </c>
      <c r="D1516" s="352" t="s">
        <v>2989</v>
      </c>
      <c r="E1516" s="352" t="s">
        <v>1114</v>
      </c>
      <c r="F1516" s="353">
        <v>341.09019999999998</v>
      </c>
      <c r="G1516" s="352" t="s">
        <v>1107</v>
      </c>
      <c r="H1516" s="176"/>
      <c r="I1516" s="176" t="s">
        <v>933</v>
      </c>
      <c r="J1516" s="352" t="s">
        <v>1115</v>
      </c>
      <c r="K1516" s="352">
        <v>2</v>
      </c>
      <c r="L1516" s="352" t="s">
        <v>1116</v>
      </c>
      <c r="M1516" s="352">
        <v>5</v>
      </c>
      <c r="N1516" s="352" t="s">
        <v>1109</v>
      </c>
      <c r="O1516" s="351">
        <v>2</v>
      </c>
      <c r="P1516" s="349" t="s">
        <v>1836</v>
      </c>
      <c r="R1516" s="349">
        <f t="shared" si="23"/>
        <v>11</v>
      </c>
      <c r="S1516" s="352"/>
      <c r="T1516" s="352"/>
      <c r="U1516" s="352"/>
      <c r="V1516" s="353"/>
      <c r="W1516" s="352"/>
      <c r="X1516" s="176"/>
      <c r="Y1516" s="176"/>
      <c r="Z1516" s="352"/>
      <c r="AA1516" s="352"/>
      <c r="AB1516" s="352"/>
      <c r="AC1516" s="351"/>
      <c r="AD1516" s="351"/>
    </row>
    <row r="1517" spans="1:30" ht="25.65" hidden="1" x14ac:dyDescent="0.35">
      <c r="A1517" s="349">
        <v>1516</v>
      </c>
      <c r="B1517" s="352" t="s">
        <v>729</v>
      </c>
      <c r="C1517" s="351" t="s">
        <v>4522</v>
      </c>
      <c r="D1517" s="352" t="s">
        <v>1422</v>
      </c>
      <c r="E1517" s="352" t="s">
        <v>1649</v>
      </c>
      <c r="F1517" s="353"/>
      <c r="G1517" s="352" t="s">
        <v>315</v>
      </c>
      <c r="H1517" s="176" t="s">
        <v>3486</v>
      </c>
      <c r="I1517" s="176" t="s">
        <v>1473</v>
      </c>
      <c r="J1517" s="352" t="s">
        <v>1650</v>
      </c>
      <c r="K1517" s="352">
        <v>100</v>
      </c>
      <c r="L1517" s="352" t="s">
        <v>732</v>
      </c>
      <c r="M1517" s="352">
        <v>3</v>
      </c>
      <c r="N1517" s="352" t="s">
        <v>1109</v>
      </c>
      <c r="O1517" s="351">
        <v>100</v>
      </c>
      <c r="P1517" s="349" t="s">
        <v>2030</v>
      </c>
      <c r="R1517" s="349">
        <f t="shared" si="23"/>
        <v>15</v>
      </c>
      <c r="S1517" s="352"/>
      <c r="T1517" s="352"/>
      <c r="U1517" s="352"/>
      <c r="V1517" s="353"/>
      <c r="W1517" s="352"/>
      <c r="X1517" s="176"/>
      <c r="Y1517" s="176"/>
      <c r="Z1517" s="352"/>
      <c r="AA1517" s="352"/>
      <c r="AB1517" s="352"/>
      <c r="AC1517" s="351"/>
      <c r="AD1517" s="351"/>
    </row>
    <row r="1518" spans="1:30" hidden="1" x14ac:dyDescent="0.35">
      <c r="A1518" s="349">
        <v>1517</v>
      </c>
      <c r="B1518" s="352" t="s">
        <v>829</v>
      </c>
      <c r="C1518" s="351" t="s">
        <v>4523</v>
      </c>
      <c r="D1518" s="352" t="s">
        <v>1393</v>
      </c>
      <c r="E1518" s="352" t="s">
        <v>1998</v>
      </c>
      <c r="F1518" s="353">
        <v>21.38</v>
      </c>
      <c r="G1518" s="352" t="s">
        <v>2126</v>
      </c>
      <c r="H1518" s="176" t="s">
        <v>3831</v>
      </c>
      <c r="I1518" s="176" t="s">
        <v>3832</v>
      </c>
      <c r="J1518" s="352" t="s">
        <v>22</v>
      </c>
      <c r="K1518" s="352">
        <v>2</v>
      </c>
      <c r="L1518" s="352" t="s">
        <v>23</v>
      </c>
      <c r="M1518" s="352"/>
      <c r="N1518" s="352"/>
      <c r="O1518" s="351">
        <v>2</v>
      </c>
      <c r="P1518" s="349" t="s">
        <v>1836</v>
      </c>
      <c r="R1518" s="349">
        <f t="shared" si="23"/>
        <v>14</v>
      </c>
      <c r="S1518" s="352"/>
      <c r="T1518" s="352"/>
      <c r="U1518" s="352"/>
      <c r="V1518" s="353"/>
      <c r="W1518" s="352"/>
      <c r="X1518" s="176"/>
      <c r="Y1518" s="176"/>
      <c r="Z1518" s="352"/>
      <c r="AA1518" s="352"/>
      <c r="AB1518" s="352"/>
      <c r="AC1518" s="351"/>
      <c r="AD1518" s="351"/>
    </row>
    <row r="1519" spans="1:30" ht="89.75" hidden="1" x14ac:dyDescent="0.35">
      <c r="A1519" s="349">
        <v>1518</v>
      </c>
      <c r="B1519" s="352" t="s">
        <v>3582</v>
      </c>
      <c r="C1519" s="351" t="s">
        <v>1027</v>
      </c>
      <c r="D1519" s="352" t="s">
        <v>1027</v>
      </c>
      <c r="E1519" s="352" t="s">
        <v>1793</v>
      </c>
      <c r="F1519" s="353">
        <v>8.4</v>
      </c>
      <c r="G1519" s="352" t="s">
        <v>28</v>
      </c>
      <c r="H1519" s="176" t="s">
        <v>339</v>
      </c>
      <c r="I1519" s="176" t="s">
        <v>1352</v>
      </c>
      <c r="J1519" s="352" t="s">
        <v>29</v>
      </c>
      <c r="K1519" s="352">
        <v>100000</v>
      </c>
      <c r="L1519" s="352" t="s">
        <v>2188</v>
      </c>
      <c r="M1519" s="352">
        <v>30</v>
      </c>
      <c r="N1519" s="352" t="s">
        <v>31</v>
      </c>
      <c r="O1519" s="351">
        <v>100000</v>
      </c>
      <c r="P1519" s="349" t="s">
        <v>817</v>
      </c>
      <c r="R1519" s="349">
        <f t="shared" si="23"/>
        <v>9</v>
      </c>
      <c r="S1519" s="352"/>
      <c r="T1519" s="352"/>
      <c r="U1519" s="352"/>
      <c r="V1519" s="353"/>
      <c r="W1519" s="352"/>
      <c r="X1519" s="176"/>
      <c r="Y1519" s="176"/>
      <c r="Z1519" s="352"/>
      <c r="AA1519" s="352"/>
      <c r="AB1519" s="352"/>
      <c r="AC1519" s="351"/>
      <c r="AD1519" s="351"/>
    </row>
    <row r="1520" spans="1:30" ht="128.19999999999999" hidden="1" x14ac:dyDescent="0.35">
      <c r="A1520" s="349">
        <v>1519</v>
      </c>
      <c r="B1520" s="352" t="s">
        <v>3582</v>
      </c>
      <c r="C1520" s="351" t="s">
        <v>1027</v>
      </c>
      <c r="D1520" s="352" t="s">
        <v>1027</v>
      </c>
      <c r="E1520" s="352" t="s">
        <v>2189</v>
      </c>
      <c r="F1520" s="353">
        <v>27.85</v>
      </c>
      <c r="G1520" s="352" t="s">
        <v>2126</v>
      </c>
      <c r="H1520" s="176" t="s">
        <v>69</v>
      </c>
      <c r="I1520" s="176" t="s">
        <v>1352</v>
      </c>
      <c r="J1520" s="352" t="s">
        <v>3579</v>
      </c>
      <c r="K1520" s="352">
        <v>100000</v>
      </c>
      <c r="L1520" s="352" t="s">
        <v>732</v>
      </c>
      <c r="M1520" s="352">
        <v>120</v>
      </c>
      <c r="N1520" s="352" t="s">
        <v>1109</v>
      </c>
      <c r="O1520" s="351">
        <v>100000</v>
      </c>
      <c r="P1520" s="349" t="s">
        <v>2030</v>
      </c>
      <c r="R1520" s="349">
        <f t="shared" si="23"/>
        <v>9</v>
      </c>
      <c r="S1520" s="352"/>
      <c r="T1520" s="352"/>
      <c r="U1520" s="352"/>
      <c r="V1520" s="353"/>
      <c r="W1520" s="352"/>
      <c r="X1520" s="176"/>
      <c r="Y1520" s="176"/>
      <c r="Z1520" s="352"/>
      <c r="AA1520" s="352"/>
      <c r="AB1520" s="352"/>
      <c r="AC1520" s="351"/>
      <c r="AD1520" s="351"/>
    </row>
    <row r="1521" spans="1:30" ht="128.19999999999999" hidden="1" x14ac:dyDescent="0.35">
      <c r="A1521" s="349">
        <v>1520</v>
      </c>
      <c r="B1521" s="352" t="s">
        <v>3582</v>
      </c>
      <c r="C1521" s="351" t="s">
        <v>1027</v>
      </c>
      <c r="D1521" s="352" t="s">
        <v>1027</v>
      </c>
      <c r="E1521" s="352" t="s">
        <v>2190</v>
      </c>
      <c r="F1521" s="353">
        <v>5.45</v>
      </c>
      <c r="G1521" s="352" t="s">
        <v>2126</v>
      </c>
      <c r="H1521" s="176" t="s">
        <v>69</v>
      </c>
      <c r="I1521" s="176" t="s">
        <v>1352</v>
      </c>
      <c r="J1521" s="352" t="s">
        <v>3579</v>
      </c>
      <c r="K1521" s="352">
        <v>100000</v>
      </c>
      <c r="L1521" s="352" t="s">
        <v>732</v>
      </c>
      <c r="M1521" s="352">
        <v>24</v>
      </c>
      <c r="N1521" s="352" t="s">
        <v>1109</v>
      </c>
      <c r="O1521" s="351">
        <v>100000</v>
      </c>
      <c r="P1521" s="349" t="s">
        <v>2030</v>
      </c>
      <c r="R1521" s="349">
        <f t="shared" si="23"/>
        <v>9</v>
      </c>
      <c r="S1521" s="352"/>
      <c r="T1521" s="352"/>
      <c r="U1521" s="352"/>
      <c r="V1521" s="353"/>
      <c r="W1521" s="352"/>
      <c r="X1521" s="176"/>
      <c r="Y1521" s="176"/>
      <c r="Z1521" s="352"/>
      <c r="AA1521" s="352"/>
      <c r="AB1521" s="352"/>
      <c r="AC1521" s="352"/>
      <c r="AD1521" s="352"/>
    </row>
    <row r="1522" spans="1:30" ht="89.75" hidden="1" x14ac:dyDescent="0.35">
      <c r="A1522" s="349">
        <v>1521</v>
      </c>
      <c r="B1522" s="352" t="s">
        <v>3582</v>
      </c>
      <c r="C1522" s="351" t="s">
        <v>4524</v>
      </c>
      <c r="D1522" s="352" t="s">
        <v>1027</v>
      </c>
      <c r="E1522" s="352" t="s">
        <v>1793</v>
      </c>
      <c r="F1522" s="353">
        <v>8.4</v>
      </c>
      <c r="G1522" s="352" t="s">
        <v>28</v>
      </c>
      <c r="H1522" s="176" t="s">
        <v>339</v>
      </c>
      <c r="I1522" s="176" t="s">
        <v>1352</v>
      </c>
      <c r="J1522" s="352" t="s">
        <v>29</v>
      </c>
      <c r="K1522" s="352">
        <v>100000</v>
      </c>
      <c r="L1522" s="352" t="s">
        <v>2188</v>
      </c>
      <c r="M1522" s="352">
        <v>30</v>
      </c>
      <c r="N1522" s="352" t="s">
        <v>31</v>
      </c>
      <c r="O1522" s="351">
        <v>100000</v>
      </c>
      <c r="P1522" s="349" t="s">
        <v>817</v>
      </c>
      <c r="R1522" s="349">
        <f t="shared" si="23"/>
        <v>9</v>
      </c>
      <c r="S1522" s="352"/>
      <c r="T1522" s="352"/>
      <c r="U1522" s="352"/>
      <c r="V1522" s="353"/>
      <c r="W1522" s="352"/>
      <c r="X1522" s="176"/>
      <c r="Y1522" s="176"/>
      <c r="Z1522" s="352"/>
      <c r="AA1522" s="352"/>
      <c r="AB1522" s="352"/>
      <c r="AC1522" s="352"/>
      <c r="AD1522" s="352"/>
    </row>
    <row r="1523" spans="1:30" ht="128.19999999999999" hidden="1" x14ac:dyDescent="0.35">
      <c r="A1523" s="349">
        <v>1522</v>
      </c>
      <c r="B1523" s="352" t="s">
        <v>3582</v>
      </c>
      <c r="C1523" s="351" t="s">
        <v>4524</v>
      </c>
      <c r="D1523" s="352" t="s">
        <v>1027</v>
      </c>
      <c r="E1523" s="352" t="s">
        <v>2189</v>
      </c>
      <c r="F1523" s="353">
        <v>27.85</v>
      </c>
      <c r="G1523" s="352" t="s">
        <v>2126</v>
      </c>
      <c r="H1523" s="176" t="s">
        <v>69</v>
      </c>
      <c r="I1523" s="176" t="s">
        <v>1352</v>
      </c>
      <c r="J1523" s="352" t="s">
        <v>3579</v>
      </c>
      <c r="K1523" s="352">
        <v>100000</v>
      </c>
      <c r="L1523" s="352" t="s">
        <v>732</v>
      </c>
      <c r="M1523" s="352">
        <v>120</v>
      </c>
      <c r="N1523" s="352" t="s">
        <v>1109</v>
      </c>
      <c r="O1523" s="351">
        <v>100000</v>
      </c>
      <c r="P1523" s="349" t="s">
        <v>2030</v>
      </c>
      <c r="R1523" s="349">
        <f t="shared" si="23"/>
        <v>9</v>
      </c>
      <c r="S1523" s="352"/>
      <c r="T1523" s="352"/>
      <c r="U1523" s="352"/>
      <c r="V1523" s="353"/>
      <c r="W1523" s="352"/>
      <c r="X1523" s="176"/>
      <c r="Y1523" s="176"/>
      <c r="Z1523" s="352"/>
      <c r="AA1523" s="352"/>
      <c r="AB1523" s="352"/>
      <c r="AC1523" s="352"/>
      <c r="AD1523" s="352"/>
    </row>
    <row r="1524" spans="1:30" ht="128.19999999999999" hidden="1" x14ac:dyDescent="0.35">
      <c r="A1524" s="349">
        <v>1523</v>
      </c>
      <c r="B1524" s="352" t="s">
        <v>3582</v>
      </c>
      <c r="C1524" s="351" t="s">
        <v>4524</v>
      </c>
      <c r="D1524" s="352" t="s">
        <v>1027</v>
      </c>
      <c r="E1524" s="352" t="s">
        <v>2190</v>
      </c>
      <c r="F1524" s="353">
        <v>5.45</v>
      </c>
      <c r="G1524" s="352" t="s">
        <v>2126</v>
      </c>
      <c r="H1524" s="176" t="s">
        <v>69</v>
      </c>
      <c r="I1524" s="176" t="s">
        <v>1352</v>
      </c>
      <c r="J1524" s="352" t="s">
        <v>3579</v>
      </c>
      <c r="K1524" s="352">
        <v>100000</v>
      </c>
      <c r="L1524" s="352" t="s">
        <v>732</v>
      </c>
      <c r="M1524" s="351">
        <v>24</v>
      </c>
      <c r="N1524" s="351" t="s">
        <v>1109</v>
      </c>
      <c r="O1524" s="351">
        <v>100000</v>
      </c>
      <c r="P1524" s="349" t="s">
        <v>2030</v>
      </c>
      <c r="R1524" s="349">
        <f t="shared" si="23"/>
        <v>9</v>
      </c>
      <c r="S1524" s="352"/>
      <c r="T1524" s="352"/>
      <c r="U1524" s="352"/>
      <c r="V1524" s="353"/>
      <c r="W1524" s="352"/>
      <c r="X1524" s="176"/>
      <c r="Y1524" s="176"/>
      <c r="Z1524" s="352"/>
      <c r="AA1524" s="352"/>
      <c r="AB1524" s="352"/>
      <c r="AC1524" s="352"/>
      <c r="AD1524" s="352"/>
    </row>
    <row r="1525" spans="1:30" ht="38.450000000000003" hidden="1" x14ac:dyDescent="0.35">
      <c r="A1525" s="349">
        <v>1524</v>
      </c>
      <c r="B1525" s="352" t="s">
        <v>1113</v>
      </c>
      <c r="C1525" s="351" t="s">
        <v>3690</v>
      </c>
      <c r="D1525" s="352" t="s">
        <v>3690</v>
      </c>
      <c r="E1525" s="352" t="s">
        <v>2855</v>
      </c>
      <c r="F1525" s="353">
        <v>3.99</v>
      </c>
      <c r="G1525" s="352" t="s">
        <v>1107</v>
      </c>
      <c r="H1525" s="176" t="s">
        <v>658</v>
      </c>
      <c r="I1525" s="176" t="s">
        <v>4273</v>
      </c>
      <c r="J1525" s="352" t="s">
        <v>828</v>
      </c>
      <c r="K1525" s="352">
        <v>250</v>
      </c>
      <c r="L1525" s="352" t="s">
        <v>1116</v>
      </c>
      <c r="M1525" s="352">
        <v>1</v>
      </c>
      <c r="N1525" s="352" t="s">
        <v>1109</v>
      </c>
      <c r="O1525" s="351">
        <v>250</v>
      </c>
      <c r="P1525" s="349" t="s">
        <v>1836</v>
      </c>
      <c r="R1525" s="349">
        <f t="shared" si="23"/>
        <v>8</v>
      </c>
      <c r="S1525" s="352"/>
      <c r="T1525" s="352"/>
      <c r="U1525" s="352"/>
      <c r="V1525" s="353"/>
      <c r="W1525" s="352"/>
      <c r="X1525" s="176"/>
      <c r="Y1525" s="176"/>
      <c r="Z1525" s="352"/>
      <c r="AA1525" s="352"/>
      <c r="AB1525" s="352"/>
      <c r="AC1525" s="352"/>
      <c r="AD1525" s="352"/>
    </row>
    <row r="1526" spans="1:30" ht="89.75" hidden="1" x14ac:dyDescent="0.35">
      <c r="A1526" s="349">
        <v>1525</v>
      </c>
      <c r="B1526" s="352" t="s">
        <v>788</v>
      </c>
      <c r="C1526" s="351" t="s">
        <v>2838</v>
      </c>
      <c r="D1526" s="352" t="s">
        <v>2838</v>
      </c>
      <c r="E1526" s="352" t="s">
        <v>2855</v>
      </c>
      <c r="F1526" s="353">
        <v>14.6767</v>
      </c>
      <c r="G1526" s="352" t="s">
        <v>1107</v>
      </c>
      <c r="H1526" s="176" t="s">
        <v>1532</v>
      </c>
      <c r="I1526" s="176" t="s">
        <v>2825</v>
      </c>
      <c r="J1526" s="352" t="s">
        <v>828</v>
      </c>
      <c r="K1526" s="352">
        <v>50</v>
      </c>
      <c r="L1526" s="352" t="s">
        <v>4022</v>
      </c>
      <c r="M1526" s="352">
        <v>1</v>
      </c>
      <c r="N1526" s="352" t="s">
        <v>1109</v>
      </c>
      <c r="O1526" s="351">
        <v>50</v>
      </c>
      <c r="P1526" s="349" t="s">
        <v>1850</v>
      </c>
      <c r="R1526" s="349">
        <f t="shared" si="23"/>
        <v>10</v>
      </c>
      <c r="S1526" s="352"/>
      <c r="T1526" s="352"/>
      <c r="U1526" s="352"/>
      <c r="V1526" s="353"/>
      <c r="W1526" s="352"/>
      <c r="X1526" s="176"/>
      <c r="Y1526" s="176"/>
      <c r="Z1526" s="352"/>
      <c r="AA1526" s="352"/>
      <c r="AB1526" s="352"/>
      <c r="AC1526" s="352"/>
      <c r="AD1526" s="352"/>
    </row>
    <row r="1527" spans="1:30" ht="128.19999999999999" hidden="1" x14ac:dyDescent="0.35">
      <c r="A1527" s="349">
        <v>1526</v>
      </c>
      <c r="B1527" s="352" t="s">
        <v>2891</v>
      </c>
      <c r="C1527" s="351" t="s">
        <v>2838</v>
      </c>
      <c r="D1527" s="352" t="s">
        <v>2838</v>
      </c>
      <c r="E1527" s="352" t="s">
        <v>2855</v>
      </c>
      <c r="F1527" s="353">
        <v>10.666</v>
      </c>
      <c r="G1527" s="352" t="s">
        <v>315</v>
      </c>
      <c r="H1527" s="176" t="s">
        <v>2135</v>
      </c>
      <c r="I1527" s="176" t="s">
        <v>888</v>
      </c>
      <c r="J1527" s="352" t="s">
        <v>828</v>
      </c>
      <c r="K1527" s="352">
        <v>50</v>
      </c>
      <c r="L1527" s="352" t="s">
        <v>4022</v>
      </c>
      <c r="M1527" s="352">
        <v>1</v>
      </c>
      <c r="N1527" s="352" t="s">
        <v>1109</v>
      </c>
      <c r="O1527" s="351">
        <v>50</v>
      </c>
      <c r="P1527" s="349" t="s">
        <v>1850</v>
      </c>
      <c r="R1527" s="349">
        <f t="shared" si="23"/>
        <v>10</v>
      </c>
      <c r="S1527" s="352"/>
      <c r="T1527" s="352"/>
      <c r="U1527" s="352"/>
      <c r="V1527" s="353"/>
      <c r="W1527" s="352"/>
      <c r="X1527" s="176"/>
      <c r="Y1527" s="176"/>
      <c r="Z1527" s="352"/>
      <c r="AA1527" s="352"/>
      <c r="AB1527" s="352"/>
      <c r="AC1527" s="351"/>
      <c r="AD1527" s="351"/>
    </row>
    <row r="1528" spans="1:30" ht="51.3" hidden="1" x14ac:dyDescent="0.35">
      <c r="A1528" s="349">
        <v>1527</v>
      </c>
      <c r="B1528" s="352" t="s">
        <v>1567</v>
      </c>
      <c r="C1528" s="351" t="s">
        <v>3397</v>
      </c>
      <c r="D1528" s="352" t="s">
        <v>1395</v>
      </c>
      <c r="E1528" s="352" t="s">
        <v>1997</v>
      </c>
      <c r="F1528" s="353">
        <v>42.4</v>
      </c>
      <c r="G1528" s="352" t="s">
        <v>4034</v>
      </c>
      <c r="H1528" s="37" t="s">
        <v>4217</v>
      </c>
      <c r="I1528" s="176" t="s">
        <v>3070</v>
      </c>
      <c r="J1528" s="352" t="s">
        <v>1115</v>
      </c>
      <c r="K1528" s="351">
        <v>25</v>
      </c>
      <c r="L1528" s="351" t="s">
        <v>1464</v>
      </c>
      <c r="M1528" s="352"/>
      <c r="N1528" s="352"/>
      <c r="O1528" s="351">
        <v>25</v>
      </c>
      <c r="P1528" s="349" t="s">
        <v>1836</v>
      </c>
      <c r="R1528" s="349">
        <f t="shared" si="23"/>
        <v>24</v>
      </c>
      <c r="S1528" s="352"/>
      <c r="T1528" s="352"/>
      <c r="U1528" s="352"/>
      <c r="V1528" s="353"/>
      <c r="W1528" s="352"/>
      <c r="X1528" s="176"/>
      <c r="Y1528" s="176"/>
      <c r="Z1528" s="352"/>
      <c r="AA1528" s="352"/>
      <c r="AB1528" s="352"/>
      <c r="AC1528" s="352"/>
      <c r="AD1528" s="352"/>
    </row>
    <row r="1529" spans="1:30" ht="64.099999999999994" hidden="1" x14ac:dyDescent="0.35">
      <c r="A1529" s="349">
        <v>1528</v>
      </c>
      <c r="B1529" s="352" t="s">
        <v>694</v>
      </c>
      <c r="C1529" s="351" t="s">
        <v>3071</v>
      </c>
      <c r="D1529" s="352" t="s">
        <v>3071</v>
      </c>
      <c r="E1529" s="352" t="s">
        <v>3209</v>
      </c>
      <c r="F1529" s="353">
        <v>6.0602</v>
      </c>
      <c r="G1529" s="352" t="s">
        <v>34</v>
      </c>
      <c r="H1529" s="176" t="s">
        <v>3334</v>
      </c>
      <c r="I1529" s="176" t="s">
        <v>3335</v>
      </c>
      <c r="J1529" s="352" t="s">
        <v>4025</v>
      </c>
      <c r="K1529" s="352">
        <v>3</v>
      </c>
      <c r="L1529" s="352" t="s">
        <v>1116</v>
      </c>
      <c r="M1529" s="351">
        <v>5</v>
      </c>
      <c r="N1529" s="351" t="s">
        <v>1109</v>
      </c>
      <c r="O1529" s="351">
        <v>3</v>
      </c>
      <c r="P1529" s="349" t="s">
        <v>1836</v>
      </c>
      <c r="R1529" s="349">
        <f t="shared" si="23"/>
        <v>10</v>
      </c>
      <c r="S1529" s="352"/>
      <c r="T1529" s="352"/>
      <c r="U1529" s="352"/>
      <c r="V1529" s="353"/>
      <c r="W1529" s="352"/>
      <c r="X1529" s="176"/>
      <c r="Y1529" s="176"/>
      <c r="Z1529" s="352"/>
      <c r="AA1529" s="352"/>
      <c r="AB1529" s="352"/>
      <c r="AC1529" s="352"/>
      <c r="AD1529" s="352"/>
    </row>
    <row r="1530" spans="1:30" ht="38.450000000000003" hidden="1" x14ac:dyDescent="0.35">
      <c r="A1530" s="349">
        <v>1529</v>
      </c>
      <c r="B1530" s="352" t="s">
        <v>32</v>
      </c>
      <c r="C1530" s="351" t="s">
        <v>3071</v>
      </c>
      <c r="D1530" s="352" t="s">
        <v>3071</v>
      </c>
      <c r="E1530" s="352" t="s">
        <v>3209</v>
      </c>
      <c r="F1530" s="353">
        <v>6.0602</v>
      </c>
      <c r="G1530" s="352" t="s">
        <v>34</v>
      </c>
      <c r="H1530" s="176" t="s">
        <v>3059</v>
      </c>
      <c r="I1530" s="176" t="s">
        <v>1720</v>
      </c>
      <c r="J1530" s="352" t="s">
        <v>4025</v>
      </c>
      <c r="K1530" s="352">
        <v>3</v>
      </c>
      <c r="L1530" s="352" t="s">
        <v>1116</v>
      </c>
      <c r="M1530" s="351">
        <v>5</v>
      </c>
      <c r="N1530" s="351" t="s">
        <v>1109</v>
      </c>
      <c r="O1530" s="351">
        <v>3</v>
      </c>
      <c r="P1530" s="349" t="s">
        <v>1836</v>
      </c>
      <c r="R1530" s="349">
        <f t="shared" si="23"/>
        <v>10</v>
      </c>
      <c r="S1530" s="352"/>
      <c r="T1530" s="352"/>
      <c r="U1530" s="352"/>
      <c r="V1530" s="353"/>
      <c r="W1530" s="352"/>
      <c r="X1530" s="176"/>
      <c r="Y1530" s="176"/>
      <c r="Z1530" s="352"/>
      <c r="AA1530" s="352"/>
      <c r="AB1530" s="352"/>
      <c r="AC1530" s="352"/>
      <c r="AD1530" s="352"/>
    </row>
    <row r="1531" spans="1:30" ht="25.65" hidden="1" x14ac:dyDescent="0.35">
      <c r="A1531" s="349">
        <v>1530</v>
      </c>
      <c r="B1531" s="352" t="s">
        <v>959</v>
      </c>
      <c r="C1531" s="351" t="s">
        <v>1358</v>
      </c>
      <c r="D1531" s="352" t="s">
        <v>1358</v>
      </c>
      <c r="E1531" s="352" t="s">
        <v>2191</v>
      </c>
      <c r="F1531" s="353">
        <v>11.0847</v>
      </c>
      <c r="G1531" s="352" t="s">
        <v>34</v>
      </c>
      <c r="H1531" s="176" t="s">
        <v>2357</v>
      </c>
      <c r="I1531" s="176" t="s">
        <v>2358</v>
      </c>
      <c r="J1531" s="352" t="s">
        <v>2704</v>
      </c>
      <c r="K1531" s="352">
        <v>85</v>
      </c>
      <c r="L1531" s="352" t="s">
        <v>470</v>
      </c>
      <c r="M1531" s="351">
        <v>1000</v>
      </c>
      <c r="N1531" s="351" t="s">
        <v>1109</v>
      </c>
      <c r="O1531" s="351">
        <v>85</v>
      </c>
      <c r="P1531" s="349" t="s">
        <v>1838</v>
      </c>
      <c r="R1531" s="349">
        <f t="shared" si="23"/>
        <v>4</v>
      </c>
      <c r="S1531" s="352"/>
      <c r="T1531" s="352"/>
      <c r="U1531" s="352"/>
      <c r="V1531" s="353"/>
      <c r="W1531" s="352"/>
      <c r="X1531" s="176"/>
      <c r="Y1531" s="176"/>
      <c r="Z1531" s="352"/>
      <c r="AA1531" s="352"/>
      <c r="AB1531" s="352"/>
      <c r="AC1531" s="352"/>
      <c r="AD1531" s="352"/>
    </row>
    <row r="1532" spans="1:30" ht="25.65" hidden="1" x14ac:dyDescent="0.35">
      <c r="A1532" s="349">
        <v>1531</v>
      </c>
      <c r="B1532" s="352" t="s">
        <v>959</v>
      </c>
      <c r="C1532" s="351" t="s">
        <v>1358</v>
      </c>
      <c r="D1532" s="352" t="s">
        <v>1358</v>
      </c>
      <c r="E1532" s="352" t="s">
        <v>960</v>
      </c>
      <c r="F1532" s="353">
        <v>4.0769000000000002</v>
      </c>
      <c r="G1532" s="352" t="s">
        <v>34</v>
      </c>
      <c r="H1532" s="176"/>
      <c r="I1532" s="176" t="s">
        <v>1796</v>
      </c>
      <c r="J1532" s="352" t="s">
        <v>961</v>
      </c>
      <c r="K1532" s="352"/>
      <c r="L1532" s="352"/>
      <c r="M1532" s="352">
        <v>50</v>
      </c>
      <c r="N1532" s="352" t="s">
        <v>1109</v>
      </c>
      <c r="O1532" s="351">
        <v>0</v>
      </c>
      <c r="P1532" s="349" t="s">
        <v>1837</v>
      </c>
      <c r="R1532" s="349">
        <f t="shared" si="23"/>
        <v>4</v>
      </c>
      <c r="S1532" s="352"/>
      <c r="T1532" s="352"/>
      <c r="U1532" s="352"/>
      <c r="V1532" s="353"/>
      <c r="W1532" s="352"/>
      <c r="X1532" s="176"/>
      <c r="Y1532" s="176"/>
      <c r="Z1532" s="352"/>
      <c r="AA1532" s="352"/>
      <c r="AB1532" s="352"/>
      <c r="AC1532" s="352"/>
      <c r="AD1532" s="352"/>
    </row>
    <row r="1533" spans="1:30" ht="89.75" hidden="1" x14ac:dyDescent="0.35">
      <c r="A1533" s="349">
        <v>1532</v>
      </c>
      <c r="B1533" s="352" t="s">
        <v>1610</v>
      </c>
      <c r="C1533" s="351" t="s">
        <v>981</v>
      </c>
      <c r="D1533" s="352" t="s">
        <v>981</v>
      </c>
      <c r="E1533" s="352" t="s">
        <v>1997</v>
      </c>
      <c r="F1533" s="353">
        <v>4.5999999999999996</v>
      </c>
      <c r="G1533" s="352" t="s">
        <v>1107</v>
      </c>
      <c r="H1533" s="176" t="s">
        <v>2140</v>
      </c>
      <c r="I1533" s="176" t="s">
        <v>5085</v>
      </c>
      <c r="J1533" s="352" t="s">
        <v>1115</v>
      </c>
      <c r="K1533" s="352">
        <v>40</v>
      </c>
      <c r="L1533" s="352" t="s">
        <v>1464</v>
      </c>
      <c r="M1533" s="352"/>
      <c r="N1533" s="352"/>
      <c r="O1533" s="351">
        <v>40</v>
      </c>
      <c r="P1533" s="349" t="s">
        <v>1836</v>
      </c>
      <c r="R1533" s="349">
        <f t="shared" si="23"/>
        <v>9</v>
      </c>
      <c r="S1533" s="352"/>
      <c r="T1533" s="352"/>
      <c r="U1533" s="352"/>
      <c r="V1533" s="353"/>
      <c r="W1533" s="352"/>
      <c r="X1533" s="176"/>
      <c r="Y1533" s="176"/>
      <c r="Z1533" s="352"/>
      <c r="AA1533" s="352"/>
      <c r="AB1533" s="352"/>
      <c r="AC1533" s="352"/>
      <c r="AD1533" s="352"/>
    </row>
    <row r="1534" spans="1:30" ht="141" hidden="1" x14ac:dyDescent="0.35">
      <c r="A1534" s="349">
        <v>1533</v>
      </c>
      <c r="B1534" s="352" t="s">
        <v>1610</v>
      </c>
      <c r="C1534" s="351" t="s">
        <v>981</v>
      </c>
      <c r="D1534" s="352" t="s">
        <v>981</v>
      </c>
      <c r="E1534" s="352" t="s">
        <v>1995</v>
      </c>
      <c r="F1534" s="353">
        <v>2.3580000000000001</v>
      </c>
      <c r="G1534" s="352" t="s">
        <v>2126</v>
      </c>
      <c r="H1534" s="176" t="s">
        <v>1622</v>
      </c>
      <c r="I1534" s="176" t="s">
        <v>5084</v>
      </c>
      <c r="J1534" s="352" t="s">
        <v>3580</v>
      </c>
      <c r="K1534" s="352">
        <v>10</v>
      </c>
      <c r="L1534" s="352" t="s">
        <v>3581</v>
      </c>
      <c r="M1534" s="352"/>
      <c r="N1534" s="352"/>
      <c r="O1534" s="351">
        <v>10</v>
      </c>
      <c r="P1534" s="349" t="s">
        <v>1836</v>
      </c>
      <c r="R1534" s="349">
        <f t="shared" si="23"/>
        <v>9</v>
      </c>
      <c r="S1534" s="352"/>
      <c r="T1534" s="352"/>
      <c r="U1534" s="352"/>
      <c r="V1534" s="353"/>
      <c r="W1534" s="352"/>
      <c r="X1534" s="176"/>
      <c r="Y1534" s="176"/>
      <c r="Z1534" s="352"/>
      <c r="AA1534" s="352"/>
      <c r="AB1534" s="352"/>
      <c r="AC1534" s="352"/>
      <c r="AD1534" s="352"/>
    </row>
    <row r="1535" spans="1:30" ht="141" hidden="1" x14ac:dyDescent="0.35">
      <c r="A1535" s="349">
        <v>1534</v>
      </c>
      <c r="B1535" s="352" t="s">
        <v>1610</v>
      </c>
      <c r="C1535" s="351" t="s">
        <v>981</v>
      </c>
      <c r="D1535" s="352" t="s">
        <v>981</v>
      </c>
      <c r="E1535" s="352" t="s">
        <v>1995</v>
      </c>
      <c r="F1535" s="353">
        <v>3.7463000000000002</v>
      </c>
      <c r="G1535" s="352" t="s">
        <v>2126</v>
      </c>
      <c r="H1535" s="176" t="s">
        <v>1622</v>
      </c>
      <c r="I1535" s="176" t="s">
        <v>5084</v>
      </c>
      <c r="J1535" s="352" t="s">
        <v>3580</v>
      </c>
      <c r="K1535" s="352">
        <v>20</v>
      </c>
      <c r="L1535" s="352" t="s">
        <v>3581</v>
      </c>
      <c r="M1535" s="351"/>
      <c r="N1535" s="351"/>
      <c r="O1535" s="351">
        <v>20</v>
      </c>
      <c r="P1535" s="349" t="s">
        <v>1836</v>
      </c>
      <c r="R1535" s="349">
        <f t="shared" si="23"/>
        <v>9</v>
      </c>
      <c r="S1535" s="352"/>
      <c r="T1535" s="352"/>
      <c r="U1535" s="352"/>
      <c r="V1535" s="353"/>
      <c r="W1535" s="352"/>
      <c r="X1535" s="176"/>
      <c r="Y1535" s="176"/>
      <c r="Z1535" s="352"/>
      <c r="AA1535" s="352"/>
      <c r="AB1535" s="352"/>
      <c r="AC1535" s="352"/>
      <c r="AD1535" s="352"/>
    </row>
    <row r="1536" spans="1:30" ht="141" hidden="1" x14ac:dyDescent="0.35">
      <c r="A1536" s="349">
        <v>1535</v>
      </c>
      <c r="B1536" s="352" t="s">
        <v>746</v>
      </c>
      <c r="C1536" s="351" t="s">
        <v>4525</v>
      </c>
      <c r="D1536" s="352" t="s">
        <v>709</v>
      </c>
      <c r="E1536" s="352" t="s">
        <v>2857</v>
      </c>
      <c r="F1536" s="353">
        <v>12.95</v>
      </c>
      <c r="G1536" s="352" t="s">
        <v>3119</v>
      </c>
      <c r="H1536" s="176" t="s">
        <v>3363</v>
      </c>
      <c r="I1536" s="176" t="s">
        <v>195</v>
      </c>
      <c r="J1536" s="352" t="s">
        <v>828</v>
      </c>
      <c r="K1536" s="352">
        <v>647</v>
      </c>
      <c r="L1536" s="352" t="s">
        <v>1116</v>
      </c>
      <c r="M1536" s="352">
        <v>10</v>
      </c>
      <c r="N1536" s="352" t="s">
        <v>1109</v>
      </c>
      <c r="O1536" s="351">
        <v>647</v>
      </c>
      <c r="P1536" s="349" t="s">
        <v>1836</v>
      </c>
      <c r="R1536" s="349">
        <f t="shared" si="23"/>
        <v>7</v>
      </c>
      <c r="S1536" s="352"/>
      <c r="T1536" s="352"/>
      <c r="U1536" s="352"/>
      <c r="V1536" s="353"/>
      <c r="W1536" s="352"/>
      <c r="X1536" s="176"/>
      <c r="Y1536" s="176"/>
      <c r="Z1536" s="352"/>
      <c r="AA1536" s="352"/>
      <c r="AB1536" s="352"/>
      <c r="AC1536" s="352"/>
      <c r="AD1536" s="352"/>
    </row>
    <row r="1537" spans="1:30" ht="141" hidden="1" x14ac:dyDescent="0.35">
      <c r="A1537" s="349">
        <v>1536</v>
      </c>
      <c r="B1537" s="352" t="s">
        <v>746</v>
      </c>
      <c r="C1537" s="351" t="s">
        <v>4525</v>
      </c>
      <c r="D1537" s="352" t="s">
        <v>709</v>
      </c>
      <c r="E1537" s="352" t="s">
        <v>780</v>
      </c>
      <c r="F1537" s="353">
        <v>17.22</v>
      </c>
      <c r="G1537" s="352" t="s">
        <v>3119</v>
      </c>
      <c r="H1537" s="176" t="s">
        <v>3363</v>
      </c>
      <c r="I1537" s="176" t="s">
        <v>195</v>
      </c>
      <c r="J1537" s="352" t="s">
        <v>828</v>
      </c>
      <c r="K1537" s="352">
        <v>647</v>
      </c>
      <c r="L1537" s="352" t="s">
        <v>1116</v>
      </c>
      <c r="M1537" s="351">
        <v>20</v>
      </c>
      <c r="N1537" s="351" t="s">
        <v>1109</v>
      </c>
      <c r="O1537" s="351">
        <v>647</v>
      </c>
      <c r="P1537" s="349" t="s">
        <v>1836</v>
      </c>
      <c r="R1537" s="349">
        <f t="shared" si="23"/>
        <v>7</v>
      </c>
      <c r="S1537" s="352"/>
      <c r="T1537" s="352"/>
      <c r="U1537" s="352"/>
      <c r="V1537" s="353"/>
      <c r="W1537" s="352"/>
      <c r="X1537" s="176"/>
      <c r="Y1537" s="176"/>
      <c r="Z1537" s="352"/>
      <c r="AA1537" s="352"/>
      <c r="AB1537" s="352"/>
      <c r="AC1537" s="352"/>
      <c r="AD1537" s="352"/>
    </row>
    <row r="1538" spans="1:30" ht="141" hidden="1" x14ac:dyDescent="0.35">
      <c r="A1538" s="349">
        <v>1537</v>
      </c>
      <c r="B1538" s="352" t="s">
        <v>746</v>
      </c>
      <c r="C1538" s="351" t="s">
        <v>4525</v>
      </c>
      <c r="D1538" s="352" t="s">
        <v>709</v>
      </c>
      <c r="E1538" s="352" t="s">
        <v>3120</v>
      </c>
      <c r="F1538" s="353">
        <v>41.15</v>
      </c>
      <c r="G1538" s="352" t="s">
        <v>3119</v>
      </c>
      <c r="H1538" s="176" t="s">
        <v>3363</v>
      </c>
      <c r="I1538" s="176" t="s">
        <v>195</v>
      </c>
      <c r="J1538" s="352" t="s">
        <v>828</v>
      </c>
      <c r="K1538" s="352">
        <v>647</v>
      </c>
      <c r="L1538" s="352" t="s">
        <v>1116</v>
      </c>
      <c r="M1538" s="351">
        <v>50</v>
      </c>
      <c r="N1538" s="351" t="s">
        <v>1109</v>
      </c>
      <c r="O1538" s="351">
        <v>647</v>
      </c>
      <c r="P1538" s="349" t="s">
        <v>1836</v>
      </c>
      <c r="R1538" s="349">
        <f t="shared" si="23"/>
        <v>7</v>
      </c>
      <c r="S1538" s="352"/>
      <c r="T1538" s="352"/>
      <c r="U1538" s="352"/>
      <c r="V1538" s="353"/>
      <c r="W1538" s="352"/>
      <c r="X1538" s="176"/>
      <c r="Y1538" s="176"/>
      <c r="Z1538" s="352"/>
      <c r="AA1538" s="352"/>
      <c r="AB1538" s="352"/>
      <c r="AC1538" s="352"/>
      <c r="AD1538" s="352"/>
    </row>
    <row r="1539" spans="1:30" ht="89.75" hidden="1" x14ac:dyDescent="0.35">
      <c r="A1539" s="349">
        <v>1538</v>
      </c>
      <c r="B1539" s="352" t="s">
        <v>3160</v>
      </c>
      <c r="C1539" s="351" t="s">
        <v>3653</v>
      </c>
      <c r="D1539" s="352" t="s">
        <v>3653</v>
      </c>
      <c r="E1539" s="352" t="s">
        <v>762</v>
      </c>
      <c r="F1539" s="353">
        <v>7.25</v>
      </c>
      <c r="G1539" s="352" t="s">
        <v>1107</v>
      </c>
      <c r="H1539" s="176" t="s">
        <v>2907</v>
      </c>
      <c r="I1539" s="176" t="s">
        <v>4478</v>
      </c>
      <c r="J1539" s="352" t="s">
        <v>828</v>
      </c>
      <c r="K1539" s="352">
        <v>2</v>
      </c>
      <c r="L1539" s="352" t="s">
        <v>1116</v>
      </c>
      <c r="M1539" s="352">
        <v>2</v>
      </c>
      <c r="N1539" s="352" t="s">
        <v>1109</v>
      </c>
      <c r="O1539" s="351">
        <v>2</v>
      </c>
      <c r="P1539" s="349" t="s">
        <v>1836</v>
      </c>
      <c r="R1539" s="349">
        <f t="shared" ref="R1539:R1602" si="24">LEN(D1539)</f>
        <v>11</v>
      </c>
      <c r="S1539" s="352"/>
      <c r="T1539" s="352"/>
      <c r="U1539" s="352"/>
      <c r="V1539" s="353"/>
      <c r="W1539" s="352"/>
      <c r="X1539" s="176"/>
      <c r="Y1539" s="176"/>
      <c r="Z1539" s="352"/>
      <c r="AA1539" s="352"/>
      <c r="AB1539" s="352"/>
      <c r="AC1539" s="352"/>
      <c r="AD1539" s="352"/>
    </row>
    <row r="1540" spans="1:30" ht="89.75" hidden="1" x14ac:dyDescent="0.35">
      <c r="A1540" s="349">
        <v>1539</v>
      </c>
      <c r="B1540" s="352" t="s">
        <v>3160</v>
      </c>
      <c r="C1540" s="351" t="s">
        <v>3653</v>
      </c>
      <c r="D1540" s="352" t="s">
        <v>3653</v>
      </c>
      <c r="E1540" s="352" t="s">
        <v>2738</v>
      </c>
      <c r="F1540" s="353">
        <v>14.4</v>
      </c>
      <c r="G1540" s="352" t="s">
        <v>1107</v>
      </c>
      <c r="H1540" s="176" t="s">
        <v>2907</v>
      </c>
      <c r="I1540" s="176" t="s">
        <v>4478</v>
      </c>
      <c r="J1540" s="352" t="s">
        <v>828</v>
      </c>
      <c r="K1540" s="352">
        <v>2</v>
      </c>
      <c r="L1540" s="352" t="s">
        <v>1116</v>
      </c>
      <c r="M1540" s="352">
        <v>4</v>
      </c>
      <c r="N1540" s="352" t="s">
        <v>1109</v>
      </c>
      <c r="O1540" s="351">
        <v>2</v>
      </c>
      <c r="P1540" s="349" t="s">
        <v>1836</v>
      </c>
      <c r="R1540" s="349">
        <f t="shared" si="24"/>
        <v>11</v>
      </c>
      <c r="S1540" s="352"/>
      <c r="T1540" s="352"/>
      <c r="U1540" s="352"/>
      <c r="V1540" s="351"/>
      <c r="W1540" s="352"/>
      <c r="X1540" s="176"/>
      <c r="Y1540" s="176"/>
      <c r="Z1540" s="352"/>
      <c r="AA1540" s="351"/>
      <c r="AB1540" s="351"/>
      <c r="AC1540" s="351"/>
      <c r="AD1540" s="351"/>
    </row>
    <row r="1541" spans="1:30" ht="76.900000000000006" hidden="1" x14ac:dyDescent="0.35">
      <c r="A1541" s="349">
        <v>1540</v>
      </c>
      <c r="B1541" s="352" t="s">
        <v>3160</v>
      </c>
      <c r="C1541" s="351" t="s">
        <v>3653</v>
      </c>
      <c r="D1541" s="352" t="s">
        <v>3653</v>
      </c>
      <c r="E1541" s="352" t="s">
        <v>1137</v>
      </c>
      <c r="F1541" s="353">
        <v>105.82</v>
      </c>
      <c r="G1541" s="352" t="s">
        <v>2126</v>
      </c>
      <c r="H1541" s="176" t="s">
        <v>2908</v>
      </c>
      <c r="I1541" s="37" t="s">
        <v>4478</v>
      </c>
      <c r="J1541" s="352" t="s">
        <v>3579</v>
      </c>
      <c r="K1541" s="352">
        <v>0.8</v>
      </c>
      <c r="L1541" s="352" t="s">
        <v>1116</v>
      </c>
      <c r="M1541" s="351">
        <v>50</v>
      </c>
      <c r="N1541" s="351" t="s">
        <v>1109</v>
      </c>
      <c r="O1541" s="351">
        <v>0.8</v>
      </c>
      <c r="P1541" s="349" t="s">
        <v>1836</v>
      </c>
      <c r="R1541" s="349">
        <f t="shared" si="24"/>
        <v>11</v>
      </c>
      <c r="S1541" s="352"/>
      <c r="T1541" s="352"/>
      <c r="U1541" s="352"/>
      <c r="V1541" s="353"/>
      <c r="W1541" s="352"/>
      <c r="X1541" s="176"/>
      <c r="Y1541" s="176"/>
      <c r="Z1541" s="352"/>
      <c r="AA1541" s="351"/>
      <c r="AB1541" s="351"/>
      <c r="AC1541" s="352"/>
      <c r="AD1541" s="352"/>
    </row>
    <row r="1542" spans="1:30" ht="76.900000000000006" hidden="1" x14ac:dyDescent="0.35">
      <c r="A1542" s="349">
        <v>1541</v>
      </c>
      <c r="B1542" s="352" t="s">
        <v>3160</v>
      </c>
      <c r="C1542" s="351" t="s">
        <v>3653</v>
      </c>
      <c r="D1542" s="352" t="s">
        <v>3653</v>
      </c>
      <c r="E1542" s="352" t="s">
        <v>1995</v>
      </c>
      <c r="F1542" s="353">
        <v>12.5832</v>
      </c>
      <c r="G1542" s="352" t="s">
        <v>2126</v>
      </c>
      <c r="H1542" s="176" t="s">
        <v>2908</v>
      </c>
      <c r="I1542" s="176" t="s">
        <v>4478</v>
      </c>
      <c r="J1542" s="352" t="s">
        <v>3580</v>
      </c>
      <c r="K1542" s="351">
        <v>4</v>
      </c>
      <c r="L1542" s="351" t="s">
        <v>3581</v>
      </c>
      <c r="M1542" s="352"/>
      <c r="N1542" s="352"/>
      <c r="O1542" s="351">
        <v>4</v>
      </c>
      <c r="P1542" s="349" t="s">
        <v>1836</v>
      </c>
      <c r="R1542" s="349">
        <f t="shared" si="24"/>
        <v>11</v>
      </c>
      <c r="S1542" s="352"/>
      <c r="T1542" s="352"/>
      <c r="U1542" s="352"/>
      <c r="V1542" s="353"/>
      <c r="W1542" s="352"/>
      <c r="X1542" s="176"/>
      <c r="Y1542" s="176"/>
      <c r="Z1542" s="352"/>
      <c r="AA1542" s="351"/>
      <c r="AB1542" s="351"/>
      <c r="AC1542" s="352"/>
      <c r="AD1542" s="352"/>
    </row>
    <row r="1543" spans="1:30" ht="76.900000000000006" hidden="1" x14ac:dyDescent="0.35">
      <c r="A1543" s="349">
        <v>1542</v>
      </c>
      <c r="B1543" s="352" t="s">
        <v>3160</v>
      </c>
      <c r="C1543" s="351" t="s">
        <v>3653</v>
      </c>
      <c r="D1543" s="352" t="s">
        <v>3653</v>
      </c>
      <c r="E1543" s="352" t="s">
        <v>1995</v>
      </c>
      <c r="F1543" s="353">
        <v>20.98</v>
      </c>
      <c r="G1543" s="352" t="s">
        <v>2126</v>
      </c>
      <c r="H1543" s="176" t="s">
        <v>2908</v>
      </c>
      <c r="I1543" s="176" t="s">
        <v>4478</v>
      </c>
      <c r="J1543" s="352" t="s">
        <v>3580</v>
      </c>
      <c r="K1543" s="351">
        <v>8</v>
      </c>
      <c r="L1543" s="351" t="s">
        <v>3581</v>
      </c>
      <c r="M1543" s="352"/>
      <c r="N1543" s="352"/>
      <c r="O1543" s="351">
        <v>8</v>
      </c>
      <c r="P1543" s="349" t="s">
        <v>1836</v>
      </c>
      <c r="R1543" s="349">
        <f t="shared" si="24"/>
        <v>11</v>
      </c>
      <c r="S1543" s="352"/>
      <c r="T1543" s="352"/>
      <c r="U1543" s="352"/>
      <c r="V1543" s="351"/>
      <c r="W1543" s="352"/>
      <c r="X1543" s="176"/>
      <c r="Y1543" s="176"/>
      <c r="Z1543" s="352"/>
      <c r="AA1543" s="351"/>
      <c r="AB1543" s="351"/>
      <c r="AC1543" s="351"/>
      <c r="AD1543" s="351"/>
    </row>
    <row r="1544" spans="1:30" ht="76.900000000000006" hidden="1" x14ac:dyDescent="0.35">
      <c r="A1544" s="349">
        <v>1543</v>
      </c>
      <c r="B1544" s="352" t="s">
        <v>3160</v>
      </c>
      <c r="C1544" s="351" t="s">
        <v>3653</v>
      </c>
      <c r="D1544" s="352" t="s">
        <v>3653</v>
      </c>
      <c r="E1544" s="352" t="s">
        <v>1999</v>
      </c>
      <c r="F1544" s="353">
        <v>45.26</v>
      </c>
      <c r="G1544" s="352" t="s">
        <v>967</v>
      </c>
      <c r="H1544" s="176" t="s">
        <v>2909</v>
      </c>
      <c r="I1544" s="176" t="s">
        <v>4478</v>
      </c>
      <c r="J1544" s="352" t="s">
        <v>968</v>
      </c>
      <c r="K1544" s="351">
        <v>16</v>
      </c>
      <c r="L1544" s="351" t="s">
        <v>969</v>
      </c>
      <c r="M1544" s="352"/>
      <c r="N1544" s="352"/>
      <c r="O1544" s="351">
        <v>16</v>
      </c>
      <c r="P1544" s="349" t="s">
        <v>1836</v>
      </c>
      <c r="R1544" s="349">
        <f t="shared" si="24"/>
        <v>11</v>
      </c>
      <c r="S1544" s="352"/>
      <c r="T1544" s="352"/>
      <c r="U1544" s="352"/>
      <c r="V1544" s="353"/>
      <c r="W1544" s="352"/>
      <c r="X1544" s="176"/>
      <c r="Y1544" s="176"/>
      <c r="Z1544" s="352"/>
      <c r="AA1544" s="352"/>
      <c r="AB1544" s="352"/>
      <c r="AC1544" s="352"/>
      <c r="AD1544" s="352"/>
    </row>
    <row r="1545" spans="1:30" ht="89.75" hidden="1" x14ac:dyDescent="0.35">
      <c r="A1545" s="349">
        <v>1544</v>
      </c>
      <c r="B1545" s="352" t="s">
        <v>1567</v>
      </c>
      <c r="C1545" s="351" t="s">
        <v>4526</v>
      </c>
      <c r="D1545" s="352" t="s">
        <v>1672</v>
      </c>
      <c r="E1545" s="352" t="s">
        <v>1995</v>
      </c>
      <c r="F1545" s="353">
        <v>0.35260000000000002</v>
      </c>
      <c r="G1545" s="352" t="s">
        <v>2126</v>
      </c>
      <c r="H1545" s="176" t="s">
        <v>4216</v>
      </c>
      <c r="I1545" s="176"/>
      <c r="J1545" s="352" t="s">
        <v>3580</v>
      </c>
      <c r="K1545" s="351">
        <v>5</v>
      </c>
      <c r="L1545" s="351" t="s">
        <v>3581</v>
      </c>
      <c r="M1545" s="352"/>
      <c r="N1545" s="352"/>
      <c r="O1545" s="351">
        <v>5</v>
      </c>
      <c r="P1545" s="349" t="s">
        <v>1836</v>
      </c>
      <c r="R1545" s="349">
        <f t="shared" si="24"/>
        <v>11</v>
      </c>
      <c r="S1545" s="352"/>
      <c r="T1545" s="352"/>
      <c r="U1545" s="352"/>
      <c r="V1545" s="353"/>
      <c r="W1545" s="352"/>
      <c r="X1545" s="176"/>
      <c r="Y1545" s="176"/>
      <c r="Z1545" s="352"/>
      <c r="AA1545" s="352"/>
      <c r="AB1545" s="352"/>
      <c r="AC1545" s="352"/>
      <c r="AD1545" s="352"/>
    </row>
    <row r="1546" spans="1:30" ht="128.19999999999999" hidden="1" x14ac:dyDescent="0.35">
      <c r="A1546" s="349">
        <v>1545</v>
      </c>
      <c r="B1546" s="352" t="s">
        <v>1494</v>
      </c>
      <c r="C1546" s="351" t="s">
        <v>4527</v>
      </c>
      <c r="D1546" s="352" t="s">
        <v>1396</v>
      </c>
      <c r="E1546" s="352" t="s">
        <v>199</v>
      </c>
      <c r="F1546" s="353">
        <v>0.85940000000000005</v>
      </c>
      <c r="G1546" s="352" t="s">
        <v>2126</v>
      </c>
      <c r="H1546" s="176" t="s">
        <v>310</v>
      </c>
      <c r="I1546" s="176" t="s">
        <v>3759</v>
      </c>
      <c r="J1546" s="352" t="s">
        <v>2056</v>
      </c>
      <c r="K1546" s="352"/>
      <c r="L1546" s="352"/>
      <c r="M1546" s="352">
        <v>8.4</v>
      </c>
      <c r="N1546" s="352" t="s">
        <v>31</v>
      </c>
      <c r="O1546" s="351">
        <v>0</v>
      </c>
      <c r="P1546" s="349" t="s">
        <v>818</v>
      </c>
      <c r="R1546" s="349">
        <f t="shared" si="24"/>
        <v>19</v>
      </c>
      <c r="S1546" s="352"/>
      <c r="T1546" s="352"/>
      <c r="U1546" s="352"/>
      <c r="V1546" s="353"/>
      <c r="W1546" s="352"/>
      <c r="X1546" s="176"/>
      <c r="Y1546" s="176"/>
      <c r="Z1546" s="352"/>
      <c r="AA1546" s="352"/>
      <c r="AB1546" s="352"/>
      <c r="AC1546" s="351"/>
      <c r="AD1546" s="351"/>
    </row>
    <row r="1547" spans="1:30" ht="153.80000000000001" hidden="1" x14ac:dyDescent="0.35">
      <c r="A1547" s="349">
        <v>1546</v>
      </c>
      <c r="B1547" s="352" t="s">
        <v>1494</v>
      </c>
      <c r="C1547" s="351" t="s">
        <v>4528</v>
      </c>
      <c r="D1547" s="352" t="s">
        <v>1396</v>
      </c>
      <c r="E1547" s="352" t="s">
        <v>402</v>
      </c>
      <c r="F1547" s="353">
        <v>1</v>
      </c>
      <c r="G1547" s="352" t="s">
        <v>2126</v>
      </c>
      <c r="H1547" s="176" t="s">
        <v>3760</v>
      </c>
      <c r="I1547" s="176" t="s">
        <v>4485</v>
      </c>
      <c r="J1547" s="352" t="s">
        <v>2056</v>
      </c>
      <c r="K1547" s="352"/>
      <c r="L1547" s="352"/>
      <c r="M1547" s="352">
        <v>13.2</v>
      </c>
      <c r="N1547" s="352" t="s">
        <v>31</v>
      </c>
      <c r="O1547" s="351">
        <v>0</v>
      </c>
      <c r="P1547" s="349" t="s">
        <v>818</v>
      </c>
      <c r="R1547" s="349">
        <f t="shared" si="24"/>
        <v>19</v>
      </c>
      <c r="S1547" s="352"/>
      <c r="T1547" s="352"/>
      <c r="U1547" s="352"/>
      <c r="V1547" s="353"/>
      <c r="W1547" s="352"/>
      <c r="X1547" s="176"/>
      <c r="Y1547" s="176"/>
      <c r="Z1547" s="352"/>
      <c r="AA1547" s="352"/>
      <c r="AB1547" s="352"/>
      <c r="AC1547" s="351"/>
      <c r="AD1547" s="351"/>
    </row>
    <row r="1548" spans="1:30" ht="153.80000000000001" hidden="1" x14ac:dyDescent="0.35">
      <c r="A1548" s="349">
        <v>1547</v>
      </c>
      <c r="B1548" s="352" t="s">
        <v>1494</v>
      </c>
      <c r="C1548" s="351" t="s">
        <v>309</v>
      </c>
      <c r="D1548" s="352" t="s">
        <v>1396</v>
      </c>
      <c r="E1548" s="352" t="s">
        <v>402</v>
      </c>
      <c r="F1548" s="353">
        <v>1</v>
      </c>
      <c r="G1548" s="352" t="s">
        <v>2126</v>
      </c>
      <c r="H1548" s="176" t="s">
        <v>3760</v>
      </c>
      <c r="I1548" s="176" t="s">
        <v>4485</v>
      </c>
      <c r="J1548" s="352" t="s">
        <v>2056</v>
      </c>
      <c r="K1548" s="352"/>
      <c r="L1548" s="352"/>
      <c r="M1548" s="351">
        <v>13.2</v>
      </c>
      <c r="N1548" s="351" t="s">
        <v>31</v>
      </c>
      <c r="O1548" s="351">
        <v>0</v>
      </c>
      <c r="P1548" s="349" t="s">
        <v>818</v>
      </c>
      <c r="R1548" s="349">
        <f t="shared" si="24"/>
        <v>19</v>
      </c>
      <c r="S1548" s="352"/>
      <c r="T1548" s="352"/>
      <c r="U1548" s="352"/>
      <c r="V1548" s="353"/>
      <c r="W1548" s="352"/>
      <c r="X1548" s="176"/>
      <c r="Y1548" s="176"/>
      <c r="Z1548" s="352"/>
      <c r="AA1548" s="352"/>
      <c r="AB1548" s="352"/>
      <c r="AC1548" s="351"/>
      <c r="AD1548" s="351"/>
    </row>
    <row r="1549" spans="1:30" ht="128.19999999999999" hidden="1" x14ac:dyDescent="0.35">
      <c r="A1549" s="349">
        <v>1548</v>
      </c>
      <c r="B1549" s="352" t="s">
        <v>1494</v>
      </c>
      <c r="C1549" s="351" t="s">
        <v>309</v>
      </c>
      <c r="D1549" s="352" t="s">
        <v>1396</v>
      </c>
      <c r="E1549" s="352" t="s">
        <v>199</v>
      </c>
      <c r="F1549" s="353">
        <v>0.85940000000000005</v>
      </c>
      <c r="G1549" s="352" t="s">
        <v>2126</v>
      </c>
      <c r="H1549" s="176" t="s">
        <v>310</v>
      </c>
      <c r="I1549" s="176" t="s">
        <v>3759</v>
      </c>
      <c r="J1549" s="352" t="s">
        <v>2056</v>
      </c>
      <c r="K1549" s="352"/>
      <c r="L1549" s="352"/>
      <c r="M1549" s="351">
        <v>8.4</v>
      </c>
      <c r="N1549" s="351" t="s">
        <v>31</v>
      </c>
      <c r="O1549" s="351">
        <v>0</v>
      </c>
      <c r="P1549" s="349" t="s">
        <v>818</v>
      </c>
      <c r="R1549" s="349">
        <f t="shared" si="24"/>
        <v>19</v>
      </c>
      <c r="S1549" s="352"/>
      <c r="T1549" s="352"/>
      <c r="U1549" s="352"/>
      <c r="V1549" s="353"/>
      <c r="W1549" s="352"/>
      <c r="X1549" s="176"/>
      <c r="Y1549" s="176"/>
      <c r="Z1549" s="352"/>
      <c r="AA1549" s="352"/>
      <c r="AB1549" s="352"/>
      <c r="AC1549" s="351"/>
      <c r="AD1549" s="351"/>
    </row>
    <row r="1550" spans="1:30" ht="51.3" hidden="1" x14ac:dyDescent="0.35">
      <c r="A1550" s="349">
        <v>1549</v>
      </c>
      <c r="B1550" s="352" t="s">
        <v>3204</v>
      </c>
      <c r="C1550" s="351" t="s">
        <v>4529</v>
      </c>
      <c r="D1550" s="352" t="s">
        <v>3699</v>
      </c>
      <c r="E1550" s="352" t="s">
        <v>827</v>
      </c>
      <c r="F1550" s="353">
        <v>1094.49</v>
      </c>
      <c r="G1550" s="352" t="s">
        <v>1107</v>
      </c>
      <c r="H1550" s="176" t="s">
        <v>1132</v>
      </c>
      <c r="I1550" s="176" t="s">
        <v>686</v>
      </c>
      <c r="J1550" s="352" t="s">
        <v>828</v>
      </c>
      <c r="K1550" s="352">
        <v>1</v>
      </c>
      <c r="L1550" s="352" t="s">
        <v>1116</v>
      </c>
      <c r="M1550" s="351">
        <v>5</v>
      </c>
      <c r="N1550" s="351" t="s">
        <v>1109</v>
      </c>
      <c r="O1550" s="351">
        <v>1</v>
      </c>
      <c r="P1550" s="349" t="s">
        <v>1836</v>
      </c>
      <c r="R1550" s="349">
        <f t="shared" si="24"/>
        <v>13</v>
      </c>
      <c r="S1550" s="352"/>
      <c r="T1550" s="352"/>
      <c r="U1550" s="352"/>
      <c r="V1550" s="353"/>
      <c r="W1550" s="352"/>
      <c r="X1550" s="176"/>
      <c r="Y1550" s="176"/>
      <c r="Z1550" s="352"/>
      <c r="AA1550" s="352"/>
      <c r="AB1550" s="352"/>
      <c r="AC1550" s="351"/>
      <c r="AD1550" s="351"/>
    </row>
    <row r="1551" spans="1:30" ht="38.450000000000003" hidden="1" x14ac:dyDescent="0.35">
      <c r="A1551" s="349">
        <v>1550</v>
      </c>
      <c r="B1551" s="352" t="s">
        <v>2491</v>
      </c>
      <c r="C1551" s="351" t="s">
        <v>4530</v>
      </c>
      <c r="D1551" s="352" t="s">
        <v>1666</v>
      </c>
      <c r="E1551" s="352" t="s">
        <v>1314</v>
      </c>
      <c r="F1551" s="351">
        <v>7.1620999999999997</v>
      </c>
      <c r="G1551" s="352" t="s">
        <v>34</v>
      </c>
      <c r="H1551" s="176" t="s">
        <v>245</v>
      </c>
      <c r="I1551" s="176" t="s">
        <v>3529</v>
      </c>
      <c r="J1551" s="352" t="s">
        <v>4031</v>
      </c>
      <c r="K1551" s="351">
        <v>6.3</v>
      </c>
      <c r="L1551" s="351" t="s">
        <v>1116</v>
      </c>
      <c r="M1551" s="351">
        <v>12</v>
      </c>
      <c r="N1551" s="351" t="s">
        <v>1109</v>
      </c>
      <c r="O1551" s="351">
        <v>6.3</v>
      </c>
      <c r="P1551" s="349" t="s">
        <v>1836</v>
      </c>
      <c r="R1551" s="349">
        <f t="shared" si="24"/>
        <v>9</v>
      </c>
      <c r="S1551" s="352"/>
      <c r="T1551" s="352"/>
      <c r="U1551" s="352"/>
      <c r="V1551" s="353"/>
      <c r="W1551" s="352"/>
      <c r="X1551" s="176"/>
      <c r="Y1551" s="176"/>
      <c r="Z1551" s="352"/>
      <c r="AA1551" s="352"/>
      <c r="AB1551" s="352"/>
      <c r="AC1551" s="351"/>
      <c r="AD1551" s="351"/>
    </row>
    <row r="1552" spans="1:30" ht="51.3" hidden="1" x14ac:dyDescent="0.35">
      <c r="A1552" s="349">
        <v>1551</v>
      </c>
      <c r="B1552" s="352" t="s">
        <v>958</v>
      </c>
      <c r="C1552" s="351" t="s">
        <v>3471</v>
      </c>
      <c r="D1552" s="352" t="s">
        <v>3471</v>
      </c>
      <c r="E1552" s="352" t="s">
        <v>1995</v>
      </c>
      <c r="F1552" s="353">
        <v>8.8099999999999998E-2</v>
      </c>
      <c r="G1552" s="352" t="s">
        <v>2126</v>
      </c>
      <c r="H1552" s="176" t="s">
        <v>3013</v>
      </c>
      <c r="I1552" s="176" t="s">
        <v>3472</v>
      </c>
      <c r="J1552" s="352" t="s">
        <v>3580</v>
      </c>
      <c r="K1552" s="352">
        <v>10</v>
      </c>
      <c r="L1552" s="352" t="s">
        <v>3581</v>
      </c>
      <c r="M1552" s="352"/>
      <c r="N1552" s="352"/>
      <c r="O1552" s="351">
        <v>10</v>
      </c>
      <c r="P1552" s="349" t="s">
        <v>1836</v>
      </c>
      <c r="R1552" s="349">
        <f t="shared" si="24"/>
        <v>8</v>
      </c>
      <c r="S1552" s="352"/>
      <c r="T1552" s="352"/>
      <c r="U1552" s="352"/>
      <c r="V1552" s="353"/>
      <c r="W1552" s="352"/>
      <c r="X1552" s="176"/>
      <c r="Y1552" s="176"/>
      <c r="Z1552" s="352"/>
      <c r="AA1552" s="352"/>
      <c r="AB1552" s="352"/>
      <c r="AC1552" s="351"/>
      <c r="AD1552" s="351"/>
    </row>
    <row r="1553" spans="1:30" ht="115.35" hidden="1" x14ac:dyDescent="0.35">
      <c r="A1553" s="349">
        <v>1552</v>
      </c>
      <c r="B1553" s="352" t="s">
        <v>1787</v>
      </c>
      <c r="C1553" s="351" t="s">
        <v>3473</v>
      </c>
      <c r="D1553" s="352" t="s">
        <v>3473</v>
      </c>
      <c r="E1553" s="352" t="s">
        <v>1995</v>
      </c>
      <c r="F1553" s="353">
        <v>0.8</v>
      </c>
      <c r="G1553" s="352" t="s">
        <v>2126</v>
      </c>
      <c r="H1553" s="176" t="s">
        <v>602</v>
      </c>
      <c r="I1553" s="176" t="s">
        <v>4707</v>
      </c>
      <c r="J1553" s="352" t="s">
        <v>3580</v>
      </c>
      <c r="K1553" s="352">
        <v>300</v>
      </c>
      <c r="L1553" s="352" t="s">
        <v>3581</v>
      </c>
      <c r="M1553" s="352"/>
      <c r="N1553" s="352"/>
      <c r="O1553" s="351">
        <v>300</v>
      </c>
      <c r="P1553" s="349" t="s">
        <v>1836</v>
      </c>
      <c r="R1553" s="349">
        <f t="shared" si="24"/>
        <v>13</v>
      </c>
      <c r="S1553" s="352"/>
      <c r="T1553" s="352"/>
      <c r="U1553" s="352"/>
      <c r="V1553" s="353"/>
      <c r="W1553" s="352"/>
      <c r="X1553" s="176"/>
      <c r="Y1553" s="176"/>
      <c r="Z1553" s="352"/>
      <c r="AA1553" s="351"/>
      <c r="AB1553" s="351"/>
      <c r="AC1553" s="351"/>
      <c r="AD1553" s="351"/>
    </row>
    <row r="1554" spans="1:30" ht="115.35" hidden="1" x14ac:dyDescent="0.35">
      <c r="A1554" s="349">
        <v>1553</v>
      </c>
      <c r="B1554" s="352" t="s">
        <v>1787</v>
      </c>
      <c r="C1554" s="351" t="s">
        <v>3473</v>
      </c>
      <c r="D1554" s="352" t="s">
        <v>3473</v>
      </c>
      <c r="E1554" s="352" t="s">
        <v>1995</v>
      </c>
      <c r="F1554" s="353">
        <v>1.67</v>
      </c>
      <c r="G1554" s="352" t="s">
        <v>2126</v>
      </c>
      <c r="H1554" s="176" t="s">
        <v>602</v>
      </c>
      <c r="I1554" s="176" t="s">
        <v>4707</v>
      </c>
      <c r="J1554" s="352" t="s">
        <v>3580</v>
      </c>
      <c r="K1554" s="352">
        <v>600</v>
      </c>
      <c r="L1554" s="352" t="s">
        <v>3581</v>
      </c>
      <c r="M1554" s="352"/>
      <c r="N1554" s="352"/>
      <c r="O1554" s="351">
        <v>600</v>
      </c>
      <c r="P1554" s="349" t="s">
        <v>1836</v>
      </c>
      <c r="R1554" s="349">
        <f t="shared" si="24"/>
        <v>13</v>
      </c>
      <c r="S1554" s="352"/>
      <c r="T1554" s="352"/>
      <c r="U1554" s="352"/>
      <c r="V1554" s="353"/>
      <c r="W1554" s="352"/>
      <c r="X1554" s="176"/>
      <c r="Y1554" s="176"/>
      <c r="Z1554" s="352"/>
      <c r="AA1554" s="351"/>
      <c r="AB1554" s="351"/>
      <c r="AC1554" s="351"/>
      <c r="AD1554" s="351"/>
    </row>
    <row r="1555" spans="1:30" ht="409.6" hidden="1" x14ac:dyDescent="0.35">
      <c r="A1555" s="349">
        <v>1554</v>
      </c>
      <c r="B1555" s="352" t="s">
        <v>2125</v>
      </c>
      <c r="C1555" s="351" t="s">
        <v>4531</v>
      </c>
      <c r="D1555" s="352" t="s">
        <v>404</v>
      </c>
      <c r="E1555" s="352" t="s">
        <v>2004</v>
      </c>
      <c r="F1555" s="353"/>
      <c r="G1555" s="352" t="s">
        <v>2126</v>
      </c>
      <c r="H1555" s="176" t="s">
        <v>2910</v>
      </c>
      <c r="I1555" s="176" t="s">
        <v>3576</v>
      </c>
      <c r="J1555" s="352" t="s">
        <v>3577</v>
      </c>
      <c r="K1555" s="352"/>
      <c r="L1555" s="352"/>
      <c r="M1555" s="351"/>
      <c r="N1555" s="351"/>
      <c r="O1555" s="351">
        <v>0</v>
      </c>
      <c r="P1555" s="349" t="s">
        <v>2313</v>
      </c>
      <c r="R1555" s="349">
        <f t="shared" si="24"/>
        <v>19</v>
      </c>
      <c r="S1555" s="352"/>
      <c r="T1555" s="352"/>
      <c r="U1555" s="352"/>
      <c r="V1555" s="353"/>
      <c r="W1555" s="352"/>
      <c r="X1555" s="176"/>
      <c r="Y1555" s="176"/>
      <c r="Z1555" s="352"/>
      <c r="AA1555" s="352"/>
      <c r="AB1555" s="352"/>
      <c r="AC1555" s="351"/>
      <c r="AD1555" s="351"/>
    </row>
    <row r="1556" spans="1:30" hidden="1" x14ac:dyDescent="0.35">
      <c r="A1556" s="349">
        <v>1555</v>
      </c>
      <c r="B1556" s="352" t="s">
        <v>2089</v>
      </c>
      <c r="C1556" s="351" t="s">
        <v>1219</v>
      </c>
      <c r="D1556" s="352" t="s">
        <v>1219</v>
      </c>
      <c r="E1556" s="352" t="s">
        <v>3104</v>
      </c>
      <c r="F1556" s="353">
        <v>1.0578000000000001</v>
      </c>
      <c r="G1556" s="352" t="s">
        <v>34</v>
      </c>
      <c r="H1556" s="176" t="s">
        <v>1220</v>
      </c>
      <c r="I1556" s="176" t="s">
        <v>3822</v>
      </c>
      <c r="J1556" s="352" t="s">
        <v>3105</v>
      </c>
      <c r="K1556" s="352">
        <v>4</v>
      </c>
      <c r="L1556" s="352" t="s">
        <v>1116</v>
      </c>
      <c r="M1556" s="351">
        <v>0.5</v>
      </c>
      <c r="N1556" s="351" t="s">
        <v>1109</v>
      </c>
      <c r="O1556" s="351">
        <v>4</v>
      </c>
      <c r="P1556" s="349" t="s">
        <v>1836</v>
      </c>
      <c r="R1556" s="349">
        <f t="shared" si="24"/>
        <v>13</v>
      </c>
      <c r="S1556" s="352"/>
      <c r="T1556" s="352"/>
      <c r="U1556" s="352"/>
      <c r="V1556" s="353"/>
      <c r="W1556" s="352"/>
      <c r="X1556" s="176"/>
      <c r="Y1556" s="176"/>
      <c r="Z1556" s="352"/>
      <c r="AA1556" s="351"/>
      <c r="AB1556" s="351"/>
      <c r="AC1556" s="351"/>
      <c r="AD1556" s="351"/>
    </row>
    <row r="1557" spans="1:30" hidden="1" x14ac:dyDescent="0.35">
      <c r="A1557" s="349">
        <v>1556</v>
      </c>
      <c r="B1557" s="352" t="s">
        <v>2089</v>
      </c>
      <c r="C1557" s="351" t="s">
        <v>4532</v>
      </c>
      <c r="D1557" s="352" t="s">
        <v>1219</v>
      </c>
      <c r="E1557" s="352" t="s">
        <v>3104</v>
      </c>
      <c r="F1557" s="353">
        <v>1.0578000000000001</v>
      </c>
      <c r="G1557" s="352" t="s">
        <v>34</v>
      </c>
      <c r="H1557" s="176" t="s">
        <v>1220</v>
      </c>
      <c r="I1557" s="176" t="s">
        <v>3822</v>
      </c>
      <c r="J1557" s="352" t="s">
        <v>3105</v>
      </c>
      <c r="K1557" s="352">
        <v>4</v>
      </c>
      <c r="L1557" s="352" t="s">
        <v>1116</v>
      </c>
      <c r="M1557" s="352">
        <v>0.5</v>
      </c>
      <c r="N1557" s="352" t="s">
        <v>1109</v>
      </c>
      <c r="O1557" s="351">
        <v>4</v>
      </c>
      <c r="P1557" s="349" t="s">
        <v>1836</v>
      </c>
      <c r="R1557" s="349">
        <f t="shared" si="24"/>
        <v>13</v>
      </c>
      <c r="S1557" s="352"/>
      <c r="T1557" s="352"/>
      <c r="U1557" s="352"/>
      <c r="V1557" s="353"/>
      <c r="W1557" s="352"/>
      <c r="X1557" s="176"/>
      <c r="Y1557" s="176"/>
      <c r="Z1557" s="352"/>
      <c r="AA1557" s="351"/>
      <c r="AB1557" s="351"/>
      <c r="AC1557" s="351"/>
      <c r="AD1557" s="351"/>
    </row>
    <row r="1558" spans="1:30" ht="25.65" hidden="1" x14ac:dyDescent="0.35">
      <c r="A1558" s="349">
        <v>1557</v>
      </c>
      <c r="B1558" s="352" t="s">
        <v>466</v>
      </c>
      <c r="C1558" s="351" t="s">
        <v>674</v>
      </c>
      <c r="D1558" s="352" t="s">
        <v>674</v>
      </c>
      <c r="E1558" s="352" t="s">
        <v>467</v>
      </c>
      <c r="F1558" s="353">
        <v>27.0395</v>
      </c>
      <c r="G1558" s="352" t="s">
        <v>468</v>
      </c>
      <c r="H1558" s="176" t="s">
        <v>4098</v>
      </c>
      <c r="I1558" s="176" t="s">
        <v>359</v>
      </c>
      <c r="J1558" s="352" t="s">
        <v>469</v>
      </c>
      <c r="K1558" s="352">
        <v>10</v>
      </c>
      <c r="L1558" s="352" t="s">
        <v>2090</v>
      </c>
      <c r="M1558" s="352">
        <v>50</v>
      </c>
      <c r="N1558" s="352" t="s">
        <v>1109</v>
      </c>
      <c r="O1558" s="351">
        <v>10</v>
      </c>
      <c r="P1558" s="349" t="s">
        <v>1836</v>
      </c>
      <c r="R1558" s="349">
        <f t="shared" si="24"/>
        <v>11</v>
      </c>
      <c r="S1558" s="352"/>
      <c r="T1558" s="352"/>
      <c r="U1558" s="352"/>
      <c r="V1558" s="353"/>
      <c r="W1558" s="352"/>
      <c r="X1558" s="176"/>
      <c r="Y1558" s="176"/>
      <c r="Z1558" s="352"/>
      <c r="AA1558" s="351"/>
      <c r="AB1558" s="351"/>
      <c r="AC1558" s="351"/>
      <c r="AD1558" s="351"/>
    </row>
    <row r="1559" spans="1:30" ht="89.75" hidden="1" x14ac:dyDescent="0.35">
      <c r="A1559" s="349">
        <v>1558</v>
      </c>
      <c r="B1559" s="352" t="s">
        <v>1500</v>
      </c>
      <c r="C1559" s="351" t="s">
        <v>674</v>
      </c>
      <c r="D1559" s="352" t="s">
        <v>674</v>
      </c>
      <c r="E1559" s="352" t="s">
        <v>1788</v>
      </c>
      <c r="F1559" s="353">
        <v>69.967799999999997</v>
      </c>
      <c r="G1559" s="352" t="s">
        <v>2126</v>
      </c>
      <c r="H1559" s="176" t="s">
        <v>512</v>
      </c>
      <c r="I1559" s="37" t="s">
        <v>513</v>
      </c>
      <c r="J1559" s="352" t="s">
        <v>3579</v>
      </c>
      <c r="K1559" s="352">
        <v>1</v>
      </c>
      <c r="L1559" s="352" t="s">
        <v>1116</v>
      </c>
      <c r="M1559" s="352">
        <v>250</v>
      </c>
      <c r="N1559" s="352" t="s">
        <v>1109</v>
      </c>
      <c r="O1559" s="351">
        <v>1</v>
      </c>
      <c r="P1559" s="349" t="s">
        <v>1836</v>
      </c>
      <c r="R1559" s="349">
        <f t="shared" si="24"/>
        <v>11</v>
      </c>
      <c r="S1559" s="352"/>
      <c r="T1559" s="352"/>
      <c r="U1559" s="352"/>
      <c r="V1559" s="353"/>
      <c r="W1559" s="352"/>
      <c r="X1559" s="176"/>
      <c r="Y1559" s="176"/>
      <c r="Z1559" s="352"/>
      <c r="AA1559" s="351"/>
      <c r="AB1559" s="351"/>
      <c r="AC1559" s="351"/>
      <c r="AD1559" s="351"/>
    </row>
    <row r="1560" spans="1:30" ht="89.75" hidden="1" x14ac:dyDescent="0.35">
      <c r="A1560" s="349">
        <v>1559</v>
      </c>
      <c r="B1560" s="352" t="s">
        <v>1500</v>
      </c>
      <c r="C1560" s="351" t="s">
        <v>674</v>
      </c>
      <c r="D1560" s="352" t="s">
        <v>674</v>
      </c>
      <c r="E1560" s="352" t="s">
        <v>1995</v>
      </c>
      <c r="F1560" s="353">
        <v>0.46279999999999999</v>
      </c>
      <c r="G1560" s="352" t="s">
        <v>2126</v>
      </c>
      <c r="H1560" s="176" t="s">
        <v>512</v>
      </c>
      <c r="I1560" s="176" t="s">
        <v>513</v>
      </c>
      <c r="J1560" s="352" t="s">
        <v>3580</v>
      </c>
      <c r="K1560" s="352">
        <v>2.5</v>
      </c>
      <c r="L1560" s="352" t="s">
        <v>3581</v>
      </c>
      <c r="M1560" s="352"/>
      <c r="N1560" s="352"/>
      <c r="O1560" s="351">
        <v>2.5</v>
      </c>
      <c r="P1560" s="349" t="s">
        <v>1836</v>
      </c>
      <c r="R1560" s="349">
        <f t="shared" si="24"/>
        <v>11</v>
      </c>
      <c r="S1560" s="352"/>
      <c r="T1560" s="352"/>
      <c r="U1560" s="352"/>
      <c r="V1560" s="351"/>
      <c r="W1560" s="352"/>
      <c r="X1560" s="176"/>
      <c r="Y1560" s="176"/>
      <c r="Z1560" s="352"/>
      <c r="AA1560" s="351"/>
      <c r="AB1560" s="351"/>
      <c r="AC1560" s="351"/>
      <c r="AD1560" s="351"/>
    </row>
    <row r="1561" spans="1:30" ht="89.75" hidden="1" x14ac:dyDescent="0.35">
      <c r="A1561" s="349">
        <v>1560</v>
      </c>
      <c r="B1561" s="352" t="s">
        <v>1500</v>
      </c>
      <c r="C1561" s="351" t="s">
        <v>674</v>
      </c>
      <c r="D1561" s="352" t="s">
        <v>674</v>
      </c>
      <c r="E1561" s="352" t="s">
        <v>1995</v>
      </c>
      <c r="F1561" s="353">
        <v>0.22040000000000001</v>
      </c>
      <c r="G1561" s="352" t="s">
        <v>2126</v>
      </c>
      <c r="H1561" s="176" t="s">
        <v>512</v>
      </c>
      <c r="I1561" s="176" t="s">
        <v>513</v>
      </c>
      <c r="J1561" s="352" t="s">
        <v>3580</v>
      </c>
      <c r="K1561" s="352">
        <v>5</v>
      </c>
      <c r="L1561" s="352" t="s">
        <v>3581</v>
      </c>
      <c r="M1561" s="352"/>
      <c r="N1561" s="352"/>
      <c r="O1561" s="351">
        <v>5</v>
      </c>
      <c r="P1561" s="349" t="s">
        <v>1836</v>
      </c>
      <c r="R1561" s="349">
        <f t="shared" si="24"/>
        <v>11</v>
      </c>
      <c r="S1561" s="352"/>
      <c r="T1561" s="352"/>
      <c r="U1561" s="352"/>
      <c r="V1561" s="351"/>
      <c r="W1561" s="352"/>
      <c r="X1561" s="176"/>
      <c r="Y1561" s="176"/>
      <c r="Z1561" s="352"/>
      <c r="AA1561" s="351"/>
      <c r="AB1561" s="351"/>
      <c r="AC1561" s="351"/>
      <c r="AD1561" s="351"/>
    </row>
    <row r="1562" spans="1:30" ht="25.65" hidden="1" x14ac:dyDescent="0.35">
      <c r="A1562" s="349">
        <v>1561</v>
      </c>
      <c r="B1562" s="352" t="s">
        <v>466</v>
      </c>
      <c r="C1562" s="351" t="s">
        <v>674</v>
      </c>
      <c r="D1562" s="352" t="s">
        <v>674</v>
      </c>
      <c r="E1562" s="352" t="s">
        <v>467</v>
      </c>
      <c r="F1562" s="353">
        <v>27.0395</v>
      </c>
      <c r="G1562" s="352" t="s">
        <v>468</v>
      </c>
      <c r="H1562" s="176" t="s">
        <v>4098</v>
      </c>
      <c r="I1562" s="176" t="s">
        <v>359</v>
      </c>
      <c r="J1562" s="352" t="s">
        <v>469</v>
      </c>
      <c r="K1562" s="351">
        <v>10</v>
      </c>
      <c r="L1562" s="351" t="s">
        <v>2090</v>
      </c>
      <c r="M1562" s="351">
        <v>50</v>
      </c>
      <c r="N1562" s="351" t="s">
        <v>1109</v>
      </c>
      <c r="O1562" s="351">
        <v>10</v>
      </c>
      <c r="P1562" s="349" t="s">
        <v>1836</v>
      </c>
      <c r="R1562" s="349">
        <f t="shared" si="24"/>
        <v>11</v>
      </c>
      <c r="S1562" s="352"/>
      <c r="T1562" s="352"/>
      <c r="U1562" s="352"/>
      <c r="V1562" s="353"/>
      <c r="W1562" s="352"/>
      <c r="X1562" s="176"/>
      <c r="Y1562" s="176"/>
      <c r="Z1562" s="352"/>
      <c r="AA1562" s="352"/>
      <c r="AB1562" s="352"/>
      <c r="AC1562" s="351"/>
      <c r="AD1562" s="351"/>
    </row>
    <row r="1563" spans="1:30" ht="25.65" hidden="1" x14ac:dyDescent="0.35">
      <c r="A1563" s="349">
        <v>1562</v>
      </c>
      <c r="B1563" s="352" t="s">
        <v>3462</v>
      </c>
      <c r="C1563" s="351" t="s">
        <v>3085</v>
      </c>
      <c r="D1563" s="352" t="s">
        <v>3085</v>
      </c>
      <c r="E1563" s="352" t="s">
        <v>1756</v>
      </c>
      <c r="F1563" s="353">
        <v>4.2972000000000001</v>
      </c>
      <c r="G1563" s="352" t="s">
        <v>3463</v>
      </c>
      <c r="H1563" s="176" t="s">
        <v>3086</v>
      </c>
      <c r="I1563" s="176"/>
      <c r="J1563" s="352" t="s">
        <v>4025</v>
      </c>
      <c r="K1563" s="352">
        <v>0.25</v>
      </c>
      <c r="L1563" s="352" t="s">
        <v>1116</v>
      </c>
      <c r="M1563" s="351">
        <v>10</v>
      </c>
      <c r="N1563" s="351" t="s">
        <v>1109</v>
      </c>
      <c r="O1563" s="351">
        <v>0.25</v>
      </c>
      <c r="P1563" s="349" t="s">
        <v>1836</v>
      </c>
      <c r="R1563" s="349">
        <f t="shared" si="24"/>
        <v>13</v>
      </c>
      <c r="S1563" s="352"/>
      <c r="T1563" s="352"/>
      <c r="U1563" s="352"/>
      <c r="V1563" s="353"/>
      <c r="W1563" s="352"/>
      <c r="X1563" s="176"/>
      <c r="Y1563" s="176"/>
      <c r="Z1563" s="352"/>
      <c r="AA1563" s="352"/>
      <c r="AB1563" s="352"/>
      <c r="AC1563" s="351"/>
      <c r="AD1563" s="351"/>
    </row>
    <row r="1564" spans="1:30" ht="25.65" hidden="1" x14ac:dyDescent="0.35">
      <c r="A1564" s="349">
        <v>1563</v>
      </c>
      <c r="B1564" s="352" t="s">
        <v>3462</v>
      </c>
      <c r="C1564" s="351" t="s">
        <v>3085</v>
      </c>
      <c r="D1564" s="352" t="s">
        <v>3085</v>
      </c>
      <c r="E1564" s="352" t="s">
        <v>1756</v>
      </c>
      <c r="F1564" s="353">
        <v>4.8899999999999997</v>
      </c>
      <c r="G1564" s="352" t="s">
        <v>3463</v>
      </c>
      <c r="H1564" s="176" t="s">
        <v>3045</v>
      </c>
      <c r="I1564" s="176"/>
      <c r="J1564" s="352" t="s">
        <v>4025</v>
      </c>
      <c r="K1564" s="352">
        <v>0.5</v>
      </c>
      <c r="L1564" s="352" t="s">
        <v>1116</v>
      </c>
      <c r="M1564" s="351">
        <v>10</v>
      </c>
      <c r="N1564" s="351" t="s">
        <v>1109</v>
      </c>
      <c r="O1564" s="351">
        <v>0.5</v>
      </c>
      <c r="P1564" s="349" t="s">
        <v>1836</v>
      </c>
      <c r="R1564" s="349">
        <f t="shared" si="24"/>
        <v>13</v>
      </c>
      <c r="S1564" s="352"/>
      <c r="T1564" s="352"/>
      <c r="U1564" s="352"/>
      <c r="V1564" s="353"/>
      <c r="W1564" s="352"/>
      <c r="X1564" s="176"/>
      <c r="Y1564" s="176"/>
      <c r="Z1564" s="352"/>
      <c r="AA1564" s="352"/>
      <c r="AB1564" s="352"/>
      <c r="AC1564" s="351"/>
      <c r="AD1564" s="351"/>
    </row>
    <row r="1565" spans="1:30" ht="25.65" hidden="1" x14ac:dyDescent="0.35">
      <c r="A1565" s="349">
        <v>1564</v>
      </c>
      <c r="B1565" s="352" t="s">
        <v>1512</v>
      </c>
      <c r="C1565" s="351" t="s">
        <v>3087</v>
      </c>
      <c r="D1565" s="352" t="s">
        <v>3087</v>
      </c>
      <c r="E1565" s="352" t="s">
        <v>3251</v>
      </c>
      <c r="F1565" s="353">
        <v>11.95</v>
      </c>
      <c r="G1565" s="352" t="s">
        <v>1107</v>
      </c>
      <c r="H1565" s="176" t="s">
        <v>3088</v>
      </c>
      <c r="I1565" s="176" t="s">
        <v>2511</v>
      </c>
      <c r="J1565" s="352" t="s">
        <v>1115</v>
      </c>
      <c r="K1565" s="352">
        <v>3</v>
      </c>
      <c r="L1565" s="352" t="s">
        <v>3252</v>
      </c>
      <c r="M1565" s="351">
        <v>60</v>
      </c>
      <c r="N1565" s="351" t="s">
        <v>1109</v>
      </c>
      <c r="O1565" s="351">
        <v>3</v>
      </c>
      <c r="P1565" s="349" t="s">
        <v>818</v>
      </c>
      <c r="R1565" s="349">
        <f t="shared" si="24"/>
        <v>19</v>
      </c>
      <c r="S1565" s="352"/>
      <c r="T1565" s="352"/>
      <c r="U1565" s="352"/>
      <c r="V1565" s="353"/>
      <c r="W1565" s="352"/>
      <c r="X1565" s="176"/>
      <c r="Y1565" s="176"/>
      <c r="Z1565" s="352"/>
      <c r="AA1565" s="352"/>
      <c r="AB1565" s="352"/>
      <c r="AC1565" s="351"/>
      <c r="AD1565" s="351"/>
    </row>
    <row r="1566" spans="1:30" ht="76.900000000000006" hidden="1" x14ac:dyDescent="0.35">
      <c r="A1566" s="349">
        <v>1565</v>
      </c>
      <c r="B1566" s="352" t="s">
        <v>2285</v>
      </c>
      <c r="C1566" s="351" t="s">
        <v>4533</v>
      </c>
      <c r="D1566" s="352" t="s">
        <v>1391</v>
      </c>
      <c r="E1566" s="352" t="s">
        <v>2024</v>
      </c>
      <c r="F1566" s="353">
        <v>0.4</v>
      </c>
      <c r="G1566" s="352" t="s">
        <v>2126</v>
      </c>
      <c r="H1566" s="176" t="s">
        <v>2394</v>
      </c>
      <c r="I1566" s="176" t="s">
        <v>3811</v>
      </c>
      <c r="J1566" s="352" t="s">
        <v>2286</v>
      </c>
      <c r="K1566" s="352"/>
      <c r="L1566" s="352"/>
      <c r="M1566" s="351"/>
      <c r="N1566" s="351"/>
      <c r="O1566" s="351">
        <v>0</v>
      </c>
      <c r="P1566" s="349" t="s">
        <v>2313</v>
      </c>
      <c r="R1566" s="349">
        <f t="shared" si="24"/>
        <v>24</v>
      </c>
      <c r="S1566" s="352"/>
      <c r="T1566" s="352"/>
      <c r="U1566" s="352"/>
      <c r="V1566" s="353"/>
      <c r="W1566" s="352"/>
      <c r="X1566" s="176"/>
      <c r="Y1566" s="37"/>
      <c r="Z1566" s="352"/>
      <c r="AA1566" s="352"/>
      <c r="AB1566" s="352"/>
      <c r="AC1566" s="351"/>
      <c r="AD1566" s="351"/>
    </row>
    <row r="1567" spans="1:30" ht="76.900000000000006" hidden="1" x14ac:dyDescent="0.35">
      <c r="A1567" s="349">
        <v>1566</v>
      </c>
      <c r="B1567" s="352" t="s">
        <v>2285</v>
      </c>
      <c r="C1567" s="351" t="s">
        <v>2676</v>
      </c>
      <c r="D1567" s="352" t="s">
        <v>1391</v>
      </c>
      <c r="E1567" s="352" t="s">
        <v>2024</v>
      </c>
      <c r="F1567" s="353">
        <v>0.8</v>
      </c>
      <c r="G1567" s="352" t="s">
        <v>2126</v>
      </c>
      <c r="H1567" s="176" t="s">
        <v>3449</v>
      </c>
      <c r="I1567" s="176" t="s">
        <v>4228</v>
      </c>
      <c r="J1567" s="352" t="s">
        <v>2286</v>
      </c>
      <c r="K1567" s="351">
        <v>150</v>
      </c>
      <c r="L1567" s="351" t="s">
        <v>23</v>
      </c>
      <c r="M1567" s="351"/>
      <c r="N1567" s="351"/>
      <c r="O1567" s="351">
        <v>150</v>
      </c>
      <c r="P1567" s="349" t="s">
        <v>1836</v>
      </c>
      <c r="R1567" s="349">
        <f t="shared" si="24"/>
        <v>24</v>
      </c>
      <c r="S1567" s="352"/>
      <c r="T1567" s="352"/>
      <c r="U1567" s="352"/>
      <c r="V1567" s="353"/>
      <c r="W1567" s="352"/>
      <c r="X1567" s="176"/>
      <c r="Y1567" s="37"/>
      <c r="Z1567" s="352"/>
      <c r="AA1567" s="352"/>
      <c r="AB1567" s="352"/>
      <c r="AC1567" s="351"/>
      <c r="AD1567" s="351"/>
    </row>
    <row r="1568" spans="1:30" ht="76.900000000000006" hidden="1" x14ac:dyDescent="0.35">
      <c r="A1568" s="349">
        <v>1567</v>
      </c>
      <c r="B1568" s="352" t="s">
        <v>2285</v>
      </c>
      <c r="C1568" s="351" t="s">
        <v>2676</v>
      </c>
      <c r="D1568" s="352" t="s">
        <v>1391</v>
      </c>
      <c r="E1568" s="352" t="s">
        <v>2024</v>
      </c>
      <c r="F1568" s="353">
        <v>2.2000000000000002</v>
      </c>
      <c r="G1568" s="352" t="s">
        <v>2126</v>
      </c>
      <c r="H1568" s="176" t="s">
        <v>4229</v>
      </c>
      <c r="I1568" s="176" t="s">
        <v>4230</v>
      </c>
      <c r="J1568" s="352" t="s">
        <v>2286</v>
      </c>
      <c r="K1568" s="351">
        <v>300</v>
      </c>
      <c r="L1568" s="351" t="s">
        <v>23</v>
      </c>
      <c r="M1568" s="351"/>
      <c r="N1568" s="351"/>
      <c r="O1568" s="351">
        <v>300</v>
      </c>
      <c r="P1568" s="349" t="s">
        <v>1836</v>
      </c>
      <c r="R1568" s="349">
        <f t="shared" si="24"/>
        <v>24</v>
      </c>
      <c r="S1568" s="352"/>
      <c r="T1568" s="352"/>
      <c r="U1568" s="352"/>
      <c r="V1568" s="353"/>
      <c r="W1568" s="352"/>
      <c r="X1568" s="176"/>
      <c r="Y1568" s="37"/>
      <c r="Z1568" s="352"/>
      <c r="AA1568" s="352"/>
      <c r="AB1568" s="352"/>
      <c r="AC1568" s="351"/>
      <c r="AD1568" s="351"/>
    </row>
    <row r="1569" spans="1:30" ht="76.900000000000006" hidden="1" x14ac:dyDescent="0.35">
      <c r="A1569" s="349">
        <v>1568</v>
      </c>
      <c r="B1569" s="352" t="s">
        <v>2285</v>
      </c>
      <c r="C1569" s="351" t="s">
        <v>2676</v>
      </c>
      <c r="D1569" s="352" t="s">
        <v>1391</v>
      </c>
      <c r="E1569" s="352" t="s">
        <v>2024</v>
      </c>
      <c r="F1569" s="353">
        <v>0.4</v>
      </c>
      <c r="G1569" s="352" t="s">
        <v>2126</v>
      </c>
      <c r="H1569" s="176" t="s">
        <v>2394</v>
      </c>
      <c r="I1569" s="176" t="s">
        <v>3811</v>
      </c>
      <c r="J1569" s="352" t="s">
        <v>2286</v>
      </c>
      <c r="K1569" s="351"/>
      <c r="L1569" s="351"/>
      <c r="M1569" s="351"/>
      <c r="N1569" s="351"/>
      <c r="O1569" s="351">
        <v>0</v>
      </c>
      <c r="P1569" s="349" t="s">
        <v>2313</v>
      </c>
      <c r="R1569" s="349">
        <f t="shared" si="24"/>
        <v>24</v>
      </c>
      <c r="S1569" s="352"/>
      <c r="T1569" s="352"/>
      <c r="U1569" s="352"/>
      <c r="V1569" s="353"/>
      <c r="W1569" s="352"/>
      <c r="X1569" s="176"/>
      <c r="Y1569" s="37"/>
      <c r="Z1569" s="352"/>
      <c r="AA1569" s="352"/>
      <c r="AB1569" s="352"/>
      <c r="AC1569" s="351"/>
      <c r="AD1569" s="351"/>
    </row>
    <row r="1570" spans="1:30" ht="89.75" hidden="1" x14ac:dyDescent="0.35">
      <c r="A1570" s="349">
        <v>1569</v>
      </c>
      <c r="B1570" s="352" t="s">
        <v>2285</v>
      </c>
      <c r="C1570" s="351" t="s">
        <v>2676</v>
      </c>
      <c r="D1570" s="352" t="s">
        <v>1391</v>
      </c>
      <c r="E1570" s="352" t="s">
        <v>2024</v>
      </c>
      <c r="F1570" s="353">
        <v>0.99170000000000003</v>
      </c>
      <c r="G1570" s="352" t="s">
        <v>2126</v>
      </c>
      <c r="H1570" s="176" t="s">
        <v>4229</v>
      </c>
      <c r="I1570" s="176" t="s">
        <v>200</v>
      </c>
      <c r="J1570" s="352" t="s">
        <v>2286</v>
      </c>
      <c r="K1570" s="352"/>
      <c r="L1570" s="352"/>
      <c r="M1570" s="352"/>
      <c r="N1570" s="352"/>
      <c r="O1570" s="351">
        <v>0</v>
      </c>
      <c r="P1570" s="349" t="s">
        <v>2313</v>
      </c>
      <c r="R1570" s="349">
        <f t="shared" si="24"/>
        <v>24</v>
      </c>
      <c r="S1570" s="352"/>
      <c r="T1570" s="352"/>
      <c r="U1570" s="352"/>
      <c r="V1570" s="353"/>
      <c r="W1570" s="352"/>
      <c r="X1570" s="176"/>
      <c r="Y1570" s="176"/>
      <c r="Z1570" s="352"/>
      <c r="AA1570" s="352"/>
      <c r="AB1570" s="352"/>
      <c r="AC1570" s="351"/>
      <c r="AD1570" s="351"/>
    </row>
    <row r="1571" spans="1:30" ht="89.75" hidden="1" x14ac:dyDescent="0.35">
      <c r="A1571" s="349">
        <v>1570</v>
      </c>
      <c r="B1571" s="352" t="s">
        <v>2285</v>
      </c>
      <c r="C1571" s="351" t="s">
        <v>2676</v>
      </c>
      <c r="D1571" s="352" t="s">
        <v>1391</v>
      </c>
      <c r="E1571" s="352" t="s">
        <v>2024</v>
      </c>
      <c r="F1571" s="353">
        <v>0.95</v>
      </c>
      <c r="G1571" s="352" t="s">
        <v>2126</v>
      </c>
      <c r="H1571" s="176" t="s">
        <v>201</v>
      </c>
      <c r="I1571" s="176" t="s">
        <v>202</v>
      </c>
      <c r="J1571" s="352" t="s">
        <v>2286</v>
      </c>
      <c r="K1571" s="352"/>
      <c r="L1571" s="352"/>
      <c r="M1571" s="352"/>
      <c r="N1571" s="352"/>
      <c r="O1571" s="351">
        <v>0</v>
      </c>
      <c r="P1571" s="349" t="s">
        <v>2313</v>
      </c>
      <c r="R1571" s="349">
        <f t="shared" si="24"/>
        <v>24</v>
      </c>
      <c r="S1571" s="352"/>
      <c r="T1571" s="352"/>
      <c r="U1571" s="352"/>
      <c r="V1571" s="353"/>
      <c r="W1571" s="352"/>
      <c r="X1571" s="176"/>
      <c r="Y1571" s="176"/>
      <c r="Z1571" s="352"/>
      <c r="AA1571" s="352"/>
      <c r="AB1571" s="352"/>
      <c r="AC1571" s="352"/>
      <c r="AD1571" s="352"/>
    </row>
    <row r="1572" spans="1:30" ht="141" hidden="1" x14ac:dyDescent="0.35">
      <c r="A1572" s="349">
        <v>1571</v>
      </c>
      <c r="B1572" s="352" t="s">
        <v>2285</v>
      </c>
      <c r="C1572" s="351" t="s">
        <v>2676</v>
      </c>
      <c r="D1572" s="352" t="s">
        <v>1391</v>
      </c>
      <c r="E1572" s="352" t="s">
        <v>2091</v>
      </c>
      <c r="F1572" s="353">
        <v>0.25</v>
      </c>
      <c r="G1572" s="352" t="s">
        <v>2126</v>
      </c>
      <c r="H1572" s="176" t="s">
        <v>1334</v>
      </c>
      <c r="I1572" s="176" t="s">
        <v>4836</v>
      </c>
      <c r="J1572" s="352" t="s">
        <v>3577</v>
      </c>
      <c r="K1572" s="352">
        <v>125</v>
      </c>
      <c r="L1572" s="352" t="s">
        <v>2068</v>
      </c>
      <c r="M1572" s="351">
        <v>125</v>
      </c>
      <c r="N1572" s="351" t="s">
        <v>2092</v>
      </c>
      <c r="O1572" s="351">
        <v>125</v>
      </c>
      <c r="P1572" s="349" t="s">
        <v>1836</v>
      </c>
      <c r="R1572" s="349">
        <f t="shared" si="24"/>
        <v>24</v>
      </c>
      <c r="S1572" s="352"/>
      <c r="T1572" s="352"/>
      <c r="U1572" s="352"/>
      <c r="V1572" s="353"/>
      <c r="W1572" s="352"/>
      <c r="X1572" s="176"/>
      <c r="Y1572" s="176"/>
      <c r="Z1572" s="352"/>
      <c r="AA1572" s="352"/>
      <c r="AB1572" s="352"/>
      <c r="AC1572" s="352"/>
      <c r="AD1572" s="352"/>
    </row>
    <row r="1573" spans="1:30" ht="141" hidden="1" x14ac:dyDescent="0.35">
      <c r="A1573" s="349">
        <v>1572</v>
      </c>
      <c r="B1573" s="352" t="s">
        <v>2285</v>
      </c>
      <c r="C1573" s="351" t="s">
        <v>2676</v>
      </c>
      <c r="D1573" s="352" t="s">
        <v>1391</v>
      </c>
      <c r="E1573" s="352" t="s">
        <v>2093</v>
      </c>
      <c r="F1573" s="353">
        <v>0.25</v>
      </c>
      <c r="G1573" s="352" t="s">
        <v>2126</v>
      </c>
      <c r="H1573" s="176" t="s">
        <v>1334</v>
      </c>
      <c r="I1573" s="176" t="s">
        <v>4836</v>
      </c>
      <c r="J1573" s="352" t="s">
        <v>3577</v>
      </c>
      <c r="K1573" s="352">
        <v>250</v>
      </c>
      <c r="L1573" s="352" t="s">
        <v>2068</v>
      </c>
      <c r="M1573" s="351">
        <v>250</v>
      </c>
      <c r="N1573" s="351" t="s">
        <v>2092</v>
      </c>
      <c r="O1573" s="351">
        <v>250</v>
      </c>
      <c r="P1573" s="349" t="s">
        <v>1836</v>
      </c>
      <c r="R1573" s="349">
        <f t="shared" si="24"/>
        <v>24</v>
      </c>
      <c r="S1573" s="352"/>
      <c r="T1573" s="352"/>
      <c r="U1573" s="352"/>
      <c r="V1573" s="353"/>
      <c r="W1573" s="352"/>
      <c r="X1573" s="176"/>
      <c r="Y1573" s="176"/>
      <c r="Z1573" s="352"/>
      <c r="AA1573" s="351"/>
      <c r="AB1573" s="351"/>
      <c r="AC1573" s="351"/>
      <c r="AD1573" s="351"/>
    </row>
    <row r="1574" spans="1:30" ht="141" hidden="1" x14ac:dyDescent="0.35">
      <c r="A1574" s="349">
        <v>1573</v>
      </c>
      <c r="B1574" s="352" t="s">
        <v>2285</v>
      </c>
      <c r="C1574" s="351" t="s">
        <v>2676</v>
      </c>
      <c r="D1574" s="352" t="s">
        <v>1391</v>
      </c>
      <c r="E1574" s="352" t="s">
        <v>2023</v>
      </c>
      <c r="F1574" s="353">
        <v>0.25</v>
      </c>
      <c r="G1574" s="352" t="s">
        <v>967</v>
      </c>
      <c r="H1574" s="176" t="s">
        <v>1335</v>
      </c>
      <c r="I1574" s="176" t="s">
        <v>4836</v>
      </c>
      <c r="J1574" s="352" t="s">
        <v>2023</v>
      </c>
      <c r="K1574" s="352">
        <v>125</v>
      </c>
      <c r="L1574" s="352" t="s">
        <v>2068</v>
      </c>
      <c r="M1574" s="352"/>
      <c r="N1574" s="352"/>
      <c r="O1574" s="351">
        <v>125</v>
      </c>
      <c r="P1574" s="349" t="s">
        <v>1836</v>
      </c>
      <c r="R1574" s="349">
        <f t="shared" si="24"/>
        <v>24</v>
      </c>
      <c r="S1574" s="352"/>
      <c r="T1574" s="352"/>
      <c r="U1574" s="352"/>
      <c r="V1574" s="353"/>
      <c r="W1574" s="352"/>
      <c r="X1574" s="176"/>
      <c r="Y1574" s="176"/>
      <c r="Z1574" s="352"/>
      <c r="AA1574" s="351"/>
      <c r="AB1574" s="351"/>
      <c r="AC1574" s="351"/>
      <c r="AD1574" s="351"/>
    </row>
    <row r="1575" spans="1:30" ht="141" hidden="1" x14ac:dyDescent="0.35">
      <c r="A1575" s="349">
        <v>1574</v>
      </c>
      <c r="B1575" s="352" t="s">
        <v>2285</v>
      </c>
      <c r="C1575" s="351" t="s">
        <v>2676</v>
      </c>
      <c r="D1575" s="352" t="s">
        <v>1391</v>
      </c>
      <c r="E1575" s="352" t="s">
        <v>2023</v>
      </c>
      <c r="F1575" s="353">
        <v>0.25</v>
      </c>
      <c r="G1575" s="352" t="s">
        <v>967</v>
      </c>
      <c r="H1575" s="176" t="s">
        <v>1335</v>
      </c>
      <c r="I1575" s="176" t="s">
        <v>4836</v>
      </c>
      <c r="J1575" s="352" t="s">
        <v>2023</v>
      </c>
      <c r="K1575" s="352">
        <v>250</v>
      </c>
      <c r="L1575" s="352" t="s">
        <v>2068</v>
      </c>
      <c r="M1575" s="352"/>
      <c r="N1575" s="352"/>
      <c r="O1575" s="351">
        <v>250</v>
      </c>
      <c r="P1575" s="349" t="s">
        <v>1836</v>
      </c>
      <c r="R1575" s="349">
        <f t="shared" si="24"/>
        <v>24</v>
      </c>
      <c r="S1575" s="352"/>
      <c r="T1575" s="352"/>
      <c r="U1575" s="352"/>
      <c r="V1575" s="353"/>
      <c r="W1575" s="352"/>
      <c r="X1575" s="176"/>
      <c r="Y1575" s="176"/>
      <c r="Z1575" s="352"/>
      <c r="AA1575" s="351"/>
      <c r="AB1575" s="351"/>
      <c r="AC1575" s="351"/>
      <c r="AD1575" s="351"/>
    </row>
    <row r="1576" spans="1:30" ht="141" hidden="1" x14ac:dyDescent="0.35">
      <c r="A1576" s="349">
        <v>1575</v>
      </c>
      <c r="B1576" s="352" t="s">
        <v>2285</v>
      </c>
      <c r="C1576" s="351" t="s">
        <v>4534</v>
      </c>
      <c r="D1576" s="352" t="s">
        <v>1391</v>
      </c>
      <c r="E1576" s="352" t="s">
        <v>2091</v>
      </c>
      <c r="F1576" s="353">
        <v>0.25</v>
      </c>
      <c r="G1576" s="352" t="s">
        <v>2126</v>
      </c>
      <c r="H1576" s="176" t="s">
        <v>1334</v>
      </c>
      <c r="I1576" s="176" t="s">
        <v>4836</v>
      </c>
      <c r="J1576" s="352" t="s">
        <v>3577</v>
      </c>
      <c r="K1576" s="352">
        <v>125</v>
      </c>
      <c r="L1576" s="352" t="s">
        <v>2068</v>
      </c>
      <c r="M1576" s="352">
        <v>125</v>
      </c>
      <c r="N1576" s="352" t="s">
        <v>2092</v>
      </c>
      <c r="O1576" s="351">
        <v>125</v>
      </c>
      <c r="P1576" s="349" t="s">
        <v>1836</v>
      </c>
      <c r="R1576" s="349">
        <f t="shared" si="24"/>
        <v>24</v>
      </c>
      <c r="S1576" s="352"/>
      <c r="T1576" s="352"/>
      <c r="U1576" s="352"/>
      <c r="V1576" s="353"/>
      <c r="W1576" s="352"/>
      <c r="X1576" s="176"/>
      <c r="Y1576" s="176"/>
      <c r="Z1576" s="352"/>
      <c r="AA1576" s="351"/>
      <c r="AB1576" s="351"/>
      <c r="AC1576" s="351"/>
      <c r="AD1576" s="351"/>
    </row>
    <row r="1577" spans="1:30" ht="141" hidden="1" x14ac:dyDescent="0.35">
      <c r="A1577" s="349">
        <v>1576</v>
      </c>
      <c r="B1577" s="352" t="s">
        <v>2285</v>
      </c>
      <c r="C1577" s="351" t="s">
        <v>4534</v>
      </c>
      <c r="D1577" s="352" t="s">
        <v>1391</v>
      </c>
      <c r="E1577" s="352" t="s">
        <v>2093</v>
      </c>
      <c r="F1577" s="353">
        <v>0.25</v>
      </c>
      <c r="G1577" s="352" t="s">
        <v>2126</v>
      </c>
      <c r="H1577" s="176" t="s">
        <v>1334</v>
      </c>
      <c r="I1577" s="176" t="s">
        <v>4836</v>
      </c>
      <c r="J1577" s="352" t="s">
        <v>3577</v>
      </c>
      <c r="K1577" s="351">
        <v>250</v>
      </c>
      <c r="L1577" s="351" t="s">
        <v>2068</v>
      </c>
      <c r="M1577" s="351">
        <v>250</v>
      </c>
      <c r="N1577" s="351" t="s">
        <v>2092</v>
      </c>
      <c r="O1577" s="351">
        <v>250</v>
      </c>
      <c r="P1577" s="349" t="s">
        <v>1836</v>
      </c>
      <c r="R1577" s="349">
        <f t="shared" si="24"/>
        <v>24</v>
      </c>
      <c r="S1577" s="352"/>
      <c r="T1577" s="352"/>
      <c r="U1577" s="352"/>
      <c r="V1577" s="351"/>
      <c r="W1577" s="352"/>
      <c r="X1577" s="176"/>
      <c r="Y1577" s="176"/>
      <c r="Z1577" s="352"/>
      <c r="AA1577" s="351"/>
      <c r="AB1577" s="351"/>
      <c r="AC1577" s="351"/>
      <c r="AD1577" s="351"/>
    </row>
    <row r="1578" spans="1:30" ht="141" hidden="1" x14ac:dyDescent="0.35">
      <c r="A1578" s="349">
        <v>1577</v>
      </c>
      <c r="B1578" s="352" t="s">
        <v>2285</v>
      </c>
      <c r="C1578" s="351" t="s">
        <v>4534</v>
      </c>
      <c r="D1578" s="352" t="s">
        <v>1391</v>
      </c>
      <c r="E1578" s="352" t="s">
        <v>2023</v>
      </c>
      <c r="F1578" s="353">
        <v>0.25</v>
      </c>
      <c r="G1578" s="352" t="s">
        <v>967</v>
      </c>
      <c r="H1578" s="176" t="s">
        <v>1335</v>
      </c>
      <c r="I1578" s="176" t="s">
        <v>4836</v>
      </c>
      <c r="J1578" s="352" t="s">
        <v>2023</v>
      </c>
      <c r="K1578" s="351">
        <v>125</v>
      </c>
      <c r="L1578" s="351" t="s">
        <v>2068</v>
      </c>
      <c r="M1578" s="351"/>
      <c r="N1578" s="351"/>
      <c r="O1578" s="351">
        <v>125</v>
      </c>
      <c r="P1578" s="349" t="s">
        <v>1836</v>
      </c>
      <c r="R1578" s="349">
        <f t="shared" si="24"/>
        <v>24</v>
      </c>
      <c r="S1578" s="352"/>
      <c r="T1578" s="352"/>
      <c r="U1578" s="352"/>
      <c r="V1578" s="353"/>
      <c r="W1578" s="352"/>
      <c r="X1578" s="176"/>
      <c r="Y1578" s="176"/>
      <c r="Z1578" s="352"/>
      <c r="AA1578" s="352"/>
      <c r="AB1578" s="352"/>
      <c r="AC1578" s="352"/>
      <c r="AD1578" s="352"/>
    </row>
    <row r="1579" spans="1:30" ht="141" hidden="1" x14ac:dyDescent="0.35">
      <c r="A1579" s="349">
        <v>1578</v>
      </c>
      <c r="B1579" s="352" t="s">
        <v>2285</v>
      </c>
      <c r="C1579" s="351" t="s">
        <v>4534</v>
      </c>
      <c r="D1579" s="352" t="s">
        <v>1391</v>
      </c>
      <c r="E1579" s="352" t="s">
        <v>2023</v>
      </c>
      <c r="F1579" s="353">
        <v>0.25</v>
      </c>
      <c r="G1579" s="352" t="s">
        <v>967</v>
      </c>
      <c r="H1579" s="176" t="s">
        <v>1335</v>
      </c>
      <c r="I1579" s="176" t="s">
        <v>4836</v>
      </c>
      <c r="J1579" s="352" t="s">
        <v>2023</v>
      </c>
      <c r="K1579" s="352">
        <v>250</v>
      </c>
      <c r="L1579" s="352" t="s">
        <v>2068</v>
      </c>
      <c r="M1579" s="351"/>
      <c r="N1579" s="351"/>
      <c r="O1579" s="351">
        <v>250</v>
      </c>
      <c r="P1579" s="349" t="s">
        <v>1836</v>
      </c>
      <c r="R1579" s="349">
        <f t="shared" si="24"/>
        <v>24</v>
      </c>
      <c r="S1579" s="352"/>
      <c r="T1579" s="352"/>
      <c r="U1579" s="352"/>
      <c r="V1579" s="353"/>
      <c r="W1579" s="352"/>
      <c r="X1579" s="176"/>
      <c r="Y1579" s="176"/>
      <c r="Z1579" s="352"/>
      <c r="AA1579" s="352"/>
      <c r="AB1579" s="352"/>
      <c r="AC1579" s="352"/>
      <c r="AD1579" s="352"/>
    </row>
    <row r="1580" spans="1:30" ht="38.450000000000003" hidden="1" x14ac:dyDescent="0.35">
      <c r="A1580" s="349">
        <v>1579</v>
      </c>
      <c r="B1580" s="352" t="s">
        <v>3587</v>
      </c>
      <c r="C1580" s="351" t="s">
        <v>446</v>
      </c>
      <c r="D1580" s="352" t="s">
        <v>446</v>
      </c>
      <c r="E1580" s="352" t="s">
        <v>762</v>
      </c>
      <c r="F1580" s="353">
        <v>3.0851999999999999</v>
      </c>
      <c r="G1580" s="352" t="s">
        <v>1107</v>
      </c>
      <c r="H1580" s="176" t="s">
        <v>363</v>
      </c>
      <c r="I1580" s="176" t="s">
        <v>3159</v>
      </c>
      <c r="J1580" s="352" t="s">
        <v>828</v>
      </c>
      <c r="K1580" s="352">
        <v>2</v>
      </c>
      <c r="L1580" s="352" t="s">
        <v>1116</v>
      </c>
      <c r="M1580" s="351">
        <v>2</v>
      </c>
      <c r="N1580" s="351" t="s">
        <v>1109</v>
      </c>
      <c r="O1580" s="351">
        <v>2</v>
      </c>
      <c r="P1580" s="349" t="s">
        <v>1836</v>
      </c>
      <c r="R1580" s="349">
        <f t="shared" si="24"/>
        <v>11</v>
      </c>
      <c r="S1580" s="352"/>
      <c r="T1580" s="352"/>
      <c r="U1580" s="352"/>
      <c r="V1580" s="353"/>
      <c r="W1580" s="352"/>
      <c r="X1580" s="176"/>
      <c r="Y1580" s="176"/>
      <c r="Z1580" s="352"/>
      <c r="AA1580" s="352"/>
      <c r="AB1580" s="352"/>
      <c r="AC1580" s="352"/>
      <c r="AD1580" s="352"/>
    </row>
    <row r="1581" spans="1:30" ht="89.75" hidden="1" x14ac:dyDescent="0.35">
      <c r="A1581" s="349">
        <v>1580</v>
      </c>
      <c r="B1581" s="352" t="s">
        <v>2285</v>
      </c>
      <c r="C1581" s="351" t="s">
        <v>4535</v>
      </c>
      <c r="D1581" s="352" t="s">
        <v>1391</v>
      </c>
      <c r="E1581" s="352" t="s">
        <v>2024</v>
      </c>
      <c r="F1581" s="353">
        <v>0.99170000000000003</v>
      </c>
      <c r="G1581" s="352" t="s">
        <v>2126</v>
      </c>
      <c r="H1581" s="176" t="s">
        <v>4229</v>
      </c>
      <c r="I1581" s="176" t="s">
        <v>200</v>
      </c>
      <c r="J1581" s="352" t="s">
        <v>2286</v>
      </c>
      <c r="K1581" s="352"/>
      <c r="L1581" s="352"/>
      <c r="M1581" s="351"/>
      <c r="N1581" s="351"/>
      <c r="O1581" s="351">
        <v>0</v>
      </c>
      <c r="P1581" s="349" t="s">
        <v>2313</v>
      </c>
      <c r="R1581" s="349">
        <f t="shared" si="24"/>
        <v>24</v>
      </c>
      <c r="S1581" s="352"/>
      <c r="T1581" s="352"/>
      <c r="U1581" s="352"/>
      <c r="V1581" s="353"/>
      <c r="W1581" s="352"/>
      <c r="X1581" s="176"/>
      <c r="Y1581" s="176"/>
      <c r="Z1581" s="352"/>
      <c r="AA1581" s="352"/>
      <c r="AB1581" s="352"/>
      <c r="AC1581" s="352"/>
      <c r="AD1581" s="352"/>
    </row>
    <row r="1582" spans="1:30" ht="89.75" hidden="1" x14ac:dyDescent="0.35">
      <c r="A1582" s="349">
        <v>1581</v>
      </c>
      <c r="B1582" s="352" t="s">
        <v>2285</v>
      </c>
      <c r="C1582" s="351" t="s">
        <v>4536</v>
      </c>
      <c r="D1582" s="352" t="s">
        <v>1391</v>
      </c>
      <c r="E1582" s="352" t="s">
        <v>2024</v>
      </c>
      <c r="F1582" s="353">
        <v>0.95</v>
      </c>
      <c r="G1582" s="352" t="s">
        <v>2126</v>
      </c>
      <c r="H1582" s="176" t="s">
        <v>201</v>
      </c>
      <c r="I1582" s="176" t="s">
        <v>202</v>
      </c>
      <c r="J1582" s="352" t="s">
        <v>2286</v>
      </c>
      <c r="K1582" s="352"/>
      <c r="L1582" s="352"/>
      <c r="M1582" s="351"/>
      <c r="N1582" s="351"/>
      <c r="O1582" s="351">
        <v>0</v>
      </c>
      <c r="P1582" s="349" t="s">
        <v>2313</v>
      </c>
      <c r="R1582" s="349">
        <f t="shared" si="24"/>
        <v>24</v>
      </c>
      <c r="S1582" s="352"/>
      <c r="T1582" s="352"/>
      <c r="U1582" s="352"/>
      <c r="V1582" s="351"/>
      <c r="W1582" s="352"/>
      <c r="X1582" s="176"/>
      <c r="Y1582" s="176"/>
      <c r="Z1582" s="352"/>
      <c r="AA1582" s="351"/>
      <c r="AB1582" s="351"/>
      <c r="AC1582" s="351"/>
      <c r="AD1582" s="351"/>
    </row>
    <row r="1583" spans="1:30" ht="243.55" hidden="1" x14ac:dyDescent="0.35">
      <c r="A1583" s="349">
        <v>1582</v>
      </c>
      <c r="B1583" s="352" t="s">
        <v>2067</v>
      </c>
      <c r="C1583" s="351" t="s">
        <v>3826</v>
      </c>
      <c r="D1583" s="352" t="s">
        <v>3826</v>
      </c>
      <c r="E1583" s="352" t="s">
        <v>1996</v>
      </c>
      <c r="F1583" s="353">
        <v>7.0000000000000007E-2</v>
      </c>
      <c r="G1583" s="352" t="s">
        <v>2126</v>
      </c>
      <c r="H1583" s="176" t="s">
        <v>2087</v>
      </c>
      <c r="I1583" s="176" t="s">
        <v>4550</v>
      </c>
      <c r="J1583" s="352" t="s">
        <v>3579</v>
      </c>
      <c r="K1583" s="352">
        <v>24</v>
      </c>
      <c r="L1583" s="352" t="s">
        <v>1116</v>
      </c>
      <c r="M1583" s="351"/>
      <c r="N1583" s="351"/>
      <c r="O1583" s="351">
        <v>24</v>
      </c>
      <c r="P1583" s="349" t="s">
        <v>1836</v>
      </c>
      <c r="R1583" s="349">
        <f t="shared" si="24"/>
        <v>11</v>
      </c>
      <c r="S1583" s="352"/>
      <c r="T1583" s="352"/>
      <c r="U1583" s="352"/>
      <c r="V1583" s="353"/>
      <c r="W1583" s="352"/>
      <c r="X1583" s="176"/>
      <c r="Y1583" s="176"/>
      <c r="Z1583" s="352"/>
      <c r="AA1583" s="352"/>
      <c r="AB1583" s="352"/>
      <c r="AC1583" s="351"/>
      <c r="AD1583" s="351"/>
    </row>
    <row r="1584" spans="1:30" ht="243.55" hidden="1" x14ac:dyDescent="0.35">
      <c r="A1584" s="349">
        <v>1583</v>
      </c>
      <c r="B1584" s="352" t="s">
        <v>2067</v>
      </c>
      <c r="C1584" s="351" t="s">
        <v>3826</v>
      </c>
      <c r="D1584" s="352" t="s">
        <v>3826</v>
      </c>
      <c r="E1584" s="352" t="s">
        <v>1996</v>
      </c>
      <c r="F1584" s="353">
        <v>7.0000000000000007E-2</v>
      </c>
      <c r="G1584" s="352" t="s">
        <v>2126</v>
      </c>
      <c r="H1584" s="176" t="s">
        <v>1095</v>
      </c>
      <c r="I1584" s="176" t="s">
        <v>4550</v>
      </c>
      <c r="J1584" s="352" t="s">
        <v>3579</v>
      </c>
      <c r="K1584" s="352">
        <v>24</v>
      </c>
      <c r="L1584" s="352" t="s">
        <v>1116</v>
      </c>
      <c r="M1584" s="351"/>
      <c r="N1584" s="351"/>
      <c r="O1584" s="351">
        <v>24</v>
      </c>
      <c r="P1584" s="349" t="s">
        <v>1836</v>
      </c>
      <c r="R1584" s="349">
        <f t="shared" si="24"/>
        <v>11</v>
      </c>
      <c r="S1584" s="352"/>
      <c r="T1584" s="352"/>
      <c r="U1584" s="352"/>
      <c r="V1584" s="353"/>
      <c r="W1584" s="352"/>
      <c r="X1584" s="176"/>
      <c r="Y1584" s="176"/>
      <c r="Z1584" s="352"/>
      <c r="AA1584" s="352"/>
      <c r="AB1584" s="352"/>
      <c r="AC1584" s="351"/>
      <c r="AD1584" s="351"/>
    </row>
    <row r="1585" spans="1:30" ht="243.55" hidden="1" x14ac:dyDescent="0.35">
      <c r="A1585" s="349">
        <v>1584</v>
      </c>
      <c r="B1585" s="352" t="s">
        <v>2067</v>
      </c>
      <c r="C1585" s="351" t="s">
        <v>3826</v>
      </c>
      <c r="D1585" s="352" t="s">
        <v>3826</v>
      </c>
      <c r="E1585" s="352" t="s">
        <v>1995</v>
      </c>
      <c r="F1585" s="353">
        <v>0.1</v>
      </c>
      <c r="G1585" s="352" t="s">
        <v>2126</v>
      </c>
      <c r="H1585" s="176" t="s">
        <v>2087</v>
      </c>
      <c r="I1585" s="176" t="s">
        <v>4550</v>
      </c>
      <c r="J1585" s="352" t="s">
        <v>3580</v>
      </c>
      <c r="K1585" s="352">
        <v>160</v>
      </c>
      <c r="L1585" s="352" t="s">
        <v>3581</v>
      </c>
      <c r="M1585" s="351"/>
      <c r="N1585" s="351"/>
      <c r="O1585" s="351">
        <v>160</v>
      </c>
      <c r="P1585" s="349" t="s">
        <v>1836</v>
      </c>
      <c r="R1585" s="349">
        <f t="shared" si="24"/>
        <v>11</v>
      </c>
      <c r="S1585" s="352"/>
      <c r="T1585" s="352"/>
      <c r="U1585" s="352"/>
      <c r="V1585" s="351"/>
      <c r="W1585" s="352"/>
      <c r="X1585" s="176"/>
      <c r="Y1585" s="176"/>
      <c r="Z1585" s="352"/>
      <c r="AA1585" s="351"/>
      <c r="AB1585" s="351"/>
      <c r="AC1585" s="351"/>
      <c r="AD1585" s="351"/>
    </row>
    <row r="1586" spans="1:30" ht="371.7" x14ac:dyDescent="0.35">
      <c r="A1586" s="349">
        <v>1585</v>
      </c>
      <c r="B1586" s="352" t="s">
        <v>2067</v>
      </c>
      <c r="C1586" s="351" t="s">
        <v>3826</v>
      </c>
      <c r="D1586" s="352" t="s">
        <v>3826</v>
      </c>
      <c r="E1586" s="351" t="s">
        <v>1754</v>
      </c>
      <c r="F1586" s="353"/>
      <c r="G1586" s="351" t="s">
        <v>997</v>
      </c>
      <c r="H1586" s="37" t="s">
        <v>4953</v>
      </c>
      <c r="I1586" s="176" t="s">
        <v>4550</v>
      </c>
      <c r="J1586" s="351" t="s">
        <v>4954</v>
      </c>
      <c r="K1586" s="352">
        <v>10</v>
      </c>
      <c r="L1586" s="351" t="s">
        <v>1116</v>
      </c>
      <c r="M1586" s="351">
        <v>50</v>
      </c>
      <c r="N1586" s="351" t="s">
        <v>1109</v>
      </c>
      <c r="O1586" s="351">
        <v>10</v>
      </c>
      <c r="P1586" s="349" t="s">
        <v>1836</v>
      </c>
      <c r="R1586" s="349">
        <f t="shared" si="24"/>
        <v>11</v>
      </c>
      <c r="S1586" s="352"/>
      <c r="T1586" s="352"/>
      <c r="U1586" s="352"/>
      <c r="V1586" s="353"/>
      <c r="W1586" s="352"/>
      <c r="X1586" s="176"/>
      <c r="Y1586" s="176"/>
      <c r="Z1586" s="352"/>
      <c r="AA1586" s="352"/>
      <c r="AB1586" s="352"/>
      <c r="AC1586" s="351"/>
      <c r="AD1586" s="351"/>
    </row>
    <row r="1587" spans="1:30" ht="243.55" hidden="1" x14ac:dyDescent="0.35">
      <c r="A1587" s="349">
        <v>1586</v>
      </c>
      <c r="B1587" s="352" t="s">
        <v>2067</v>
      </c>
      <c r="C1587" s="351" t="s">
        <v>3826</v>
      </c>
      <c r="D1587" s="352" t="s">
        <v>3826</v>
      </c>
      <c r="E1587" s="352" t="s">
        <v>1995</v>
      </c>
      <c r="F1587" s="353">
        <v>0.05</v>
      </c>
      <c r="G1587" s="352" t="s">
        <v>2126</v>
      </c>
      <c r="H1587" s="176" t="s">
        <v>2087</v>
      </c>
      <c r="I1587" s="176" t="s">
        <v>4550</v>
      </c>
      <c r="J1587" s="352" t="s">
        <v>3580</v>
      </c>
      <c r="K1587" s="352">
        <v>500</v>
      </c>
      <c r="L1587" s="352" t="s">
        <v>3581</v>
      </c>
      <c r="M1587" s="351"/>
      <c r="N1587" s="351"/>
      <c r="O1587" s="351">
        <v>500</v>
      </c>
      <c r="P1587" s="349" t="s">
        <v>1836</v>
      </c>
      <c r="R1587" s="349">
        <f t="shared" si="24"/>
        <v>11</v>
      </c>
      <c r="S1587" s="352"/>
      <c r="T1587" s="352"/>
      <c r="U1587" s="352"/>
      <c r="V1587" s="351"/>
      <c r="W1587" s="352"/>
      <c r="X1587" s="176"/>
      <c r="Y1587" s="176"/>
      <c r="Z1587" s="352"/>
      <c r="AA1587" s="351"/>
      <c r="AB1587" s="351"/>
      <c r="AC1587" s="351"/>
      <c r="AD1587" s="351"/>
    </row>
    <row r="1588" spans="1:30" ht="371.7" x14ac:dyDescent="0.35">
      <c r="A1588" s="349">
        <v>1587</v>
      </c>
      <c r="B1588" s="352" t="s">
        <v>2067</v>
      </c>
      <c r="C1588" s="351" t="s">
        <v>3826</v>
      </c>
      <c r="D1588" s="352" t="s">
        <v>3826</v>
      </c>
      <c r="E1588" s="351" t="s">
        <v>1586</v>
      </c>
      <c r="F1588" s="353"/>
      <c r="G1588" s="351" t="s">
        <v>997</v>
      </c>
      <c r="H1588" s="37" t="s">
        <v>4953</v>
      </c>
      <c r="I1588" s="176" t="s">
        <v>4550</v>
      </c>
      <c r="J1588" s="351" t="s">
        <v>4954</v>
      </c>
      <c r="K1588" s="352">
        <v>10</v>
      </c>
      <c r="L1588" s="351" t="s">
        <v>1116</v>
      </c>
      <c r="M1588" s="351">
        <v>100</v>
      </c>
      <c r="N1588" s="351" t="s">
        <v>1109</v>
      </c>
      <c r="O1588" s="351">
        <v>10</v>
      </c>
      <c r="P1588" s="349" t="s">
        <v>1836</v>
      </c>
      <c r="Q1588" s="349">
        <v>11</v>
      </c>
      <c r="R1588" s="349">
        <f t="shared" si="24"/>
        <v>11</v>
      </c>
      <c r="S1588" s="352"/>
      <c r="T1588" s="352"/>
      <c r="U1588" s="352"/>
      <c r="V1588" s="353"/>
      <c r="W1588" s="352"/>
      <c r="X1588" s="176"/>
      <c r="Y1588" s="176"/>
      <c r="Z1588" s="352"/>
      <c r="AA1588" s="351"/>
      <c r="AB1588" s="351"/>
      <c r="AC1588" s="351"/>
      <c r="AD1588" s="351"/>
    </row>
    <row r="1589" spans="1:30" ht="243.55" hidden="1" x14ac:dyDescent="0.35">
      <c r="A1589" s="349">
        <v>1588</v>
      </c>
      <c r="B1589" s="352" t="s">
        <v>2067</v>
      </c>
      <c r="C1589" s="351" t="s">
        <v>3826</v>
      </c>
      <c r="D1589" s="352" t="s">
        <v>3826</v>
      </c>
      <c r="E1589" s="352" t="s">
        <v>1999</v>
      </c>
      <c r="F1589" s="353">
        <v>0.4</v>
      </c>
      <c r="G1589" s="352" t="s">
        <v>967</v>
      </c>
      <c r="H1589" s="176" t="s">
        <v>1096</v>
      </c>
      <c r="I1589" s="176" t="s">
        <v>4550</v>
      </c>
      <c r="J1589" s="352" t="s">
        <v>968</v>
      </c>
      <c r="K1589" s="352">
        <v>40</v>
      </c>
      <c r="L1589" s="352" t="s">
        <v>969</v>
      </c>
      <c r="M1589" s="351"/>
      <c r="N1589" s="351"/>
      <c r="O1589" s="351">
        <v>40</v>
      </c>
      <c r="P1589" s="349" t="s">
        <v>1836</v>
      </c>
      <c r="R1589" s="349">
        <f t="shared" si="24"/>
        <v>11</v>
      </c>
      <c r="S1589" s="352"/>
      <c r="T1589" s="352"/>
      <c r="U1589" s="352"/>
      <c r="V1589" s="353"/>
      <c r="W1589" s="352"/>
      <c r="X1589" s="176"/>
      <c r="Y1589" s="176"/>
      <c r="Z1589" s="352"/>
      <c r="AA1589" s="351"/>
      <c r="AB1589" s="351"/>
      <c r="AC1589" s="351"/>
      <c r="AD1589" s="351"/>
    </row>
    <row r="1590" spans="1:30" ht="243.55" hidden="1" x14ac:dyDescent="0.35">
      <c r="A1590" s="349">
        <v>1589</v>
      </c>
      <c r="B1590" s="352" t="s">
        <v>2067</v>
      </c>
      <c r="C1590" s="351" t="s">
        <v>3826</v>
      </c>
      <c r="D1590" s="352" t="s">
        <v>3826</v>
      </c>
      <c r="E1590" s="352" t="s">
        <v>1999</v>
      </c>
      <c r="F1590" s="353">
        <v>0.4</v>
      </c>
      <c r="G1590" s="352" t="s">
        <v>967</v>
      </c>
      <c r="H1590" s="176" t="s">
        <v>3971</v>
      </c>
      <c r="I1590" s="176" t="s">
        <v>4550</v>
      </c>
      <c r="J1590" s="352" t="s">
        <v>968</v>
      </c>
      <c r="K1590" s="352">
        <v>40</v>
      </c>
      <c r="L1590" s="352" t="s">
        <v>969</v>
      </c>
      <c r="M1590" s="351"/>
      <c r="N1590" s="351"/>
      <c r="O1590" s="351">
        <v>40</v>
      </c>
      <c r="P1590" s="349" t="s">
        <v>1836</v>
      </c>
      <c r="R1590" s="349">
        <f t="shared" si="24"/>
        <v>11</v>
      </c>
      <c r="S1590" s="352"/>
      <c r="T1590" s="352"/>
      <c r="U1590" s="352"/>
      <c r="V1590" s="353"/>
      <c r="W1590" s="352"/>
      <c r="X1590" s="176"/>
      <c r="Y1590" s="176"/>
      <c r="Z1590" s="352"/>
      <c r="AA1590" s="352"/>
      <c r="AB1590" s="352"/>
      <c r="AC1590" s="352"/>
      <c r="AD1590" s="352"/>
    </row>
    <row r="1591" spans="1:30" ht="243.55" hidden="1" x14ac:dyDescent="0.35">
      <c r="A1591" s="349">
        <v>1590</v>
      </c>
      <c r="B1591" s="352" t="s">
        <v>2067</v>
      </c>
      <c r="C1591" s="351" t="s">
        <v>3826</v>
      </c>
      <c r="D1591" s="352" t="s">
        <v>3826</v>
      </c>
      <c r="E1591" s="352" t="s">
        <v>1999</v>
      </c>
      <c r="F1591" s="353">
        <v>0.4</v>
      </c>
      <c r="G1591" s="352" t="s">
        <v>967</v>
      </c>
      <c r="H1591" s="176" t="s">
        <v>1097</v>
      </c>
      <c r="I1591" s="176" t="s">
        <v>4550</v>
      </c>
      <c r="J1591" s="352" t="s">
        <v>968</v>
      </c>
      <c r="K1591" s="352">
        <v>40</v>
      </c>
      <c r="L1591" s="352" t="s">
        <v>969</v>
      </c>
      <c r="M1591" s="351"/>
      <c r="N1591" s="351"/>
      <c r="O1591" s="351">
        <v>40</v>
      </c>
      <c r="P1591" s="349" t="s">
        <v>1836</v>
      </c>
      <c r="R1591" s="349">
        <f t="shared" si="24"/>
        <v>11</v>
      </c>
      <c r="S1591" s="352"/>
      <c r="T1591" s="352"/>
      <c r="U1591" s="352"/>
      <c r="V1591" s="353"/>
      <c r="W1591" s="352"/>
      <c r="X1591" s="176"/>
      <c r="Y1591" s="176"/>
      <c r="Z1591" s="352"/>
      <c r="AA1591" s="352"/>
      <c r="AB1591" s="352"/>
      <c r="AC1591" s="351"/>
      <c r="AD1591" s="351"/>
    </row>
    <row r="1592" spans="1:30" ht="243.55" hidden="1" x14ac:dyDescent="0.35">
      <c r="A1592" s="349">
        <v>1591</v>
      </c>
      <c r="B1592" s="352" t="s">
        <v>2067</v>
      </c>
      <c r="C1592" s="351" t="s">
        <v>3826</v>
      </c>
      <c r="D1592" s="352" t="s">
        <v>3826</v>
      </c>
      <c r="E1592" s="352" t="s">
        <v>1999</v>
      </c>
      <c r="F1592" s="353">
        <v>0.45</v>
      </c>
      <c r="G1592" s="352" t="s">
        <v>967</v>
      </c>
      <c r="H1592" s="176" t="s">
        <v>1097</v>
      </c>
      <c r="I1592" s="176" t="s">
        <v>4550</v>
      </c>
      <c r="J1592" s="352" t="s">
        <v>968</v>
      </c>
      <c r="K1592" s="352">
        <v>60</v>
      </c>
      <c r="L1592" s="352" t="s">
        <v>969</v>
      </c>
      <c r="M1592" s="351"/>
      <c r="N1592" s="351"/>
      <c r="O1592" s="351">
        <v>60</v>
      </c>
      <c r="P1592" s="349" t="s">
        <v>1836</v>
      </c>
      <c r="R1592" s="349">
        <f t="shared" si="24"/>
        <v>11</v>
      </c>
      <c r="S1592" s="352"/>
      <c r="T1592" s="352"/>
      <c r="U1592" s="352"/>
      <c r="V1592" s="353"/>
      <c r="W1592" s="352"/>
      <c r="X1592" s="176"/>
      <c r="Y1592" s="176"/>
      <c r="Z1592" s="352"/>
      <c r="AA1592" s="352"/>
      <c r="AB1592" s="352"/>
      <c r="AC1592" s="352"/>
      <c r="AD1592" s="352"/>
    </row>
    <row r="1593" spans="1:30" ht="243.55" hidden="1" x14ac:dyDescent="0.35">
      <c r="A1593" s="349">
        <v>1592</v>
      </c>
      <c r="B1593" s="352" t="s">
        <v>2067</v>
      </c>
      <c r="C1593" s="351" t="s">
        <v>3826</v>
      </c>
      <c r="D1593" s="352" t="s">
        <v>3826</v>
      </c>
      <c r="E1593" s="352" t="s">
        <v>1999</v>
      </c>
      <c r="F1593" s="353">
        <v>0.45</v>
      </c>
      <c r="G1593" s="352" t="s">
        <v>967</v>
      </c>
      <c r="H1593" s="176" t="s">
        <v>1096</v>
      </c>
      <c r="I1593" s="176" t="s">
        <v>4550</v>
      </c>
      <c r="J1593" s="352" t="s">
        <v>968</v>
      </c>
      <c r="K1593" s="352">
        <v>60</v>
      </c>
      <c r="L1593" s="352" t="s">
        <v>969</v>
      </c>
      <c r="M1593" s="351"/>
      <c r="N1593" s="351"/>
      <c r="O1593" s="351">
        <v>60</v>
      </c>
      <c r="P1593" s="349" t="s">
        <v>1836</v>
      </c>
      <c r="R1593" s="349">
        <f t="shared" si="24"/>
        <v>11</v>
      </c>
      <c r="S1593" s="352"/>
      <c r="T1593" s="352"/>
      <c r="U1593" s="352"/>
      <c r="V1593" s="353"/>
      <c r="W1593" s="352"/>
      <c r="X1593" s="176"/>
      <c r="Y1593" s="176"/>
      <c r="Z1593" s="352"/>
      <c r="AA1593" s="352"/>
      <c r="AB1593" s="352"/>
      <c r="AC1593" s="352"/>
      <c r="AD1593" s="352"/>
    </row>
    <row r="1594" spans="1:30" ht="243.55" hidden="1" x14ac:dyDescent="0.35">
      <c r="A1594" s="349">
        <v>1593</v>
      </c>
      <c r="B1594" s="352" t="s">
        <v>2067</v>
      </c>
      <c r="C1594" s="351" t="s">
        <v>3826</v>
      </c>
      <c r="D1594" s="352" t="s">
        <v>3826</v>
      </c>
      <c r="E1594" s="352" t="s">
        <v>1999</v>
      </c>
      <c r="F1594" s="353">
        <v>0.45</v>
      </c>
      <c r="G1594" s="352" t="s">
        <v>967</v>
      </c>
      <c r="H1594" s="176" t="s">
        <v>3971</v>
      </c>
      <c r="I1594" s="176" t="s">
        <v>4550</v>
      </c>
      <c r="J1594" s="352" t="s">
        <v>968</v>
      </c>
      <c r="K1594" s="352">
        <v>60</v>
      </c>
      <c r="L1594" s="352" t="s">
        <v>969</v>
      </c>
      <c r="M1594" s="351"/>
      <c r="N1594" s="351"/>
      <c r="O1594" s="351">
        <v>60</v>
      </c>
      <c r="P1594" s="349" t="s">
        <v>1836</v>
      </c>
      <c r="R1594" s="349">
        <f t="shared" si="24"/>
        <v>11</v>
      </c>
      <c r="S1594" s="352"/>
      <c r="T1594" s="352"/>
      <c r="U1594" s="352"/>
      <c r="V1594" s="353"/>
      <c r="W1594" s="352"/>
      <c r="X1594" s="176"/>
      <c r="Y1594" s="176"/>
      <c r="Z1594" s="352"/>
      <c r="AA1594" s="352"/>
      <c r="AB1594" s="352"/>
      <c r="AC1594" s="352"/>
      <c r="AD1594" s="352"/>
    </row>
    <row r="1595" spans="1:30" ht="243.55" hidden="1" x14ac:dyDescent="0.35">
      <c r="A1595" s="349">
        <v>1594</v>
      </c>
      <c r="B1595" s="352" t="s">
        <v>2067</v>
      </c>
      <c r="C1595" s="351" t="s">
        <v>3826</v>
      </c>
      <c r="D1595" s="352" t="s">
        <v>3826</v>
      </c>
      <c r="E1595" s="352" t="s">
        <v>1999</v>
      </c>
      <c r="F1595" s="353">
        <v>0.28999999999999998</v>
      </c>
      <c r="G1595" s="352" t="s">
        <v>967</v>
      </c>
      <c r="H1595" s="176" t="s">
        <v>1097</v>
      </c>
      <c r="I1595" s="176" t="s">
        <v>4550</v>
      </c>
      <c r="J1595" s="352" t="s">
        <v>968</v>
      </c>
      <c r="K1595" s="352">
        <v>120</v>
      </c>
      <c r="L1595" s="352" t="s">
        <v>969</v>
      </c>
      <c r="M1595" s="351"/>
      <c r="N1595" s="351"/>
      <c r="O1595" s="351">
        <v>120</v>
      </c>
      <c r="P1595" s="349" t="s">
        <v>1836</v>
      </c>
      <c r="R1595" s="349">
        <f t="shared" si="24"/>
        <v>11</v>
      </c>
      <c r="S1595" s="352"/>
      <c r="T1595" s="352"/>
      <c r="U1595" s="352"/>
      <c r="V1595" s="353"/>
      <c r="W1595" s="352"/>
      <c r="X1595" s="176"/>
      <c r="Y1595" s="176"/>
      <c r="Z1595" s="352"/>
      <c r="AA1595" s="351"/>
      <c r="AB1595" s="351"/>
      <c r="AC1595" s="351"/>
      <c r="AD1595" s="351"/>
    </row>
    <row r="1596" spans="1:30" ht="243.55" hidden="1" x14ac:dyDescent="0.35">
      <c r="A1596" s="349">
        <v>1595</v>
      </c>
      <c r="B1596" s="352" t="s">
        <v>2067</v>
      </c>
      <c r="C1596" s="351" t="s">
        <v>3826</v>
      </c>
      <c r="D1596" s="352" t="s">
        <v>3826</v>
      </c>
      <c r="E1596" s="352" t="s">
        <v>1999</v>
      </c>
      <c r="F1596" s="353">
        <v>0.28999999999999998</v>
      </c>
      <c r="G1596" s="352" t="s">
        <v>967</v>
      </c>
      <c r="H1596" s="176" t="s">
        <v>3971</v>
      </c>
      <c r="I1596" s="176" t="s">
        <v>4550</v>
      </c>
      <c r="J1596" s="352" t="s">
        <v>968</v>
      </c>
      <c r="K1596" s="352">
        <v>120</v>
      </c>
      <c r="L1596" s="352" t="s">
        <v>969</v>
      </c>
      <c r="M1596" s="351"/>
      <c r="N1596" s="351"/>
      <c r="O1596" s="351">
        <v>120</v>
      </c>
      <c r="P1596" s="349" t="s">
        <v>1836</v>
      </c>
      <c r="R1596" s="349">
        <f t="shared" si="24"/>
        <v>11</v>
      </c>
      <c r="S1596" s="352"/>
      <c r="T1596" s="352"/>
      <c r="U1596" s="352"/>
      <c r="V1596" s="353"/>
      <c r="W1596" s="352"/>
      <c r="X1596" s="176"/>
      <c r="Y1596" s="176"/>
      <c r="Z1596" s="352"/>
      <c r="AA1596" s="351"/>
      <c r="AB1596" s="351"/>
      <c r="AC1596" s="351"/>
      <c r="AD1596" s="351"/>
    </row>
    <row r="1597" spans="1:30" ht="243.55" hidden="1" x14ac:dyDescent="0.35">
      <c r="A1597" s="349">
        <v>1596</v>
      </c>
      <c r="B1597" s="352" t="s">
        <v>2067</v>
      </c>
      <c r="C1597" s="351" t="s">
        <v>3826</v>
      </c>
      <c r="D1597" s="352" t="s">
        <v>3826</v>
      </c>
      <c r="E1597" s="352" t="s">
        <v>1999</v>
      </c>
      <c r="F1597" s="353">
        <v>0.28999999999999998</v>
      </c>
      <c r="G1597" s="352" t="s">
        <v>967</v>
      </c>
      <c r="H1597" s="176" t="s">
        <v>1096</v>
      </c>
      <c r="I1597" s="176" t="s">
        <v>4550</v>
      </c>
      <c r="J1597" s="352" t="s">
        <v>968</v>
      </c>
      <c r="K1597" s="352">
        <v>120</v>
      </c>
      <c r="L1597" s="352" t="s">
        <v>969</v>
      </c>
      <c r="M1597" s="351"/>
      <c r="N1597" s="351"/>
      <c r="O1597" s="351">
        <v>120</v>
      </c>
      <c r="P1597" s="349" t="s">
        <v>1836</v>
      </c>
      <c r="R1597" s="349">
        <f t="shared" si="24"/>
        <v>11</v>
      </c>
      <c r="S1597" s="352"/>
      <c r="T1597" s="352"/>
      <c r="U1597" s="352"/>
      <c r="V1597" s="353"/>
      <c r="W1597" s="352"/>
      <c r="X1597" s="176"/>
      <c r="Y1597" s="176"/>
      <c r="Z1597" s="352"/>
      <c r="AA1597" s="352"/>
      <c r="AB1597" s="352"/>
      <c r="AC1597" s="352"/>
      <c r="AD1597" s="352"/>
    </row>
    <row r="1598" spans="1:30" ht="243.55" hidden="1" x14ac:dyDescent="0.35">
      <c r="A1598" s="349">
        <v>1597</v>
      </c>
      <c r="B1598" s="352" t="s">
        <v>2067</v>
      </c>
      <c r="C1598" s="351" t="s">
        <v>3826</v>
      </c>
      <c r="D1598" s="352" t="s">
        <v>3826</v>
      </c>
      <c r="E1598" s="352" t="s">
        <v>1999</v>
      </c>
      <c r="F1598" s="353">
        <v>0.28649999999999998</v>
      </c>
      <c r="G1598" s="352" t="s">
        <v>967</v>
      </c>
      <c r="H1598" s="176" t="s">
        <v>3971</v>
      </c>
      <c r="I1598" s="176" t="s">
        <v>4550</v>
      </c>
      <c r="J1598" s="352" t="s">
        <v>968</v>
      </c>
      <c r="K1598" s="352">
        <v>240</v>
      </c>
      <c r="L1598" s="352" t="s">
        <v>969</v>
      </c>
      <c r="M1598" s="351"/>
      <c r="N1598" s="351"/>
      <c r="O1598" s="351">
        <v>240</v>
      </c>
      <c r="P1598" s="349" t="s">
        <v>1836</v>
      </c>
      <c r="R1598" s="349">
        <f t="shared" si="24"/>
        <v>11</v>
      </c>
      <c r="S1598" s="352"/>
      <c r="T1598" s="352"/>
      <c r="U1598" s="352"/>
      <c r="V1598" s="353"/>
      <c r="W1598" s="352"/>
      <c r="X1598" s="176"/>
      <c r="Y1598" s="176"/>
      <c r="Z1598" s="352"/>
      <c r="AA1598" s="352"/>
      <c r="AB1598" s="352"/>
      <c r="AC1598" s="351"/>
      <c r="AD1598" s="351"/>
    </row>
    <row r="1599" spans="1:30" ht="243.55" hidden="1" x14ac:dyDescent="0.35">
      <c r="A1599" s="349">
        <v>1598</v>
      </c>
      <c r="B1599" s="352" t="s">
        <v>2067</v>
      </c>
      <c r="C1599" s="351" t="s">
        <v>3826</v>
      </c>
      <c r="D1599" s="352" t="s">
        <v>3826</v>
      </c>
      <c r="E1599" s="352" t="s">
        <v>1999</v>
      </c>
      <c r="F1599" s="353">
        <v>0.28649999999999998</v>
      </c>
      <c r="G1599" s="352" t="s">
        <v>967</v>
      </c>
      <c r="H1599" s="176" t="s">
        <v>1096</v>
      </c>
      <c r="I1599" s="176" t="s">
        <v>4550</v>
      </c>
      <c r="J1599" s="352" t="s">
        <v>968</v>
      </c>
      <c r="K1599" s="352">
        <v>240</v>
      </c>
      <c r="L1599" s="352" t="s">
        <v>969</v>
      </c>
      <c r="M1599" s="351"/>
      <c r="N1599" s="351"/>
      <c r="O1599" s="351">
        <v>240</v>
      </c>
      <c r="P1599" s="349" t="s">
        <v>1836</v>
      </c>
      <c r="R1599" s="349">
        <f t="shared" si="24"/>
        <v>11</v>
      </c>
      <c r="S1599" s="352"/>
      <c r="T1599" s="352"/>
      <c r="U1599" s="352"/>
      <c r="V1599" s="353"/>
      <c r="W1599" s="352"/>
      <c r="X1599" s="176"/>
      <c r="Y1599" s="176"/>
      <c r="Z1599" s="352"/>
      <c r="AA1599" s="352"/>
      <c r="AB1599" s="352"/>
      <c r="AC1599" s="352"/>
      <c r="AD1599" s="352"/>
    </row>
    <row r="1600" spans="1:30" ht="243.55" hidden="1" x14ac:dyDescent="0.35">
      <c r="A1600" s="349">
        <v>1599</v>
      </c>
      <c r="B1600" s="352" t="s">
        <v>2067</v>
      </c>
      <c r="C1600" s="351" t="s">
        <v>3826</v>
      </c>
      <c r="D1600" s="352" t="s">
        <v>3826</v>
      </c>
      <c r="E1600" s="352" t="s">
        <v>1999</v>
      </c>
      <c r="F1600" s="353">
        <v>0.28649999999999998</v>
      </c>
      <c r="G1600" s="352" t="s">
        <v>967</v>
      </c>
      <c r="H1600" s="176" t="s">
        <v>1097</v>
      </c>
      <c r="I1600" s="176" t="s">
        <v>4550</v>
      </c>
      <c r="J1600" s="352" t="s">
        <v>968</v>
      </c>
      <c r="K1600" s="352">
        <v>240</v>
      </c>
      <c r="L1600" s="352" t="s">
        <v>969</v>
      </c>
      <c r="M1600" s="351"/>
      <c r="N1600" s="351"/>
      <c r="O1600" s="351">
        <v>240</v>
      </c>
      <c r="P1600" s="349" t="s">
        <v>1836</v>
      </c>
      <c r="R1600" s="349">
        <f t="shared" si="24"/>
        <v>11</v>
      </c>
      <c r="S1600" s="352"/>
      <c r="T1600" s="352"/>
      <c r="U1600" s="352"/>
      <c r="V1600" s="353"/>
      <c r="W1600" s="352"/>
      <c r="X1600" s="176"/>
      <c r="Y1600" s="176"/>
      <c r="Z1600" s="352"/>
      <c r="AA1600" s="351"/>
      <c r="AB1600" s="351"/>
      <c r="AC1600" s="351"/>
      <c r="AD1600" s="351"/>
    </row>
    <row r="1601" spans="1:30" ht="243.55" hidden="1" x14ac:dyDescent="0.35">
      <c r="A1601" s="349">
        <v>1600</v>
      </c>
      <c r="B1601" s="352" t="s">
        <v>2067</v>
      </c>
      <c r="C1601" s="351" t="s">
        <v>3826</v>
      </c>
      <c r="D1601" s="352" t="s">
        <v>3826</v>
      </c>
      <c r="E1601" s="352" t="s">
        <v>1999</v>
      </c>
      <c r="F1601" s="353">
        <v>0.6</v>
      </c>
      <c r="G1601" s="352" t="s">
        <v>967</v>
      </c>
      <c r="H1601" s="176" t="s">
        <v>1097</v>
      </c>
      <c r="I1601" s="176" t="s">
        <v>4550</v>
      </c>
      <c r="J1601" s="352" t="s">
        <v>968</v>
      </c>
      <c r="K1601" s="352">
        <v>375</v>
      </c>
      <c r="L1601" s="352" t="s">
        <v>969</v>
      </c>
      <c r="M1601" s="351"/>
      <c r="N1601" s="351"/>
      <c r="O1601" s="351">
        <v>375</v>
      </c>
      <c r="P1601" s="349" t="s">
        <v>1836</v>
      </c>
      <c r="R1601" s="349">
        <f t="shared" si="24"/>
        <v>11</v>
      </c>
      <c r="S1601" s="352"/>
      <c r="T1601" s="352"/>
      <c r="U1601" s="352"/>
      <c r="V1601" s="353"/>
      <c r="W1601" s="352"/>
      <c r="X1601" s="176"/>
      <c r="Y1601" s="176"/>
      <c r="Z1601" s="352"/>
      <c r="AA1601" s="351"/>
      <c r="AB1601" s="351"/>
      <c r="AC1601" s="351"/>
      <c r="AD1601" s="351"/>
    </row>
    <row r="1602" spans="1:30" ht="243.55" hidden="1" x14ac:dyDescent="0.35">
      <c r="A1602" s="349">
        <v>1601</v>
      </c>
      <c r="B1602" s="352" t="s">
        <v>2067</v>
      </c>
      <c r="C1602" s="351" t="s">
        <v>3826</v>
      </c>
      <c r="D1602" s="352" t="s">
        <v>3826</v>
      </c>
      <c r="E1602" s="352" t="s">
        <v>1999</v>
      </c>
      <c r="F1602" s="353">
        <v>0.6</v>
      </c>
      <c r="G1602" s="352" t="s">
        <v>967</v>
      </c>
      <c r="H1602" s="176" t="s">
        <v>1096</v>
      </c>
      <c r="I1602" s="176" t="s">
        <v>4550</v>
      </c>
      <c r="J1602" s="352" t="s">
        <v>968</v>
      </c>
      <c r="K1602" s="352">
        <v>375</v>
      </c>
      <c r="L1602" s="352" t="s">
        <v>969</v>
      </c>
      <c r="M1602" s="351"/>
      <c r="N1602" s="351"/>
      <c r="O1602" s="351">
        <v>375</v>
      </c>
      <c r="P1602" s="349" t="s">
        <v>1836</v>
      </c>
      <c r="R1602" s="349">
        <f t="shared" si="24"/>
        <v>11</v>
      </c>
      <c r="S1602" s="352"/>
      <c r="T1602" s="352"/>
      <c r="U1602" s="352"/>
      <c r="V1602" s="353"/>
      <c r="W1602" s="352"/>
      <c r="X1602" s="176"/>
      <c r="Y1602" s="176"/>
      <c r="Z1602" s="352"/>
      <c r="AA1602" s="352"/>
      <c r="AB1602" s="352"/>
      <c r="AC1602" s="352"/>
      <c r="AD1602" s="352"/>
    </row>
    <row r="1603" spans="1:30" ht="243.55" hidden="1" x14ac:dyDescent="0.35">
      <c r="A1603" s="349">
        <v>1602</v>
      </c>
      <c r="B1603" s="352" t="s">
        <v>2067</v>
      </c>
      <c r="C1603" s="351" t="s">
        <v>3826</v>
      </c>
      <c r="D1603" s="352" t="s">
        <v>3826</v>
      </c>
      <c r="E1603" s="352" t="s">
        <v>1999</v>
      </c>
      <c r="F1603" s="353">
        <v>0.6</v>
      </c>
      <c r="G1603" s="352" t="s">
        <v>967</v>
      </c>
      <c r="H1603" s="176" t="s">
        <v>3971</v>
      </c>
      <c r="I1603" s="176" t="s">
        <v>4550</v>
      </c>
      <c r="J1603" s="352" t="s">
        <v>968</v>
      </c>
      <c r="K1603" s="352">
        <v>375</v>
      </c>
      <c r="L1603" s="352" t="s">
        <v>969</v>
      </c>
      <c r="M1603" s="351"/>
      <c r="N1603" s="351"/>
      <c r="O1603" s="351">
        <v>375</v>
      </c>
      <c r="P1603" s="349" t="s">
        <v>1836</v>
      </c>
      <c r="R1603" s="349">
        <f t="shared" ref="R1603:R1666" si="25">LEN(D1603)</f>
        <v>11</v>
      </c>
      <c r="S1603" s="352"/>
      <c r="T1603" s="352"/>
      <c r="U1603" s="352"/>
      <c r="V1603" s="353"/>
      <c r="W1603" s="352"/>
      <c r="X1603" s="176"/>
      <c r="Y1603" s="176"/>
      <c r="Z1603" s="352"/>
      <c r="AA1603" s="352"/>
      <c r="AB1603" s="352"/>
      <c r="AC1603" s="351"/>
      <c r="AD1603" s="351"/>
    </row>
    <row r="1604" spans="1:30" ht="243.55" hidden="1" x14ac:dyDescent="0.35">
      <c r="A1604" s="349">
        <v>1603</v>
      </c>
      <c r="B1604" s="352" t="s">
        <v>2067</v>
      </c>
      <c r="C1604" s="351" t="s">
        <v>3826</v>
      </c>
      <c r="D1604" s="352" t="s">
        <v>3826</v>
      </c>
      <c r="E1604" s="352" t="s">
        <v>1999</v>
      </c>
      <c r="F1604" s="353">
        <v>0.28649999999999998</v>
      </c>
      <c r="G1604" s="352" t="s">
        <v>967</v>
      </c>
      <c r="H1604" s="176" t="s">
        <v>1097</v>
      </c>
      <c r="I1604" s="176" t="s">
        <v>4550</v>
      </c>
      <c r="J1604" s="352" t="s">
        <v>968</v>
      </c>
      <c r="K1604" s="352">
        <v>500</v>
      </c>
      <c r="L1604" s="352" t="s">
        <v>969</v>
      </c>
      <c r="M1604" s="351"/>
      <c r="N1604" s="351"/>
      <c r="O1604" s="351">
        <v>500</v>
      </c>
      <c r="P1604" s="349" t="s">
        <v>1836</v>
      </c>
      <c r="R1604" s="349">
        <f t="shared" si="25"/>
        <v>11</v>
      </c>
      <c r="S1604" s="352"/>
      <c r="T1604" s="352"/>
      <c r="U1604" s="352"/>
      <c r="V1604" s="353"/>
      <c r="W1604" s="352"/>
      <c r="X1604" s="176"/>
      <c r="Y1604" s="176"/>
      <c r="Z1604" s="352"/>
      <c r="AA1604" s="352"/>
      <c r="AB1604" s="352"/>
      <c r="AC1604" s="352"/>
      <c r="AD1604" s="352"/>
    </row>
    <row r="1605" spans="1:30" ht="243.55" hidden="1" x14ac:dyDescent="0.35">
      <c r="A1605" s="349">
        <v>1604</v>
      </c>
      <c r="B1605" s="352" t="s">
        <v>2067</v>
      </c>
      <c r="C1605" s="351" t="s">
        <v>3826</v>
      </c>
      <c r="D1605" s="352" t="s">
        <v>3826</v>
      </c>
      <c r="E1605" s="352" t="s">
        <v>1999</v>
      </c>
      <c r="F1605" s="353">
        <v>0.28649999999999998</v>
      </c>
      <c r="G1605" s="352" t="s">
        <v>967</v>
      </c>
      <c r="H1605" s="176" t="s">
        <v>1096</v>
      </c>
      <c r="I1605" s="176" t="s">
        <v>4550</v>
      </c>
      <c r="J1605" s="352" t="s">
        <v>968</v>
      </c>
      <c r="K1605" s="352">
        <v>500</v>
      </c>
      <c r="L1605" s="352" t="s">
        <v>969</v>
      </c>
      <c r="M1605" s="351"/>
      <c r="N1605" s="351"/>
      <c r="O1605" s="351">
        <v>500</v>
      </c>
      <c r="P1605" s="349" t="s">
        <v>1836</v>
      </c>
      <c r="R1605" s="349">
        <f t="shared" si="25"/>
        <v>11</v>
      </c>
      <c r="S1605" s="352"/>
      <c r="T1605" s="352"/>
      <c r="U1605" s="352"/>
      <c r="V1605" s="353"/>
      <c r="W1605" s="352"/>
      <c r="X1605" s="176"/>
      <c r="Y1605" s="176"/>
      <c r="Z1605" s="352"/>
      <c r="AA1605" s="352"/>
      <c r="AB1605" s="352"/>
      <c r="AC1605" s="351"/>
      <c r="AD1605" s="351"/>
    </row>
    <row r="1606" spans="1:30" ht="243.55" hidden="1" x14ac:dyDescent="0.35">
      <c r="A1606" s="349">
        <v>1605</v>
      </c>
      <c r="B1606" s="352" t="s">
        <v>2067</v>
      </c>
      <c r="C1606" s="351" t="s">
        <v>3826</v>
      </c>
      <c r="D1606" s="352" t="s">
        <v>3826</v>
      </c>
      <c r="E1606" s="352" t="s">
        <v>1999</v>
      </c>
      <c r="F1606" s="353">
        <v>0.28649999999999998</v>
      </c>
      <c r="G1606" s="352" t="s">
        <v>967</v>
      </c>
      <c r="H1606" s="176" t="s">
        <v>3971</v>
      </c>
      <c r="I1606" s="176" t="s">
        <v>4550</v>
      </c>
      <c r="J1606" s="352" t="s">
        <v>968</v>
      </c>
      <c r="K1606" s="352">
        <v>500</v>
      </c>
      <c r="L1606" s="352" t="s">
        <v>969</v>
      </c>
      <c r="M1606" s="351"/>
      <c r="N1606" s="351"/>
      <c r="O1606" s="351">
        <v>500</v>
      </c>
      <c r="P1606" s="349" t="s">
        <v>1836</v>
      </c>
      <c r="R1606" s="349">
        <f t="shared" si="25"/>
        <v>11</v>
      </c>
      <c r="S1606" s="352"/>
      <c r="T1606" s="352"/>
      <c r="U1606" s="352"/>
      <c r="V1606" s="353"/>
      <c r="W1606" s="352"/>
      <c r="X1606" s="176"/>
      <c r="Y1606" s="176"/>
      <c r="Z1606" s="352"/>
      <c r="AA1606" s="351"/>
      <c r="AB1606" s="351"/>
      <c r="AC1606" s="351"/>
      <c r="AD1606" s="351"/>
    </row>
    <row r="1607" spans="1:30" ht="243.55" hidden="1" x14ac:dyDescent="0.35">
      <c r="A1607" s="349">
        <v>1606</v>
      </c>
      <c r="B1607" s="352" t="s">
        <v>2067</v>
      </c>
      <c r="C1607" s="351" t="s">
        <v>3826</v>
      </c>
      <c r="D1607" s="352" t="s">
        <v>3826</v>
      </c>
      <c r="E1607" s="352" t="s">
        <v>1999</v>
      </c>
      <c r="F1607" s="353">
        <v>0.44</v>
      </c>
      <c r="G1607" s="352" t="s">
        <v>967</v>
      </c>
      <c r="H1607" s="176" t="s">
        <v>3971</v>
      </c>
      <c r="I1607" s="176" t="s">
        <v>4550</v>
      </c>
      <c r="J1607" s="352" t="s">
        <v>968</v>
      </c>
      <c r="K1607" s="352">
        <v>1000</v>
      </c>
      <c r="L1607" s="352" t="s">
        <v>969</v>
      </c>
      <c r="M1607" s="351"/>
      <c r="N1607" s="351"/>
      <c r="O1607" s="351">
        <v>1000</v>
      </c>
      <c r="P1607" s="349" t="s">
        <v>1836</v>
      </c>
      <c r="R1607" s="349">
        <f t="shared" si="25"/>
        <v>11</v>
      </c>
      <c r="S1607" s="352"/>
      <c r="T1607" s="352"/>
      <c r="U1607" s="352"/>
      <c r="V1607" s="351"/>
      <c r="W1607" s="352"/>
      <c r="X1607" s="176"/>
      <c r="Y1607" s="176"/>
      <c r="Z1607" s="352"/>
      <c r="AA1607" s="352"/>
      <c r="AB1607" s="352"/>
      <c r="AC1607" s="351"/>
      <c r="AD1607" s="351"/>
    </row>
    <row r="1608" spans="1:30" ht="243.55" hidden="1" x14ac:dyDescent="0.35">
      <c r="A1608" s="349">
        <v>1607</v>
      </c>
      <c r="B1608" s="352" t="s">
        <v>2067</v>
      </c>
      <c r="C1608" s="351" t="s">
        <v>3826</v>
      </c>
      <c r="D1608" s="352" t="s">
        <v>3826</v>
      </c>
      <c r="E1608" s="352" t="s">
        <v>1999</v>
      </c>
      <c r="F1608" s="353">
        <v>0.44</v>
      </c>
      <c r="G1608" s="352" t="s">
        <v>967</v>
      </c>
      <c r="H1608" s="176" t="s">
        <v>1096</v>
      </c>
      <c r="I1608" s="176" t="s">
        <v>4550</v>
      </c>
      <c r="J1608" s="352" t="s">
        <v>968</v>
      </c>
      <c r="K1608" s="352">
        <v>1000</v>
      </c>
      <c r="L1608" s="352" t="s">
        <v>969</v>
      </c>
      <c r="M1608" s="351"/>
      <c r="N1608" s="351"/>
      <c r="O1608" s="351">
        <v>1000</v>
      </c>
      <c r="P1608" s="349" t="s">
        <v>1836</v>
      </c>
      <c r="R1608" s="349">
        <f t="shared" si="25"/>
        <v>11</v>
      </c>
      <c r="S1608" s="352"/>
      <c r="T1608" s="352"/>
      <c r="U1608" s="352"/>
      <c r="V1608" s="351"/>
      <c r="W1608" s="352"/>
      <c r="X1608" s="176"/>
      <c r="Y1608" s="176"/>
      <c r="Z1608" s="352"/>
      <c r="AA1608" s="352"/>
      <c r="AB1608" s="352"/>
      <c r="AC1608" s="351"/>
      <c r="AD1608" s="351"/>
    </row>
    <row r="1609" spans="1:30" ht="243.55" hidden="1" x14ac:dyDescent="0.35">
      <c r="A1609" s="349">
        <v>1608</v>
      </c>
      <c r="B1609" s="352" t="s">
        <v>2067</v>
      </c>
      <c r="C1609" s="351" t="s">
        <v>3826</v>
      </c>
      <c r="D1609" s="352" t="s">
        <v>3826</v>
      </c>
      <c r="E1609" s="352" t="s">
        <v>1999</v>
      </c>
      <c r="F1609" s="353">
        <v>0.44</v>
      </c>
      <c r="G1609" s="352" t="s">
        <v>967</v>
      </c>
      <c r="H1609" s="176" t="s">
        <v>1097</v>
      </c>
      <c r="I1609" s="176" t="s">
        <v>4550</v>
      </c>
      <c r="J1609" s="352" t="s">
        <v>968</v>
      </c>
      <c r="K1609" s="352">
        <v>1000</v>
      </c>
      <c r="L1609" s="352" t="s">
        <v>969</v>
      </c>
      <c r="M1609" s="351"/>
      <c r="N1609" s="351"/>
      <c r="O1609" s="351">
        <v>1000</v>
      </c>
      <c r="P1609" s="349" t="s">
        <v>1836</v>
      </c>
      <c r="R1609" s="349">
        <f t="shared" si="25"/>
        <v>11</v>
      </c>
      <c r="S1609" s="352"/>
      <c r="T1609" s="352"/>
      <c r="U1609" s="352"/>
      <c r="V1609" s="353"/>
      <c r="W1609" s="352"/>
      <c r="X1609" s="176"/>
      <c r="Y1609" s="176"/>
      <c r="Z1609" s="352"/>
      <c r="AA1609" s="351"/>
      <c r="AB1609" s="351"/>
      <c r="AC1609" s="351"/>
      <c r="AD1609" s="351"/>
    </row>
    <row r="1610" spans="1:30" ht="243.55" hidden="1" x14ac:dyDescent="0.35">
      <c r="A1610" s="349">
        <v>1609</v>
      </c>
      <c r="B1610" s="352" t="s">
        <v>2067</v>
      </c>
      <c r="C1610" s="351" t="s">
        <v>3826</v>
      </c>
      <c r="D1610" s="352" t="s">
        <v>3826</v>
      </c>
      <c r="E1610" s="352" t="s">
        <v>1996</v>
      </c>
      <c r="F1610" s="353">
        <v>7.0000000000000007E-2</v>
      </c>
      <c r="G1610" s="352" t="s">
        <v>2126</v>
      </c>
      <c r="H1610" s="176" t="s">
        <v>2087</v>
      </c>
      <c r="I1610" s="176" t="s">
        <v>4550</v>
      </c>
      <c r="J1610" s="352" t="s">
        <v>3579</v>
      </c>
      <c r="K1610" s="352">
        <v>24</v>
      </c>
      <c r="L1610" s="352" t="s">
        <v>1116</v>
      </c>
      <c r="M1610" s="351"/>
      <c r="N1610" s="351"/>
      <c r="O1610" s="351">
        <v>24</v>
      </c>
      <c r="P1610" s="349" t="s">
        <v>1836</v>
      </c>
      <c r="R1610" s="349">
        <f t="shared" si="25"/>
        <v>11</v>
      </c>
      <c r="S1610" s="352"/>
      <c r="T1610" s="352"/>
      <c r="U1610" s="352"/>
      <c r="V1610" s="353"/>
      <c r="W1610" s="352"/>
      <c r="X1610" s="176"/>
      <c r="Y1610" s="176"/>
      <c r="Z1610" s="352"/>
      <c r="AA1610" s="351"/>
      <c r="AB1610" s="351"/>
      <c r="AC1610" s="351"/>
      <c r="AD1610" s="351"/>
    </row>
    <row r="1611" spans="1:30" ht="243.55" hidden="1" x14ac:dyDescent="0.35">
      <c r="A1611" s="349">
        <v>1610</v>
      </c>
      <c r="B1611" s="352" t="s">
        <v>2067</v>
      </c>
      <c r="C1611" s="351" t="s">
        <v>3826</v>
      </c>
      <c r="D1611" s="352" t="s">
        <v>3826</v>
      </c>
      <c r="E1611" s="352" t="s">
        <v>1996</v>
      </c>
      <c r="F1611" s="353">
        <v>7.0000000000000007E-2</v>
      </c>
      <c r="G1611" s="352" t="s">
        <v>2126</v>
      </c>
      <c r="H1611" s="176" t="s">
        <v>1095</v>
      </c>
      <c r="I1611" s="176" t="s">
        <v>4550</v>
      </c>
      <c r="J1611" s="352" t="s">
        <v>3579</v>
      </c>
      <c r="K1611" s="352">
        <v>24</v>
      </c>
      <c r="L1611" s="352" t="s">
        <v>1116</v>
      </c>
      <c r="M1611" s="351"/>
      <c r="N1611" s="351"/>
      <c r="O1611" s="351">
        <v>24</v>
      </c>
      <c r="P1611" s="349" t="s">
        <v>1836</v>
      </c>
      <c r="R1611" s="349">
        <f t="shared" si="25"/>
        <v>11</v>
      </c>
      <c r="S1611" s="352"/>
      <c r="T1611" s="352"/>
      <c r="U1611" s="352"/>
      <c r="V1611" s="353"/>
      <c r="W1611" s="352"/>
      <c r="X1611" s="176"/>
      <c r="Y1611" s="176"/>
      <c r="Z1611" s="352"/>
      <c r="AA1611" s="351"/>
      <c r="AB1611" s="351"/>
      <c r="AC1611" s="351"/>
      <c r="AD1611" s="351"/>
    </row>
    <row r="1612" spans="1:30" ht="243.55" hidden="1" x14ac:dyDescent="0.35">
      <c r="A1612" s="349">
        <v>1611</v>
      </c>
      <c r="B1612" s="352" t="s">
        <v>2067</v>
      </c>
      <c r="C1612" s="351" t="s">
        <v>3826</v>
      </c>
      <c r="D1612" s="352" t="s">
        <v>3826</v>
      </c>
      <c r="E1612" s="352" t="s">
        <v>1995</v>
      </c>
      <c r="F1612" s="353">
        <v>0.1</v>
      </c>
      <c r="G1612" s="352" t="s">
        <v>2126</v>
      </c>
      <c r="H1612" s="176" t="s">
        <v>2087</v>
      </c>
      <c r="I1612" s="176" t="s">
        <v>4550</v>
      </c>
      <c r="J1612" s="352" t="s">
        <v>3580</v>
      </c>
      <c r="K1612" s="352">
        <v>160</v>
      </c>
      <c r="L1612" s="352" t="s">
        <v>3581</v>
      </c>
      <c r="M1612" s="351"/>
      <c r="N1612" s="351"/>
      <c r="O1612" s="351">
        <v>160</v>
      </c>
      <c r="P1612" s="349" t="s">
        <v>1836</v>
      </c>
      <c r="R1612" s="349">
        <f t="shared" si="25"/>
        <v>11</v>
      </c>
      <c r="S1612" s="352"/>
      <c r="T1612" s="352"/>
      <c r="U1612" s="352"/>
      <c r="V1612" s="353"/>
      <c r="W1612" s="352"/>
      <c r="X1612" s="176"/>
      <c r="Y1612" s="176"/>
      <c r="Z1612" s="352"/>
      <c r="AA1612" s="352"/>
      <c r="AB1612" s="352"/>
      <c r="AC1612" s="351"/>
      <c r="AD1612" s="351"/>
    </row>
    <row r="1613" spans="1:30" ht="243.55" hidden="1" x14ac:dyDescent="0.35">
      <c r="A1613" s="349">
        <v>1612</v>
      </c>
      <c r="B1613" s="352" t="s">
        <v>2067</v>
      </c>
      <c r="C1613" s="351" t="s">
        <v>3826</v>
      </c>
      <c r="D1613" s="352" t="s">
        <v>3826</v>
      </c>
      <c r="E1613" s="352" t="s">
        <v>1995</v>
      </c>
      <c r="F1613" s="353">
        <v>0.1</v>
      </c>
      <c r="G1613" s="352" t="s">
        <v>2126</v>
      </c>
      <c r="H1613" s="176" t="s">
        <v>1095</v>
      </c>
      <c r="I1613" s="176" t="s">
        <v>4550</v>
      </c>
      <c r="J1613" s="352" t="s">
        <v>3580</v>
      </c>
      <c r="K1613" s="352">
        <v>160</v>
      </c>
      <c r="L1613" s="352" t="s">
        <v>3581</v>
      </c>
      <c r="M1613" s="351"/>
      <c r="N1613" s="351"/>
      <c r="O1613" s="351">
        <v>160</v>
      </c>
      <c r="P1613" s="349" t="s">
        <v>1836</v>
      </c>
      <c r="R1613" s="349">
        <f t="shared" si="25"/>
        <v>11</v>
      </c>
      <c r="S1613" s="352"/>
      <c r="T1613" s="352"/>
      <c r="U1613" s="352"/>
      <c r="V1613" s="353"/>
      <c r="W1613" s="352"/>
      <c r="X1613" s="176"/>
      <c r="Y1613" s="176"/>
      <c r="Z1613" s="352"/>
      <c r="AA1613" s="352"/>
      <c r="AB1613" s="352"/>
      <c r="AC1613" s="351"/>
      <c r="AD1613" s="351"/>
    </row>
    <row r="1614" spans="1:30" ht="243.55" hidden="1" x14ac:dyDescent="0.35">
      <c r="A1614" s="349">
        <v>1613</v>
      </c>
      <c r="B1614" s="352" t="s">
        <v>2067</v>
      </c>
      <c r="C1614" s="351" t="s">
        <v>3826</v>
      </c>
      <c r="D1614" s="352" t="s">
        <v>3826</v>
      </c>
      <c r="E1614" s="352" t="s">
        <v>1995</v>
      </c>
      <c r="F1614" s="353">
        <v>0.05</v>
      </c>
      <c r="G1614" s="352" t="s">
        <v>2126</v>
      </c>
      <c r="H1614" s="176" t="s">
        <v>2087</v>
      </c>
      <c r="I1614" s="176" t="s">
        <v>4550</v>
      </c>
      <c r="J1614" s="352" t="s">
        <v>3580</v>
      </c>
      <c r="K1614" s="352">
        <v>500</v>
      </c>
      <c r="L1614" s="352" t="s">
        <v>3581</v>
      </c>
      <c r="M1614" s="351"/>
      <c r="N1614" s="351"/>
      <c r="O1614" s="351">
        <v>500</v>
      </c>
      <c r="P1614" s="349" t="s">
        <v>1836</v>
      </c>
      <c r="R1614" s="349">
        <f t="shared" si="25"/>
        <v>11</v>
      </c>
      <c r="S1614" s="352"/>
      <c r="T1614" s="352"/>
      <c r="U1614" s="352"/>
      <c r="V1614" s="351"/>
      <c r="W1614" s="352"/>
      <c r="X1614" s="176"/>
      <c r="Y1614" s="176"/>
      <c r="Z1614" s="352"/>
      <c r="AA1614" s="352"/>
      <c r="AB1614" s="352"/>
      <c r="AC1614" s="351"/>
      <c r="AD1614" s="351"/>
    </row>
    <row r="1615" spans="1:30" ht="243.55" hidden="1" x14ac:dyDescent="0.35">
      <c r="A1615" s="349">
        <v>1614</v>
      </c>
      <c r="B1615" s="352" t="s">
        <v>2067</v>
      </c>
      <c r="C1615" s="351" t="s">
        <v>3826</v>
      </c>
      <c r="D1615" s="352" t="s">
        <v>3826</v>
      </c>
      <c r="E1615" s="352" t="s">
        <v>1995</v>
      </c>
      <c r="F1615" s="353">
        <v>0.05</v>
      </c>
      <c r="G1615" s="352" t="s">
        <v>2126</v>
      </c>
      <c r="H1615" s="176" t="s">
        <v>1095</v>
      </c>
      <c r="I1615" s="176" t="s">
        <v>4550</v>
      </c>
      <c r="J1615" s="352" t="s">
        <v>3580</v>
      </c>
      <c r="K1615" s="352">
        <v>500</v>
      </c>
      <c r="L1615" s="352" t="s">
        <v>3581</v>
      </c>
      <c r="M1615" s="351"/>
      <c r="N1615" s="351"/>
      <c r="O1615" s="351">
        <v>500</v>
      </c>
      <c r="P1615" s="349" t="s">
        <v>1836</v>
      </c>
      <c r="R1615" s="349">
        <f t="shared" si="25"/>
        <v>11</v>
      </c>
      <c r="S1615" s="352"/>
      <c r="T1615" s="352"/>
      <c r="U1615" s="352"/>
      <c r="V1615" s="351"/>
      <c r="W1615" s="352"/>
      <c r="X1615" s="176"/>
      <c r="Y1615" s="176"/>
      <c r="Z1615" s="352"/>
      <c r="AA1615" s="352"/>
      <c r="AB1615" s="352"/>
      <c r="AC1615" s="351"/>
      <c r="AD1615" s="351"/>
    </row>
    <row r="1616" spans="1:30" ht="243.55" hidden="1" x14ac:dyDescent="0.35">
      <c r="A1616" s="349">
        <v>1615</v>
      </c>
      <c r="B1616" s="352" t="s">
        <v>2067</v>
      </c>
      <c r="C1616" s="351" t="s">
        <v>3826</v>
      </c>
      <c r="D1616" s="352" t="s">
        <v>3826</v>
      </c>
      <c r="E1616" s="352" t="s">
        <v>1999</v>
      </c>
      <c r="F1616" s="353">
        <v>0.4</v>
      </c>
      <c r="G1616" s="352" t="s">
        <v>967</v>
      </c>
      <c r="H1616" s="176" t="s">
        <v>1096</v>
      </c>
      <c r="I1616" s="176" t="s">
        <v>4550</v>
      </c>
      <c r="J1616" s="352" t="s">
        <v>968</v>
      </c>
      <c r="K1616" s="352">
        <v>40</v>
      </c>
      <c r="L1616" s="352" t="s">
        <v>969</v>
      </c>
      <c r="M1616" s="351"/>
      <c r="N1616" s="351"/>
      <c r="O1616" s="351">
        <v>40</v>
      </c>
      <c r="P1616" s="349" t="s">
        <v>1836</v>
      </c>
      <c r="R1616" s="349">
        <f t="shared" si="25"/>
        <v>11</v>
      </c>
      <c r="S1616" s="352"/>
      <c r="T1616" s="352"/>
      <c r="U1616" s="352"/>
      <c r="V1616" s="353"/>
      <c r="W1616" s="352"/>
      <c r="X1616" s="176"/>
      <c r="Y1616" s="176"/>
      <c r="Z1616" s="352"/>
      <c r="AA1616" s="352"/>
      <c r="AB1616" s="352"/>
      <c r="AC1616" s="351"/>
      <c r="AD1616" s="351"/>
    </row>
    <row r="1617" spans="1:30" ht="243.55" hidden="1" x14ac:dyDescent="0.35">
      <c r="A1617" s="349">
        <v>1616</v>
      </c>
      <c r="B1617" s="352" t="s">
        <v>2067</v>
      </c>
      <c r="C1617" s="351" t="s">
        <v>3826</v>
      </c>
      <c r="D1617" s="352" t="s">
        <v>3826</v>
      </c>
      <c r="E1617" s="352" t="s">
        <v>1999</v>
      </c>
      <c r="F1617" s="353">
        <v>0.4</v>
      </c>
      <c r="G1617" s="352" t="s">
        <v>967</v>
      </c>
      <c r="H1617" s="176" t="s">
        <v>3971</v>
      </c>
      <c r="I1617" s="176" t="s">
        <v>4550</v>
      </c>
      <c r="J1617" s="352" t="s">
        <v>968</v>
      </c>
      <c r="K1617" s="352">
        <v>40</v>
      </c>
      <c r="L1617" s="352" t="s">
        <v>969</v>
      </c>
      <c r="M1617" s="351"/>
      <c r="N1617" s="351"/>
      <c r="O1617" s="351">
        <v>40</v>
      </c>
      <c r="P1617" s="349" t="s">
        <v>1836</v>
      </c>
      <c r="R1617" s="349">
        <f t="shared" si="25"/>
        <v>11</v>
      </c>
      <c r="S1617" s="352"/>
      <c r="T1617" s="352"/>
      <c r="U1617" s="352"/>
      <c r="V1617" s="353"/>
      <c r="W1617" s="352"/>
      <c r="X1617" s="176"/>
      <c r="Y1617" s="176"/>
      <c r="Z1617" s="352"/>
      <c r="AA1617" s="352"/>
      <c r="AB1617" s="352"/>
      <c r="AC1617" s="351"/>
      <c r="AD1617" s="351"/>
    </row>
    <row r="1618" spans="1:30" ht="243.55" hidden="1" x14ac:dyDescent="0.35">
      <c r="A1618" s="349">
        <v>1617</v>
      </c>
      <c r="B1618" s="352" t="s">
        <v>2067</v>
      </c>
      <c r="C1618" s="351" t="s">
        <v>3826</v>
      </c>
      <c r="D1618" s="352" t="s">
        <v>3826</v>
      </c>
      <c r="E1618" s="352" t="s">
        <v>1999</v>
      </c>
      <c r="F1618" s="353">
        <v>0.4</v>
      </c>
      <c r="G1618" s="352" t="s">
        <v>967</v>
      </c>
      <c r="H1618" s="176" t="s">
        <v>1097</v>
      </c>
      <c r="I1618" s="176" t="s">
        <v>4550</v>
      </c>
      <c r="J1618" s="352" t="s">
        <v>968</v>
      </c>
      <c r="K1618" s="352">
        <v>40</v>
      </c>
      <c r="L1618" s="352" t="s">
        <v>969</v>
      </c>
      <c r="M1618" s="351"/>
      <c r="N1618" s="351"/>
      <c r="O1618" s="351">
        <v>40</v>
      </c>
      <c r="P1618" s="349" t="s">
        <v>1836</v>
      </c>
      <c r="R1618" s="349">
        <f t="shared" si="25"/>
        <v>11</v>
      </c>
      <c r="S1618" s="352"/>
      <c r="T1618" s="352"/>
      <c r="U1618" s="352"/>
      <c r="V1618" s="353"/>
      <c r="W1618" s="352"/>
      <c r="X1618" s="176"/>
      <c r="Y1618" s="176"/>
      <c r="Z1618" s="352"/>
      <c r="AA1618" s="352"/>
      <c r="AB1618" s="352"/>
      <c r="AC1618" s="352"/>
      <c r="AD1618" s="352"/>
    </row>
    <row r="1619" spans="1:30" ht="243.55" hidden="1" x14ac:dyDescent="0.35">
      <c r="A1619" s="349">
        <v>1618</v>
      </c>
      <c r="B1619" s="352" t="s">
        <v>2067</v>
      </c>
      <c r="C1619" s="351" t="s">
        <v>3826</v>
      </c>
      <c r="D1619" s="352" t="s">
        <v>3826</v>
      </c>
      <c r="E1619" s="352" t="s">
        <v>1999</v>
      </c>
      <c r="F1619" s="353">
        <v>0.45</v>
      </c>
      <c r="G1619" s="352" t="s">
        <v>967</v>
      </c>
      <c r="H1619" s="176" t="s">
        <v>1097</v>
      </c>
      <c r="I1619" s="176" t="s">
        <v>4550</v>
      </c>
      <c r="J1619" s="352" t="s">
        <v>968</v>
      </c>
      <c r="K1619" s="352">
        <v>60</v>
      </c>
      <c r="L1619" s="352" t="s">
        <v>969</v>
      </c>
      <c r="M1619" s="351"/>
      <c r="N1619" s="351"/>
      <c r="O1619" s="351">
        <v>60</v>
      </c>
      <c r="P1619" s="349" t="s">
        <v>1836</v>
      </c>
      <c r="R1619" s="349">
        <f t="shared" si="25"/>
        <v>11</v>
      </c>
      <c r="S1619" s="352"/>
      <c r="T1619" s="352"/>
      <c r="U1619" s="352"/>
      <c r="V1619" s="353"/>
      <c r="W1619" s="352"/>
      <c r="X1619" s="176"/>
      <c r="Y1619" s="176"/>
      <c r="Z1619" s="352"/>
      <c r="AA1619" s="352"/>
      <c r="AB1619" s="352"/>
      <c r="AC1619" s="351"/>
      <c r="AD1619" s="351"/>
    </row>
    <row r="1620" spans="1:30" ht="243.55" hidden="1" x14ac:dyDescent="0.35">
      <c r="A1620" s="349">
        <v>1619</v>
      </c>
      <c r="B1620" s="352" t="s">
        <v>2067</v>
      </c>
      <c r="C1620" s="351" t="s">
        <v>3826</v>
      </c>
      <c r="D1620" s="352" t="s">
        <v>3826</v>
      </c>
      <c r="E1620" s="352" t="s">
        <v>1999</v>
      </c>
      <c r="F1620" s="353">
        <v>0.45</v>
      </c>
      <c r="G1620" s="352" t="s">
        <v>967</v>
      </c>
      <c r="H1620" s="176" t="s">
        <v>1096</v>
      </c>
      <c r="I1620" s="176" t="s">
        <v>4550</v>
      </c>
      <c r="J1620" s="352" t="s">
        <v>968</v>
      </c>
      <c r="K1620" s="352">
        <v>60</v>
      </c>
      <c r="L1620" s="352" t="s">
        <v>969</v>
      </c>
      <c r="M1620" s="351"/>
      <c r="N1620" s="351"/>
      <c r="O1620" s="351">
        <v>60</v>
      </c>
      <c r="P1620" s="349" t="s">
        <v>1836</v>
      </c>
      <c r="R1620" s="349">
        <f t="shared" si="25"/>
        <v>11</v>
      </c>
      <c r="S1620" s="352"/>
      <c r="T1620" s="352"/>
      <c r="U1620" s="352"/>
      <c r="V1620" s="353"/>
      <c r="W1620" s="352"/>
      <c r="X1620" s="176"/>
      <c r="Y1620" s="176"/>
      <c r="Z1620" s="352"/>
      <c r="AA1620" s="352"/>
      <c r="AB1620" s="352"/>
      <c r="AC1620" s="352"/>
      <c r="AD1620" s="352"/>
    </row>
    <row r="1621" spans="1:30" ht="243.55" hidden="1" x14ac:dyDescent="0.35">
      <c r="A1621" s="349">
        <v>1620</v>
      </c>
      <c r="B1621" s="352" t="s">
        <v>2067</v>
      </c>
      <c r="C1621" s="351" t="s">
        <v>3826</v>
      </c>
      <c r="D1621" s="352" t="s">
        <v>3826</v>
      </c>
      <c r="E1621" s="352" t="s">
        <v>1999</v>
      </c>
      <c r="F1621" s="353">
        <v>0.45</v>
      </c>
      <c r="G1621" s="352" t="s">
        <v>967</v>
      </c>
      <c r="H1621" s="176" t="s">
        <v>3971</v>
      </c>
      <c r="I1621" s="176" t="s">
        <v>4550</v>
      </c>
      <c r="J1621" s="352" t="s">
        <v>968</v>
      </c>
      <c r="K1621" s="352">
        <v>60</v>
      </c>
      <c r="L1621" s="352" t="s">
        <v>969</v>
      </c>
      <c r="M1621" s="351"/>
      <c r="N1621" s="351"/>
      <c r="O1621" s="351">
        <v>60</v>
      </c>
      <c r="P1621" s="349" t="s">
        <v>1836</v>
      </c>
      <c r="R1621" s="349">
        <f t="shared" si="25"/>
        <v>11</v>
      </c>
      <c r="S1621" s="352"/>
      <c r="T1621" s="352"/>
      <c r="U1621" s="352"/>
      <c r="V1621" s="353"/>
      <c r="W1621" s="352"/>
      <c r="X1621" s="176"/>
      <c r="Y1621" s="176"/>
      <c r="Z1621" s="352"/>
      <c r="AA1621" s="352"/>
      <c r="AB1621" s="352"/>
      <c r="AC1621" s="351"/>
      <c r="AD1621" s="351"/>
    </row>
    <row r="1622" spans="1:30" ht="243.55" hidden="1" x14ac:dyDescent="0.35">
      <c r="A1622" s="349">
        <v>1621</v>
      </c>
      <c r="B1622" s="352" t="s">
        <v>2067</v>
      </c>
      <c r="C1622" s="351" t="s">
        <v>3826</v>
      </c>
      <c r="D1622" s="352" t="s">
        <v>3826</v>
      </c>
      <c r="E1622" s="352" t="s">
        <v>1999</v>
      </c>
      <c r="F1622" s="353">
        <v>0.28999999999999998</v>
      </c>
      <c r="G1622" s="352" t="s">
        <v>967</v>
      </c>
      <c r="H1622" s="176" t="s">
        <v>1097</v>
      </c>
      <c r="I1622" s="176" t="s">
        <v>4550</v>
      </c>
      <c r="J1622" s="352" t="s">
        <v>968</v>
      </c>
      <c r="K1622" s="352">
        <v>120</v>
      </c>
      <c r="L1622" s="352" t="s">
        <v>969</v>
      </c>
      <c r="M1622" s="351"/>
      <c r="N1622" s="351"/>
      <c r="O1622" s="351">
        <v>120</v>
      </c>
      <c r="P1622" s="349" t="s">
        <v>1836</v>
      </c>
      <c r="R1622" s="349">
        <f t="shared" si="25"/>
        <v>11</v>
      </c>
      <c r="S1622" s="352"/>
      <c r="T1622" s="352"/>
      <c r="U1622" s="352"/>
      <c r="V1622" s="353"/>
      <c r="W1622" s="352"/>
      <c r="X1622" s="176"/>
      <c r="Y1622" s="176"/>
      <c r="Z1622" s="352"/>
      <c r="AA1622" s="352"/>
      <c r="AB1622" s="352"/>
      <c r="AC1622" s="352"/>
      <c r="AD1622" s="352"/>
    </row>
    <row r="1623" spans="1:30" ht="243.55" hidden="1" x14ac:dyDescent="0.35">
      <c r="A1623" s="349">
        <v>1622</v>
      </c>
      <c r="B1623" s="352" t="s">
        <v>2067</v>
      </c>
      <c r="C1623" s="351" t="s">
        <v>3826</v>
      </c>
      <c r="D1623" s="352" t="s">
        <v>3826</v>
      </c>
      <c r="E1623" s="352" t="s">
        <v>1999</v>
      </c>
      <c r="F1623" s="353">
        <v>0.28999999999999998</v>
      </c>
      <c r="G1623" s="352" t="s">
        <v>967</v>
      </c>
      <c r="H1623" s="176" t="s">
        <v>3971</v>
      </c>
      <c r="I1623" s="176" t="s">
        <v>4550</v>
      </c>
      <c r="J1623" s="352" t="s">
        <v>968</v>
      </c>
      <c r="K1623" s="352">
        <v>120</v>
      </c>
      <c r="L1623" s="352" t="s">
        <v>969</v>
      </c>
      <c r="M1623" s="351"/>
      <c r="N1623" s="351"/>
      <c r="O1623" s="351">
        <v>120</v>
      </c>
      <c r="P1623" s="349" t="s">
        <v>1836</v>
      </c>
      <c r="R1623" s="349">
        <f t="shared" si="25"/>
        <v>11</v>
      </c>
      <c r="S1623" s="352"/>
      <c r="T1623" s="352"/>
      <c r="U1623" s="352"/>
      <c r="V1623" s="353"/>
      <c r="W1623" s="352"/>
      <c r="X1623" s="176"/>
      <c r="Y1623" s="176"/>
      <c r="Z1623" s="352"/>
      <c r="AA1623" s="352"/>
      <c r="AB1623" s="352"/>
      <c r="AC1623" s="351"/>
      <c r="AD1623" s="351"/>
    </row>
    <row r="1624" spans="1:30" ht="243.55" hidden="1" x14ac:dyDescent="0.35">
      <c r="A1624" s="349">
        <v>1623</v>
      </c>
      <c r="B1624" s="352" t="s">
        <v>2067</v>
      </c>
      <c r="C1624" s="351" t="s">
        <v>3826</v>
      </c>
      <c r="D1624" s="352" t="s">
        <v>3826</v>
      </c>
      <c r="E1624" s="352" t="s">
        <v>1999</v>
      </c>
      <c r="F1624" s="353">
        <v>0.28999999999999998</v>
      </c>
      <c r="G1624" s="352" t="s">
        <v>967</v>
      </c>
      <c r="H1624" s="176" t="s">
        <v>1096</v>
      </c>
      <c r="I1624" s="176" t="s">
        <v>4550</v>
      </c>
      <c r="J1624" s="352" t="s">
        <v>968</v>
      </c>
      <c r="K1624" s="352">
        <v>120</v>
      </c>
      <c r="L1624" s="352" t="s">
        <v>969</v>
      </c>
      <c r="M1624" s="351"/>
      <c r="N1624" s="351"/>
      <c r="O1624" s="351">
        <v>120</v>
      </c>
      <c r="P1624" s="349" t="s">
        <v>1836</v>
      </c>
      <c r="R1624" s="349">
        <f t="shared" si="25"/>
        <v>11</v>
      </c>
      <c r="S1624" s="352"/>
      <c r="T1624" s="352"/>
      <c r="U1624" s="352"/>
      <c r="V1624" s="353"/>
      <c r="W1624" s="352"/>
      <c r="X1624" s="176"/>
      <c r="Y1624" s="176"/>
      <c r="Z1624" s="352"/>
      <c r="AA1624" s="352"/>
      <c r="AB1624" s="352"/>
      <c r="AC1624" s="352"/>
      <c r="AD1624" s="352"/>
    </row>
    <row r="1625" spans="1:30" ht="243.55" hidden="1" x14ac:dyDescent="0.35">
      <c r="A1625" s="349">
        <v>1624</v>
      </c>
      <c r="B1625" s="352" t="s">
        <v>2067</v>
      </c>
      <c r="C1625" s="351" t="s">
        <v>3826</v>
      </c>
      <c r="D1625" s="352" t="s">
        <v>3826</v>
      </c>
      <c r="E1625" s="352" t="s">
        <v>1999</v>
      </c>
      <c r="F1625" s="353">
        <v>0.28649999999999998</v>
      </c>
      <c r="G1625" s="352" t="s">
        <v>967</v>
      </c>
      <c r="H1625" s="176" t="s">
        <v>3971</v>
      </c>
      <c r="I1625" s="176" t="s">
        <v>4550</v>
      </c>
      <c r="J1625" s="352" t="s">
        <v>968</v>
      </c>
      <c r="K1625" s="352">
        <v>240</v>
      </c>
      <c r="L1625" s="352" t="s">
        <v>969</v>
      </c>
      <c r="M1625" s="351"/>
      <c r="N1625" s="351"/>
      <c r="O1625" s="351">
        <v>240</v>
      </c>
      <c r="P1625" s="349" t="s">
        <v>1836</v>
      </c>
      <c r="R1625" s="349">
        <f t="shared" si="25"/>
        <v>11</v>
      </c>
      <c r="S1625" s="352"/>
      <c r="T1625" s="352"/>
      <c r="U1625" s="352"/>
      <c r="V1625" s="353"/>
      <c r="W1625" s="352"/>
      <c r="X1625" s="176"/>
      <c r="Y1625" s="176"/>
      <c r="Z1625" s="352"/>
      <c r="AA1625" s="352"/>
      <c r="AB1625" s="352"/>
      <c r="AC1625" s="351"/>
      <c r="AD1625" s="351"/>
    </row>
    <row r="1626" spans="1:30" ht="243.55" hidden="1" x14ac:dyDescent="0.35">
      <c r="A1626" s="349">
        <v>1625</v>
      </c>
      <c r="B1626" s="352" t="s">
        <v>2067</v>
      </c>
      <c r="C1626" s="351" t="s">
        <v>3826</v>
      </c>
      <c r="D1626" s="352" t="s">
        <v>3826</v>
      </c>
      <c r="E1626" s="352" t="s">
        <v>1999</v>
      </c>
      <c r="F1626" s="353">
        <v>0.28649999999999998</v>
      </c>
      <c r="G1626" s="352" t="s">
        <v>967</v>
      </c>
      <c r="H1626" s="176" t="s">
        <v>1096</v>
      </c>
      <c r="I1626" s="176" t="s">
        <v>4550</v>
      </c>
      <c r="J1626" s="352" t="s">
        <v>968</v>
      </c>
      <c r="K1626" s="352">
        <v>240</v>
      </c>
      <c r="L1626" s="352" t="s">
        <v>969</v>
      </c>
      <c r="M1626" s="351"/>
      <c r="N1626" s="351"/>
      <c r="O1626" s="351">
        <v>240</v>
      </c>
      <c r="P1626" s="349" t="s">
        <v>1836</v>
      </c>
      <c r="R1626" s="349">
        <f t="shared" si="25"/>
        <v>11</v>
      </c>
      <c r="S1626" s="352"/>
      <c r="T1626" s="352"/>
      <c r="U1626" s="352"/>
      <c r="V1626" s="353"/>
      <c r="W1626" s="352"/>
      <c r="X1626" s="176"/>
      <c r="Y1626" s="176"/>
      <c r="Z1626" s="352"/>
      <c r="AA1626" s="352"/>
      <c r="AB1626" s="352"/>
      <c r="AC1626" s="352"/>
      <c r="AD1626" s="352"/>
    </row>
    <row r="1627" spans="1:30" ht="243.55" hidden="1" x14ac:dyDescent="0.35">
      <c r="A1627" s="349">
        <v>1626</v>
      </c>
      <c r="B1627" s="352" t="s">
        <v>2067</v>
      </c>
      <c r="C1627" s="351" t="s">
        <v>3826</v>
      </c>
      <c r="D1627" s="352" t="s">
        <v>3826</v>
      </c>
      <c r="E1627" s="352" t="s">
        <v>1999</v>
      </c>
      <c r="F1627" s="353">
        <v>0.28649999999999998</v>
      </c>
      <c r="G1627" s="352" t="s">
        <v>967</v>
      </c>
      <c r="H1627" s="176" t="s">
        <v>1097</v>
      </c>
      <c r="I1627" s="176" t="s">
        <v>4550</v>
      </c>
      <c r="J1627" s="352" t="s">
        <v>968</v>
      </c>
      <c r="K1627" s="352">
        <v>240</v>
      </c>
      <c r="L1627" s="352" t="s">
        <v>969</v>
      </c>
      <c r="M1627" s="351"/>
      <c r="N1627" s="351"/>
      <c r="O1627" s="351">
        <v>240</v>
      </c>
      <c r="P1627" s="349" t="s">
        <v>1836</v>
      </c>
      <c r="R1627" s="349">
        <f t="shared" si="25"/>
        <v>11</v>
      </c>
      <c r="S1627" s="352"/>
      <c r="T1627" s="352"/>
      <c r="U1627" s="352"/>
      <c r="V1627" s="353"/>
      <c r="W1627" s="352"/>
      <c r="X1627" s="176"/>
      <c r="Y1627" s="176"/>
      <c r="Z1627" s="352"/>
      <c r="AA1627" s="352"/>
      <c r="AB1627" s="352"/>
      <c r="AC1627" s="352"/>
      <c r="AD1627" s="352"/>
    </row>
    <row r="1628" spans="1:30" ht="243.55" hidden="1" x14ac:dyDescent="0.35">
      <c r="A1628" s="349">
        <v>1627</v>
      </c>
      <c r="B1628" s="352" t="s">
        <v>2067</v>
      </c>
      <c r="C1628" s="351" t="s">
        <v>3826</v>
      </c>
      <c r="D1628" s="352" t="s">
        <v>3826</v>
      </c>
      <c r="E1628" s="352" t="s">
        <v>1999</v>
      </c>
      <c r="F1628" s="353">
        <v>0.6</v>
      </c>
      <c r="G1628" s="352" t="s">
        <v>967</v>
      </c>
      <c r="H1628" s="176" t="s">
        <v>1097</v>
      </c>
      <c r="I1628" s="176" t="s">
        <v>4550</v>
      </c>
      <c r="J1628" s="352" t="s">
        <v>968</v>
      </c>
      <c r="K1628" s="352">
        <v>375</v>
      </c>
      <c r="L1628" s="352" t="s">
        <v>969</v>
      </c>
      <c r="M1628" s="351"/>
      <c r="N1628" s="351"/>
      <c r="O1628" s="351">
        <v>375</v>
      </c>
      <c r="P1628" s="349" t="s">
        <v>1836</v>
      </c>
      <c r="R1628" s="349">
        <f t="shared" si="25"/>
        <v>11</v>
      </c>
      <c r="S1628" s="352"/>
      <c r="T1628" s="352"/>
      <c r="U1628" s="352"/>
      <c r="V1628" s="353"/>
      <c r="W1628" s="352"/>
      <c r="X1628" s="176"/>
      <c r="Y1628" s="176"/>
      <c r="Z1628" s="352"/>
      <c r="AA1628" s="352"/>
      <c r="AB1628" s="352"/>
      <c r="AC1628" s="352"/>
      <c r="AD1628" s="352"/>
    </row>
    <row r="1629" spans="1:30" ht="243.55" hidden="1" x14ac:dyDescent="0.35">
      <c r="A1629" s="349">
        <v>1628</v>
      </c>
      <c r="B1629" s="352" t="s">
        <v>2067</v>
      </c>
      <c r="C1629" s="351" t="s">
        <v>3826</v>
      </c>
      <c r="D1629" s="352" t="s">
        <v>3826</v>
      </c>
      <c r="E1629" s="352" t="s">
        <v>1999</v>
      </c>
      <c r="F1629" s="353">
        <v>0.6</v>
      </c>
      <c r="G1629" s="352" t="s">
        <v>967</v>
      </c>
      <c r="H1629" s="176" t="s">
        <v>1096</v>
      </c>
      <c r="I1629" s="176" t="s">
        <v>4550</v>
      </c>
      <c r="J1629" s="352" t="s">
        <v>968</v>
      </c>
      <c r="K1629" s="352">
        <v>375</v>
      </c>
      <c r="L1629" s="352" t="s">
        <v>969</v>
      </c>
      <c r="M1629" s="351"/>
      <c r="N1629" s="351"/>
      <c r="O1629" s="351">
        <v>375</v>
      </c>
      <c r="P1629" s="349" t="s">
        <v>1836</v>
      </c>
      <c r="R1629" s="349">
        <f t="shared" si="25"/>
        <v>11</v>
      </c>
      <c r="S1629" s="352"/>
      <c r="T1629" s="352"/>
      <c r="U1629" s="352"/>
      <c r="V1629" s="353"/>
      <c r="W1629" s="352"/>
      <c r="X1629" s="176"/>
      <c r="Y1629" s="176"/>
      <c r="Z1629" s="352"/>
      <c r="AA1629" s="352"/>
      <c r="AB1629" s="352"/>
      <c r="AC1629" s="352"/>
      <c r="AD1629" s="352"/>
    </row>
    <row r="1630" spans="1:30" ht="243.55" hidden="1" x14ac:dyDescent="0.35">
      <c r="A1630" s="349">
        <v>1629</v>
      </c>
      <c r="B1630" s="352" t="s">
        <v>2067</v>
      </c>
      <c r="C1630" s="351" t="s">
        <v>3826</v>
      </c>
      <c r="D1630" s="352" t="s">
        <v>3826</v>
      </c>
      <c r="E1630" s="352" t="s">
        <v>1999</v>
      </c>
      <c r="F1630" s="353">
        <v>0.6</v>
      </c>
      <c r="G1630" s="352" t="s">
        <v>967</v>
      </c>
      <c r="H1630" s="176" t="s">
        <v>3971</v>
      </c>
      <c r="I1630" s="176" t="s">
        <v>4550</v>
      </c>
      <c r="J1630" s="352" t="s">
        <v>968</v>
      </c>
      <c r="K1630" s="352">
        <v>375</v>
      </c>
      <c r="L1630" s="352" t="s">
        <v>969</v>
      </c>
      <c r="M1630" s="351"/>
      <c r="N1630" s="351"/>
      <c r="O1630" s="351">
        <v>375</v>
      </c>
      <c r="P1630" s="349" t="s">
        <v>1836</v>
      </c>
      <c r="R1630" s="349">
        <f t="shared" si="25"/>
        <v>11</v>
      </c>
      <c r="S1630" s="352"/>
      <c r="T1630" s="352"/>
      <c r="U1630" s="352"/>
      <c r="V1630" s="353"/>
      <c r="W1630" s="352"/>
      <c r="X1630" s="176"/>
      <c r="Y1630" s="176"/>
      <c r="Z1630" s="352"/>
      <c r="AA1630" s="352"/>
      <c r="AB1630" s="352"/>
      <c r="AC1630" s="352"/>
      <c r="AD1630" s="352"/>
    </row>
    <row r="1631" spans="1:30" ht="243.55" hidden="1" x14ac:dyDescent="0.35">
      <c r="A1631" s="349">
        <v>1630</v>
      </c>
      <c r="B1631" s="352" t="s">
        <v>2067</v>
      </c>
      <c r="C1631" s="351" t="s">
        <v>3826</v>
      </c>
      <c r="D1631" s="352" t="s">
        <v>3826</v>
      </c>
      <c r="E1631" s="352" t="s">
        <v>1999</v>
      </c>
      <c r="F1631" s="353">
        <v>0.28649999999999998</v>
      </c>
      <c r="G1631" s="352" t="s">
        <v>967</v>
      </c>
      <c r="H1631" s="176" t="s">
        <v>1097</v>
      </c>
      <c r="I1631" s="176" t="s">
        <v>4550</v>
      </c>
      <c r="J1631" s="352" t="s">
        <v>968</v>
      </c>
      <c r="K1631" s="352">
        <v>500</v>
      </c>
      <c r="L1631" s="352" t="s">
        <v>969</v>
      </c>
      <c r="M1631" s="351"/>
      <c r="N1631" s="351"/>
      <c r="O1631" s="351">
        <v>500</v>
      </c>
      <c r="P1631" s="349" t="s">
        <v>1836</v>
      </c>
      <c r="R1631" s="349">
        <f t="shared" si="25"/>
        <v>11</v>
      </c>
      <c r="S1631" s="352"/>
      <c r="T1631" s="352"/>
      <c r="U1631" s="352"/>
      <c r="V1631" s="353"/>
      <c r="W1631" s="352"/>
      <c r="X1631" s="176"/>
      <c r="Y1631" s="176"/>
      <c r="Z1631" s="352"/>
      <c r="AA1631" s="352"/>
      <c r="AB1631" s="352"/>
      <c r="AC1631" s="352"/>
      <c r="AD1631" s="352"/>
    </row>
    <row r="1632" spans="1:30" ht="243.55" hidden="1" x14ac:dyDescent="0.35">
      <c r="A1632" s="349">
        <v>1631</v>
      </c>
      <c r="B1632" s="352" t="s">
        <v>2067</v>
      </c>
      <c r="C1632" s="351" t="s">
        <v>3826</v>
      </c>
      <c r="D1632" s="352" t="s">
        <v>3826</v>
      </c>
      <c r="E1632" s="352" t="s">
        <v>1999</v>
      </c>
      <c r="F1632" s="353">
        <v>0.28649999999999998</v>
      </c>
      <c r="G1632" s="352" t="s">
        <v>967</v>
      </c>
      <c r="H1632" s="176" t="s">
        <v>1096</v>
      </c>
      <c r="I1632" s="176" t="s">
        <v>4550</v>
      </c>
      <c r="J1632" s="352" t="s">
        <v>968</v>
      </c>
      <c r="K1632" s="352">
        <v>500</v>
      </c>
      <c r="L1632" s="352" t="s">
        <v>969</v>
      </c>
      <c r="M1632" s="351"/>
      <c r="N1632" s="351"/>
      <c r="O1632" s="351">
        <v>500</v>
      </c>
      <c r="P1632" s="349" t="s">
        <v>1836</v>
      </c>
      <c r="R1632" s="349">
        <f t="shared" si="25"/>
        <v>11</v>
      </c>
      <c r="S1632" s="352"/>
      <c r="T1632" s="352"/>
      <c r="U1632" s="352"/>
      <c r="V1632" s="353"/>
      <c r="W1632" s="352"/>
      <c r="X1632" s="176"/>
      <c r="Y1632" s="176"/>
      <c r="Z1632" s="352"/>
      <c r="AA1632" s="352"/>
      <c r="AB1632" s="352"/>
      <c r="AC1632" s="351"/>
      <c r="AD1632" s="351"/>
    </row>
    <row r="1633" spans="1:30" ht="243.55" hidden="1" x14ac:dyDescent="0.35">
      <c r="A1633" s="349">
        <v>1632</v>
      </c>
      <c r="B1633" s="352" t="s">
        <v>2067</v>
      </c>
      <c r="C1633" s="351" t="s">
        <v>3826</v>
      </c>
      <c r="D1633" s="352" t="s">
        <v>3826</v>
      </c>
      <c r="E1633" s="352" t="s">
        <v>1999</v>
      </c>
      <c r="F1633" s="353">
        <v>0.28649999999999998</v>
      </c>
      <c r="G1633" s="352" t="s">
        <v>967</v>
      </c>
      <c r="H1633" s="176" t="s">
        <v>3971</v>
      </c>
      <c r="I1633" s="37" t="s">
        <v>4550</v>
      </c>
      <c r="J1633" s="352" t="s">
        <v>968</v>
      </c>
      <c r="K1633" s="351">
        <v>500</v>
      </c>
      <c r="L1633" s="351" t="s">
        <v>969</v>
      </c>
      <c r="M1633" s="351"/>
      <c r="N1633" s="351"/>
      <c r="O1633" s="351">
        <v>500</v>
      </c>
      <c r="P1633" s="349" t="s">
        <v>1836</v>
      </c>
      <c r="R1633" s="349">
        <f t="shared" si="25"/>
        <v>11</v>
      </c>
      <c r="S1633" s="352"/>
      <c r="T1633" s="352"/>
      <c r="U1633" s="352"/>
      <c r="V1633" s="353"/>
      <c r="W1633" s="352"/>
      <c r="X1633" s="176"/>
      <c r="Y1633" s="176"/>
      <c r="Z1633" s="352"/>
      <c r="AA1633" s="352"/>
      <c r="AB1633" s="352"/>
      <c r="AC1633" s="352"/>
      <c r="AD1633" s="352"/>
    </row>
    <row r="1634" spans="1:30" ht="243.55" hidden="1" x14ac:dyDescent="0.35">
      <c r="A1634" s="349">
        <v>1633</v>
      </c>
      <c r="B1634" s="352" t="s">
        <v>2067</v>
      </c>
      <c r="C1634" s="351" t="s">
        <v>3826</v>
      </c>
      <c r="D1634" s="352" t="s">
        <v>3826</v>
      </c>
      <c r="E1634" s="352" t="s">
        <v>1999</v>
      </c>
      <c r="F1634" s="353">
        <v>0.44</v>
      </c>
      <c r="G1634" s="352" t="s">
        <v>967</v>
      </c>
      <c r="H1634" s="176" t="s">
        <v>3971</v>
      </c>
      <c r="I1634" s="37" t="s">
        <v>4550</v>
      </c>
      <c r="J1634" s="352" t="s">
        <v>968</v>
      </c>
      <c r="K1634" s="351">
        <v>1000</v>
      </c>
      <c r="L1634" s="351" t="s">
        <v>969</v>
      </c>
      <c r="M1634" s="351"/>
      <c r="N1634" s="351"/>
      <c r="O1634" s="351">
        <v>1000</v>
      </c>
      <c r="P1634" s="349" t="s">
        <v>1836</v>
      </c>
      <c r="R1634" s="349">
        <f t="shared" si="25"/>
        <v>11</v>
      </c>
      <c r="S1634" s="352"/>
      <c r="T1634" s="352"/>
      <c r="U1634" s="352"/>
      <c r="V1634" s="353"/>
      <c r="W1634" s="352"/>
      <c r="X1634" s="176"/>
      <c r="Y1634" s="176"/>
      <c r="Z1634" s="352"/>
      <c r="AA1634" s="352"/>
      <c r="AB1634" s="352"/>
      <c r="AC1634" s="351"/>
      <c r="AD1634" s="351"/>
    </row>
    <row r="1635" spans="1:30" ht="243.55" hidden="1" x14ac:dyDescent="0.35">
      <c r="A1635" s="349">
        <v>1634</v>
      </c>
      <c r="B1635" s="352" t="s">
        <v>2067</v>
      </c>
      <c r="C1635" s="351" t="s">
        <v>3826</v>
      </c>
      <c r="D1635" s="352" t="s">
        <v>3826</v>
      </c>
      <c r="E1635" s="352" t="s">
        <v>1999</v>
      </c>
      <c r="F1635" s="353">
        <v>0.44</v>
      </c>
      <c r="G1635" s="352" t="s">
        <v>967</v>
      </c>
      <c r="H1635" s="176" t="s">
        <v>1096</v>
      </c>
      <c r="I1635" s="37" t="s">
        <v>4550</v>
      </c>
      <c r="J1635" s="352" t="s">
        <v>968</v>
      </c>
      <c r="K1635" s="351">
        <v>1000</v>
      </c>
      <c r="L1635" s="351" t="s">
        <v>969</v>
      </c>
      <c r="M1635" s="351"/>
      <c r="N1635" s="351"/>
      <c r="O1635" s="351">
        <v>1000</v>
      </c>
      <c r="P1635" s="349" t="s">
        <v>1836</v>
      </c>
      <c r="R1635" s="349">
        <f t="shared" si="25"/>
        <v>11</v>
      </c>
      <c r="S1635" s="352"/>
      <c r="T1635" s="352"/>
      <c r="U1635" s="352"/>
      <c r="V1635" s="353"/>
      <c r="W1635" s="352"/>
      <c r="X1635" s="176"/>
      <c r="Y1635" s="176"/>
      <c r="Z1635" s="352"/>
      <c r="AA1635" s="352"/>
      <c r="AB1635" s="352"/>
      <c r="AC1635" s="352"/>
      <c r="AD1635" s="352"/>
    </row>
    <row r="1636" spans="1:30" ht="243.55" hidden="1" x14ac:dyDescent="0.35">
      <c r="A1636" s="349">
        <v>1635</v>
      </c>
      <c r="B1636" s="352" t="s">
        <v>2067</v>
      </c>
      <c r="C1636" s="351" t="s">
        <v>3826</v>
      </c>
      <c r="D1636" s="352" t="s">
        <v>3826</v>
      </c>
      <c r="E1636" s="352" t="s">
        <v>1999</v>
      </c>
      <c r="F1636" s="353">
        <v>0.44</v>
      </c>
      <c r="G1636" s="352" t="s">
        <v>967</v>
      </c>
      <c r="H1636" s="176" t="s">
        <v>1097</v>
      </c>
      <c r="I1636" s="37" t="s">
        <v>4550</v>
      </c>
      <c r="J1636" s="352" t="s">
        <v>968</v>
      </c>
      <c r="K1636" s="351">
        <v>1000</v>
      </c>
      <c r="L1636" s="351" t="s">
        <v>969</v>
      </c>
      <c r="M1636" s="351"/>
      <c r="N1636" s="351"/>
      <c r="O1636" s="351">
        <v>1000</v>
      </c>
      <c r="P1636" s="349" t="s">
        <v>1836</v>
      </c>
      <c r="R1636" s="349">
        <f t="shared" si="25"/>
        <v>11</v>
      </c>
      <c r="S1636" s="352"/>
      <c r="T1636" s="352"/>
      <c r="U1636" s="352"/>
      <c r="V1636" s="353"/>
      <c r="W1636" s="352"/>
      <c r="X1636" s="176"/>
      <c r="Y1636" s="176"/>
      <c r="Z1636" s="352"/>
      <c r="AA1636" s="352"/>
      <c r="AB1636" s="352"/>
      <c r="AC1636" s="351"/>
      <c r="AD1636" s="351"/>
    </row>
    <row r="1637" spans="1:30" hidden="1" x14ac:dyDescent="0.35">
      <c r="A1637" s="349">
        <v>1636</v>
      </c>
      <c r="B1637" s="352" t="s">
        <v>2067</v>
      </c>
      <c r="C1637" s="351" t="s">
        <v>1098</v>
      </c>
      <c r="D1637" s="352" t="s">
        <v>5045</v>
      </c>
      <c r="E1637" s="352" t="s">
        <v>1999</v>
      </c>
      <c r="F1637" s="353">
        <v>0.64</v>
      </c>
      <c r="G1637" s="352" t="s">
        <v>967</v>
      </c>
      <c r="H1637" s="176" t="s">
        <v>1099</v>
      </c>
      <c r="I1637" s="176" t="s">
        <v>2313</v>
      </c>
      <c r="J1637" s="352" t="s">
        <v>968</v>
      </c>
      <c r="K1637" s="352"/>
      <c r="L1637" s="352"/>
      <c r="M1637" s="352"/>
      <c r="N1637" s="352"/>
      <c r="O1637" s="351">
        <v>0</v>
      </c>
      <c r="P1637" s="349" t="s">
        <v>2313</v>
      </c>
      <c r="R1637" s="349">
        <f t="shared" si="25"/>
        <v>19</v>
      </c>
      <c r="S1637" s="352"/>
      <c r="T1637" s="352"/>
      <c r="U1637" s="352"/>
      <c r="V1637" s="353"/>
      <c r="W1637" s="352"/>
      <c r="X1637" s="176"/>
      <c r="Y1637" s="176"/>
      <c r="Z1637" s="352"/>
      <c r="AA1637" s="352"/>
      <c r="AB1637" s="352"/>
      <c r="AC1637" s="352"/>
      <c r="AD1637" s="352"/>
    </row>
    <row r="1638" spans="1:30" hidden="1" x14ac:dyDescent="0.35">
      <c r="A1638" s="349">
        <v>1637</v>
      </c>
      <c r="B1638" s="352" t="s">
        <v>2067</v>
      </c>
      <c r="C1638" s="351" t="s">
        <v>1098</v>
      </c>
      <c r="D1638" s="352" t="s">
        <v>5045</v>
      </c>
      <c r="E1638" s="352" t="s">
        <v>1999</v>
      </c>
      <c r="F1638" s="353">
        <v>0.6</v>
      </c>
      <c r="G1638" s="352" t="s">
        <v>967</v>
      </c>
      <c r="H1638" s="176" t="s">
        <v>1099</v>
      </c>
      <c r="I1638" s="176" t="s">
        <v>2313</v>
      </c>
      <c r="J1638" s="352" t="s">
        <v>968</v>
      </c>
      <c r="K1638" s="351"/>
      <c r="L1638" s="351"/>
      <c r="M1638" s="352"/>
      <c r="N1638" s="352"/>
      <c r="O1638" s="351">
        <v>0</v>
      </c>
      <c r="P1638" s="349" t="s">
        <v>2313</v>
      </c>
      <c r="R1638" s="349">
        <f t="shared" si="25"/>
        <v>19</v>
      </c>
      <c r="S1638" s="352"/>
      <c r="T1638" s="352"/>
      <c r="U1638" s="352"/>
      <c r="V1638" s="353"/>
      <c r="W1638" s="352"/>
      <c r="X1638" s="176"/>
      <c r="Y1638" s="176"/>
      <c r="Z1638" s="352"/>
      <c r="AA1638" s="352"/>
      <c r="AB1638" s="352"/>
      <c r="AC1638" s="352"/>
      <c r="AD1638" s="352"/>
    </row>
    <row r="1639" spans="1:30" hidden="1" x14ac:dyDescent="0.35">
      <c r="A1639" s="349">
        <v>1638</v>
      </c>
      <c r="B1639" s="352" t="s">
        <v>2067</v>
      </c>
      <c r="C1639" s="351" t="s">
        <v>1098</v>
      </c>
      <c r="D1639" s="352" t="s">
        <v>5045</v>
      </c>
      <c r="E1639" s="352" t="s">
        <v>1999</v>
      </c>
      <c r="F1639" s="353">
        <v>0.64</v>
      </c>
      <c r="G1639" s="352" t="s">
        <v>967</v>
      </c>
      <c r="H1639" s="176" t="s">
        <v>1099</v>
      </c>
      <c r="I1639" s="176" t="s">
        <v>2313</v>
      </c>
      <c r="J1639" s="352" t="s">
        <v>968</v>
      </c>
      <c r="K1639" s="351"/>
      <c r="L1639" s="351"/>
      <c r="M1639" s="352"/>
      <c r="N1639" s="352"/>
      <c r="O1639" s="351">
        <v>0</v>
      </c>
      <c r="P1639" s="349" t="s">
        <v>2313</v>
      </c>
      <c r="R1639" s="349">
        <f t="shared" si="25"/>
        <v>19</v>
      </c>
      <c r="S1639" s="352"/>
      <c r="T1639" s="352"/>
      <c r="U1639" s="352"/>
      <c r="V1639" s="353"/>
      <c r="W1639" s="352"/>
      <c r="X1639" s="176"/>
      <c r="Y1639" s="176"/>
      <c r="Z1639" s="352"/>
      <c r="AA1639" s="352"/>
      <c r="AB1639" s="352"/>
      <c r="AC1639" s="352"/>
      <c r="AD1639" s="352"/>
    </row>
    <row r="1640" spans="1:30" hidden="1" x14ac:dyDescent="0.35">
      <c r="A1640" s="349">
        <v>1639</v>
      </c>
      <c r="B1640" s="352" t="s">
        <v>2067</v>
      </c>
      <c r="C1640" s="351" t="s">
        <v>1098</v>
      </c>
      <c r="D1640" s="352" t="s">
        <v>5045</v>
      </c>
      <c r="E1640" s="352" t="s">
        <v>1999</v>
      </c>
      <c r="F1640" s="353">
        <v>0.6</v>
      </c>
      <c r="G1640" s="352" t="s">
        <v>967</v>
      </c>
      <c r="H1640" s="176" t="s">
        <v>1099</v>
      </c>
      <c r="I1640" s="176" t="s">
        <v>2313</v>
      </c>
      <c r="J1640" s="352" t="s">
        <v>968</v>
      </c>
      <c r="K1640" s="351"/>
      <c r="L1640" s="351"/>
      <c r="M1640" s="352"/>
      <c r="N1640" s="352"/>
      <c r="O1640" s="351">
        <v>0</v>
      </c>
      <c r="P1640" s="349" t="s">
        <v>2313</v>
      </c>
      <c r="R1640" s="349">
        <f t="shared" si="25"/>
        <v>19</v>
      </c>
      <c r="S1640" s="352"/>
      <c r="T1640" s="352"/>
      <c r="U1640" s="352"/>
      <c r="V1640" s="353"/>
      <c r="W1640" s="352"/>
      <c r="X1640" s="176"/>
      <c r="Y1640" s="176"/>
      <c r="Z1640" s="352"/>
      <c r="AA1640" s="352"/>
      <c r="AB1640" s="352"/>
      <c r="AC1640" s="351"/>
      <c r="AD1640" s="351"/>
    </row>
    <row r="1641" spans="1:30" ht="25.65" hidden="1" x14ac:dyDescent="0.35">
      <c r="A1641" s="349">
        <v>1640</v>
      </c>
      <c r="B1641" s="352" t="s">
        <v>959</v>
      </c>
      <c r="C1641" s="351" t="s">
        <v>570</v>
      </c>
      <c r="D1641" s="352" t="s">
        <v>570</v>
      </c>
      <c r="E1641" s="352" t="s">
        <v>326</v>
      </c>
      <c r="F1641" s="353">
        <v>1.9833000000000001</v>
      </c>
      <c r="G1641" s="352" t="s">
        <v>34</v>
      </c>
      <c r="H1641" s="176" t="s">
        <v>260</v>
      </c>
      <c r="I1641" s="176" t="s">
        <v>261</v>
      </c>
      <c r="J1641" s="352" t="s">
        <v>2704</v>
      </c>
      <c r="K1641" s="351"/>
      <c r="L1641" s="351"/>
      <c r="M1641" s="352">
        <v>60</v>
      </c>
      <c r="N1641" s="352" t="s">
        <v>1109</v>
      </c>
      <c r="O1641" s="351">
        <v>0</v>
      </c>
      <c r="P1641" s="349" t="s">
        <v>1837</v>
      </c>
      <c r="R1641" s="349">
        <f t="shared" si="25"/>
        <v>9</v>
      </c>
      <c r="S1641" s="352"/>
      <c r="T1641" s="352"/>
      <c r="U1641" s="352"/>
      <c r="V1641" s="353"/>
      <c r="W1641" s="352"/>
      <c r="X1641" s="176"/>
      <c r="Y1641" s="176"/>
      <c r="Z1641" s="352"/>
      <c r="AA1641" s="352"/>
      <c r="AB1641" s="352"/>
      <c r="AC1641" s="351"/>
      <c r="AD1641" s="351"/>
    </row>
    <row r="1642" spans="1:30" ht="128.19999999999999" hidden="1" x14ac:dyDescent="0.35">
      <c r="A1642" s="349">
        <v>1641</v>
      </c>
      <c r="B1642" s="352" t="s">
        <v>965</v>
      </c>
      <c r="C1642" s="351" t="s">
        <v>570</v>
      </c>
      <c r="D1642" s="352" t="s">
        <v>570</v>
      </c>
      <c r="E1642" s="352" t="s">
        <v>92</v>
      </c>
      <c r="F1642" s="353">
        <v>4.5999999999999996</v>
      </c>
      <c r="G1642" s="352" t="s">
        <v>2126</v>
      </c>
      <c r="H1642" s="176" t="s">
        <v>2392</v>
      </c>
      <c r="I1642" s="176" t="s">
        <v>4429</v>
      </c>
      <c r="J1642" s="352" t="s">
        <v>3579</v>
      </c>
      <c r="K1642" s="352">
        <v>430</v>
      </c>
      <c r="L1642" s="352" t="s">
        <v>1116</v>
      </c>
      <c r="M1642" s="352">
        <v>300</v>
      </c>
      <c r="N1642" s="352" t="s">
        <v>1109</v>
      </c>
      <c r="O1642" s="351">
        <v>430</v>
      </c>
      <c r="P1642" s="349" t="s">
        <v>1836</v>
      </c>
      <c r="R1642" s="349">
        <f t="shared" si="25"/>
        <v>9</v>
      </c>
      <c r="S1642" s="352"/>
      <c r="T1642" s="352"/>
      <c r="U1642" s="352"/>
      <c r="V1642" s="353"/>
      <c r="W1642" s="352"/>
      <c r="X1642" s="176"/>
      <c r="Y1642" s="176"/>
      <c r="Z1642" s="352"/>
      <c r="AA1642" s="352"/>
      <c r="AB1642" s="352"/>
      <c r="AC1642" s="351"/>
      <c r="AD1642" s="351"/>
    </row>
    <row r="1643" spans="1:30" ht="25.65" hidden="1" x14ac:dyDescent="0.35">
      <c r="A1643" s="349">
        <v>1642</v>
      </c>
      <c r="B1643" s="352" t="s">
        <v>959</v>
      </c>
      <c r="C1643" s="351" t="s">
        <v>4537</v>
      </c>
      <c r="D1643" s="352" t="s">
        <v>570</v>
      </c>
      <c r="E1643" s="352" t="s">
        <v>326</v>
      </c>
      <c r="F1643" s="353">
        <v>1.9833000000000001</v>
      </c>
      <c r="G1643" s="352" t="s">
        <v>34</v>
      </c>
      <c r="H1643" s="176" t="s">
        <v>260</v>
      </c>
      <c r="I1643" s="176" t="s">
        <v>261</v>
      </c>
      <c r="J1643" s="352" t="s">
        <v>2704</v>
      </c>
      <c r="K1643" s="352"/>
      <c r="L1643" s="352"/>
      <c r="M1643" s="351">
        <v>60</v>
      </c>
      <c r="N1643" s="351" t="s">
        <v>1109</v>
      </c>
      <c r="O1643" s="351">
        <v>0</v>
      </c>
      <c r="P1643" s="349" t="s">
        <v>1837</v>
      </c>
      <c r="R1643" s="349">
        <f t="shared" si="25"/>
        <v>9</v>
      </c>
      <c r="S1643" s="352"/>
      <c r="T1643" s="352"/>
      <c r="U1643" s="352"/>
      <c r="V1643" s="353"/>
      <c r="W1643" s="352"/>
      <c r="X1643" s="176"/>
      <c r="Y1643" s="176"/>
      <c r="Z1643" s="352"/>
      <c r="AA1643" s="352"/>
      <c r="AB1643" s="352"/>
      <c r="AC1643" s="351"/>
      <c r="AD1643" s="351"/>
    </row>
    <row r="1644" spans="1:30" ht="25.65" hidden="1" x14ac:dyDescent="0.35">
      <c r="A1644" s="349">
        <v>1643</v>
      </c>
      <c r="B1644" s="352" t="s">
        <v>1790</v>
      </c>
      <c r="C1644" s="351" t="s">
        <v>4002</v>
      </c>
      <c r="D1644" s="352" t="s">
        <v>4002</v>
      </c>
      <c r="E1644" s="352" t="s">
        <v>1009</v>
      </c>
      <c r="F1644" s="353">
        <v>6.99</v>
      </c>
      <c r="G1644" s="352" t="s">
        <v>34</v>
      </c>
      <c r="H1644" s="37" t="s">
        <v>3892</v>
      </c>
      <c r="I1644" s="176" t="s">
        <v>3075</v>
      </c>
      <c r="J1644" s="352" t="s">
        <v>35</v>
      </c>
      <c r="K1644" s="352"/>
      <c r="L1644" s="352"/>
      <c r="M1644" s="351">
        <v>3.5</v>
      </c>
      <c r="N1644" s="351" t="s">
        <v>1010</v>
      </c>
      <c r="O1644" s="351">
        <v>0</v>
      </c>
      <c r="P1644" s="349" t="s">
        <v>818</v>
      </c>
      <c r="R1644" s="349">
        <f t="shared" si="25"/>
        <v>25</v>
      </c>
      <c r="S1644" s="352"/>
      <c r="T1644" s="352"/>
      <c r="U1644" s="352"/>
      <c r="V1644" s="353"/>
      <c r="W1644" s="352"/>
      <c r="X1644" s="176"/>
      <c r="Y1644" s="176"/>
      <c r="Z1644" s="352"/>
      <c r="AA1644" s="352"/>
      <c r="AB1644" s="352"/>
      <c r="AC1644" s="352"/>
      <c r="AD1644" s="352"/>
    </row>
    <row r="1645" spans="1:30" ht="25.65" hidden="1" x14ac:dyDescent="0.35">
      <c r="A1645" s="349">
        <v>1644</v>
      </c>
      <c r="B1645" s="352" t="s">
        <v>1790</v>
      </c>
      <c r="C1645" s="351" t="s">
        <v>4002</v>
      </c>
      <c r="D1645" s="352" t="s">
        <v>4002</v>
      </c>
      <c r="E1645" s="352" t="s">
        <v>1009</v>
      </c>
      <c r="F1645" s="353">
        <v>6.99</v>
      </c>
      <c r="G1645" s="352" t="s">
        <v>34</v>
      </c>
      <c r="H1645" s="176"/>
      <c r="I1645" s="176" t="s">
        <v>3075</v>
      </c>
      <c r="J1645" s="352" t="s">
        <v>35</v>
      </c>
      <c r="K1645" s="352"/>
      <c r="L1645" s="352"/>
      <c r="M1645" s="352">
        <v>3.5</v>
      </c>
      <c r="N1645" s="352" t="s">
        <v>1010</v>
      </c>
      <c r="O1645" s="351">
        <v>0</v>
      </c>
      <c r="P1645" s="349" t="s">
        <v>818</v>
      </c>
      <c r="R1645" s="349">
        <f t="shared" si="25"/>
        <v>25</v>
      </c>
      <c r="S1645" s="352"/>
      <c r="T1645" s="352"/>
      <c r="U1645" s="352"/>
      <c r="V1645" s="353"/>
      <c r="W1645" s="352"/>
      <c r="X1645" s="176"/>
      <c r="Y1645" s="176"/>
      <c r="Z1645" s="352"/>
      <c r="AA1645" s="352"/>
      <c r="AB1645" s="352"/>
      <c r="AC1645" s="351"/>
      <c r="AD1645" s="351"/>
    </row>
    <row r="1646" spans="1:30" ht="128.19999999999999" hidden="1" x14ac:dyDescent="0.35">
      <c r="A1646" s="349">
        <v>1645</v>
      </c>
      <c r="B1646" s="352" t="s">
        <v>965</v>
      </c>
      <c r="C1646" s="351" t="s">
        <v>4538</v>
      </c>
      <c r="D1646" s="352" t="s">
        <v>570</v>
      </c>
      <c r="E1646" s="352" t="s">
        <v>92</v>
      </c>
      <c r="F1646" s="353">
        <v>4.5999999999999996</v>
      </c>
      <c r="G1646" s="352" t="s">
        <v>2126</v>
      </c>
      <c r="H1646" s="176" t="s">
        <v>2392</v>
      </c>
      <c r="I1646" s="176" t="s">
        <v>4429</v>
      </c>
      <c r="J1646" s="352" t="s">
        <v>3579</v>
      </c>
      <c r="K1646" s="351">
        <v>430</v>
      </c>
      <c r="L1646" s="351" t="s">
        <v>1116</v>
      </c>
      <c r="M1646" s="352">
        <v>300</v>
      </c>
      <c r="N1646" s="352" t="s">
        <v>1109</v>
      </c>
      <c r="O1646" s="351">
        <v>430</v>
      </c>
      <c r="P1646" s="349" t="s">
        <v>1836</v>
      </c>
      <c r="R1646" s="349">
        <f t="shared" si="25"/>
        <v>9</v>
      </c>
      <c r="S1646" s="352"/>
      <c r="T1646" s="352"/>
      <c r="U1646" s="352"/>
      <c r="V1646" s="353"/>
      <c r="W1646" s="352"/>
      <c r="X1646" s="176"/>
      <c r="Y1646" s="176"/>
      <c r="Z1646" s="352"/>
      <c r="AA1646" s="352"/>
      <c r="AB1646" s="352"/>
      <c r="AC1646" s="351"/>
      <c r="AD1646" s="351"/>
    </row>
    <row r="1647" spans="1:30" ht="38.450000000000003" hidden="1" x14ac:dyDescent="0.35">
      <c r="A1647" s="349">
        <v>1646</v>
      </c>
      <c r="B1647" s="352" t="s">
        <v>3248</v>
      </c>
      <c r="C1647" s="351" t="s">
        <v>3665</v>
      </c>
      <c r="D1647" s="352" t="s">
        <v>3665</v>
      </c>
      <c r="E1647" s="352" t="s">
        <v>1998</v>
      </c>
      <c r="F1647" s="353">
        <v>1.85</v>
      </c>
      <c r="G1647" s="352" t="s">
        <v>2126</v>
      </c>
      <c r="H1647" s="176" t="s">
        <v>3764</v>
      </c>
      <c r="I1647" s="176" t="s">
        <v>4730</v>
      </c>
      <c r="J1647" s="352" t="s">
        <v>22</v>
      </c>
      <c r="K1647" s="351">
        <v>250</v>
      </c>
      <c r="L1647" s="351" t="s">
        <v>23</v>
      </c>
      <c r="M1647" s="352"/>
      <c r="N1647" s="352"/>
      <c r="O1647" s="351">
        <v>250</v>
      </c>
      <c r="P1647" s="349" t="s">
        <v>1836</v>
      </c>
      <c r="R1647" s="349">
        <f t="shared" si="25"/>
        <v>12</v>
      </c>
      <c r="S1647" s="352"/>
      <c r="T1647" s="352"/>
      <c r="U1647" s="352"/>
      <c r="V1647" s="353"/>
      <c r="W1647" s="352"/>
      <c r="X1647" s="176"/>
      <c r="Y1647" s="176"/>
      <c r="Z1647" s="352"/>
      <c r="AA1647" s="352"/>
      <c r="AB1647" s="352"/>
      <c r="AC1647" s="351"/>
      <c r="AD1647" s="351"/>
    </row>
    <row r="1648" spans="1:30" ht="64.099999999999994" hidden="1" x14ac:dyDescent="0.35">
      <c r="A1648" s="349">
        <v>1647</v>
      </c>
      <c r="B1648" s="352" t="s">
        <v>1080</v>
      </c>
      <c r="C1648" s="351" t="s">
        <v>4539</v>
      </c>
      <c r="D1648" s="352" t="s">
        <v>2782</v>
      </c>
      <c r="E1648" s="352" t="s">
        <v>1997</v>
      </c>
      <c r="F1648" s="353">
        <v>115.34</v>
      </c>
      <c r="G1648" s="352" t="s">
        <v>1107</v>
      </c>
      <c r="H1648" s="176"/>
      <c r="I1648" s="176" t="s">
        <v>18</v>
      </c>
      <c r="J1648" s="352" t="s">
        <v>1115</v>
      </c>
      <c r="K1648" s="352">
        <v>10000</v>
      </c>
      <c r="L1648" s="352" t="s">
        <v>2069</v>
      </c>
      <c r="M1648" s="351"/>
      <c r="N1648" s="351"/>
      <c r="O1648" s="351">
        <v>10000</v>
      </c>
      <c r="P1648" s="349" t="s">
        <v>2030</v>
      </c>
      <c r="R1648" s="349">
        <f t="shared" si="25"/>
        <v>12</v>
      </c>
      <c r="S1648" s="352"/>
      <c r="T1648" s="352"/>
      <c r="U1648" s="352"/>
      <c r="V1648" s="353"/>
      <c r="W1648" s="352"/>
      <c r="X1648" s="176"/>
      <c r="Y1648" s="176"/>
      <c r="Z1648" s="352"/>
      <c r="AA1648" s="352"/>
      <c r="AB1648" s="352"/>
      <c r="AC1648" s="351"/>
      <c r="AD1648" s="351"/>
    </row>
    <row r="1649" spans="1:30" ht="38.450000000000003" hidden="1" x14ac:dyDescent="0.35">
      <c r="A1649" s="349">
        <v>1648</v>
      </c>
      <c r="B1649" s="352" t="s">
        <v>3587</v>
      </c>
      <c r="C1649" s="351" t="s">
        <v>4540</v>
      </c>
      <c r="D1649" s="352" t="s">
        <v>446</v>
      </c>
      <c r="E1649" s="352" t="s">
        <v>762</v>
      </c>
      <c r="F1649" s="353">
        <v>3.0851999999999999</v>
      </c>
      <c r="G1649" s="352" t="s">
        <v>1107</v>
      </c>
      <c r="H1649" s="176" t="s">
        <v>363</v>
      </c>
      <c r="I1649" s="176" t="s">
        <v>3159</v>
      </c>
      <c r="J1649" s="352" t="s">
        <v>828</v>
      </c>
      <c r="K1649" s="352">
        <v>2</v>
      </c>
      <c r="L1649" s="352" t="s">
        <v>1116</v>
      </c>
      <c r="M1649" s="351">
        <v>2</v>
      </c>
      <c r="N1649" s="351" t="s">
        <v>1109</v>
      </c>
      <c r="O1649" s="351">
        <v>2</v>
      </c>
      <c r="P1649" s="349" t="s">
        <v>1836</v>
      </c>
      <c r="R1649" s="349">
        <f t="shared" si="25"/>
        <v>11</v>
      </c>
      <c r="S1649" s="352"/>
      <c r="T1649" s="352"/>
      <c r="U1649" s="352"/>
      <c r="V1649" s="353"/>
      <c r="W1649" s="352"/>
      <c r="X1649" s="176"/>
      <c r="Y1649" s="176"/>
      <c r="Z1649" s="352"/>
      <c r="AA1649" s="352"/>
      <c r="AB1649" s="352"/>
      <c r="AC1649" s="352"/>
      <c r="AD1649" s="352"/>
    </row>
    <row r="1650" spans="1:30" ht="89.75" hidden="1" x14ac:dyDescent="0.35">
      <c r="A1650" s="349">
        <v>1649</v>
      </c>
      <c r="B1650" s="352" t="s">
        <v>2181</v>
      </c>
      <c r="C1650" s="351" t="s">
        <v>3039</v>
      </c>
      <c r="D1650" s="352" t="s">
        <v>3039</v>
      </c>
      <c r="E1650" s="352" t="s">
        <v>2857</v>
      </c>
      <c r="F1650" s="353">
        <v>16.153199999999998</v>
      </c>
      <c r="G1650" s="352" t="s">
        <v>1107</v>
      </c>
      <c r="H1650" s="176" t="s">
        <v>2900</v>
      </c>
      <c r="I1650" s="176" t="s">
        <v>2705</v>
      </c>
      <c r="J1650" s="352" t="s">
        <v>828</v>
      </c>
      <c r="K1650" s="352"/>
      <c r="L1650" s="352"/>
      <c r="M1650" s="351">
        <v>10</v>
      </c>
      <c r="N1650" s="351" t="s">
        <v>1109</v>
      </c>
      <c r="O1650" s="351">
        <v>0</v>
      </c>
      <c r="P1650" s="349" t="s">
        <v>1837</v>
      </c>
      <c r="R1650" s="349">
        <f t="shared" si="25"/>
        <v>9</v>
      </c>
      <c r="S1650" s="352"/>
      <c r="T1650" s="352"/>
      <c r="U1650" s="352"/>
      <c r="V1650" s="353"/>
      <c r="W1650" s="352"/>
      <c r="X1650" s="176"/>
      <c r="Y1650" s="176"/>
      <c r="Z1650" s="352"/>
      <c r="AA1650" s="352"/>
      <c r="AB1650" s="352"/>
      <c r="AC1650" s="351"/>
      <c r="AD1650" s="351"/>
    </row>
    <row r="1651" spans="1:30" ht="89.75" hidden="1" x14ac:dyDescent="0.35">
      <c r="A1651" s="349">
        <v>1650</v>
      </c>
      <c r="B1651" s="352" t="s">
        <v>2181</v>
      </c>
      <c r="C1651" s="351" t="s">
        <v>4541</v>
      </c>
      <c r="D1651" s="352" t="s">
        <v>3039</v>
      </c>
      <c r="E1651" s="352" t="s">
        <v>2857</v>
      </c>
      <c r="F1651" s="353">
        <v>16.153199999999998</v>
      </c>
      <c r="G1651" s="352" t="s">
        <v>1107</v>
      </c>
      <c r="H1651" s="176" t="s">
        <v>2900</v>
      </c>
      <c r="I1651" s="176" t="s">
        <v>2705</v>
      </c>
      <c r="J1651" s="352" t="s">
        <v>828</v>
      </c>
      <c r="K1651" s="352"/>
      <c r="L1651" s="352"/>
      <c r="M1651" s="351">
        <v>10</v>
      </c>
      <c r="N1651" s="351" t="s">
        <v>1109</v>
      </c>
      <c r="O1651" s="351">
        <v>0</v>
      </c>
      <c r="P1651" s="349" t="s">
        <v>1837</v>
      </c>
      <c r="R1651" s="349">
        <f t="shared" si="25"/>
        <v>9</v>
      </c>
      <c r="S1651" s="352"/>
      <c r="T1651" s="352"/>
      <c r="U1651" s="352"/>
      <c r="V1651" s="353"/>
      <c r="W1651" s="352"/>
      <c r="X1651" s="176"/>
      <c r="Y1651" s="176"/>
      <c r="Z1651" s="352"/>
      <c r="AA1651" s="352"/>
      <c r="AB1651" s="352"/>
      <c r="AC1651" s="351"/>
      <c r="AD1651" s="351"/>
    </row>
    <row r="1652" spans="1:30" ht="179.45" hidden="1" x14ac:dyDescent="0.35">
      <c r="A1652" s="349">
        <v>1651</v>
      </c>
      <c r="B1652" s="352" t="s">
        <v>831</v>
      </c>
      <c r="C1652" s="351" t="s">
        <v>4542</v>
      </c>
      <c r="D1652" s="352" t="s">
        <v>3827</v>
      </c>
      <c r="E1652" s="352" t="s">
        <v>1997</v>
      </c>
      <c r="F1652" s="353">
        <v>1.54</v>
      </c>
      <c r="G1652" s="352" t="s">
        <v>1107</v>
      </c>
      <c r="H1652" s="176" t="s">
        <v>2085</v>
      </c>
      <c r="I1652" s="176" t="s">
        <v>4775</v>
      </c>
      <c r="J1652" s="352" t="s">
        <v>1115</v>
      </c>
      <c r="K1652" s="352">
        <v>1000000</v>
      </c>
      <c r="L1652" s="352" t="s">
        <v>2069</v>
      </c>
      <c r="M1652" s="351"/>
      <c r="N1652" s="351"/>
      <c r="O1652" s="351">
        <v>1000000</v>
      </c>
      <c r="P1652" s="349" t="s">
        <v>2030</v>
      </c>
      <c r="R1652" s="349">
        <f t="shared" si="25"/>
        <v>17</v>
      </c>
      <c r="S1652" s="352"/>
      <c r="T1652" s="352"/>
      <c r="U1652" s="352"/>
      <c r="V1652" s="353"/>
      <c r="W1652" s="352"/>
      <c r="X1652" s="176"/>
      <c r="Y1652" s="176"/>
      <c r="Z1652" s="352"/>
      <c r="AA1652" s="352"/>
      <c r="AB1652" s="352"/>
      <c r="AC1652" s="352"/>
      <c r="AD1652" s="352"/>
    </row>
    <row r="1653" spans="1:30" ht="179.45" hidden="1" x14ac:dyDescent="0.35">
      <c r="A1653" s="349">
        <v>1652</v>
      </c>
      <c r="B1653" s="352" t="s">
        <v>831</v>
      </c>
      <c r="C1653" s="351" t="s">
        <v>4542</v>
      </c>
      <c r="D1653" s="352" t="s">
        <v>3827</v>
      </c>
      <c r="E1653" s="352" t="s">
        <v>1997</v>
      </c>
      <c r="F1653" s="353">
        <v>15.21</v>
      </c>
      <c r="G1653" s="352" t="s">
        <v>1107</v>
      </c>
      <c r="H1653" s="176" t="s">
        <v>2085</v>
      </c>
      <c r="I1653" s="176" t="s">
        <v>4775</v>
      </c>
      <c r="J1653" s="352" t="s">
        <v>1115</v>
      </c>
      <c r="K1653" s="352">
        <v>10000000</v>
      </c>
      <c r="L1653" s="352" t="s">
        <v>2069</v>
      </c>
      <c r="M1653" s="352"/>
      <c r="N1653" s="352"/>
      <c r="O1653" s="351">
        <v>10000000</v>
      </c>
      <c r="P1653" s="349" t="s">
        <v>2030</v>
      </c>
      <c r="R1653" s="349">
        <f t="shared" si="25"/>
        <v>17</v>
      </c>
      <c r="S1653" s="352"/>
      <c r="T1653" s="352"/>
      <c r="U1653" s="352"/>
      <c r="V1653" s="353"/>
      <c r="W1653" s="352"/>
      <c r="X1653" s="176"/>
      <c r="Y1653" s="176"/>
      <c r="Z1653" s="352"/>
      <c r="AA1653" s="352"/>
      <c r="AB1653" s="352"/>
      <c r="AC1653" s="351"/>
      <c r="AD1653" s="351"/>
    </row>
    <row r="1654" spans="1:30" ht="89.75" hidden="1" x14ac:dyDescent="0.35">
      <c r="A1654" s="349">
        <v>1653</v>
      </c>
      <c r="B1654" s="352" t="s">
        <v>831</v>
      </c>
      <c r="C1654" s="351" t="s">
        <v>4543</v>
      </c>
      <c r="D1654" s="352" t="s">
        <v>3609</v>
      </c>
      <c r="E1654" s="352" t="s">
        <v>1997</v>
      </c>
      <c r="F1654" s="353">
        <v>22.94</v>
      </c>
      <c r="G1654" s="352" t="s">
        <v>2384</v>
      </c>
      <c r="H1654" s="176" t="s">
        <v>2287</v>
      </c>
      <c r="I1654" s="176" t="s">
        <v>4519</v>
      </c>
      <c r="J1654" s="352" t="s">
        <v>1115</v>
      </c>
      <c r="K1654" s="352">
        <v>1200000</v>
      </c>
      <c r="L1654" s="352" t="s">
        <v>2069</v>
      </c>
      <c r="M1654" s="351"/>
      <c r="N1654" s="351"/>
      <c r="O1654" s="351">
        <v>1200000</v>
      </c>
      <c r="P1654" s="349" t="s">
        <v>2030</v>
      </c>
      <c r="R1654" s="349">
        <f t="shared" si="25"/>
        <v>28</v>
      </c>
      <c r="S1654" s="352"/>
      <c r="T1654" s="352"/>
      <c r="U1654" s="352"/>
      <c r="V1654" s="353"/>
      <c r="W1654" s="352"/>
      <c r="X1654" s="176"/>
      <c r="Y1654" s="176"/>
      <c r="Z1654" s="352"/>
      <c r="AA1654" s="352"/>
      <c r="AB1654" s="352"/>
      <c r="AC1654" s="352"/>
      <c r="AD1654" s="352"/>
    </row>
    <row r="1655" spans="1:30" ht="153.80000000000001" hidden="1" x14ac:dyDescent="0.35">
      <c r="A1655" s="349">
        <v>1654</v>
      </c>
      <c r="B1655" s="352" t="s">
        <v>3205</v>
      </c>
      <c r="C1655" s="351" t="s">
        <v>4544</v>
      </c>
      <c r="D1655" s="352" t="s">
        <v>2112</v>
      </c>
      <c r="E1655" s="352" t="s">
        <v>1997</v>
      </c>
      <c r="F1655" s="353">
        <v>54.872399999999999</v>
      </c>
      <c r="G1655" s="352" t="s">
        <v>1772</v>
      </c>
      <c r="H1655" s="176" t="s">
        <v>150</v>
      </c>
      <c r="I1655" s="176" t="s">
        <v>4473</v>
      </c>
      <c r="J1655" s="352" t="s">
        <v>1115</v>
      </c>
      <c r="K1655" s="352">
        <v>300</v>
      </c>
      <c r="L1655" s="352" t="s">
        <v>1464</v>
      </c>
      <c r="M1655" s="352"/>
      <c r="N1655" s="352"/>
      <c r="O1655" s="351">
        <v>300</v>
      </c>
      <c r="P1655" s="349" t="s">
        <v>1836</v>
      </c>
      <c r="R1655" s="349">
        <f t="shared" si="25"/>
        <v>11</v>
      </c>
      <c r="S1655" s="352"/>
      <c r="T1655" s="352"/>
      <c r="U1655" s="352"/>
      <c r="V1655" s="353"/>
      <c r="W1655" s="352"/>
      <c r="X1655" s="176"/>
      <c r="Y1655" s="176"/>
      <c r="Z1655" s="352"/>
      <c r="AA1655" s="352"/>
      <c r="AB1655" s="352"/>
      <c r="AC1655" s="352"/>
      <c r="AD1655" s="352"/>
    </row>
    <row r="1656" spans="1:30" ht="153.80000000000001" hidden="1" x14ac:dyDescent="0.35">
      <c r="A1656" s="349">
        <v>1655</v>
      </c>
      <c r="B1656" s="352" t="s">
        <v>3205</v>
      </c>
      <c r="C1656" s="351" t="s">
        <v>2112</v>
      </c>
      <c r="D1656" s="352" t="s">
        <v>2112</v>
      </c>
      <c r="E1656" s="352" t="s">
        <v>1997</v>
      </c>
      <c r="F1656" s="353">
        <v>54.872399999999999</v>
      </c>
      <c r="G1656" s="352" t="s">
        <v>1772</v>
      </c>
      <c r="H1656" s="176" t="s">
        <v>150</v>
      </c>
      <c r="I1656" s="176" t="s">
        <v>4473</v>
      </c>
      <c r="J1656" s="352" t="s">
        <v>1115</v>
      </c>
      <c r="K1656" s="352">
        <v>300</v>
      </c>
      <c r="L1656" s="352" t="s">
        <v>1464</v>
      </c>
      <c r="M1656" s="351"/>
      <c r="N1656" s="351"/>
      <c r="O1656" s="351">
        <v>300</v>
      </c>
      <c r="P1656" s="349" t="s">
        <v>1836</v>
      </c>
      <c r="R1656" s="349">
        <f t="shared" si="25"/>
        <v>11</v>
      </c>
      <c r="S1656" s="352"/>
      <c r="T1656" s="352"/>
      <c r="U1656" s="352"/>
      <c r="V1656" s="353"/>
      <c r="W1656" s="352"/>
      <c r="X1656" s="176"/>
      <c r="Y1656" s="176"/>
      <c r="Z1656" s="352"/>
      <c r="AA1656" s="352"/>
      <c r="AB1656" s="352"/>
      <c r="AC1656" s="351"/>
      <c r="AD1656" s="351"/>
    </row>
    <row r="1657" spans="1:30" ht="89.75" hidden="1" x14ac:dyDescent="0.35">
      <c r="A1657" s="349">
        <v>1656</v>
      </c>
      <c r="B1657" s="352" t="s">
        <v>1609</v>
      </c>
      <c r="C1657" s="351" t="s">
        <v>4545</v>
      </c>
      <c r="D1657" s="352" t="s">
        <v>3060</v>
      </c>
      <c r="E1657" s="352" t="s">
        <v>2000</v>
      </c>
      <c r="F1657" s="353">
        <v>0.55000000000000004</v>
      </c>
      <c r="G1657" s="352" t="s">
        <v>2126</v>
      </c>
      <c r="H1657" s="176" t="s">
        <v>311</v>
      </c>
      <c r="I1657" s="176" t="s">
        <v>2062</v>
      </c>
      <c r="J1657" s="352" t="s">
        <v>2695</v>
      </c>
      <c r="K1657" s="352">
        <v>250</v>
      </c>
      <c r="L1657" s="352" t="s">
        <v>3581</v>
      </c>
      <c r="M1657" s="351"/>
      <c r="N1657" s="351"/>
      <c r="O1657" s="351">
        <v>250</v>
      </c>
      <c r="P1657" s="349" t="s">
        <v>1836</v>
      </c>
      <c r="R1657" s="349">
        <f t="shared" si="25"/>
        <v>10</v>
      </c>
      <c r="S1657" s="352"/>
      <c r="T1657" s="352"/>
      <c r="U1657" s="352"/>
      <c r="V1657" s="353"/>
      <c r="W1657" s="352"/>
      <c r="X1657" s="176"/>
      <c r="Y1657" s="176"/>
      <c r="Z1657" s="352"/>
      <c r="AA1657" s="352"/>
      <c r="AB1657" s="352"/>
      <c r="AC1657" s="351"/>
      <c r="AD1657" s="351"/>
    </row>
    <row r="1658" spans="1:30" ht="89.75" hidden="1" x14ac:dyDescent="0.35">
      <c r="A1658" s="349">
        <v>1657</v>
      </c>
      <c r="B1658" s="352" t="s">
        <v>1609</v>
      </c>
      <c r="C1658" s="351" t="s">
        <v>4545</v>
      </c>
      <c r="D1658" s="352" t="s">
        <v>3060</v>
      </c>
      <c r="E1658" s="352" t="s">
        <v>2000</v>
      </c>
      <c r="F1658" s="353">
        <v>0.93</v>
      </c>
      <c r="G1658" s="352" t="s">
        <v>2126</v>
      </c>
      <c r="H1658" s="176" t="s">
        <v>311</v>
      </c>
      <c r="I1658" s="176" t="s">
        <v>2062</v>
      </c>
      <c r="J1658" s="352" t="s">
        <v>2695</v>
      </c>
      <c r="K1658" s="352">
        <v>500</v>
      </c>
      <c r="L1658" s="352" t="s">
        <v>3581</v>
      </c>
      <c r="M1658" s="352"/>
      <c r="N1658" s="352"/>
      <c r="O1658" s="351">
        <v>500</v>
      </c>
      <c r="P1658" s="349" t="s">
        <v>1836</v>
      </c>
      <c r="R1658" s="349">
        <f t="shared" si="25"/>
        <v>10</v>
      </c>
      <c r="S1658" s="352"/>
      <c r="T1658" s="352"/>
      <c r="U1658" s="352"/>
      <c r="V1658" s="353"/>
      <c r="W1658" s="352"/>
      <c r="X1658" s="176"/>
      <c r="Y1658" s="176"/>
      <c r="Z1658" s="352"/>
      <c r="AA1658" s="352"/>
      <c r="AB1658" s="352"/>
      <c r="AC1658" s="352"/>
      <c r="AD1658" s="352"/>
    </row>
    <row r="1659" spans="1:30" ht="89.75" hidden="1" x14ac:dyDescent="0.35">
      <c r="A1659" s="349">
        <v>1658</v>
      </c>
      <c r="B1659" s="352" t="s">
        <v>1609</v>
      </c>
      <c r="C1659" s="351" t="s">
        <v>4545</v>
      </c>
      <c r="D1659" s="352" t="s">
        <v>3060</v>
      </c>
      <c r="E1659" s="352" t="s">
        <v>1007</v>
      </c>
      <c r="F1659" s="353">
        <v>9.9</v>
      </c>
      <c r="G1659" s="352" t="s">
        <v>967</v>
      </c>
      <c r="H1659" s="176" t="s">
        <v>2656</v>
      </c>
      <c r="I1659" s="176" t="s">
        <v>2062</v>
      </c>
      <c r="J1659" s="352" t="s">
        <v>806</v>
      </c>
      <c r="K1659" s="352">
        <v>10</v>
      </c>
      <c r="L1659" s="352" t="s">
        <v>1116</v>
      </c>
      <c r="M1659" s="352">
        <v>100</v>
      </c>
      <c r="N1659" s="352" t="s">
        <v>1109</v>
      </c>
      <c r="O1659" s="351">
        <v>10</v>
      </c>
      <c r="P1659" s="349" t="s">
        <v>1836</v>
      </c>
      <c r="R1659" s="349">
        <f t="shared" si="25"/>
        <v>10</v>
      </c>
      <c r="S1659" s="352"/>
      <c r="T1659" s="352"/>
      <c r="U1659" s="352"/>
      <c r="V1659" s="353"/>
      <c r="W1659" s="352"/>
      <c r="X1659" s="176"/>
      <c r="Y1659" s="176"/>
      <c r="Z1659" s="352"/>
      <c r="AA1659" s="352"/>
      <c r="AB1659" s="352"/>
      <c r="AC1659" s="351"/>
      <c r="AD1659" s="351"/>
    </row>
    <row r="1660" spans="1:30" ht="89.75" hidden="1" x14ac:dyDescent="0.35">
      <c r="A1660" s="349">
        <v>1659</v>
      </c>
      <c r="B1660" s="352" t="s">
        <v>1609</v>
      </c>
      <c r="C1660" s="351" t="s">
        <v>4545</v>
      </c>
      <c r="D1660" s="352" t="s">
        <v>3060</v>
      </c>
      <c r="E1660" s="352" t="s">
        <v>1999</v>
      </c>
      <c r="F1660" s="353">
        <v>5.85</v>
      </c>
      <c r="G1660" s="352" t="s">
        <v>967</v>
      </c>
      <c r="H1660" s="176" t="s">
        <v>2656</v>
      </c>
      <c r="I1660" s="176" t="s">
        <v>2062</v>
      </c>
      <c r="J1660" s="352" t="s">
        <v>968</v>
      </c>
      <c r="K1660" s="352">
        <v>1</v>
      </c>
      <c r="L1660" s="352" t="s">
        <v>2739</v>
      </c>
      <c r="M1660" s="352"/>
      <c r="N1660" s="352"/>
      <c r="O1660" s="351">
        <v>1</v>
      </c>
      <c r="P1660" s="349" t="s">
        <v>818</v>
      </c>
      <c r="R1660" s="349">
        <f t="shared" si="25"/>
        <v>10</v>
      </c>
      <c r="S1660" s="352"/>
      <c r="T1660" s="352"/>
      <c r="U1660" s="352"/>
      <c r="V1660" s="353"/>
      <c r="W1660" s="352"/>
      <c r="X1660" s="176"/>
      <c r="Y1660" s="176"/>
      <c r="Z1660" s="352"/>
      <c r="AA1660" s="352"/>
      <c r="AB1660" s="352"/>
      <c r="AC1660" s="351"/>
      <c r="AD1660" s="351"/>
    </row>
    <row r="1661" spans="1:30" ht="192.25" hidden="1" x14ac:dyDescent="0.35">
      <c r="A1661" s="349">
        <v>1660</v>
      </c>
      <c r="B1661" s="352" t="s">
        <v>1073</v>
      </c>
      <c r="C1661" s="351" t="s">
        <v>4546</v>
      </c>
      <c r="D1661" s="352" t="s">
        <v>3482</v>
      </c>
      <c r="E1661" s="352" t="s">
        <v>1997</v>
      </c>
      <c r="F1661" s="353">
        <v>6.9</v>
      </c>
      <c r="G1661" s="352" t="s">
        <v>1107</v>
      </c>
      <c r="H1661" s="176" t="s">
        <v>4135</v>
      </c>
      <c r="I1661" s="176" t="s">
        <v>4743</v>
      </c>
      <c r="J1661" s="352" t="s">
        <v>1115</v>
      </c>
      <c r="K1661" s="352">
        <v>500</v>
      </c>
      <c r="L1661" s="352" t="s">
        <v>1464</v>
      </c>
      <c r="M1661" s="352"/>
      <c r="N1661" s="352"/>
      <c r="O1661" s="351">
        <v>500</v>
      </c>
      <c r="P1661" s="349" t="s">
        <v>1836</v>
      </c>
      <c r="R1661" s="349">
        <f t="shared" si="25"/>
        <v>10</v>
      </c>
      <c r="S1661" s="352"/>
      <c r="T1661" s="352"/>
      <c r="U1661" s="352"/>
      <c r="V1661" s="353"/>
      <c r="W1661" s="352"/>
      <c r="X1661" s="176"/>
      <c r="Y1661" s="176"/>
      <c r="Z1661" s="352"/>
      <c r="AA1661" s="352"/>
      <c r="AB1661" s="352"/>
      <c r="AC1661" s="352"/>
      <c r="AD1661" s="352"/>
    </row>
    <row r="1662" spans="1:30" ht="51.3" hidden="1" x14ac:dyDescent="0.35">
      <c r="A1662" s="349">
        <v>1661</v>
      </c>
      <c r="B1662" s="352" t="s">
        <v>3205</v>
      </c>
      <c r="C1662" s="351" t="s">
        <v>2886</v>
      </c>
      <c r="D1662" s="352" t="s">
        <v>2886</v>
      </c>
      <c r="E1662" s="352" t="s">
        <v>1320</v>
      </c>
      <c r="F1662" s="353">
        <v>11.17</v>
      </c>
      <c r="G1662" s="352" t="s">
        <v>28</v>
      </c>
      <c r="H1662" s="176" t="s">
        <v>2141</v>
      </c>
      <c r="I1662" s="176" t="s">
        <v>2142</v>
      </c>
      <c r="J1662" s="352" t="s">
        <v>1015</v>
      </c>
      <c r="K1662" s="351">
        <v>10</v>
      </c>
      <c r="L1662" s="351" t="s">
        <v>30</v>
      </c>
      <c r="M1662" s="352">
        <v>59</v>
      </c>
      <c r="N1662" s="352" t="s">
        <v>1109</v>
      </c>
      <c r="O1662" s="351">
        <v>10</v>
      </c>
      <c r="P1662" s="349" t="s">
        <v>1836</v>
      </c>
      <c r="R1662" s="349">
        <f t="shared" si="25"/>
        <v>10</v>
      </c>
      <c r="S1662" s="352"/>
      <c r="T1662" s="352"/>
      <c r="U1662" s="352"/>
      <c r="V1662" s="353"/>
      <c r="W1662" s="352"/>
      <c r="X1662" s="176"/>
      <c r="Y1662" s="176"/>
      <c r="Z1662" s="352"/>
      <c r="AA1662" s="352"/>
      <c r="AB1662" s="352"/>
      <c r="AC1662" s="352"/>
      <c r="AD1662" s="352"/>
    </row>
    <row r="1663" spans="1:30" ht="51.3" hidden="1" x14ac:dyDescent="0.35">
      <c r="A1663" s="349">
        <v>1662</v>
      </c>
      <c r="B1663" s="352" t="s">
        <v>2132</v>
      </c>
      <c r="C1663" s="351" t="s">
        <v>2886</v>
      </c>
      <c r="D1663" s="352" t="s">
        <v>2886</v>
      </c>
      <c r="E1663" s="352" t="s">
        <v>1321</v>
      </c>
      <c r="F1663" s="353">
        <v>11.194800000000001</v>
      </c>
      <c r="G1663" s="352" t="s">
        <v>34</v>
      </c>
      <c r="H1663" s="176" t="s">
        <v>2141</v>
      </c>
      <c r="I1663" s="176" t="s">
        <v>2142</v>
      </c>
      <c r="J1663" s="352" t="s">
        <v>1015</v>
      </c>
      <c r="K1663" s="351">
        <v>10</v>
      </c>
      <c r="L1663" s="351" t="s">
        <v>1311</v>
      </c>
      <c r="M1663" s="352">
        <v>60</v>
      </c>
      <c r="N1663" s="352" t="s">
        <v>1109</v>
      </c>
      <c r="O1663" s="351">
        <v>10</v>
      </c>
      <c r="P1663" s="349" t="s">
        <v>1836</v>
      </c>
      <c r="R1663" s="349">
        <f t="shared" si="25"/>
        <v>10</v>
      </c>
      <c r="S1663" s="352"/>
      <c r="T1663" s="352"/>
      <c r="U1663" s="352"/>
      <c r="V1663" s="353"/>
      <c r="W1663" s="352"/>
      <c r="X1663" s="176"/>
      <c r="Y1663" s="176"/>
      <c r="Z1663" s="352"/>
      <c r="AA1663" s="352"/>
      <c r="AB1663" s="352"/>
      <c r="AC1663" s="352"/>
      <c r="AD1663" s="352"/>
    </row>
    <row r="1664" spans="1:30" ht="64.099999999999994" hidden="1" x14ac:dyDescent="0.35">
      <c r="A1664" s="349">
        <v>1663</v>
      </c>
      <c r="B1664" s="352" t="s">
        <v>4027</v>
      </c>
      <c r="C1664" s="351" t="s">
        <v>4037</v>
      </c>
      <c r="D1664" s="352" t="s">
        <v>4037</v>
      </c>
      <c r="E1664" s="352" t="s">
        <v>2855</v>
      </c>
      <c r="F1664" s="353">
        <v>2.0099999999999998</v>
      </c>
      <c r="G1664" s="352" t="s">
        <v>1501</v>
      </c>
      <c r="H1664" s="176" t="s">
        <v>3979</v>
      </c>
      <c r="I1664" s="176" t="s">
        <v>4861</v>
      </c>
      <c r="J1664" s="352" t="s">
        <v>828</v>
      </c>
      <c r="K1664" s="352">
        <v>50</v>
      </c>
      <c r="L1664" s="352" t="s">
        <v>1116</v>
      </c>
      <c r="M1664" s="352">
        <v>1</v>
      </c>
      <c r="N1664" s="352" t="s">
        <v>1109</v>
      </c>
      <c r="O1664" s="351">
        <v>50</v>
      </c>
      <c r="P1664" s="349" t="s">
        <v>1836</v>
      </c>
      <c r="R1664" s="349">
        <f t="shared" si="25"/>
        <v>9</v>
      </c>
      <c r="S1664" s="352"/>
      <c r="T1664" s="352"/>
      <c r="U1664" s="352"/>
      <c r="V1664" s="353"/>
      <c r="W1664" s="352"/>
      <c r="X1664" s="176"/>
      <c r="Y1664" s="176"/>
      <c r="Z1664" s="352"/>
      <c r="AA1664" s="352"/>
      <c r="AB1664" s="352"/>
      <c r="AC1664" s="352"/>
      <c r="AD1664" s="352"/>
    </row>
    <row r="1665" spans="1:30" ht="64.099999999999994" hidden="1" x14ac:dyDescent="0.35">
      <c r="A1665" s="349">
        <v>1664</v>
      </c>
      <c r="B1665" s="352" t="s">
        <v>4027</v>
      </c>
      <c r="C1665" s="351" t="s">
        <v>4037</v>
      </c>
      <c r="D1665" s="352" t="s">
        <v>4037</v>
      </c>
      <c r="E1665" s="352" t="s">
        <v>2855</v>
      </c>
      <c r="F1665" s="353">
        <v>2.0099999999999998</v>
      </c>
      <c r="G1665" s="352" t="s">
        <v>1501</v>
      </c>
      <c r="H1665" s="176" t="s">
        <v>3979</v>
      </c>
      <c r="I1665" s="176" t="s">
        <v>4861</v>
      </c>
      <c r="J1665" s="352" t="s">
        <v>828</v>
      </c>
      <c r="K1665" s="352">
        <v>50</v>
      </c>
      <c r="L1665" s="352" t="s">
        <v>1116</v>
      </c>
      <c r="M1665" s="351">
        <v>1</v>
      </c>
      <c r="N1665" s="351" t="s">
        <v>1109</v>
      </c>
      <c r="O1665" s="351">
        <v>50</v>
      </c>
      <c r="P1665" s="349" t="s">
        <v>1836</v>
      </c>
      <c r="R1665" s="349">
        <f t="shared" si="25"/>
        <v>9</v>
      </c>
      <c r="S1665" s="352"/>
      <c r="T1665" s="352"/>
      <c r="U1665" s="352"/>
      <c r="V1665" s="353"/>
      <c r="W1665" s="352"/>
      <c r="X1665" s="176"/>
      <c r="Y1665" s="176"/>
      <c r="Z1665" s="352"/>
      <c r="AA1665" s="352"/>
      <c r="AB1665" s="352"/>
      <c r="AC1665" s="351"/>
      <c r="AD1665" s="351"/>
    </row>
    <row r="1666" spans="1:30" ht="64.099999999999994" hidden="1" x14ac:dyDescent="0.35">
      <c r="A1666" s="349">
        <v>1665</v>
      </c>
      <c r="B1666" s="352" t="s">
        <v>4027</v>
      </c>
      <c r="C1666" s="351" t="s">
        <v>4797</v>
      </c>
      <c r="D1666" s="352" t="s">
        <v>1430</v>
      </c>
      <c r="E1666" s="352" t="s">
        <v>762</v>
      </c>
      <c r="F1666" s="353">
        <v>1.2</v>
      </c>
      <c r="G1666" s="352" t="s">
        <v>2384</v>
      </c>
      <c r="H1666" s="176" t="s">
        <v>3981</v>
      </c>
      <c r="I1666" s="176" t="s">
        <v>5051</v>
      </c>
      <c r="J1666" s="352" t="s">
        <v>828</v>
      </c>
      <c r="K1666" s="352"/>
      <c r="L1666" s="352"/>
      <c r="M1666" s="351">
        <v>2</v>
      </c>
      <c r="N1666" s="351" t="s">
        <v>1109</v>
      </c>
      <c r="O1666" s="351">
        <v>0</v>
      </c>
      <c r="P1666" s="349" t="s">
        <v>1837</v>
      </c>
      <c r="R1666" s="349">
        <f t="shared" si="25"/>
        <v>30</v>
      </c>
      <c r="S1666" s="352"/>
      <c r="T1666" s="352"/>
      <c r="U1666" s="352"/>
      <c r="V1666" s="353"/>
      <c r="W1666" s="352"/>
      <c r="X1666" s="176"/>
      <c r="Y1666" s="176"/>
      <c r="Z1666" s="352"/>
      <c r="AA1666" s="352"/>
      <c r="AB1666" s="352"/>
      <c r="AC1666" s="351"/>
      <c r="AD1666" s="351"/>
    </row>
    <row r="1667" spans="1:30" ht="64.099999999999994" hidden="1" x14ac:dyDescent="0.35">
      <c r="A1667" s="349">
        <v>1666</v>
      </c>
      <c r="B1667" s="352" t="s">
        <v>4027</v>
      </c>
      <c r="C1667" s="351" t="s">
        <v>3980</v>
      </c>
      <c r="D1667" s="352" t="s">
        <v>1430</v>
      </c>
      <c r="E1667" s="352" t="s">
        <v>762</v>
      </c>
      <c r="F1667" s="353">
        <v>1.2</v>
      </c>
      <c r="G1667" s="352" t="s">
        <v>2384</v>
      </c>
      <c r="H1667" s="176" t="s">
        <v>3981</v>
      </c>
      <c r="I1667" s="176" t="s">
        <v>5051</v>
      </c>
      <c r="J1667" s="352" t="s">
        <v>828</v>
      </c>
      <c r="K1667" s="352"/>
      <c r="L1667" s="352"/>
      <c r="M1667" s="352">
        <v>2</v>
      </c>
      <c r="N1667" s="352" t="s">
        <v>1109</v>
      </c>
      <c r="O1667" s="351">
        <v>0</v>
      </c>
      <c r="P1667" s="349" t="s">
        <v>1837</v>
      </c>
      <c r="R1667" s="349">
        <f t="shared" ref="R1667:R1730" si="26">LEN(D1667)</f>
        <v>30</v>
      </c>
      <c r="S1667" s="352"/>
      <c r="T1667" s="352"/>
      <c r="U1667" s="352"/>
      <c r="V1667" s="353"/>
      <c r="W1667" s="352"/>
      <c r="X1667" s="176"/>
      <c r="Y1667" s="176"/>
      <c r="Z1667" s="352"/>
      <c r="AA1667" s="352"/>
      <c r="AB1667" s="352"/>
      <c r="AC1667" s="352"/>
      <c r="AD1667" s="352"/>
    </row>
    <row r="1668" spans="1:30" ht="205.1" hidden="1" x14ac:dyDescent="0.35">
      <c r="A1668" s="349">
        <v>1667</v>
      </c>
      <c r="B1668" s="352" t="s">
        <v>1787</v>
      </c>
      <c r="C1668" s="351" t="s">
        <v>4798</v>
      </c>
      <c r="D1668" s="352" t="s">
        <v>4038</v>
      </c>
      <c r="E1668" s="352" t="s">
        <v>2855</v>
      </c>
      <c r="F1668" s="353">
        <v>0.35</v>
      </c>
      <c r="G1668" s="352" t="s">
        <v>1107</v>
      </c>
      <c r="H1668" s="176" t="s">
        <v>3203</v>
      </c>
      <c r="I1668" s="176" t="s">
        <v>4673</v>
      </c>
      <c r="J1668" s="352" t="s">
        <v>828</v>
      </c>
      <c r="K1668" s="352">
        <v>20</v>
      </c>
      <c r="L1668" s="352" t="s">
        <v>1116</v>
      </c>
      <c r="M1668" s="352">
        <v>1</v>
      </c>
      <c r="N1668" s="352" t="s">
        <v>1109</v>
      </c>
      <c r="O1668" s="351">
        <v>20</v>
      </c>
      <c r="P1668" s="349" t="s">
        <v>1836</v>
      </c>
      <c r="R1668" s="349">
        <f t="shared" si="26"/>
        <v>12</v>
      </c>
      <c r="S1668" s="352"/>
      <c r="T1668" s="352"/>
      <c r="U1668" s="352"/>
      <c r="V1668" s="353"/>
      <c r="W1668" s="352"/>
      <c r="X1668" s="176"/>
      <c r="Y1668" s="176"/>
      <c r="Z1668" s="352"/>
      <c r="AA1668" s="352"/>
      <c r="AB1668" s="352"/>
      <c r="AC1668" s="352"/>
      <c r="AD1668" s="352"/>
    </row>
    <row r="1669" spans="1:30" ht="205.1" hidden="1" x14ac:dyDescent="0.35">
      <c r="A1669" s="349">
        <v>1668</v>
      </c>
      <c r="B1669" s="352" t="s">
        <v>1787</v>
      </c>
      <c r="C1669" s="351" t="s">
        <v>4798</v>
      </c>
      <c r="D1669" s="352" t="s">
        <v>4038</v>
      </c>
      <c r="E1669" s="352" t="s">
        <v>762</v>
      </c>
      <c r="F1669" s="353">
        <v>0.45</v>
      </c>
      <c r="G1669" s="352" t="s">
        <v>1107</v>
      </c>
      <c r="H1669" s="176" t="s">
        <v>3203</v>
      </c>
      <c r="I1669" s="176" t="s">
        <v>4673</v>
      </c>
      <c r="J1669" s="352" t="s">
        <v>828</v>
      </c>
      <c r="K1669" s="352">
        <v>50</v>
      </c>
      <c r="L1669" s="352" t="s">
        <v>1116</v>
      </c>
      <c r="M1669" s="351">
        <v>2</v>
      </c>
      <c r="N1669" s="351" t="s">
        <v>1109</v>
      </c>
      <c r="O1669" s="351">
        <v>50</v>
      </c>
      <c r="P1669" s="349" t="s">
        <v>1836</v>
      </c>
      <c r="R1669" s="349">
        <f t="shared" si="26"/>
        <v>12</v>
      </c>
      <c r="S1669" s="352"/>
      <c r="T1669" s="352"/>
      <c r="U1669" s="352"/>
      <c r="V1669" s="353"/>
      <c r="W1669" s="352"/>
      <c r="X1669" s="176"/>
      <c r="Y1669" s="176"/>
      <c r="Z1669" s="352"/>
      <c r="AA1669" s="352"/>
      <c r="AB1669" s="352"/>
      <c r="AC1669" s="351"/>
      <c r="AD1669" s="351"/>
    </row>
    <row r="1670" spans="1:30" ht="192.25" hidden="1" x14ac:dyDescent="0.35">
      <c r="A1670" s="349">
        <v>1669</v>
      </c>
      <c r="B1670" s="352" t="s">
        <v>1787</v>
      </c>
      <c r="C1670" s="351" t="s">
        <v>4798</v>
      </c>
      <c r="D1670" s="352" t="s">
        <v>4038</v>
      </c>
      <c r="E1670" s="352" t="s">
        <v>2151</v>
      </c>
      <c r="F1670" s="353">
        <v>6</v>
      </c>
      <c r="G1670" s="352" t="s">
        <v>2126</v>
      </c>
      <c r="H1670" s="176" t="s">
        <v>1075</v>
      </c>
      <c r="I1670" s="176" t="s">
        <v>4673</v>
      </c>
      <c r="J1670" s="352" t="s">
        <v>3579</v>
      </c>
      <c r="K1670" s="352">
        <v>4</v>
      </c>
      <c r="L1670" s="352" t="s">
        <v>1116</v>
      </c>
      <c r="M1670" s="351">
        <v>30</v>
      </c>
      <c r="N1670" s="351" t="s">
        <v>1109</v>
      </c>
      <c r="O1670" s="351">
        <v>4</v>
      </c>
      <c r="P1670" s="349" t="s">
        <v>1836</v>
      </c>
      <c r="R1670" s="349">
        <f t="shared" si="26"/>
        <v>12</v>
      </c>
      <c r="S1670" s="352"/>
      <c r="T1670" s="352"/>
      <c r="U1670" s="352"/>
      <c r="V1670" s="353"/>
      <c r="W1670" s="352"/>
      <c r="X1670" s="176"/>
      <c r="Y1670" s="176"/>
      <c r="Z1670" s="352"/>
      <c r="AA1670" s="352"/>
      <c r="AB1670" s="352"/>
      <c r="AC1670" s="351"/>
      <c r="AD1670" s="351"/>
    </row>
    <row r="1671" spans="1:30" ht="192.25" hidden="1" x14ac:dyDescent="0.35">
      <c r="A1671" s="349">
        <v>1670</v>
      </c>
      <c r="B1671" s="352" t="s">
        <v>1787</v>
      </c>
      <c r="C1671" s="351" t="s">
        <v>4798</v>
      </c>
      <c r="D1671" s="352" t="s">
        <v>4038</v>
      </c>
      <c r="E1671" s="352" t="s">
        <v>1995</v>
      </c>
      <c r="F1671" s="353">
        <v>0.13</v>
      </c>
      <c r="G1671" s="352" t="s">
        <v>2126</v>
      </c>
      <c r="H1671" s="176" t="s">
        <v>1075</v>
      </c>
      <c r="I1671" s="176" t="s">
        <v>4673</v>
      </c>
      <c r="J1671" s="352" t="s">
        <v>3580</v>
      </c>
      <c r="K1671" s="352">
        <v>25</v>
      </c>
      <c r="L1671" s="352" t="s">
        <v>3581</v>
      </c>
      <c r="M1671" s="352"/>
      <c r="N1671" s="352"/>
      <c r="O1671" s="351">
        <v>25</v>
      </c>
      <c r="P1671" s="349" t="s">
        <v>1836</v>
      </c>
      <c r="R1671" s="349">
        <f t="shared" si="26"/>
        <v>12</v>
      </c>
      <c r="S1671" s="352"/>
      <c r="T1671" s="352"/>
      <c r="U1671" s="352"/>
      <c r="V1671" s="353"/>
      <c r="W1671" s="352"/>
      <c r="X1671" s="176"/>
      <c r="Y1671" s="176"/>
      <c r="Z1671" s="352"/>
      <c r="AA1671" s="352"/>
      <c r="AB1671" s="352"/>
      <c r="AC1671" s="351"/>
      <c r="AD1671" s="351"/>
    </row>
    <row r="1672" spans="1:30" ht="192.25" hidden="1" x14ac:dyDescent="0.35">
      <c r="A1672" s="349">
        <v>1671</v>
      </c>
      <c r="B1672" s="352" t="s">
        <v>1787</v>
      </c>
      <c r="C1672" s="351" t="s">
        <v>4798</v>
      </c>
      <c r="D1672" s="352" t="s">
        <v>4038</v>
      </c>
      <c r="E1672" s="352" t="s">
        <v>1995</v>
      </c>
      <c r="F1672" s="353">
        <v>0.18</v>
      </c>
      <c r="G1672" s="352" t="s">
        <v>2126</v>
      </c>
      <c r="H1672" s="176" t="s">
        <v>1075</v>
      </c>
      <c r="I1672" s="176" t="s">
        <v>4673</v>
      </c>
      <c r="J1672" s="352" t="s">
        <v>3580</v>
      </c>
      <c r="K1672" s="352">
        <v>50</v>
      </c>
      <c r="L1672" s="352" t="s">
        <v>3581</v>
      </c>
      <c r="M1672" s="352"/>
      <c r="N1672" s="352"/>
      <c r="O1672" s="351">
        <v>50</v>
      </c>
      <c r="P1672" s="349" t="s">
        <v>1836</v>
      </c>
      <c r="R1672" s="349">
        <f t="shared" si="26"/>
        <v>12</v>
      </c>
      <c r="S1672" s="352"/>
      <c r="T1672" s="352"/>
      <c r="U1672" s="352"/>
      <c r="V1672" s="353"/>
      <c r="W1672" s="352"/>
      <c r="X1672" s="176"/>
      <c r="Y1672" s="176"/>
      <c r="Z1672" s="352"/>
      <c r="AA1672" s="352"/>
      <c r="AB1672" s="352"/>
      <c r="AC1672" s="351"/>
      <c r="AD1672" s="351"/>
    </row>
    <row r="1673" spans="1:30" hidden="1" x14ac:dyDescent="0.35">
      <c r="A1673" s="349">
        <v>1672</v>
      </c>
      <c r="B1673" s="352" t="s">
        <v>3968</v>
      </c>
      <c r="C1673" s="351" t="s">
        <v>1161</v>
      </c>
      <c r="D1673" s="352" t="s">
        <v>1161</v>
      </c>
      <c r="E1673" s="352" t="s">
        <v>1995</v>
      </c>
      <c r="F1673" s="353">
        <v>6.6111000000000004</v>
      </c>
      <c r="G1673" s="352" t="s">
        <v>2126</v>
      </c>
      <c r="H1673" s="176" t="s">
        <v>455</v>
      </c>
      <c r="I1673" s="176" t="s">
        <v>456</v>
      </c>
      <c r="J1673" s="352" t="s">
        <v>3580</v>
      </c>
      <c r="K1673" s="352">
        <v>500</v>
      </c>
      <c r="L1673" s="352" t="s">
        <v>3581</v>
      </c>
      <c r="M1673" s="352"/>
      <c r="N1673" s="352"/>
      <c r="O1673" s="351">
        <v>500</v>
      </c>
      <c r="P1673" s="349" t="s">
        <v>1836</v>
      </c>
      <c r="R1673" s="349">
        <f t="shared" si="26"/>
        <v>14</v>
      </c>
      <c r="S1673" s="352"/>
      <c r="T1673" s="352"/>
      <c r="U1673" s="352"/>
      <c r="V1673" s="353"/>
      <c r="W1673" s="352"/>
      <c r="X1673" s="176"/>
      <c r="Y1673" s="176"/>
      <c r="Z1673" s="352"/>
      <c r="AA1673" s="352"/>
      <c r="AB1673" s="352"/>
      <c r="AC1673" s="351"/>
      <c r="AD1673" s="351"/>
    </row>
    <row r="1674" spans="1:30" ht="51.3" hidden="1" x14ac:dyDescent="0.35">
      <c r="A1674" s="349">
        <v>1673</v>
      </c>
      <c r="B1674" s="352" t="s">
        <v>2192</v>
      </c>
      <c r="C1674" s="351" t="s">
        <v>4799</v>
      </c>
      <c r="D1674" s="352" t="s">
        <v>323</v>
      </c>
      <c r="E1674" s="352" t="s">
        <v>1995</v>
      </c>
      <c r="F1674" s="353">
        <v>0.6</v>
      </c>
      <c r="G1674" s="352" t="s">
        <v>2126</v>
      </c>
      <c r="H1674" s="176" t="s">
        <v>324</v>
      </c>
      <c r="I1674" s="176" t="s">
        <v>325</v>
      </c>
      <c r="J1674" s="352" t="s">
        <v>3580</v>
      </c>
      <c r="K1674" s="352">
        <v>1.1000000000000001</v>
      </c>
      <c r="L1674" s="352" t="s">
        <v>2039</v>
      </c>
      <c r="M1674" s="351"/>
      <c r="N1674" s="351"/>
      <c r="O1674" s="351">
        <v>1.1000000000000001</v>
      </c>
      <c r="P1674" s="349" t="s">
        <v>818</v>
      </c>
      <c r="R1674" s="349">
        <f t="shared" si="26"/>
        <v>14</v>
      </c>
      <c r="S1674" s="352"/>
      <c r="T1674" s="352"/>
      <c r="U1674" s="352"/>
      <c r="V1674" s="353"/>
      <c r="W1674" s="352"/>
      <c r="X1674" s="176"/>
      <c r="Y1674" s="176"/>
      <c r="Z1674" s="352"/>
      <c r="AA1674" s="352"/>
      <c r="AB1674" s="352"/>
      <c r="AC1674" s="352"/>
      <c r="AD1674" s="352"/>
    </row>
    <row r="1675" spans="1:30" ht="51.3" hidden="1" x14ac:dyDescent="0.35">
      <c r="A1675" s="349">
        <v>1674</v>
      </c>
      <c r="B1675" s="352" t="s">
        <v>405</v>
      </c>
      <c r="C1675" s="351" t="s">
        <v>457</v>
      </c>
      <c r="D1675" s="352" t="s">
        <v>457</v>
      </c>
      <c r="E1675" s="352" t="s">
        <v>3104</v>
      </c>
      <c r="F1675" s="353">
        <v>1.0578000000000001</v>
      </c>
      <c r="G1675" s="352" t="s">
        <v>34</v>
      </c>
      <c r="H1675" s="176" t="s">
        <v>2329</v>
      </c>
      <c r="I1675" s="176" t="s">
        <v>3098</v>
      </c>
      <c r="J1675" s="352" t="s">
        <v>3105</v>
      </c>
      <c r="K1675" s="352">
        <v>20</v>
      </c>
      <c r="L1675" s="352" t="s">
        <v>1116</v>
      </c>
      <c r="M1675" s="351">
        <v>0.5</v>
      </c>
      <c r="N1675" s="351" t="s">
        <v>1109</v>
      </c>
      <c r="O1675" s="351">
        <v>20</v>
      </c>
      <c r="P1675" s="349" t="s">
        <v>1836</v>
      </c>
      <c r="R1675" s="349">
        <f t="shared" si="26"/>
        <v>11</v>
      </c>
      <c r="S1675" s="352"/>
      <c r="T1675" s="352"/>
      <c r="U1675" s="352"/>
      <c r="V1675" s="353"/>
      <c r="W1675" s="352"/>
      <c r="X1675" s="176"/>
      <c r="Y1675" s="176"/>
      <c r="Z1675" s="352"/>
      <c r="AA1675" s="352"/>
      <c r="AB1675" s="352"/>
      <c r="AC1675" s="352"/>
      <c r="AD1675" s="352"/>
    </row>
    <row r="1676" spans="1:30" ht="51.3" hidden="1" x14ac:dyDescent="0.35">
      <c r="A1676" s="349">
        <v>1675</v>
      </c>
      <c r="B1676" s="352" t="s">
        <v>405</v>
      </c>
      <c r="C1676" s="351" t="s">
        <v>4800</v>
      </c>
      <c r="D1676" s="352" t="s">
        <v>457</v>
      </c>
      <c r="E1676" s="352" t="s">
        <v>3104</v>
      </c>
      <c r="F1676" s="353">
        <v>1.0578000000000001</v>
      </c>
      <c r="G1676" s="352" t="s">
        <v>34</v>
      </c>
      <c r="H1676" s="176" t="s">
        <v>2329</v>
      </c>
      <c r="I1676" s="176" t="s">
        <v>3098</v>
      </c>
      <c r="J1676" s="352" t="s">
        <v>3105</v>
      </c>
      <c r="K1676" s="352">
        <v>20</v>
      </c>
      <c r="L1676" s="352" t="s">
        <v>1116</v>
      </c>
      <c r="M1676" s="351">
        <v>0.5</v>
      </c>
      <c r="N1676" s="351" t="s">
        <v>1109</v>
      </c>
      <c r="O1676" s="351">
        <v>20</v>
      </c>
      <c r="P1676" s="349" t="s">
        <v>1836</v>
      </c>
      <c r="R1676" s="349">
        <f t="shared" si="26"/>
        <v>11</v>
      </c>
      <c r="S1676" s="352"/>
      <c r="T1676" s="352"/>
      <c r="U1676" s="352"/>
      <c r="V1676" s="353"/>
      <c r="W1676" s="352"/>
      <c r="X1676" s="176"/>
      <c r="Y1676" s="176"/>
      <c r="Z1676" s="352"/>
      <c r="AA1676" s="352"/>
      <c r="AB1676" s="352"/>
      <c r="AC1676" s="352"/>
      <c r="AD1676" s="352"/>
    </row>
    <row r="1677" spans="1:30" ht="51.3" hidden="1" x14ac:dyDescent="0.35">
      <c r="A1677" s="349">
        <v>1676</v>
      </c>
      <c r="B1677" s="352" t="s">
        <v>1006</v>
      </c>
      <c r="C1677" s="351" t="s">
        <v>3899</v>
      </c>
      <c r="D1677" s="352" t="s">
        <v>3899</v>
      </c>
      <c r="E1677" s="352" t="s">
        <v>93</v>
      </c>
      <c r="F1677" s="353">
        <v>8.9910999999999994</v>
      </c>
      <c r="G1677" s="352" t="s">
        <v>2126</v>
      </c>
      <c r="H1677" s="176" t="s">
        <v>947</v>
      </c>
      <c r="I1677" s="176" t="s">
        <v>976</v>
      </c>
      <c r="J1677" s="352" t="s">
        <v>4031</v>
      </c>
      <c r="K1677" s="351">
        <v>2</v>
      </c>
      <c r="L1677" s="351" t="s">
        <v>4032</v>
      </c>
      <c r="M1677" s="351">
        <v>60</v>
      </c>
      <c r="N1677" s="351" t="s">
        <v>1109</v>
      </c>
      <c r="O1677" s="351">
        <v>2</v>
      </c>
      <c r="P1677" s="349" t="s">
        <v>1836</v>
      </c>
      <c r="R1677" s="349">
        <f t="shared" si="26"/>
        <v>10</v>
      </c>
      <c r="S1677" s="352"/>
      <c r="T1677" s="352"/>
      <c r="U1677" s="352"/>
      <c r="V1677" s="353"/>
      <c r="W1677" s="352"/>
      <c r="X1677" s="176"/>
      <c r="Y1677" s="176"/>
      <c r="Z1677" s="352"/>
      <c r="AA1677" s="352"/>
      <c r="AB1677" s="352"/>
      <c r="AC1677" s="352"/>
      <c r="AD1677" s="352"/>
    </row>
    <row r="1678" spans="1:30" ht="51.3" hidden="1" x14ac:dyDescent="0.35">
      <c r="A1678" s="349">
        <v>1677</v>
      </c>
      <c r="B1678" s="352" t="s">
        <v>1006</v>
      </c>
      <c r="C1678" s="351" t="s">
        <v>3899</v>
      </c>
      <c r="D1678" s="352" t="s">
        <v>3899</v>
      </c>
      <c r="E1678" s="352" t="s">
        <v>1995</v>
      </c>
      <c r="F1678" s="353">
        <v>0.22</v>
      </c>
      <c r="G1678" s="352" t="s">
        <v>2126</v>
      </c>
      <c r="H1678" s="176" t="s">
        <v>947</v>
      </c>
      <c r="I1678" s="176" t="s">
        <v>976</v>
      </c>
      <c r="J1678" s="352" t="s">
        <v>3580</v>
      </c>
      <c r="K1678" s="352">
        <v>40</v>
      </c>
      <c r="L1678" s="352" t="s">
        <v>3581</v>
      </c>
      <c r="M1678" s="351"/>
      <c r="N1678" s="351"/>
      <c r="O1678" s="351">
        <v>40</v>
      </c>
      <c r="P1678" s="349" t="s">
        <v>1836</v>
      </c>
      <c r="R1678" s="349">
        <f t="shared" si="26"/>
        <v>10</v>
      </c>
      <c r="S1678" s="352"/>
      <c r="T1678" s="352"/>
      <c r="U1678" s="352"/>
      <c r="V1678" s="353"/>
      <c r="W1678" s="352"/>
      <c r="X1678" s="176"/>
      <c r="Y1678" s="176"/>
      <c r="Z1678" s="352"/>
      <c r="AA1678" s="352"/>
      <c r="AB1678" s="352"/>
      <c r="AC1678" s="352"/>
      <c r="AD1678" s="352"/>
    </row>
    <row r="1679" spans="1:30" ht="128.19999999999999" hidden="1" x14ac:dyDescent="0.35">
      <c r="A1679" s="349">
        <v>1678</v>
      </c>
      <c r="B1679" s="352" t="s">
        <v>831</v>
      </c>
      <c r="C1679" s="351" t="s">
        <v>4801</v>
      </c>
      <c r="D1679" s="352" t="s">
        <v>2999</v>
      </c>
      <c r="E1679" s="352" t="s">
        <v>1997</v>
      </c>
      <c r="F1679" s="353">
        <v>10.29</v>
      </c>
      <c r="G1679" s="352" t="s">
        <v>1107</v>
      </c>
      <c r="H1679" s="176" t="s">
        <v>2288</v>
      </c>
      <c r="I1679" s="176" t="s">
        <v>4922</v>
      </c>
      <c r="J1679" s="352" t="s">
        <v>1115</v>
      </c>
      <c r="K1679" s="352">
        <v>4</v>
      </c>
      <c r="L1679" s="352" t="s">
        <v>3252</v>
      </c>
      <c r="M1679" s="351"/>
      <c r="N1679" s="351"/>
      <c r="O1679" s="351">
        <v>4000</v>
      </c>
      <c r="P1679" s="349" t="s">
        <v>1836</v>
      </c>
      <c r="R1679" s="349">
        <f t="shared" si="26"/>
        <v>13</v>
      </c>
      <c r="S1679" s="352"/>
      <c r="T1679" s="352"/>
      <c r="U1679" s="352"/>
      <c r="V1679" s="353"/>
      <c r="W1679" s="352"/>
      <c r="X1679" s="176"/>
      <c r="Y1679" s="176"/>
      <c r="Z1679" s="352"/>
      <c r="AA1679" s="352"/>
      <c r="AB1679" s="352"/>
      <c r="AC1679" s="351"/>
      <c r="AD1679" s="351"/>
    </row>
    <row r="1680" spans="1:30" ht="128.19999999999999" hidden="1" x14ac:dyDescent="0.35">
      <c r="A1680" s="349">
        <v>1679</v>
      </c>
      <c r="B1680" s="352" t="s">
        <v>831</v>
      </c>
      <c r="C1680" s="351" t="s">
        <v>2999</v>
      </c>
      <c r="D1680" s="352" t="s">
        <v>2999</v>
      </c>
      <c r="E1680" s="352" t="s">
        <v>1997</v>
      </c>
      <c r="F1680" s="353">
        <v>10.29</v>
      </c>
      <c r="G1680" s="352" t="s">
        <v>1107</v>
      </c>
      <c r="H1680" s="176" t="s">
        <v>2288</v>
      </c>
      <c r="I1680" s="176" t="s">
        <v>4922</v>
      </c>
      <c r="J1680" s="352" t="s">
        <v>1115</v>
      </c>
      <c r="K1680" s="352">
        <v>4</v>
      </c>
      <c r="L1680" s="352" t="s">
        <v>3252</v>
      </c>
      <c r="M1680" s="351"/>
      <c r="N1680" s="351"/>
      <c r="O1680" s="351">
        <v>4000</v>
      </c>
      <c r="P1680" s="349" t="s">
        <v>1836</v>
      </c>
      <c r="R1680" s="349">
        <f t="shared" si="26"/>
        <v>13</v>
      </c>
      <c r="S1680" s="352"/>
      <c r="T1680" s="352"/>
      <c r="U1680" s="352"/>
      <c r="V1680" s="353"/>
      <c r="W1680" s="352"/>
      <c r="X1680" s="176"/>
      <c r="Y1680" s="176"/>
      <c r="Z1680" s="352"/>
      <c r="AA1680" s="352"/>
      <c r="AB1680" s="352"/>
      <c r="AC1680" s="351"/>
      <c r="AD1680" s="351"/>
    </row>
    <row r="1681" spans="1:30" ht="76.900000000000006" hidden="1" x14ac:dyDescent="0.35">
      <c r="A1681" s="349">
        <v>1680</v>
      </c>
      <c r="B1681" s="352" t="s">
        <v>831</v>
      </c>
      <c r="C1681" s="351" t="s">
        <v>784</v>
      </c>
      <c r="D1681" s="352" t="s">
        <v>5046</v>
      </c>
      <c r="E1681" s="352" t="s">
        <v>1997</v>
      </c>
      <c r="F1681" s="353">
        <v>44.01</v>
      </c>
      <c r="G1681" s="352" t="s">
        <v>1107</v>
      </c>
      <c r="H1681" s="176" t="s">
        <v>2935</v>
      </c>
      <c r="I1681" s="176" t="s">
        <v>3574</v>
      </c>
      <c r="J1681" s="352" t="s">
        <v>1115</v>
      </c>
      <c r="K1681" s="352"/>
      <c r="L1681" s="352"/>
      <c r="M1681" s="351"/>
      <c r="N1681" s="351"/>
      <c r="O1681" s="351">
        <v>0</v>
      </c>
      <c r="P1681" s="349" t="s">
        <v>2313</v>
      </c>
      <c r="R1681" s="349">
        <f t="shared" si="26"/>
        <v>24</v>
      </c>
      <c r="S1681" s="352"/>
      <c r="T1681" s="352"/>
      <c r="U1681" s="352"/>
      <c r="V1681" s="353"/>
      <c r="W1681" s="352"/>
      <c r="X1681" s="176"/>
      <c r="Y1681" s="176"/>
      <c r="Z1681" s="352"/>
      <c r="AA1681" s="352"/>
      <c r="AB1681" s="352"/>
      <c r="AC1681" s="351"/>
      <c r="AD1681" s="351"/>
    </row>
    <row r="1682" spans="1:30" ht="51.3" hidden="1" x14ac:dyDescent="0.35">
      <c r="A1682" s="349">
        <v>1681</v>
      </c>
      <c r="B1682" s="352" t="s">
        <v>4029</v>
      </c>
      <c r="C1682" s="351" t="s">
        <v>453</v>
      </c>
      <c r="D1682" s="352" t="s">
        <v>453</v>
      </c>
      <c r="E1682" s="352" t="s">
        <v>2002</v>
      </c>
      <c r="F1682" s="353">
        <v>0.41870000000000002</v>
      </c>
      <c r="G1682" s="352" t="s">
        <v>2126</v>
      </c>
      <c r="H1682" s="176" t="s">
        <v>2630</v>
      </c>
      <c r="I1682" s="176" t="s">
        <v>2631</v>
      </c>
      <c r="J1682" s="352" t="s">
        <v>1502</v>
      </c>
      <c r="K1682" s="351">
        <v>0.5</v>
      </c>
      <c r="L1682" s="351" t="s">
        <v>1503</v>
      </c>
      <c r="M1682" s="352"/>
      <c r="N1682" s="352"/>
      <c r="O1682" s="351">
        <v>0.5</v>
      </c>
      <c r="P1682" s="349" t="s">
        <v>1836</v>
      </c>
      <c r="R1682" s="349">
        <f t="shared" si="26"/>
        <v>10</v>
      </c>
      <c r="S1682" s="352"/>
      <c r="T1682" s="352"/>
      <c r="U1682" s="352"/>
      <c r="V1682" s="353"/>
      <c r="W1682" s="352"/>
      <c r="X1682" s="176"/>
      <c r="Y1682" s="176"/>
      <c r="Z1682" s="352"/>
      <c r="AA1682" s="352"/>
      <c r="AB1682" s="352"/>
      <c r="AC1682" s="351"/>
      <c r="AD1682" s="351"/>
    </row>
    <row r="1683" spans="1:30" ht="64.099999999999994" hidden="1" x14ac:dyDescent="0.35">
      <c r="A1683" s="349">
        <v>1682</v>
      </c>
      <c r="B1683" s="352" t="s">
        <v>965</v>
      </c>
      <c r="C1683" s="351" t="s">
        <v>1812</v>
      </c>
      <c r="D1683" s="352" t="s">
        <v>1812</v>
      </c>
      <c r="E1683" s="352" t="s">
        <v>2006</v>
      </c>
      <c r="F1683" s="353">
        <v>0.4</v>
      </c>
      <c r="G1683" s="352" t="s">
        <v>2126</v>
      </c>
      <c r="H1683" s="176" t="s">
        <v>91</v>
      </c>
      <c r="I1683" s="176" t="s">
        <v>123</v>
      </c>
      <c r="J1683" s="352" t="s">
        <v>24</v>
      </c>
      <c r="K1683" s="351">
        <v>4</v>
      </c>
      <c r="L1683" s="351" t="s">
        <v>2057</v>
      </c>
      <c r="M1683" s="352"/>
      <c r="N1683" s="352"/>
      <c r="O1683" s="351">
        <v>4</v>
      </c>
      <c r="P1683" s="349" t="s">
        <v>818</v>
      </c>
      <c r="R1683" s="349">
        <f t="shared" si="26"/>
        <v>14</v>
      </c>
      <c r="S1683" s="352"/>
      <c r="T1683" s="352"/>
      <c r="U1683" s="352"/>
      <c r="V1683" s="353"/>
      <c r="W1683" s="352"/>
      <c r="X1683" s="176"/>
      <c r="Y1683" s="176"/>
      <c r="Z1683" s="352"/>
      <c r="AA1683" s="352"/>
      <c r="AB1683" s="352"/>
      <c r="AC1683" s="352"/>
      <c r="AD1683" s="352"/>
    </row>
    <row r="1684" spans="1:30" ht="51.3" hidden="1" x14ac:dyDescent="0.35">
      <c r="A1684" s="349">
        <v>1683</v>
      </c>
      <c r="B1684" s="352" t="s">
        <v>965</v>
      </c>
      <c r="C1684" s="351" t="s">
        <v>1812</v>
      </c>
      <c r="D1684" s="352" t="s">
        <v>1812</v>
      </c>
      <c r="E1684" s="352" t="s">
        <v>2004</v>
      </c>
      <c r="F1684" s="353">
        <v>0.45</v>
      </c>
      <c r="G1684" s="352" t="s">
        <v>2126</v>
      </c>
      <c r="H1684" s="176" t="s">
        <v>127</v>
      </c>
      <c r="I1684" s="176" t="s">
        <v>128</v>
      </c>
      <c r="J1684" s="352" t="s">
        <v>3577</v>
      </c>
      <c r="K1684" s="351">
        <v>3.4</v>
      </c>
      <c r="L1684" s="351" t="s">
        <v>2740</v>
      </c>
      <c r="M1684" s="352"/>
      <c r="N1684" s="352"/>
      <c r="O1684" s="351">
        <v>3.4</v>
      </c>
      <c r="P1684" s="349" t="s">
        <v>818</v>
      </c>
      <c r="R1684" s="349">
        <f t="shared" si="26"/>
        <v>14</v>
      </c>
      <c r="S1684" s="352"/>
      <c r="T1684" s="352"/>
      <c r="U1684" s="352"/>
      <c r="V1684" s="353"/>
      <c r="W1684" s="352"/>
      <c r="X1684" s="176"/>
      <c r="Y1684" s="176"/>
      <c r="Z1684" s="352"/>
      <c r="AA1684" s="352"/>
      <c r="AB1684" s="352"/>
      <c r="AC1684" s="352"/>
      <c r="AD1684" s="352"/>
    </row>
    <row r="1685" spans="1:30" ht="76.900000000000006" hidden="1" x14ac:dyDescent="0.35">
      <c r="A1685" s="349">
        <v>1684</v>
      </c>
      <c r="B1685" s="352" t="s">
        <v>1490</v>
      </c>
      <c r="C1685" s="351" t="s">
        <v>4802</v>
      </c>
      <c r="D1685" s="352" t="s">
        <v>1160</v>
      </c>
      <c r="E1685" s="352" t="s">
        <v>2002</v>
      </c>
      <c r="F1685" s="353">
        <v>0.79</v>
      </c>
      <c r="G1685" s="352" t="s">
        <v>2126</v>
      </c>
      <c r="H1685" s="176" t="s">
        <v>148</v>
      </c>
      <c r="I1685" s="176" t="s">
        <v>1090</v>
      </c>
      <c r="J1685" s="352" t="s">
        <v>1502</v>
      </c>
      <c r="K1685" s="351">
        <v>200</v>
      </c>
      <c r="L1685" s="351" t="s">
        <v>1503</v>
      </c>
      <c r="M1685" s="352"/>
      <c r="N1685" s="352"/>
      <c r="O1685" s="351">
        <v>200</v>
      </c>
      <c r="P1685" s="349" t="s">
        <v>1836</v>
      </c>
      <c r="R1685" s="349">
        <f t="shared" si="26"/>
        <v>18</v>
      </c>
      <c r="S1685" s="352"/>
      <c r="T1685" s="352"/>
      <c r="U1685" s="352"/>
      <c r="V1685" s="353"/>
      <c r="W1685" s="352"/>
      <c r="X1685" s="176"/>
      <c r="Y1685" s="176"/>
      <c r="Z1685" s="352"/>
      <c r="AA1685" s="352"/>
      <c r="AB1685" s="352"/>
      <c r="AC1685" s="351"/>
      <c r="AD1685" s="351"/>
    </row>
    <row r="1686" spans="1:30" hidden="1" x14ac:dyDescent="0.35">
      <c r="A1686" s="349">
        <v>1685</v>
      </c>
      <c r="B1686" s="352" t="s">
        <v>1585</v>
      </c>
      <c r="C1686" s="351" t="s">
        <v>2714</v>
      </c>
      <c r="D1686" s="352" t="s">
        <v>5034</v>
      </c>
      <c r="E1686" s="352" t="s">
        <v>1586</v>
      </c>
      <c r="F1686" s="353">
        <v>44.096200000000003</v>
      </c>
      <c r="G1686" s="352" t="s">
        <v>1107</v>
      </c>
      <c r="H1686" s="176" t="s">
        <v>650</v>
      </c>
      <c r="I1686" s="176" t="s">
        <v>3007</v>
      </c>
      <c r="J1686" s="352" t="s">
        <v>1115</v>
      </c>
      <c r="K1686" s="351"/>
      <c r="L1686" s="351"/>
      <c r="M1686" s="352">
        <v>100</v>
      </c>
      <c r="N1686" s="352" t="s">
        <v>1109</v>
      </c>
      <c r="O1686" s="351">
        <v>0</v>
      </c>
      <c r="P1686" s="349" t="s">
        <v>1837</v>
      </c>
      <c r="R1686" s="349">
        <f t="shared" si="26"/>
        <v>21</v>
      </c>
      <c r="S1686" s="352"/>
      <c r="T1686" s="352"/>
      <c r="U1686" s="352"/>
      <c r="V1686" s="353"/>
      <c r="W1686" s="352"/>
      <c r="X1686" s="176"/>
      <c r="Y1686" s="176"/>
      <c r="Z1686" s="352"/>
      <c r="AA1686" s="352"/>
      <c r="AB1686" s="352"/>
      <c r="AC1686" s="352"/>
      <c r="AD1686" s="352"/>
    </row>
    <row r="1687" spans="1:30" hidden="1" x14ac:dyDescent="0.35">
      <c r="A1687" s="349">
        <v>1686</v>
      </c>
      <c r="B1687" s="352" t="s">
        <v>1585</v>
      </c>
      <c r="C1687" s="351" t="s">
        <v>2714</v>
      </c>
      <c r="D1687" s="352" t="s">
        <v>5034</v>
      </c>
      <c r="E1687" s="352" t="s">
        <v>747</v>
      </c>
      <c r="F1687" s="353">
        <v>77.173900000000003</v>
      </c>
      <c r="G1687" s="352" t="s">
        <v>1107</v>
      </c>
      <c r="H1687" s="176" t="s">
        <v>650</v>
      </c>
      <c r="I1687" s="176" t="s">
        <v>3007</v>
      </c>
      <c r="J1687" s="352" t="s">
        <v>1115</v>
      </c>
      <c r="K1687" s="351"/>
      <c r="L1687" s="351"/>
      <c r="M1687" s="352">
        <v>250</v>
      </c>
      <c r="N1687" s="352" t="s">
        <v>1109</v>
      </c>
      <c r="O1687" s="351">
        <v>0</v>
      </c>
      <c r="P1687" s="349" t="s">
        <v>1837</v>
      </c>
      <c r="R1687" s="349">
        <f t="shared" si="26"/>
        <v>21</v>
      </c>
      <c r="S1687" s="352"/>
      <c r="T1687" s="352"/>
      <c r="U1687" s="352"/>
      <c r="V1687" s="353"/>
      <c r="W1687" s="352"/>
      <c r="X1687" s="176"/>
      <c r="Y1687" s="176"/>
      <c r="Z1687" s="352"/>
      <c r="AA1687" s="352"/>
      <c r="AB1687" s="352"/>
      <c r="AC1687" s="351"/>
      <c r="AD1687" s="351"/>
    </row>
    <row r="1688" spans="1:30" ht="38.450000000000003" hidden="1" x14ac:dyDescent="0.35">
      <c r="A1688" s="349">
        <v>1687</v>
      </c>
      <c r="B1688" s="352" t="s">
        <v>314</v>
      </c>
      <c r="C1688" s="351" t="s">
        <v>3008</v>
      </c>
      <c r="D1688" s="352" t="s">
        <v>3008</v>
      </c>
      <c r="E1688" s="352" t="s">
        <v>406</v>
      </c>
      <c r="F1688" s="353">
        <v>28.41</v>
      </c>
      <c r="G1688" s="352" t="s">
        <v>2384</v>
      </c>
      <c r="H1688" s="176" t="s">
        <v>3560</v>
      </c>
      <c r="I1688" s="176" t="s">
        <v>3561</v>
      </c>
      <c r="J1688" s="352" t="s">
        <v>1115</v>
      </c>
      <c r="K1688" s="351"/>
      <c r="L1688" s="351"/>
      <c r="M1688" s="352">
        <v>0.5</v>
      </c>
      <c r="N1688" s="352" t="s">
        <v>1109</v>
      </c>
      <c r="O1688" s="351">
        <v>0</v>
      </c>
      <c r="P1688" s="349" t="s">
        <v>1837</v>
      </c>
      <c r="R1688" s="349">
        <f t="shared" si="26"/>
        <v>18</v>
      </c>
      <c r="S1688" s="352"/>
      <c r="T1688" s="352"/>
      <c r="U1688" s="352"/>
      <c r="V1688" s="353"/>
      <c r="W1688" s="352"/>
      <c r="X1688" s="176"/>
      <c r="Y1688" s="176"/>
      <c r="Z1688" s="352"/>
      <c r="AA1688" s="352"/>
      <c r="AB1688" s="352"/>
      <c r="AC1688" s="351"/>
      <c r="AD1688" s="351"/>
    </row>
    <row r="1689" spans="1:30" ht="38.450000000000003" hidden="1" x14ac:dyDescent="0.35">
      <c r="A1689" s="349">
        <v>1688</v>
      </c>
      <c r="B1689" s="352" t="s">
        <v>314</v>
      </c>
      <c r="C1689" s="351" t="s">
        <v>3008</v>
      </c>
      <c r="D1689" s="352" t="s">
        <v>3008</v>
      </c>
      <c r="E1689" s="352" t="s">
        <v>406</v>
      </c>
      <c r="F1689" s="353">
        <v>28.405799999999999</v>
      </c>
      <c r="G1689" s="352" t="s">
        <v>2384</v>
      </c>
      <c r="H1689" s="176" t="s">
        <v>3560</v>
      </c>
      <c r="I1689" s="176" t="s">
        <v>3561</v>
      </c>
      <c r="J1689" s="352" t="s">
        <v>1115</v>
      </c>
      <c r="K1689" s="352"/>
      <c r="L1689" s="352"/>
      <c r="M1689" s="352">
        <v>0.5</v>
      </c>
      <c r="N1689" s="352" t="s">
        <v>1109</v>
      </c>
      <c r="O1689" s="351">
        <v>0</v>
      </c>
      <c r="P1689" s="349" t="s">
        <v>1837</v>
      </c>
      <c r="R1689" s="349">
        <f t="shared" si="26"/>
        <v>18</v>
      </c>
      <c r="S1689" s="352"/>
      <c r="T1689" s="352"/>
      <c r="U1689" s="352"/>
      <c r="V1689" s="353"/>
      <c r="W1689" s="352"/>
      <c r="X1689" s="176"/>
      <c r="Y1689" s="176"/>
      <c r="Z1689" s="352"/>
      <c r="AA1689" s="352"/>
      <c r="AB1689" s="352"/>
      <c r="AC1689" s="351"/>
      <c r="AD1689" s="351"/>
    </row>
    <row r="1690" spans="1:30" hidden="1" x14ac:dyDescent="0.35">
      <c r="A1690" s="349">
        <v>1689</v>
      </c>
      <c r="B1690" s="352" t="s">
        <v>314</v>
      </c>
      <c r="C1690" s="351" t="s">
        <v>3008</v>
      </c>
      <c r="D1690" s="352" t="s">
        <v>3008</v>
      </c>
      <c r="E1690" s="352" t="s">
        <v>406</v>
      </c>
      <c r="F1690" s="353">
        <v>147.34</v>
      </c>
      <c r="G1690" s="352" t="s">
        <v>2384</v>
      </c>
      <c r="H1690" s="176" t="s">
        <v>2691</v>
      </c>
      <c r="I1690" s="176" t="s">
        <v>2692</v>
      </c>
      <c r="J1690" s="352" t="s">
        <v>1115</v>
      </c>
      <c r="K1690" s="351"/>
      <c r="L1690" s="351"/>
      <c r="M1690" s="352">
        <v>0.5</v>
      </c>
      <c r="N1690" s="352" t="s">
        <v>1109</v>
      </c>
      <c r="O1690" s="351">
        <v>0</v>
      </c>
      <c r="P1690" s="349" t="s">
        <v>1837</v>
      </c>
      <c r="R1690" s="349">
        <f t="shared" si="26"/>
        <v>18</v>
      </c>
      <c r="S1690" s="352"/>
      <c r="T1690" s="352"/>
      <c r="U1690" s="352"/>
      <c r="V1690" s="353"/>
      <c r="W1690" s="352"/>
      <c r="X1690" s="176"/>
      <c r="Y1690" s="176"/>
      <c r="Z1690" s="352"/>
      <c r="AA1690" s="352"/>
      <c r="AB1690" s="352"/>
      <c r="AC1690" s="351"/>
      <c r="AD1690" s="351"/>
    </row>
    <row r="1691" spans="1:30" ht="38.450000000000003" hidden="1" x14ac:dyDescent="0.35">
      <c r="A1691" s="349">
        <v>1690</v>
      </c>
      <c r="B1691" s="352" t="s">
        <v>314</v>
      </c>
      <c r="C1691" s="351" t="s">
        <v>4803</v>
      </c>
      <c r="D1691" s="352" t="s">
        <v>3008</v>
      </c>
      <c r="E1691" s="352" t="s">
        <v>406</v>
      </c>
      <c r="F1691" s="353">
        <v>28.41</v>
      </c>
      <c r="G1691" s="352" t="s">
        <v>2384</v>
      </c>
      <c r="H1691" s="176" t="s">
        <v>3560</v>
      </c>
      <c r="I1691" s="176" t="s">
        <v>3561</v>
      </c>
      <c r="J1691" s="352" t="s">
        <v>1115</v>
      </c>
      <c r="K1691" s="351"/>
      <c r="L1691" s="351"/>
      <c r="M1691" s="352">
        <v>0.5</v>
      </c>
      <c r="N1691" s="352" t="s">
        <v>1109</v>
      </c>
      <c r="O1691" s="351">
        <v>0</v>
      </c>
      <c r="P1691" s="349" t="s">
        <v>1837</v>
      </c>
      <c r="R1691" s="349">
        <f t="shared" si="26"/>
        <v>18</v>
      </c>
      <c r="S1691" s="352"/>
      <c r="T1691" s="352"/>
      <c r="U1691" s="352"/>
      <c r="V1691" s="353"/>
      <c r="W1691" s="352"/>
      <c r="X1691" s="176"/>
      <c r="Y1691" s="176"/>
      <c r="Z1691" s="352"/>
      <c r="AA1691" s="352"/>
      <c r="AB1691" s="352"/>
      <c r="AC1691" s="351"/>
      <c r="AD1691" s="351"/>
    </row>
    <row r="1692" spans="1:30" ht="38.450000000000003" hidden="1" x14ac:dyDescent="0.35">
      <c r="A1692" s="349">
        <v>1691</v>
      </c>
      <c r="B1692" s="352" t="s">
        <v>314</v>
      </c>
      <c r="C1692" s="351" t="s">
        <v>4804</v>
      </c>
      <c r="D1692" s="352" t="s">
        <v>3008</v>
      </c>
      <c r="E1692" s="352" t="s">
        <v>406</v>
      </c>
      <c r="F1692" s="353">
        <v>28.405799999999999</v>
      </c>
      <c r="G1692" s="352" t="s">
        <v>2384</v>
      </c>
      <c r="H1692" s="176" t="s">
        <v>3560</v>
      </c>
      <c r="I1692" s="176" t="s">
        <v>3561</v>
      </c>
      <c r="J1692" s="352" t="s">
        <v>1115</v>
      </c>
      <c r="K1692" s="351"/>
      <c r="L1692" s="351"/>
      <c r="M1692" s="351">
        <v>0.5</v>
      </c>
      <c r="N1692" s="351" t="s">
        <v>1109</v>
      </c>
      <c r="O1692" s="351">
        <v>0</v>
      </c>
      <c r="P1692" s="349" t="s">
        <v>1837</v>
      </c>
      <c r="R1692" s="349">
        <f t="shared" si="26"/>
        <v>18</v>
      </c>
      <c r="S1692" s="352"/>
      <c r="T1692" s="352"/>
      <c r="U1692" s="352"/>
      <c r="V1692" s="353"/>
      <c r="W1692" s="352"/>
      <c r="X1692" s="176"/>
      <c r="Y1692" s="176"/>
      <c r="Z1692" s="352"/>
      <c r="AA1692" s="352"/>
      <c r="AB1692" s="352"/>
      <c r="AC1692" s="351"/>
      <c r="AD1692" s="351"/>
    </row>
    <row r="1693" spans="1:30" ht="25.65" hidden="1" x14ac:dyDescent="0.35">
      <c r="A1693" s="349">
        <v>1692</v>
      </c>
      <c r="B1693" s="352" t="s">
        <v>1512</v>
      </c>
      <c r="C1693" s="351" t="s">
        <v>2664</v>
      </c>
      <c r="D1693" s="352" t="s">
        <v>2664</v>
      </c>
      <c r="E1693" s="352" t="s">
        <v>780</v>
      </c>
      <c r="F1693" s="353">
        <v>99.17</v>
      </c>
      <c r="G1693" s="352" t="s">
        <v>1107</v>
      </c>
      <c r="H1693" s="176" t="s">
        <v>2665</v>
      </c>
      <c r="I1693" s="176" t="s">
        <v>2551</v>
      </c>
      <c r="J1693" s="352" t="s">
        <v>828</v>
      </c>
      <c r="K1693" s="351">
        <v>250</v>
      </c>
      <c r="L1693" s="351" t="s">
        <v>1116</v>
      </c>
      <c r="M1693" s="351">
        <v>20</v>
      </c>
      <c r="N1693" s="351" t="s">
        <v>1109</v>
      </c>
      <c r="O1693" s="351">
        <v>250</v>
      </c>
      <c r="P1693" s="349" t="s">
        <v>1836</v>
      </c>
      <c r="R1693" s="349">
        <f t="shared" si="26"/>
        <v>13</v>
      </c>
      <c r="S1693" s="352"/>
      <c r="T1693" s="352"/>
      <c r="U1693" s="352"/>
      <c r="V1693" s="353"/>
      <c r="W1693" s="352"/>
      <c r="X1693" s="176"/>
      <c r="Y1693" s="176"/>
      <c r="Z1693" s="352"/>
      <c r="AA1693" s="352"/>
      <c r="AB1693" s="352"/>
      <c r="AC1693" s="351"/>
      <c r="AD1693" s="351"/>
    </row>
    <row r="1694" spans="1:30" ht="64.099999999999994" hidden="1" x14ac:dyDescent="0.35">
      <c r="A1694" s="349">
        <v>1693</v>
      </c>
      <c r="B1694" s="352" t="s">
        <v>694</v>
      </c>
      <c r="C1694" s="351" t="s">
        <v>249</v>
      </c>
      <c r="D1694" s="352" t="s">
        <v>1397</v>
      </c>
      <c r="E1694" s="352" t="s">
        <v>3209</v>
      </c>
      <c r="F1694" s="353">
        <v>10.026899999999999</v>
      </c>
      <c r="G1694" s="352" t="s">
        <v>34</v>
      </c>
      <c r="H1694" s="176" t="s">
        <v>250</v>
      </c>
      <c r="I1694" s="176" t="s">
        <v>251</v>
      </c>
      <c r="J1694" s="352" t="s">
        <v>4025</v>
      </c>
      <c r="K1694" s="352"/>
      <c r="L1694" s="352"/>
      <c r="M1694" s="351">
        <v>5</v>
      </c>
      <c r="N1694" s="351" t="s">
        <v>1109</v>
      </c>
      <c r="O1694" s="351">
        <v>0</v>
      </c>
      <c r="P1694" s="349" t="s">
        <v>1837</v>
      </c>
      <c r="R1694" s="349">
        <f t="shared" si="26"/>
        <v>25</v>
      </c>
      <c r="S1694" s="352"/>
      <c r="T1694" s="352"/>
      <c r="U1694" s="352"/>
      <c r="V1694" s="353"/>
      <c r="W1694" s="352"/>
      <c r="X1694" s="176"/>
      <c r="Y1694" s="176"/>
      <c r="Z1694" s="352"/>
      <c r="AA1694" s="352"/>
      <c r="AB1694" s="352"/>
      <c r="AC1694" s="351"/>
      <c r="AD1694" s="351"/>
    </row>
    <row r="1695" spans="1:30" ht="38.450000000000003" hidden="1" x14ac:dyDescent="0.35">
      <c r="A1695" s="349">
        <v>1694</v>
      </c>
      <c r="B1695" s="352" t="s">
        <v>32</v>
      </c>
      <c r="C1695" s="351" t="s">
        <v>249</v>
      </c>
      <c r="D1695" s="352" t="s">
        <v>1397</v>
      </c>
      <c r="E1695" s="352" t="s">
        <v>3209</v>
      </c>
      <c r="F1695" s="353">
        <v>10.026899999999999</v>
      </c>
      <c r="G1695" s="352" t="s">
        <v>34</v>
      </c>
      <c r="H1695" s="176" t="s">
        <v>3812</v>
      </c>
      <c r="I1695" s="176" t="s">
        <v>608</v>
      </c>
      <c r="J1695" s="352" t="s">
        <v>4025</v>
      </c>
      <c r="K1695" s="351"/>
      <c r="L1695" s="351"/>
      <c r="M1695" s="351">
        <v>5</v>
      </c>
      <c r="N1695" s="351" t="s">
        <v>1109</v>
      </c>
      <c r="O1695" s="351">
        <v>0</v>
      </c>
      <c r="P1695" s="349" t="s">
        <v>1837</v>
      </c>
      <c r="R1695" s="349">
        <f t="shared" si="26"/>
        <v>25</v>
      </c>
      <c r="S1695" s="352"/>
      <c r="T1695" s="352"/>
      <c r="U1695" s="352"/>
      <c r="V1695" s="353"/>
      <c r="W1695" s="352"/>
      <c r="X1695" s="176"/>
      <c r="Y1695" s="176"/>
      <c r="Z1695" s="352"/>
      <c r="AA1695" s="352"/>
      <c r="AB1695" s="352"/>
      <c r="AC1695" s="351"/>
      <c r="AD1695" s="351"/>
    </row>
    <row r="1696" spans="1:30" ht="76.900000000000006" hidden="1" x14ac:dyDescent="0.35">
      <c r="A1696" s="349">
        <v>1695</v>
      </c>
      <c r="B1696" s="352" t="s">
        <v>2192</v>
      </c>
      <c r="C1696" s="351" t="s">
        <v>1992</v>
      </c>
      <c r="D1696" s="352" t="s">
        <v>1992</v>
      </c>
      <c r="E1696" s="352" t="s">
        <v>1998</v>
      </c>
      <c r="F1696" s="353">
        <v>0.17630000000000001</v>
      </c>
      <c r="G1696" s="352" t="s">
        <v>2126</v>
      </c>
      <c r="H1696" s="176" t="s">
        <v>447</v>
      </c>
      <c r="I1696" s="176" t="s">
        <v>2048</v>
      </c>
      <c r="J1696" s="352" t="s">
        <v>22</v>
      </c>
      <c r="K1696" s="351">
        <v>500</v>
      </c>
      <c r="L1696" s="351" t="s">
        <v>23</v>
      </c>
      <c r="M1696" s="352"/>
      <c r="N1696" s="352"/>
      <c r="O1696" s="351">
        <v>500</v>
      </c>
      <c r="P1696" s="349" t="s">
        <v>1836</v>
      </c>
      <c r="R1696" s="349">
        <f t="shared" si="26"/>
        <v>22</v>
      </c>
      <c r="S1696" s="352"/>
      <c r="T1696" s="352"/>
      <c r="U1696" s="352"/>
      <c r="V1696" s="353"/>
      <c r="W1696" s="352"/>
      <c r="X1696" s="176"/>
      <c r="Y1696" s="176"/>
      <c r="Z1696" s="352"/>
      <c r="AA1696" s="352"/>
      <c r="AB1696" s="352"/>
      <c r="AC1696" s="351"/>
      <c r="AD1696" s="351"/>
    </row>
    <row r="1697" spans="1:30" ht="89.75" hidden="1" x14ac:dyDescent="0.35">
      <c r="A1697" s="349">
        <v>1696</v>
      </c>
      <c r="B1697" s="352" t="s">
        <v>2192</v>
      </c>
      <c r="C1697" s="351" t="s">
        <v>1992</v>
      </c>
      <c r="D1697" s="352" t="s">
        <v>1992</v>
      </c>
      <c r="E1697" s="352" t="s">
        <v>2004</v>
      </c>
      <c r="F1697" s="353">
        <v>1</v>
      </c>
      <c r="G1697" s="352" t="s">
        <v>2126</v>
      </c>
      <c r="H1697" s="176" t="s">
        <v>2050</v>
      </c>
      <c r="I1697" s="176" t="s">
        <v>3327</v>
      </c>
      <c r="J1697" s="352" t="s">
        <v>3577</v>
      </c>
      <c r="K1697" s="351"/>
      <c r="L1697" s="351"/>
      <c r="M1697" s="352"/>
      <c r="N1697" s="352"/>
      <c r="O1697" s="351">
        <v>0</v>
      </c>
      <c r="P1697" s="349" t="s">
        <v>2313</v>
      </c>
      <c r="R1697" s="349">
        <f t="shared" si="26"/>
        <v>22</v>
      </c>
      <c r="S1697" s="352"/>
      <c r="T1697" s="352"/>
      <c r="U1697" s="352"/>
      <c r="V1697" s="353"/>
      <c r="W1697" s="352"/>
      <c r="X1697" s="176"/>
      <c r="Y1697" s="176"/>
      <c r="Z1697" s="352"/>
      <c r="AA1697" s="352"/>
      <c r="AB1697" s="352"/>
      <c r="AC1697" s="351"/>
      <c r="AD1697" s="351"/>
    </row>
    <row r="1698" spans="1:30" ht="76.900000000000006" hidden="1" x14ac:dyDescent="0.35">
      <c r="A1698" s="349">
        <v>1697</v>
      </c>
      <c r="B1698" s="352" t="s">
        <v>2192</v>
      </c>
      <c r="C1698" s="351" t="s">
        <v>1992</v>
      </c>
      <c r="D1698" s="352" t="s">
        <v>1992</v>
      </c>
      <c r="E1698" s="352" t="s">
        <v>2023</v>
      </c>
      <c r="F1698" s="353">
        <v>0.22</v>
      </c>
      <c r="G1698" s="352" t="s">
        <v>967</v>
      </c>
      <c r="H1698" s="176" t="s">
        <v>2049</v>
      </c>
      <c r="I1698" s="176" t="s">
        <v>2048</v>
      </c>
      <c r="J1698" s="352" t="s">
        <v>2023</v>
      </c>
      <c r="K1698" s="352"/>
      <c r="L1698" s="352"/>
      <c r="M1698" s="352"/>
      <c r="N1698" s="352"/>
      <c r="O1698" s="351">
        <v>0</v>
      </c>
      <c r="P1698" s="349" t="s">
        <v>2313</v>
      </c>
      <c r="R1698" s="349">
        <f t="shared" si="26"/>
        <v>22</v>
      </c>
      <c r="S1698" s="352"/>
      <c r="T1698" s="352"/>
      <c r="U1698" s="352"/>
      <c r="V1698" s="353"/>
      <c r="W1698" s="352"/>
      <c r="X1698" s="176"/>
      <c r="Y1698" s="176"/>
      <c r="Z1698" s="352"/>
      <c r="AA1698" s="352"/>
      <c r="AB1698" s="352"/>
      <c r="AC1698" s="351"/>
      <c r="AD1698" s="351"/>
    </row>
    <row r="1699" spans="1:30" ht="89.75" hidden="1" x14ac:dyDescent="0.35">
      <c r="A1699" s="349">
        <v>1698</v>
      </c>
      <c r="B1699" s="352" t="s">
        <v>2192</v>
      </c>
      <c r="C1699" s="351" t="s">
        <v>1992</v>
      </c>
      <c r="D1699" s="352" t="s">
        <v>1992</v>
      </c>
      <c r="E1699" s="352" t="s">
        <v>2023</v>
      </c>
      <c r="F1699" s="353">
        <v>0.22</v>
      </c>
      <c r="G1699" s="352" t="s">
        <v>967</v>
      </c>
      <c r="H1699" s="37" t="s">
        <v>2326</v>
      </c>
      <c r="I1699" s="176" t="s">
        <v>3327</v>
      </c>
      <c r="J1699" s="352" t="s">
        <v>2023</v>
      </c>
      <c r="K1699" s="352"/>
      <c r="L1699" s="352"/>
      <c r="M1699" s="352"/>
      <c r="N1699" s="352"/>
      <c r="O1699" s="351">
        <v>0</v>
      </c>
      <c r="P1699" s="349" t="s">
        <v>2313</v>
      </c>
      <c r="R1699" s="349">
        <f t="shared" si="26"/>
        <v>22</v>
      </c>
      <c r="S1699" s="352"/>
      <c r="T1699" s="352"/>
      <c r="U1699" s="352"/>
      <c r="V1699" s="353"/>
      <c r="W1699" s="352"/>
      <c r="X1699" s="176"/>
      <c r="Y1699" s="176"/>
      <c r="Z1699" s="352"/>
      <c r="AA1699" s="352"/>
      <c r="AB1699" s="352"/>
      <c r="AC1699" s="352"/>
      <c r="AD1699" s="352"/>
    </row>
    <row r="1700" spans="1:30" ht="64.099999999999994" hidden="1" x14ac:dyDescent="0.35">
      <c r="A1700" s="349">
        <v>1699</v>
      </c>
      <c r="B1700" s="352" t="s">
        <v>694</v>
      </c>
      <c r="C1700" s="351" t="s">
        <v>4805</v>
      </c>
      <c r="D1700" s="352" t="s">
        <v>1397</v>
      </c>
      <c r="E1700" s="352" t="s">
        <v>3209</v>
      </c>
      <c r="F1700" s="353">
        <v>10.026899999999999</v>
      </c>
      <c r="G1700" s="352" t="s">
        <v>34</v>
      </c>
      <c r="H1700" s="176" t="s">
        <v>250</v>
      </c>
      <c r="I1700" s="176" t="s">
        <v>251</v>
      </c>
      <c r="J1700" s="352" t="s">
        <v>4025</v>
      </c>
      <c r="K1700" s="352"/>
      <c r="L1700" s="352"/>
      <c r="M1700" s="352">
        <v>5</v>
      </c>
      <c r="N1700" s="352" t="s">
        <v>1109</v>
      </c>
      <c r="O1700" s="351">
        <v>0</v>
      </c>
      <c r="P1700" s="349" t="s">
        <v>1837</v>
      </c>
      <c r="R1700" s="349">
        <f t="shared" si="26"/>
        <v>25</v>
      </c>
      <c r="S1700" s="352"/>
      <c r="T1700" s="352"/>
      <c r="U1700" s="352"/>
      <c r="V1700" s="353"/>
      <c r="W1700" s="352"/>
      <c r="X1700" s="176"/>
      <c r="Y1700" s="176"/>
      <c r="Z1700" s="352"/>
      <c r="AA1700" s="352"/>
      <c r="AB1700" s="352"/>
      <c r="AC1700" s="351"/>
      <c r="AD1700" s="351"/>
    </row>
    <row r="1701" spans="1:30" ht="38.450000000000003" hidden="1" x14ac:dyDescent="0.35">
      <c r="A1701" s="349">
        <v>1700</v>
      </c>
      <c r="B1701" s="352" t="s">
        <v>32</v>
      </c>
      <c r="C1701" s="351" t="s">
        <v>4805</v>
      </c>
      <c r="D1701" s="352" t="s">
        <v>1397</v>
      </c>
      <c r="E1701" s="352" t="s">
        <v>3209</v>
      </c>
      <c r="F1701" s="353">
        <v>10.026899999999999</v>
      </c>
      <c r="G1701" s="352" t="s">
        <v>34</v>
      </c>
      <c r="H1701" s="176" t="s">
        <v>3812</v>
      </c>
      <c r="I1701" s="176" t="s">
        <v>608</v>
      </c>
      <c r="J1701" s="352" t="s">
        <v>4025</v>
      </c>
      <c r="K1701" s="352"/>
      <c r="L1701" s="352"/>
      <c r="M1701" s="352">
        <v>5</v>
      </c>
      <c r="N1701" s="352" t="s">
        <v>1109</v>
      </c>
      <c r="O1701" s="351">
        <v>0</v>
      </c>
      <c r="P1701" s="349" t="s">
        <v>1837</v>
      </c>
      <c r="R1701" s="349">
        <f t="shared" si="26"/>
        <v>25</v>
      </c>
      <c r="S1701" s="352"/>
      <c r="T1701" s="352"/>
      <c r="U1701" s="352"/>
      <c r="V1701" s="353"/>
      <c r="W1701" s="352"/>
      <c r="X1701" s="176"/>
      <c r="Y1701" s="176"/>
      <c r="Z1701" s="352"/>
      <c r="AA1701" s="352"/>
      <c r="AB1701" s="352"/>
      <c r="AC1701" s="351"/>
      <c r="AD1701" s="351"/>
    </row>
    <row r="1702" spans="1:30" hidden="1" x14ac:dyDescent="0.35">
      <c r="A1702" s="349">
        <v>1701</v>
      </c>
      <c r="B1702" s="352" t="s">
        <v>1790</v>
      </c>
      <c r="C1702" s="351" t="s">
        <v>4067</v>
      </c>
      <c r="D1702" s="352" t="s">
        <v>4067</v>
      </c>
      <c r="E1702" s="352" t="s">
        <v>407</v>
      </c>
      <c r="F1702" s="353">
        <v>0.57299999999999995</v>
      </c>
      <c r="G1702" s="352" t="s">
        <v>34</v>
      </c>
      <c r="H1702" s="176" t="s">
        <v>4068</v>
      </c>
      <c r="I1702" s="176" t="s">
        <v>4069</v>
      </c>
      <c r="J1702" s="352" t="s">
        <v>3105</v>
      </c>
      <c r="K1702" s="352">
        <v>20</v>
      </c>
      <c r="L1702" s="352" t="s">
        <v>1116</v>
      </c>
      <c r="M1702" s="352">
        <v>0.4</v>
      </c>
      <c r="N1702" s="352" t="s">
        <v>1109</v>
      </c>
      <c r="O1702" s="351">
        <v>20</v>
      </c>
      <c r="P1702" s="349" t="s">
        <v>1836</v>
      </c>
      <c r="R1702" s="349">
        <f t="shared" si="26"/>
        <v>9</v>
      </c>
      <c r="S1702" s="352"/>
      <c r="T1702" s="352"/>
      <c r="U1702" s="352"/>
      <c r="V1702" s="353"/>
      <c r="W1702" s="352"/>
      <c r="X1702" s="176"/>
      <c r="Y1702" s="176"/>
      <c r="Z1702" s="352"/>
      <c r="AA1702" s="352"/>
      <c r="AB1702" s="352"/>
      <c r="AC1702" s="352"/>
      <c r="AD1702" s="352"/>
    </row>
    <row r="1703" spans="1:30" ht="38.450000000000003" hidden="1" x14ac:dyDescent="0.35">
      <c r="A1703" s="349">
        <v>1702</v>
      </c>
      <c r="B1703" s="352" t="s">
        <v>466</v>
      </c>
      <c r="C1703" s="351" t="s">
        <v>1712</v>
      </c>
      <c r="D1703" s="352" t="s">
        <v>1712</v>
      </c>
      <c r="E1703" s="352" t="s">
        <v>408</v>
      </c>
      <c r="F1703" s="353">
        <v>4.8261000000000003</v>
      </c>
      <c r="G1703" s="352" t="s">
        <v>151</v>
      </c>
      <c r="H1703" s="37" t="s">
        <v>937</v>
      </c>
      <c r="I1703" s="37" t="s">
        <v>360</v>
      </c>
      <c r="J1703" s="352" t="s">
        <v>152</v>
      </c>
      <c r="K1703" s="352">
        <v>1</v>
      </c>
      <c r="L1703" s="352" t="s">
        <v>470</v>
      </c>
      <c r="M1703" s="352">
        <v>110</v>
      </c>
      <c r="N1703" s="352" t="s">
        <v>1109</v>
      </c>
      <c r="O1703" s="351">
        <v>1</v>
      </c>
      <c r="P1703" s="349" t="s">
        <v>1838</v>
      </c>
      <c r="R1703" s="349">
        <f t="shared" si="26"/>
        <v>12</v>
      </c>
      <c r="S1703" s="352"/>
      <c r="T1703" s="352"/>
      <c r="U1703" s="352"/>
      <c r="V1703" s="353"/>
      <c r="W1703" s="352"/>
      <c r="X1703" s="176"/>
      <c r="Y1703" s="176"/>
      <c r="Z1703" s="352"/>
      <c r="AA1703" s="352"/>
      <c r="AB1703" s="352"/>
      <c r="AC1703" s="352"/>
      <c r="AD1703" s="352"/>
    </row>
    <row r="1704" spans="1:30" ht="38.450000000000003" hidden="1" x14ac:dyDescent="0.35">
      <c r="A1704" s="349">
        <v>1703</v>
      </c>
      <c r="B1704" s="352" t="s">
        <v>1322</v>
      </c>
      <c r="C1704" s="351" t="s">
        <v>1712</v>
      </c>
      <c r="D1704" s="352" t="s">
        <v>1712</v>
      </c>
      <c r="E1704" s="352" t="s">
        <v>2385</v>
      </c>
      <c r="F1704" s="353">
        <v>2.86</v>
      </c>
      <c r="G1704" s="352" t="s">
        <v>34</v>
      </c>
      <c r="H1704" s="37" t="s">
        <v>1092</v>
      </c>
      <c r="I1704" s="37" t="s">
        <v>3255</v>
      </c>
      <c r="J1704" s="352" t="s">
        <v>469</v>
      </c>
      <c r="K1704" s="352">
        <v>100</v>
      </c>
      <c r="L1704" s="352" t="s">
        <v>1116</v>
      </c>
      <c r="M1704" s="352">
        <v>30</v>
      </c>
      <c r="N1704" s="352" t="s">
        <v>1109</v>
      </c>
      <c r="O1704" s="351">
        <v>100</v>
      </c>
      <c r="P1704" s="349" t="s">
        <v>1836</v>
      </c>
      <c r="R1704" s="349">
        <f t="shared" si="26"/>
        <v>12</v>
      </c>
      <c r="S1704" s="352"/>
      <c r="T1704" s="352"/>
      <c r="U1704" s="352"/>
      <c r="V1704" s="353"/>
      <c r="W1704" s="352"/>
      <c r="X1704" s="176"/>
      <c r="Y1704" s="176"/>
      <c r="Z1704" s="352"/>
      <c r="AA1704" s="352"/>
      <c r="AB1704" s="352"/>
      <c r="AC1704" s="352"/>
      <c r="AD1704" s="352"/>
    </row>
    <row r="1705" spans="1:30" ht="38.450000000000003" hidden="1" x14ac:dyDescent="0.35">
      <c r="A1705" s="349">
        <v>1704</v>
      </c>
      <c r="B1705" s="352" t="s">
        <v>1322</v>
      </c>
      <c r="C1705" s="351" t="s">
        <v>1712</v>
      </c>
      <c r="D1705" s="352" t="s">
        <v>1712</v>
      </c>
      <c r="E1705" s="352" t="s">
        <v>2385</v>
      </c>
      <c r="F1705" s="353">
        <v>2.86</v>
      </c>
      <c r="G1705" s="352" t="s">
        <v>34</v>
      </c>
      <c r="H1705" s="37"/>
      <c r="I1705" s="37" t="s">
        <v>3255</v>
      </c>
      <c r="J1705" s="352" t="s">
        <v>469</v>
      </c>
      <c r="K1705" s="352">
        <v>100</v>
      </c>
      <c r="L1705" s="352" t="s">
        <v>1116</v>
      </c>
      <c r="M1705" s="352">
        <v>30</v>
      </c>
      <c r="N1705" s="352" t="s">
        <v>1109</v>
      </c>
      <c r="O1705" s="351">
        <v>100</v>
      </c>
      <c r="P1705" s="349" t="s">
        <v>1836</v>
      </c>
      <c r="R1705" s="349">
        <f t="shared" si="26"/>
        <v>12</v>
      </c>
      <c r="S1705" s="352"/>
      <c r="T1705" s="352"/>
      <c r="U1705" s="352"/>
      <c r="V1705" s="353"/>
      <c r="W1705" s="352"/>
      <c r="X1705" s="176"/>
      <c r="Y1705" s="176"/>
      <c r="Z1705" s="352"/>
      <c r="AA1705" s="352"/>
      <c r="AB1705" s="352"/>
      <c r="AC1705" s="352"/>
      <c r="AD1705" s="352"/>
    </row>
    <row r="1706" spans="1:30" ht="38.450000000000003" hidden="1" x14ac:dyDescent="0.35">
      <c r="A1706" s="349">
        <v>1705</v>
      </c>
      <c r="B1706" s="352" t="s">
        <v>1322</v>
      </c>
      <c r="C1706" s="351" t="s">
        <v>1712</v>
      </c>
      <c r="D1706" s="352" t="s">
        <v>1712</v>
      </c>
      <c r="E1706" s="352" t="s">
        <v>2386</v>
      </c>
      <c r="F1706" s="353">
        <v>9.0399999999999991</v>
      </c>
      <c r="G1706" s="352" t="s">
        <v>34</v>
      </c>
      <c r="H1706" s="37" t="s">
        <v>1092</v>
      </c>
      <c r="I1706" s="37" t="s">
        <v>3255</v>
      </c>
      <c r="J1706" s="352" t="s">
        <v>469</v>
      </c>
      <c r="K1706" s="351">
        <v>100</v>
      </c>
      <c r="L1706" s="351" t="s">
        <v>1116</v>
      </c>
      <c r="M1706" s="351">
        <v>500</v>
      </c>
      <c r="N1706" s="351" t="s">
        <v>1109</v>
      </c>
      <c r="O1706" s="351">
        <v>100</v>
      </c>
      <c r="P1706" s="349" t="s">
        <v>1836</v>
      </c>
      <c r="R1706" s="349">
        <f t="shared" si="26"/>
        <v>12</v>
      </c>
      <c r="S1706" s="352"/>
      <c r="T1706" s="352"/>
      <c r="U1706" s="352"/>
      <c r="V1706" s="353"/>
      <c r="W1706" s="352"/>
      <c r="X1706" s="176"/>
      <c r="Y1706" s="176"/>
      <c r="Z1706" s="352"/>
      <c r="AA1706" s="352"/>
      <c r="AB1706" s="352"/>
      <c r="AC1706" s="351"/>
      <c r="AD1706" s="351"/>
    </row>
    <row r="1707" spans="1:30" ht="38.450000000000003" hidden="1" x14ac:dyDescent="0.35">
      <c r="A1707" s="349">
        <v>1706</v>
      </c>
      <c r="B1707" s="352" t="s">
        <v>1322</v>
      </c>
      <c r="C1707" s="351" t="s">
        <v>1712</v>
      </c>
      <c r="D1707" s="352" t="s">
        <v>1712</v>
      </c>
      <c r="E1707" s="352" t="s">
        <v>2386</v>
      </c>
      <c r="F1707" s="353">
        <v>9.0399999999999991</v>
      </c>
      <c r="G1707" s="352" t="s">
        <v>34</v>
      </c>
      <c r="H1707" s="176"/>
      <c r="I1707" s="176" t="s">
        <v>3255</v>
      </c>
      <c r="J1707" s="352" t="s">
        <v>469</v>
      </c>
      <c r="K1707" s="352">
        <v>100</v>
      </c>
      <c r="L1707" s="352" t="s">
        <v>1116</v>
      </c>
      <c r="M1707" s="352">
        <v>500</v>
      </c>
      <c r="N1707" s="352" t="s">
        <v>1109</v>
      </c>
      <c r="O1707" s="351">
        <v>100</v>
      </c>
      <c r="P1707" s="349" t="s">
        <v>1836</v>
      </c>
      <c r="R1707" s="349">
        <f t="shared" si="26"/>
        <v>12</v>
      </c>
      <c r="S1707" s="352"/>
      <c r="T1707" s="352"/>
      <c r="U1707" s="352"/>
      <c r="V1707" s="353"/>
      <c r="W1707" s="352"/>
      <c r="X1707" s="176"/>
      <c r="Y1707" s="176"/>
      <c r="Z1707" s="352"/>
      <c r="AA1707" s="352"/>
      <c r="AB1707" s="352"/>
      <c r="AC1707" s="351"/>
      <c r="AD1707" s="351"/>
    </row>
    <row r="1708" spans="1:30" hidden="1" x14ac:dyDescent="0.35">
      <c r="A1708" s="349">
        <v>1707</v>
      </c>
      <c r="B1708" s="352" t="s">
        <v>1322</v>
      </c>
      <c r="C1708" s="351" t="s">
        <v>1712</v>
      </c>
      <c r="D1708" s="352" t="s">
        <v>1712</v>
      </c>
      <c r="E1708" s="352" t="s">
        <v>2386</v>
      </c>
      <c r="F1708" s="353">
        <v>9.8506</v>
      </c>
      <c r="G1708" s="352" t="s">
        <v>34</v>
      </c>
      <c r="H1708" s="176"/>
      <c r="I1708" s="176" t="s">
        <v>2313</v>
      </c>
      <c r="J1708" s="352" t="s">
        <v>469</v>
      </c>
      <c r="K1708" s="352">
        <v>75</v>
      </c>
      <c r="L1708" s="352" t="s">
        <v>1116</v>
      </c>
      <c r="M1708" s="352">
        <v>500</v>
      </c>
      <c r="N1708" s="352" t="s">
        <v>1109</v>
      </c>
      <c r="O1708" s="351">
        <v>75</v>
      </c>
      <c r="P1708" s="349" t="s">
        <v>1836</v>
      </c>
      <c r="R1708" s="349">
        <f t="shared" si="26"/>
        <v>12</v>
      </c>
      <c r="S1708" s="352"/>
      <c r="T1708" s="352"/>
      <c r="U1708" s="352"/>
      <c r="V1708" s="353"/>
      <c r="W1708" s="352"/>
      <c r="X1708" s="176"/>
      <c r="Y1708" s="176"/>
      <c r="Z1708" s="352"/>
      <c r="AA1708" s="352"/>
      <c r="AB1708" s="352"/>
      <c r="AC1708" s="351"/>
      <c r="AD1708" s="351"/>
    </row>
    <row r="1709" spans="1:30" hidden="1" x14ac:dyDescent="0.35">
      <c r="A1709" s="349">
        <v>1708</v>
      </c>
      <c r="B1709" s="352" t="s">
        <v>1322</v>
      </c>
      <c r="C1709" s="351" t="s">
        <v>1712</v>
      </c>
      <c r="D1709" s="352" t="s">
        <v>1712</v>
      </c>
      <c r="E1709" s="352" t="s">
        <v>2387</v>
      </c>
      <c r="F1709" s="353">
        <v>4.0769000000000002</v>
      </c>
      <c r="G1709" s="352" t="s">
        <v>34</v>
      </c>
      <c r="H1709" s="176"/>
      <c r="I1709" s="176"/>
      <c r="J1709" s="352" t="s">
        <v>2388</v>
      </c>
      <c r="K1709" s="352">
        <v>75</v>
      </c>
      <c r="L1709" s="352" t="s">
        <v>1116</v>
      </c>
      <c r="M1709" s="351">
        <v>120</v>
      </c>
      <c r="N1709" s="351" t="s">
        <v>1109</v>
      </c>
      <c r="O1709" s="351">
        <v>75</v>
      </c>
      <c r="P1709" s="349" t="s">
        <v>1836</v>
      </c>
      <c r="R1709" s="349">
        <f t="shared" si="26"/>
        <v>12</v>
      </c>
      <c r="S1709" s="352"/>
      <c r="T1709" s="352"/>
      <c r="U1709" s="352"/>
      <c r="V1709" s="353"/>
      <c r="W1709" s="352"/>
      <c r="X1709" s="176"/>
      <c r="Y1709" s="176"/>
      <c r="Z1709" s="352"/>
      <c r="AA1709" s="352"/>
      <c r="AB1709" s="352"/>
      <c r="AC1709" s="352"/>
      <c r="AD1709" s="352"/>
    </row>
    <row r="1710" spans="1:30" hidden="1" x14ac:dyDescent="0.35">
      <c r="A1710" s="349">
        <v>1709</v>
      </c>
      <c r="B1710" s="352" t="s">
        <v>1322</v>
      </c>
      <c r="C1710" s="351" t="s">
        <v>1712</v>
      </c>
      <c r="D1710" s="352" t="s">
        <v>1712</v>
      </c>
      <c r="E1710" s="352" t="s">
        <v>2389</v>
      </c>
      <c r="F1710" s="353">
        <v>3.26</v>
      </c>
      <c r="G1710" s="352" t="s">
        <v>34</v>
      </c>
      <c r="H1710" s="176"/>
      <c r="I1710" s="176"/>
      <c r="J1710" s="352" t="s">
        <v>2131</v>
      </c>
      <c r="K1710" s="352">
        <v>10</v>
      </c>
      <c r="L1710" s="352" t="s">
        <v>470</v>
      </c>
      <c r="M1710" s="351">
        <v>30</v>
      </c>
      <c r="N1710" s="351" t="s">
        <v>31</v>
      </c>
      <c r="O1710" s="351">
        <v>10</v>
      </c>
      <c r="P1710" s="349" t="s">
        <v>1838</v>
      </c>
      <c r="R1710" s="349">
        <f t="shared" si="26"/>
        <v>12</v>
      </c>
      <c r="S1710" s="352"/>
      <c r="T1710" s="352"/>
      <c r="U1710" s="352"/>
      <c r="V1710" s="353"/>
      <c r="W1710" s="352"/>
      <c r="X1710" s="176"/>
      <c r="Y1710" s="176"/>
      <c r="Z1710" s="352"/>
      <c r="AA1710" s="352"/>
      <c r="AB1710" s="352"/>
      <c r="AC1710" s="351"/>
      <c r="AD1710" s="351"/>
    </row>
    <row r="1711" spans="1:30" hidden="1" x14ac:dyDescent="0.35">
      <c r="A1711" s="349">
        <v>1710</v>
      </c>
      <c r="B1711" s="352" t="s">
        <v>1322</v>
      </c>
      <c r="C1711" s="351" t="s">
        <v>1712</v>
      </c>
      <c r="D1711" s="352" t="s">
        <v>1712</v>
      </c>
      <c r="E1711" s="352" t="s">
        <v>2017</v>
      </c>
      <c r="F1711" s="353">
        <v>1.32</v>
      </c>
      <c r="G1711" s="352" t="s">
        <v>34</v>
      </c>
      <c r="H1711" s="176"/>
      <c r="I1711" s="176"/>
      <c r="J1711" s="352" t="s">
        <v>2390</v>
      </c>
      <c r="K1711" s="352"/>
      <c r="L1711" s="352"/>
      <c r="M1711" s="351"/>
      <c r="N1711" s="351"/>
      <c r="O1711" s="351">
        <v>0</v>
      </c>
      <c r="P1711" s="349" t="s">
        <v>2313</v>
      </c>
      <c r="R1711" s="349">
        <f t="shared" si="26"/>
        <v>12</v>
      </c>
      <c r="S1711" s="352"/>
      <c r="T1711" s="352"/>
      <c r="U1711" s="352"/>
      <c r="V1711" s="353"/>
      <c r="W1711" s="352"/>
      <c r="X1711" s="176"/>
      <c r="Y1711" s="176"/>
      <c r="Z1711" s="352"/>
      <c r="AA1711" s="352"/>
      <c r="AB1711" s="352"/>
      <c r="AC1711" s="351"/>
      <c r="AD1711" s="351"/>
    </row>
    <row r="1712" spans="1:30" ht="38.450000000000003" hidden="1" x14ac:dyDescent="0.35">
      <c r="A1712" s="349">
        <v>1711</v>
      </c>
      <c r="B1712" s="352" t="s">
        <v>466</v>
      </c>
      <c r="C1712" s="351" t="s">
        <v>1712</v>
      </c>
      <c r="D1712" s="352" t="s">
        <v>1712</v>
      </c>
      <c r="E1712" s="352" t="s">
        <v>408</v>
      </c>
      <c r="F1712" s="353">
        <v>4.8261000000000003</v>
      </c>
      <c r="G1712" s="352" t="s">
        <v>151</v>
      </c>
      <c r="H1712" s="176" t="s">
        <v>937</v>
      </c>
      <c r="I1712" s="176" t="s">
        <v>360</v>
      </c>
      <c r="J1712" s="352" t="s">
        <v>152</v>
      </c>
      <c r="K1712" s="352">
        <v>1</v>
      </c>
      <c r="L1712" s="352" t="s">
        <v>470</v>
      </c>
      <c r="M1712" s="351">
        <v>110</v>
      </c>
      <c r="N1712" s="351" t="s">
        <v>1109</v>
      </c>
      <c r="O1712" s="351">
        <v>1</v>
      </c>
      <c r="P1712" s="349" t="s">
        <v>1838</v>
      </c>
      <c r="R1712" s="349">
        <f t="shared" si="26"/>
        <v>12</v>
      </c>
      <c r="S1712" s="352"/>
      <c r="T1712" s="352"/>
      <c r="U1712" s="352"/>
      <c r="V1712" s="353"/>
      <c r="W1712" s="352"/>
      <c r="X1712" s="176"/>
      <c r="Y1712" s="176"/>
      <c r="Z1712" s="352"/>
      <c r="AA1712" s="352"/>
      <c r="AB1712" s="352"/>
      <c r="AC1712" s="351"/>
      <c r="AD1712" s="351"/>
    </row>
    <row r="1713" spans="1:30" ht="179.45" hidden="1" x14ac:dyDescent="0.35">
      <c r="A1713" s="349">
        <v>1712</v>
      </c>
      <c r="B1713" s="352" t="s">
        <v>778</v>
      </c>
      <c r="C1713" s="351" t="s">
        <v>4099</v>
      </c>
      <c r="D1713" s="352" t="s">
        <v>4099</v>
      </c>
      <c r="E1713" s="352" t="s">
        <v>1997</v>
      </c>
      <c r="F1713" s="353">
        <v>5.8398000000000003</v>
      </c>
      <c r="G1713" s="352" t="s">
        <v>1107</v>
      </c>
      <c r="H1713" s="176" t="s">
        <v>4517</v>
      </c>
      <c r="I1713" s="176" t="s">
        <v>4736</v>
      </c>
      <c r="J1713" s="352" t="s">
        <v>1115</v>
      </c>
      <c r="K1713" s="352">
        <v>25</v>
      </c>
      <c r="L1713" s="352" t="s">
        <v>1464</v>
      </c>
      <c r="M1713" s="351"/>
      <c r="N1713" s="351"/>
      <c r="O1713" s="351">
        <v>25</v>
      </c>
      <c r="P1713" s="349" t="s">
        <v>1836</v>
      </c>
      <c r="R1713" s="349">
        <f t="shared" si="26"/>
        <v>11</v>
      </c>
      <c r="S1713" s="352"/>
      <c r="T1713" s="352"/>
      <c r="U1713" s="352"/>
      <c r="V1713" s="353"/>
      <c r="W1713" s="352"/>
      <c r="X1713" s="176"/>
      <c r="Y1713" s="176"/>
      <c r="Z1713" s="352"/>
      <c r="AA1713" s="352"/>
      <c r="AB1713" s="352"/>
      <c r="AC1713" s="352"/>
      <c r="AD1713" s="352"/>
    </row>
    <row r="1714" spans="1:30" ht="25.65" hidden="1" x14ac:dyDescent="0.35">
      <c r="A1714" s="349">
        <v>1713</v>
      </c>
      <c r="B1714" s="352" t="s">
        <v>760</v>
      </c>
      <c r="C1714" s="351" t="s">
        <v>4099</v>
      </c>
      <c r="D1714" s="352" t="s">
        <v>4099</v>
      </c>
      <c r="E1714" s="352" t="s">
        <v>3209</v>
      </c>
      <c r="F1714" s="353">
        <v>7.0739000000000001</v>
      </c>
      <c r="G1714" s="352" t="s">
        <v>34</v>
      </c>
      <c r="H1714" s="176" t="s">
        <v>2647</v>
      </c>
      <c r="I1714" s="176" t="s">
        <v>3820</v>
      </c>
      <c r="J1714" s="352" t="s">
        <v>4025</v>
      </c>
      <c r="K1714" s="352">
        <v>10</v>
      </c>
      <c r="L1714" s="352" t="s">
        <v>1116</v>
      </c>
      <c r="M1714" s="351">
        <v>5</v>
      </c>
      <c r="N1714" s="351" t="s">
        <v>1109</v>
      </c>
      <c r="O1714" s="351">
        <v>10</v>
      </c>
      <c r="P1714" s="349" t="s">
        <v>1836</v>
      </c>
      <c r="R1714" s="349">
        <f t="shared" si="26"/>
        <v>11</v>
      </c>
      <c r="S1714" s="352"/>
      <c r="T1714" s="352"/>
      <c r="U1714" s="352"/>
      <c r="V1714" s="353"/>
      <c r="W1714" s="352"/>
      <c r="X1714" s="176"/>
      <c r="Y1714" s="176"/>
      <c r="Z1714" s="352"/>
      <c r="AA1714" s="352"/>
      <c r="AB1714" s="352"/>
      <c r="AC1714" s="351"/>
      <c r="AD1714" s="351"/>
    </row>
    <row r="1715" spans="1:30" hidden="1" x14ac:dyDescent="0.35">
      <c r="A1715" s="349">
        <v>1714</v>
      </c>
      <c r="B1715" s="352" t="s">
        <v>760</v>
      </c>
      <c r="C1715" s="351" t="s">
        <v>4099</v>
      </c>
      <c r="D1715" s="352" t="s">
        <v>4099</v>
      </c>
      <c r="E1715" s="352" t="s">
        <v>3104</v>
      </c>
      <c r="F1715" s="353">
        <v>1.0578000000000001</v>
      </c>
      <c r="G1715" s="352" t="s">
        <v>34</v>
      </c>
      <c r="H1715" s="176" t="s">
        <v>3059</v>
      </c>
      <c r="I1715" s="176" t="s">
        <v>1025</v>
      </c>
      <c r="J1715" s="352" t="s">
        <v>3105</v>
      </c>
      <c r="K1715" s="352">
        <v>5</v>
      </c>
      <c r="L1715" s="352" t="s">
        <v>1116</v>
      </c>
      <c r="M1715" s="352">
        <v>0.5</v>
      </c>
      <c r="N1715" s="352" t="s">
        <v>1109</v>
      </c>
      <c r="O1715" s="351">
        <v>5</v>
      </c>
      <c r="P1715" s="349" t="s">
        <v>1836</v>
      </c>
      <c r="R1715" s="349">
        <f t="shared" si="26"/>
        <v>11</v>
      </c>
      <c r="S1715" s="352"/>
      <c r="T1715" s="352"/>
      <c r="U1715" s="352"/>
      <c r="V1715" s="353"/>
      <c r="W1715" s="352"/>
      <c r="X1715" s="176"/>
      <c r="Y1715" s="176"/>
      <c r="Z1715" s="352"/>
      <c r="AA1715" s="352"/>
      <c r="AB1715" s="352"/>
      <c r="AC1715" s="351"/>
      <c r="AD1715" s="351"/>
    </row>
    <row r="1716" spans="1:30" ht="25.65" hidden="1" x14ac:dyDescent="0.35">
      <c r="A1716" s="349">
        <v>1715</v>
      </c>
      <c r="B1716" s="352" t="s">
        <v>760</v>
      </c>
      <c r="C1716" s="351" t="s">
        <v>4099</v>
      </c>
      <c r="D1716" s="352" t="s">
        <v>4099</v>
      </c>
      <c r="E1716" s="352" t="s">
        <v>1069</v>
      </c>
      <c r="F1716" s="353">
        <v>8.7486999999999995</v>
      </c>
      <c r="G1716" s="352" t="s">
        <v>34</v>
      </c>
      <c r="H1716" s="176" t="s">
        <v>3821</v>
      </c>
      <c r="I1716" s="176"/>
      <c r="J1716" s="352" t="s">
        <v>35</v>
      </c>
      <c r="K1716" s="352">
        <v>5</v>
      </c>
      <c r="L1716" s="352" t="s">
        <v>30</v>
      </c>
      <c r="M1716" s="352">
        <v>5</v>
      </c>
      <c r="N1716" s="352" t="s">
        <v>31</v>
      </c>
      <c r="O1716" s="351">
        <v>5</v>
      </c>
      <c r="P1716" s="349" t="s">
        <v>1836</v>
      </c>
      <c r="R1716" s="349">
        <f t="shared" si="26"/>
        <v>11</v>
      </c>
      <c r="S1716" s="352"/>
      <c r="T1716" s="352"/>
      <c r="U1716" s="352"/>
      <c r="V1716" s="353"/>
      <c r="W1716" s="352"/>
      <c r="X1716" s="176"/>
      <c r="Y1716" s="176"/>
      <c r="Z1716" s="352"/>
      <c r="AA1716" s="352"/>
      <c r="AB1716" s="352"/>
      <c r="AC1716" s="351"/>
      <c r="AD1716" s="351"/>
    </row>
    <row r="1717" spans="1:30" ht="128.19999999999999" hidden="1" x14ac:dyDescent="0.35">
      <c r="A1717" s="349">
        <v>1716</v>
      </c>
      <c r="B1717" s="352" t="s">
        <v>778</v>
      </c>
      <c r="C1717" s="351" t="s">
        <v>4099</v>
      </c>
      <c r="D1717" s="352" t="s">
        <v>4099</v>
      </c>
      <c r="E1717" s="352" t="s">
        <v>1995</v>
      </c>
      <c r="F1717" s="353">
        <v>0.1</v>
      </c>
      <c r="G1717" s="352" t="s">
        <v>2126</v>
      </c>
      <c r="H1717" s="176" t="s">
        <v>1653</v>
      </c>
      <c r="I1717" s="176" t="s">
        <v>1654</v>
      </c>
      <c r="J1717" s="352" t="s">
        <v>3580</v>
      </c>
      <c r="K1717" s="352">
        <v>5</v>
      </c>
      <c r="L1717" s="352" t="s">
        <v>3581</v>
      </c>
      <c r="M1717" s="352"/>
      <c r="N1717" s="352"/>
      <c r="O1717" s="351">
        <v>5</v>
      </c>
      <c r="P1717" s="349" t="s">
        <v>1836</v>
      </c>
      <c r="R1717" s="349">
        <f t="shared" si="26"/>
        <v>11</v>
      </c>
      <c r="S1717" s="352"/>
      <c r="T1717" s="352"/>
      <c r="U1717" s="352"/>
      <c r="V1717" s="353"/>
      <c r="W1717" s="352"/>
      <c r="X1717" s="176"/>
      <c r="Y1717" s="176"/>
      <c r="Z1717" s="352"/>
      <c r="AA1717" s="352"/>
      <c r="AB1717" s="352"/>
      <c r="AC1717" s="351"/>
      <c r="AD1717" s="351"/>
    </row>
    <row r="1718" spans="1:30" ht="128.19999999999999" hidden="1" x14ac:dyDescent="0.35">
      <c r="A1718" s="349">
        <v>1717</v>
      </c>
      <c r="B1718" s="352" t="s">
        <v>778</v>
      </c>
      <c r="C1718" s="351" t="s">
        <v>4099</v>
      </c>
      <c r="D1718" s="352" t="s">
        <v>4099</v>
      </c>
      <c r="E1718" s="352" t="s">
        <v>1995</v>
      </c>
      <c r="F1718" s="353">
        <v>0.2</v>
      </c>
      <c r="G1718" s="352" t="s">
        <v>2126</v>
      </c>
      <c r="H1718" s="176" t="s">
        <v>1653</v>
      </c>
      <c r="I1718" s="176" t="s">
        <v>1654</v>
      </c>
      <c r="J1718" s="352" t="s">
        <v>3580</v>
      </c>
      <c r="K1718" s="352">
        <v>20</v>
      </c>
      <c r="L1718" s="352" t="s">
        <v>3581</v>
      </c>
      <c r="M1718" s="351"/>
      <c r="N1718" s="351"/>
      <c r="O1718" s="351">
        <v>20</v>
      </c>
      <c r="P1718" s="349" t="s">
        <v>1836</v>
      </c>
      <c r="R1718" s="349">
        <f t="shared" si="26"/>
        <v>11</v>
      </c>
      <c r="S1718" s="352"/>
      <c r="T1718" s="352"/>
      <c r="U1718" s="352"/>
      <c r="V1718" s="353"/>
      <c r="W1718" s="352"/>
      <c r="X1718" s="176"/>
      <c r="Y1718" s="176"/>
      <c r="Z1718" s="352"/>
      <c r="AA1718" s="352"/>
      <c r="AB1718" s="352"/>
      <c r="AC1718" s="351"/>
      <c r="AD1718" s="351"/>
    </row>
    <row r="1719" spans="1:30" ht="128.19999999999999" hidden="1" x14ac:dyDescent="0.35">
      <c r="A1719" s="349">
        <v>1718</v>
      </c>
      <c r="B1719" s="352" t="s">
        <v>778</v>
      </c>
      <c r="C1719" s="351" t="s">
        <v>4099</v>
      </c>
      <c r="D1719" s="352" t="s">
        <v>4099</v>
      </c>
      <c r="E1719" s="352" t="s">
        <v>1995</v>
      </c>
      <c r="F1719" s="353">
        <v>0.4</v>
      </c>
      <c r="G1719" s="352" t="s">
        <v>2126</v>
      </c>
      <c r="H1719" s="176" t="s">
        <v>1653</v>
      </c>
      <c r="I1719" s="176" t="s">
        <v>1654</v>
      </c>
      <c r="J1719" s="352" t="s">
        <v>3580</v>
      </c>
      <c r="K1719" s="352">
        <v>50</v>
      </c>
      <c r="L1719" s="352" t="s">
        <v>3581</v>
      </c>
      <c r="M1719" s="352"/>
      <c r="N1719" s="352"/>
      <c r="O1719" s="351">
        <v>50</v>
      </c>
      <c r="P1719" s="349" t="s">
        <v>1836</v>
      </c>
      <c r="R1719" s="349">
        <f t="shared" si="26"/>
        <v>11</v>
      </c>
      <c r="S1719" s="352"/>
      <c r="T1719" s="352"/>
      <c r="U1719" s="352"/>
      <c r="V1719" s="353"/>
      <c r="W1719" s="352"/>
      <c r="X1719" s="176"/>
      <c r="Y1719" s="176"/>
      <c r="Z1719" s="352"/>
      <c r="AA1719" s="352"/>
      <c r="AB1719" s="352"/>
      <c r="AC1719" s="351"/>
      <c r="AD1719" s="351"/>
    </row>
    <row r="1720" spans="1:30" ht="128.19999999999999" hidden="1" x14ac:dyDescent="0.35">
      <c r="A1720" s="349">
        <v>1719</v>
      </c>
      <c r="B1720" s="352" t="s">
        <v>778</v>
      </c>
      <c r="C1720" s="351" t="s">
        <v>4099</v>
      </c>
      <c r="D1720" s="352" t="s">
        <v>4099</v>
      </c>
      <c r="E1720" s="352" t="s">
        <v>1995</v>
      </c>
      <c r="F1720" s="353">
        <v>0.1</v>
      </c>
      <c r="G1720" s="352" t="s">
        <v>2126</v>
      </c>
      <c r="H1720" s="176" t="s">
        <v>1653</v>
      </c>
      <c r="I1720" s="176" t="s">
        <v>1654</v>
      </c>
      <c r="J1720" s="352" t="s">
        <v>3580</v>
      </c>
      <c r="K1720" s="352">
        <v>5</v>
      </c>
      <c r="L1720" s="352" t="s">
        <v>3581</v>
      </c>
      <c r="M1720" s="352"/>
      <c r="N1720" s="352"/>
      <c r="O1720" s="351">
        <v>5</v>
      </c>
      <c r="P1720" s="349" t="s">
        <v>1836</v>
      </c>
      <c r="R1720" s="349">
        <f t="shared" si="26"/>
        <v>11</v>
      </c>
      <c r="S1720" s="352"/>
      <c r="T1720" s="352"/>
      <c r="U1720" s="352"/>
      <c r="V1720" s="353"/>
      <c r="W1720" s="352"/>
      <c r="X1720" s="176"/>
      <c r="Y1720" s="176"/>
      <c r="Z1720" s="352"/>
      <c r="AA1720" s="352"/>
      <c r="AB1720" s="352"/>
      <c r="AC1720" s="351"/>
      <c r="AD1720" s="351"/>
    </row>
    <row r="1721" spans="1:30" ht="128.19999999999999" hidden="1" x14ac:dyDescent="0.35">
      <c r="A1721" s="349">
        <v>1720</v>
      </c>
      <c r="B1721" s="352" t="s">
        <v>778</v>
      </c>
      <c r="C1721" s="351" t="s">
        <v>4099</v>
      </c>
      <c r="D1721" s="352" t="s">
        <v>4099</v>
      </c>
      <c r="E1721" s="352" t="s">
        <v>1995</v>
      </c>
      <c r="F1721" s="353">
        <v>0.2</v>
      </c>
      <c r="G1721" s="352" t="s">
        <v>2126</v>
      </c>
      <c r="H1721" s="176" t="s">
        <v>1653</v>
      </c>
      <c r="I1721" s="176" t="s">
        <v>1654</v>
      </c>
      <c r="J1721" s="352" t="s">
        <v>3580</v>
      </c>
      <c r="K1721" s="352">
        <v>20</v>
      </c>
      <c r="L1721" s="352" t="s">
        <v>3581</v>
      </c>
      <c r="M1721" s="351"/>
      <c r="N1721" s="351"/>
      <c r="O1721" s="351">
        <v>20</v>
      </c>
      <c r="P1721" s="349" t="s">
        <v>1836</v>
      </c>
      <c r="R1721" s="349">
        <f t="shared" si="26"/>
        <v>11</v>
      </c>
      <c r="S1721" s="352"/>
      <c r="T1721" s="352"/>
      <c r="U1721" s="352"/>
      <c r="V1721" s="353"/>
      <c r="W1721" s="352"/>
      <c r="X1721" s="176"/>
      <c r="Y1721" s="176"/>
      <c r="Z1721" s="352"/>
      <c r="AA1721" s="352"/>
      <c r="AB1721" s="352"/>
      <c r="AC1721" s="351"/>
      <c r="AD1721" s="351"/>
    </row>
    <row r="1722" spans="1:30" ht="128.19999999999999" hidden="1" x14ac:dyDescent="0.35">
      <c r="A1722" s="349">
        <v>1721</v>
      </c>
      <c r="B1722" s="352" t="s">
        <v>778</v>
      </c>
      <c r="C1722" s="351" t="s">
        <v>4099</v>
      </c>
      <c r="D1722" s="352" t="s">
        <v>4099</v>
      </c>
      <c r="E1722" s="352" t="s">
        <v>1995</v>
      </c>
      <c r="F1722" s="353">
        <v>0.4</v>
      </c>
      <c r="G1722" s="352" t="s">
        <v>2126</v>
      </c>
      <c r="H1722" s="176" t="s">
        <v>1653</v>
      </c>
      <c r="I1722" s="176" t="s">
        <v>1654</v>
      </c>
      <c r="J1722" s="352" t="s">
        <v>3580</v>
      </c>
      <c r="K1722" s="352">
        <v>50</v>
      </c>
      <c r="L1722" s="352" t="s">
        <v>3581</v>
      </c>
      <c r="M1722" s="351"/>
      <c r="N1722" s="351"/>
      <c r="O1722" s="351">
        <v>50</v>
      </c>
      <c r="P1722" s="349" t="s">
        <v>1836</v>
      </c>
      <c r="R1722" s="349">
        <f t="shared" si="26"/>
        <v>11</v>
      </c>
      <c r="S1722" s="352"/>
      <c r="T1722" s="352"/>
      <c r="U1722" s="352"/>
      <c r="V1722" s="353"/>
      <c r="W1722" s="352"/>
      <c r="X1722" s="176"/>
      <c r="Y1722" s="176"/>
      <c r="Z1722" s="352"/>
      <c r="AA1722" s="352"/>
      <c r="AB1722" s="352"/>
      <c r="AC1722" s="351"/>
      <c r="AD1722" s="351"/>
    </row>
    <row r="1723" spans="1:30" hidden="1" x14ac:dyDescent="0.35">
      <c r="A1723" s="349">
        <v>1722</v>
      </c>
      <c r="B1723" s="352" t="s">
        <v>760</v>
      </c>
      <c r="C1723" s="351" t="s">
        <v>4806</v>
      </c>
      <c r="D1723" s="352" t="s">
        <v>4099</v>
      </c>
      <c r="E1723" s="352" t="s">
        <v>3104</v>
      </c>
      <c r="F1723" s="353">
        <v>1.0578000000000001</v>
      </c>
      <c r="G1723" s="352" t="s">
        <v>34</v>
      </c>
      <c r="H1723" s="176" t="s">
        <v>3059</v>
      </c>
      <c r="I1723" s="176" t="s">
        <v>1025</v>
      </c>
      <c r="J1723" s="352" t="s">
        <v>3105</v>
      </c>
      <c r="K1723" s="352">
        <v>5</v>
      </c>
      <c r="L1723" s="352" t="s">
        <v>1116</v>
      </c>
      <c r="M1723" s="352">
        <v>0.5</v>
      </c>
      <c r="N1723" s="352" t="s">
        <v>1109</v>
      </c>
      <c r="O1723" s="351">
        <v>5</v>
      </c>
      <c r="P1723" s="349" t="s">
        <v>1836</v>
      </c>
      <c r="R1723" s="349">
        <f t="shared" si="26"/>
        <v>11</v>
      </c>
      <c r="S1723" s="352"/>
      <c r="T1723" s="352"/>
      <c r="U1723" s="352"/>
      <c r="V1723" s="353"/>
      <c r="W1723" s="352"/>
      <c r="X1723" s="176"/>
      <c r="Y1723" s="176"/>
      <c r="Z1723" s="352"/>
      <c r="AA1723" s="352"/>
      <c r="AB1723" s="352"/>
      <c r="AC1723" s="351"/>
      <c r="AD1723" s="351"/>
    </row>
    <row r="1724" spans="1:30" ht="25.65" hidden="1" x14ac:dyDescent="0.35">
      <c r="A1724" s="349">
        <v>1723</v>
      </c>
      <c r="B1724" s="352" t="s">
        <v>760</v>
      </c>
      <c r="C1724" s="351" t="s">
        <v>4807</v>
      </c>
      <c r="D1724" s="352" t="s">
        <v>4099</v>
      </c>
      <c r="E1724" s="352" t="s">
        <v>3209</v>
      </c>
      <c r="F1724" s="353">
        <v>7.0739000000000001</v>
      </c>
      <c r="G1724" s="352" t="s">
        <v>34</v>
      </c>
      <c r="H1724" s="176" t="s">
        <v>2647</v>
      </c>
      <c r="I1724" s="176" t="s">
        <v>3820</v>
      </c>
      <c r="J1724" s="352" t="s">
        <v>4025</v>
      </c>
      <c r="K1724" s="352">
        <v>10</v>
      </c>
      <c r="L1724" s="352" t="s">
        <v>1116</v>
      </c>
      <c r="M1724" s="351">
        <v>5</v>
      </c>
      <c r="N1724" s="351" t="s">
        <v>1109</v>
      </c>
      <c r="O1724" s="351">
        <v>10</v>
      </c>
      <c r="P1724" s="349" t="s">
        <v>1836</v>
      </c>
      <c r="R1724" s="349">
        <f t="shared" si="26"/>
        <v>11</v>
      </c>
      <c r="S1724" s="352"/>
      <c r="T1724" s="352"/>
      <c r="U1724" s="352"/>
      <c r="V1724" s="353"/>
      <c r="W1724" s="352"/>
      <c r="X1724" s="176"/>
      <c r="Y1724" s="176"/>
      <c r="Z1724" s="352"/>
      <c r="AA1724" s="352"/>
      <c r="AB1724" s="352"/>
      <c r="AC1724" s="351"/>
      <c r="AD1724" s="351"/>
    </row>
    <row r="1725" spans="1:30" ht="38.450000000000003" hidden="1" x14ac:dyDescent="0.35">
      <c r="A1725" s="349">
        <v>1724</v>
      </c>
      <c r="B1725" s="352" t="s">
        <v>2891</v>
      </c>
      <c r="C1725" s="351" t="s">
        <v>4808</v>
      </c>
      <c r="D1725" s="352" t="s">
        <v>1752</v>
      </c>
      <c r="E1725" s="352" t="s">
        <v>1997</v>
      </c>
      <c r="F1725" s="353">
        <v>4.5</v>
      </c>
      <c r="G1725" s="352" t="s">
        <v>2384</v>
      </c>
      <c r="H1725" s="176" t="s">
        <v>1749</v>
      </c>
      <c r="I1725" s="176" t="s">
        <v>1750</v>
      </c>
      <c r="J1725" s="352" t="s">
        <v>1115</v>
      </c>
      <c r="K1725" s="352">
        <v>1500</v>
      </c>
      <c r="L1725" s="352" t="s">
        <v>2069</v>
      </c>
      <c r="M1725" s="351"/>
      <c r="N1725" s="351"/>
      <c r="O1725" s="351">
        <v>1500</v>
      </c>
      <c r="P1725" s="349" t="s">
        <v>2030</v>
      </c>
      <c r="R1725" s="349">
        <f t="shared" si="26"/>
        <v>22</v>
      </c>
      <c r="S1725" s="352"/>
      <c r="T1725" s="352"/>
      <c r="U1725" s="352"/>
      <c r="V1725" s="353"/>
      <c r="W1725" s="352"/>
      <c r="X1725" s="176"/>
      <c r="Y1725" s="176"/>
      <c r="Z1725" s="352"/>
      <c r="AA1725" s="352"/>
      <c r="AB1725" s="352"/>
      <c r="AC1725" s="352"/>
      <c r="AD1725" s="352"/>
    </row>
    <row r="1726" spans="1:30" ht="51.3" hidden="1" x14ac:dyDescent="0.35">
      <c r="A1726" s="349">
        <v>1725</v>
      </c>
      <c r="B1726" s="352" t="s">
        <v>1567</v>
      </c>
      <c r="C1726" s="351" t="s">
        <v>4809</v>
      </c>
      <c r="D1726" s="352" t="s">
        <v>1395</v>
      </c>
      <c r="E1726" s="352" t="s">
        <v>1997</v>
      </c>
      <c r="F1726" s="353">
        <v>42.4</v>
      </c>
      <c r="G1726" s="352" t="s">
        <v>4034</v>
      </c>
      <c r="H1726" s="176" t="s">
        <v>4217</v>
      </c>
      <c r="I1726" s="176" t="s">
        <v>3070</v>
      </c>
      <c r="J1726" s="352" t="s">
        <v>1115</v>
      </c>
      <c r="K1726" s="351">
        <v>25</v>
      </c>
      <c r="L1726" s="351" t="s">
        <v>1464</v>
      </c>
      <c r="M1726" s="352"/>
      <c r="N1726" s="352"/>
      <c r="O1726" s="351">
        <v>25</v>
      </c>
      <c r="P1726" s="349" t="s">
        <v>1836</v>
      </c>
      <c r="R1726" s="349">
        <f t="shared" si="26"/>
        <v>24</v>
      </c>
      <c r="S1726" s="352"/>
      <c r="T1726" s="352"/>
      <c r="U1726" s="352"/>
      <c r="V1726" s="353"/>
      <c r="W1726" s="352"/>
      <c r="X1726" s="176"/>
      <c r="Y1726" s="176"/>
      <c r="Z1726" s="352"/>
      <c r="AA1726" s="352"/>
      <c r="AB1726" s="352"/>
      <c r="AC1726" s="352"/>
      <c r="AD1726" s="352"/>
    </row>
    <row r="1727" spans="1:30" ht="256.35000000000002" hidden="1" x14ac:dyDescent="0.35">
      <c r="A1727" s="349">
        <v>1726</v>
      </c>
      <c r="B1727" s="352" t="s">
        <v>3160</v>
      </c>
      <c r="C1727" s="351" t="s">
        <v>4810</v>
      </c>
      <c r="D1727" s="352" t="s">
        <v>2713</v>
      </c>
      <c r="E1727" s="352" t="s">
        <v>553</v>
      </c>
      <c r="F1727" s="353">
        <v>18.86</v>
      </c>
      <c r="G1727" s="352" t="s">
        <v>2126</v>
      </c>
      <c r="H1727" s="176" t="s">
        <v>4862</v>
      </c>
      <c r="I1727" s="176" t="s">
        <v>4477</v>
      </c>
      <c r="J1727" s="352" t="s">
        <v>3579</v>
      </c>
      <c r="K1727" s="352">
        <v>1</v>
      </c>
      <c r="L1727" s="352" t="s">
        <v>1116</v>
      </c>
      <c r="M1727" s="352">
        <v>200</v>
      </c>
      <c r="N1727" s="352" t="s">
        <v>1109</v>
      </c>
      <c r="O1727" s="351">
        <v>1</v>
      </c>
      <c r="P1727" s="349" t="s">
        <v>1836</v>
      </c>
      <c r="R1727" s="349">
        <f t="shared" si="26"/>
        <v>9</v>
      </c>
      <c r="S1727" s="352"/>
      <c r="T1727" s="352"/>
      <c r="U1727" s="352"/>
      <c r="V1727" s="353"/>
      <c r="W1727" s="352"/>
      <c r="X1727" s="176"/>
      <c r="Y1727" s="176"/>
      <c r="Z1727" s="352"/>
      <c r="AA1727" s="352"/>
      <c r="AB1727" s="352"/>
      <c r="AC1727" s="352"/>
      <c r="AD1727" s="352"/>
    </row>
    <row r="1728" spans="1:30" ht="256.35000000000002" hidden="1" x14ac:dyDescent="0.35">
      <c r="A1728" s="349">
        <v>1727</v>
      </c>
      <c r="B1728" s="352" t="s">
        <v>3160</v>
      </c>
      <c r="C1728" s="351" t="s">
        <v>4810</v>
      </c>
      <c r="D1728" s="352" t="s">
        <v>2713</v>
      </c>
      <c r="E1728" s="352" t="s">
        <v>1995</v>
      </c>
      <c r="F1728" s="353">
        <v>0.45</v>
      </c>
      <c r="G1728" s="352" t="s">
        <v>2126</v>
      </c>
      <c r="H1728" s="176" t="s">
        <v>4862</v>
      </c>
      <c r="I1728" s="176" t="s">
        <v>4477</v>
      </c>
      <c r="J1728" s="352" t="s">
        <v>3580</v>
      </c>
      <c r="K1728" s="352">
        <v>5</v>
      </c>
      <c r="L1728" s="352" t="s">
        <v>3581</v>
      </c>
      <c r="M1728" s="351"/>
      <c r="N1728" s="351"/>
      <c r="O1728" s="351">
        <v>5</v>
      </c>
      <c r="P1728" s="349" t="s">
        <v>1836</v>
      </c>
      <c r="R1728" s="349">
        <f t="shared" si="26"/>
        <v>9</v>
      </c>
      <c r="S1728" s="352"/>
      <c r="T1728" s="352"/>
      <c r="U1728" s="352"/>
      <c r="V1728" s="353"/>
      <c r="W1728" s="352"/>
      <c r="X1728" s="176"/>
      <c r="Y1728" s="176"/>
      <c r="Z1728" s="352"/>
      <c r="AA1728" s="352"/>
      <c r="AB1728" s="352"/>
      <c r="AC1728" s="352"/>
      <c r="AD1728" s="352"/>
    </row>
    <row r="1729" spans="1:30" ht="256.35000000000002" hidden="1" x14ac:dyDescent="0.35">
      <c r="A1729" s="349">
        <v>1728</v>
      </c>
      <c r="B1729" s="352" t="s">
        <v>3160</v>
      </c>
      <c r="C1729" s="351" t="s">
        <v>4810</v>
      </c>
      <c r="D1729" s="352" t="s">
        <v>2713</v>
      </c>
      <c r="E1729" s="352" t="s">
        <v>1995</v>
      </c>
      <c r="F1729" s="353">
        <v>0.68</v>
      </c>
      <c r="G1729" s="352" t="s">
        <v>2126</v>
      </c>
      <c r="H1729" s="176" t="s">
        <v>4862</v>
      </c>
      <c r="I1729" s="176" t="s">
        <v>4477</v>
      </c>
      <c r="J1729" s="352" t="s">
        <v>3580</v>
      </c>
      <c r="K1729" s="352">
        <v>10</v>
      </c>
      <c r="L1729" s="352" t="s">
        <v>3581</v>
      </c>
      <c r="M1729" s="351"/>
      <c r="N1729" s="351"/>
      <c r="O1729" s="351">
        <v>10</v>
      </c>
      <c r="P1729" s="349" t="s">
        <v>1836</v>
      </c>
      <c r="R1729" s="349">
        <f t="shared" si="26"/>
        <v>9</v>
      </c>
      <c r="S1729" s="352"/>
      <c r="T1729" s="352"/>
      <c r="U1729" s="352"/>
      <c r="V1729" s="353"/>
      <c r="W1729" s="352"/>
      <c r="X1729" s="176"/>
      <c r="Y1729" s="176"/>
      <c r="Z1729" s="352"/>
      <c r="AA1729" s="352"/>
      <c r="AB1729" s="352"/>
      <c r="AC1729" s="352"/>
      <c r="AD1729" s="352"/>
    </row>
    <row r="1730" spans="1:30" hidden="1" x14ac:dyDescent="0.35">
      <c r="A1730" s="349">
        <v>1729</v>
      </c>
      <c r="B1730" s="352" t="s">
        <v>314</v>
      </c>
      <c r="C1730" s="351" t="s">
        <v>4811</v>
      </c>
      <c r="D1730" s="352" t="s">
        <v>3008</v>
      </c>
      <c r="E1730" s="352" t="s">
        <v>406</v>
      </c>
      <c r="F1730" s="353">
        <v>147.34</v>
      </c>
      <c r="G1730" s="352" t="s">
        <v>2384</v>
      </c>
      <c r="H1730" s="176" t="s">
        <v>2691</v>
      </c>
      <c r="I1730" s="176" t="s">
        <v>2692</v>
      </c>
      <c r="J1730" s="352" t="s">
        <v>1115</v>
      </c>
      <c r="K1730" s="352"/>
      <c r="L1730" s="352"/>
      <c r="M1730" s="351">
        <v>0.5</v>
      </c>
      <c r="N1730" s="351" t="s">
        <v>1109</v>
      </c>
      <c r="O1730" s="351">
        <v>0</v>
      </c>
      <c r="P1730" s="349" t="s">
        <v>1837</v>
      </c>
      <c r="R1730" s="349">
        <f t="shared" si="26"/>
        <v>18</v>
      </c>
      <c r="S1730" s="352"/>
      <c r="T1730" s="352"/>
      <c r="U1730" s="352"/>
      <c r="V1730" s="353"/>
      <c r="W1730" s="352"/>
      <c r="X1730" s="176"/>
      <c r="Y1730" s="176"/>
      <c r="Z1730" s="352"/>
      <c r="AA1730" s="352"/>
      <c r="AB1730" s="352"/>
      <c r="AC1730" s="352"/>
      <c r="AD1730" s="352"/>
    </row>
    <row r="1731" spans="1:30" ht="38.450000000000003" hidden="1" x14ac:dyDescent="0.35">
      <c r="A1731" s="349">
        <v>1730</v>
      </c>
      <c r="B1731" s="352" t="s">
        <v>3253</v>
      </c>
      <c r="C1731" s="351" t="s">
        <v>4812</v>
      </c>
      <c r="D1731" s="352" t="s">
        <v>2213</v>
      </c>
      <c r="E1731" s="352" t="s">
        <v>1111</v>
      </c>
      <c r="F1731" s="353">
        <v>31.799499999999998</v>
      </c>
      <c r="G1731" s="352" t="s">
        <v>1107</v>
      </c>
      <c r="H1731" s="176" t="s">
        <v>3573</v>
      </c>
      <c r="I1731" s="176" t="s">
        <v>4204</v>
      </c>
      <c r="J1731" s="352" t="s">
        <v>1108</v>
      </c>
      <c r="K1731" s="352">
        <v>10</v>
      </c>
      <c r="L1731" s="352" t="s">
        <v>470</v>
      </c>
      <c r="M1731" s="352">
        <v>250</v>
      </c>
      <c r="N1731" s="352" t="s">
        <v>1109</v>
      </c>
      <c r="O1731" s="351">
        <v>10</v>
      </c>
      <c r="P1731" s="349" t="s">
        <v>1838</v>
      </c>
      <c r="R1731" s="349">
        <f t="shared" ref="R1731:R1794" si="27">LEN(D1731)</f>
        <v>3</v>
      </c>
      <c r="S1731" s="352"/>
      <c r="T1731" s="352"/>
      <c r="U1731" s="352"/>
      <c r="V1731" s="353"/>
      <c r="W1731" s="352"/>
      <c r="X1731" s="176"/>
      <c r="Y1731" s="176"/>
      <c r="Z1731" s="352"/>
      <c r="AA1731" s="352"/>
      <c r="AB1731" s="352"/>
      <c r="AC1731" s="352"/>
      <c r="AD1731" s="352"/>
    </row>
    <row r="1732" spans="1:30" ht="64.099999999999994" hidden="1" x14ac:dyDescent="0.35">
      <c r="A1732" s="349">
        <v>1731</v>
      </c>
      <c r="B1732" s="352" t="s">
        <v>1567</v>
      </c>
      <c r="C1732" s="351" t="s">
        <v>4813</v>
      </c>
      <c r="D1732" s="352" t="s">
        <v>3062</v>
      </c>
      <c r="E1732" s="352" t="s">
        <v>1995</v>
      </c>
      <c r="F1732" s="353">
        <v>0.3</v>
      </c>
      <c r="G1732" s="352" t="s">
        <v>2126</v>
      </c>
      <c r="H1732" s="176" t="s">
        <v>4218</v>
      </c>
      <c r="I1732" s="176" t="s">
        <v>3063</v>
      </c>
      <c r="J1732" s="352" t="s">
        <v>3580</v>
      </c>
      <c r="K1732" s="352">
        <v>5</v>
      </c>
      <c r="L1732" s="352" t="s">
        <v>3581</v>
      </c>
      <c r="M1732" s="351"/>
      <c r="N1732" s="351"/>
      <c r="O1732" s="351">
        <v>5</v>
      </c>
      <c r="P1732" s="349" t="s">
        <v>1836</v>
      </c>
      <c r="R1732" s="349">
        <f t="shared" si="27"/>
        <v>13</v>
      </c>
      <c r="S1732" s="352"/>
      <c r="T1732" s="352"/>
      <c r="U1732" s="352"/>
      <c r="V1732" s="353"/>
      <c r="W1732" s="352"/>
      <c r="X1732" s="176"/>
      <c r="Y1732" s="176"/>
      <c r="Z1732" s="352"/>
      <c r="AA1732" s="352"/>
      <c r="AB1732" s="352"/>
      <c r="AC1732" s="352"/>
      <c r="AD1732" s="352"/>
    </row>
    <row r="1733" spans="1:30" ht="102.55" hidden="1" x14ac:dyDescent="0.35">
      <c r="A1733" s="349">
        <v>1732</v>
      </c>
      <c r="B1733" s="352" t="s">
        <v>3160</v>
      </c>
      <c r="C1733" s="351" t="s">
        <v>4814</v>
      </c>
      <c r="D1733" s="352" t="s">
        <v>312</v>
      </c>
      <c r="E1733" s="352" t="s">
        <v>762</v>
      </c>
      <c r="F1733" s="353">
        <v>0.31</v>
      </c>
      <c r="G1733" s="352" t="s">
        <v>1107</v>
      </c>
      <c r="H1733" s="176" t="s">
        <v>313</v>
      </c>
      <c r="I1733" s="176" t="s">
        <v>1577</v>
      </c>
      <c r="J1733" s="352" t="s">
        <v>828</v>
      </c>
      <c r="K1733" s="352">
        <v>5</v>
      </c>
      <c r="L1733" s="352" t="s">
        <v>1116</v>
      </c>
      <c r="M1733" s="352">
        <v>2</v>
      </c>
      <c r="N1733" s="352" t="s">
        <v>1109</v>
      </c>
      <c r="O1733" s="351">
        <v>5</v>
      </c>
      <c r="P1733" s="349" t="s">
        <v>1836</v>
      </c>
      <c r="R1733" s="349">
        <f t="shared" si="27"/>
        <v>14</v>
      </c>
      <c r="S1733" s="352"/>
      <c r="T1733" s="352"/>
      <c r="U1733" s="352"/>
      <c r="V1733" s="353"/>
      <c r="W1733" s="352"/>
      <c r="X1733" s="176"/>
      <c r="Y1733" s="176"/>
      <c r="Z1733" s="352"/>
      <c r="AA1733" s="352"/>
      <c r="AB1733" s="352"/>
      <c r="AC1733" s="351"/>
      <c r="AD1733" s="351"/>
    </row>
    <row r="1734" spans="1:30" ht="38.450000000000003" hidden="1" x14ac:dyDescent="0.35">
      <c r="A1734" s="349">
        <v>1733</v>
      </c>
      <c r="B1734" s="352" t="s">
        <v>3160</v>
      </c>
      <c r="C1734" s="351" t="s">
        <v>4814</v>
      </c>
      <c r="D1734" s="352" t="s">
        <v>312</v>
      </c>
      <c r="E1734" s="352" t="s">
        <v>553</v>
      </c>
      <c r="F1734" s="353">
        <v>6.35</v>
      </c>
      <c r="G1734" s="352" t="s">
        <v>2126</v>
      </c>
      <c r="H1734" s="176" t="s">
        <v>2905</v>
      </c>
      <c r="I1734" s="176" t="s">
        <v>1577</v>
      </c>
      <c r="J1734" s="352" t="s">
        <v>3579</v>
      </c>
      <c r="K1734" s="352">
        <v>1</v>
      </c>
      <c r="L1734" s="352" t="s">
        <v>1116</v>
      </c>
      <c r="M1734" s="352">
        <v>200</v>
      </c>
      <c r="N1734" s="352" t="s">
        <v>1109</v>
      </c>
      <c r="O1734" s="351">
        <v>1</v>
      </c>
      <c r="P1734" s="349" t="s">
        <v>1836</v>
      </c>
      <c r="R1734" s="349">
        <f t="shared" si="27"/>
        <v>14</v>
      </c>
      <c r="S1734" s="352"/>
      <c r="T1734" s="352"/>
      <c r="U1734" s="352"/>
      <c r="V1734" s="353"/>
      <c r="W1734" s="352"/>
      <c r="X1734" s="176"/>
      <c r="Y1734" s="176"/>
      <c r="Z1734" s="352"/>
      <c r="AA1734" s="352"/>
      <c r="AB1734" s="352"/>
      <c r="AC1734" s="352"/>
      <c r="AD1734" s="352"/>
    </row>
    <row r="1735" spans="1:30" ht="38.450000000000003" hidden="1" x14ac:dyDescent="0.35">
      <c r="A1735" s="349">
        <v>1734</v>
      </c>
      <c r="B1735" s="352" t="s">
        <v>3160</v>
      </c>
      <c r="C1735" s="351" t="s">
        <v>4814</v>
      </c>
      <c r="D1735" s="352" t="s">
        <v>312</v>
      </c>
      <c r="E1735" s="352" t="s">
        <v>1995</v>
      </c>
      <c r="F1735" s="353">
        <v>0.22</v>
      </c>
      <c r="G1735" s="352" t="s">
        <v>2126</v>
      </c>
      <c r="H1735" s="37" t="s">
        <v>2905</v>
      </c>
      <c r="I1735" s="176" t="s">
        <v>1577</v>
      </c>
      <c r="J1735" s="352" t="s">
        <v>3580</v>
      </c>
      <c r="K1735" s="352">
        <v>10</v>
      </c>
      <c r="L1735" s="352" t="s">
        <v>3581</v>
      </c>
      <c r="M1735" s="351"/>
      <c r="N1735" s="351"/>
      <c r="O1735" s="351">
        <v>10</v>
      </c>
      <c r="P1735" s="349" t="s">
        <v>1836</v>
      </c>
      <c r="R1735" s="349">
        <f t="shared" si="27"/>
        <v>14</v>
      </c>
      <c r="S1735" s="352"/>
      <c r="T1735" s="352"/>
      <c r="U1735" s="352"/>
      <c r="V1735" s="353"/>
      <c r="W1735" s="352"/>
      <c r="X1735" s="176"/>
      <c r="Y1735" s="176"/>
      <c r="Z1735" s="352"/>
      <c r="AA1735" s="352"/>
      <c r="AB1735" s="352"/>
      <c r="AC1735" s="352"/>
      <c r="AD1735" s="352"/>
    </row>
    <row r="1736" spans="1:30" ht="38.450000000000003" hidden="1" x14ac:dyDescent="0.35">
      <c r="A1736" s="349">
        <v>1735</v>
      </c>
      <c r="B1736" s="352" t="s">
        <v>3160</v>
      </c>
      <c r="C1736" s="351" t="s">
        <v>4814</v>
      </c>
      <c r="D1736" s="352" t="s">
        <v>312</v>
      </c>
      <c r="E1736" s="352" t="s">
        <v>1999</v>
      </c>
      <c r="F1736" s="353">
        <v>0.22</v>
      </c>
      <c r="G1736" s="352" t="s">
        <v>967</v>
      </c>
      <c r="H1736" s="176" t="s">
        <v>2906</v>
      </c>
      <c r="I1736" s="176" t="s">
        <v>1577</v>
      </c>
      <c r="J1736" s="352" t="s">
        <v>968</v>
      </c>
      <c r="K1736" s="352">
        <v>10</v>
      </c>
      <c r="L1736" s="352" t="s">
        <v>969</v>
      </c>
      <c r="M1736" s="351"/>
      <c r="N1736" s="351"/>
      <c r="O1736" s="351">
        <v>10</v>
      </c>
      <c r="P1736" s="349" t="s">
        <v>1836</v>
      </c>
      <c r="R1736" s="349">
        <f t="shared" si="27"/>
        <v>14</v>
      </c>
      <c r="S1736" s="352"/>
      <c r="T1736" s="352"/>
      <c r="U1736" s="352"/>
      <c r="V1736" s="353"/>
      <c r="W1736" s="352"/>
      <c r="X1736" s="176"/>
      <c r="Y1736" s="176"/>
      <c r="Z1736" s="352"/>
      <c r="AA1736" s="352"/>
      <c r="AB1736" s="352"/>
      <c r="AC1736" s="351"/>
      <c r="AD1736" s="351"/>
    </row>
    <row r="1737" spans="1:30" ht="38.450000000000003" hidden="1" x14ac:dyDescent="0.35">
      <c r="A1737" s="349">
        <v>1736</v>
      </c>
      <c r="B1737" s="352" t="s">
        <v>3160</v>
      </c>
      <c r="C1737" s="351" t="s">
        <v>4814</v>
      </c>
      <c r="D1737" s="352" t="s">
        <v>312</v>
      </c>
      <c r="E1737" s="352" t="s">
        <v>1999</v>
      </c>
      <c r="F1737" s="353">
        <v>0.6</v>
      </c>
      <c r="G1737" s="352" t="s">
        <v>967</v>
      </c>
      <c r="H1737" s="176" t="s">
        <v>2906</v>
      </c>
      <c r="I1737" s="176" t="s">
        <v>1577</v>
      </c>
      <c r="J1737" s="352" t="s">
        <v>968</v>
      </c>
      <c r="K1737" s="352">
        <v>20</v>
      </c>
      <c r="L1737" s="352" t="s">
        <v>969</v>
      </c>
      <c r="M1737" s="351"/>
      <c r="N1737" s="351"/>
      <c r="O1737" s="351">
        <v>20</v>
      </c>
      <c r="P1737" s="349" t="s">
        <v>1836</v>
      </c>
      <c r="R1737" s="349">
        <f t="shared" si="27"/>
        <v>14</v>
      </c>
      <c r="S1737" s="352"/>
      <c r="T1737" s="352"/>
      <c r="U1737" s="352"/>
      <c r="V1737" s="353"/>
      <c r="W1737" s="352"/>
      <c r="X1737" s="176"/>
      <c r="Y1737" s="176"/>
      <c r="Z1737" s="352"/>
      <c r="AA1737" s="352"/>
      <c r="AB1737" s="352"/>
      <c r="AC1737" s="351"/>
      <c r="AD1737" s="351"/>
    </row>
    <row r="1738" spans="1:30" ht="76.900000000000006" hidden="1" x14ac:dyDescent="0.35">
      <c r="A1738" s="349">
        <v>1737</v>
      </c>
      <c r="B1738" s="352" t="s">
        <v>761</v>
      </c>
      <c r="C1738" s="351" t="s">
        <v>1959</v>
      </c>
      <c r="D1738" s="352" t="s">
        <v>1959</v>
      </c>
      <c r="E1738" s="352" t="s">
        <v>2857</v>
      </c>
      <c r="F1738" s="353">
        <v>14.2</v>
      </c>
      <c r="G1738" s="352" t="s">
        <v>1107</v>
      </c>
      <c r="H1738" s="176" t="s">
        <v>3107</v>
      </c>
      <c r="I1738" s="176" t="s">
        <v>3108</v>
      </c>
      <c r="J1738" s="352" t="s">
        <v>828</v>
      </c>
      <c r="K1738" s="352">
        <v>100</v>
      </c>
      <c r="L1738" s="352" t="s">
        <v>1116</v>
      </c>
      <c r="M1738" s="351">
        <v>10</v>
      </c>
      <c r="N1738" s="351" t="s">
        <v>1109</v>
      </c>
      <c r="O1738" s="351">
        <v>100</v>
      </c>
      <c r="P1738" s="349" t="s">
        <v>1836</v>
      </c>
      <c r="R1738" s="349">
        <f t="shared" si="27"/>
        <v>12</v>
      </c>
      <c r="S1738" s="352"/>
      <c r="T1738" s="352"/>
      <c r="U1738" s="352"/>
      <c r="V1738" s="353"/>
      <c r="W1738" s="352"/>
      <c r="X1738" s="176"/>
      <c r="Y1738" s="176"/>
      <c r="Z1738" s="352"/>
      <c r="AA1738" s="352"/>
      <c r="AB1738" s="352"/>
      <c r="AC1738" s="351"/>
      <c r="AD1738" s="351"/>
    </row>
    <row r="1739" spans="1:30" ht="51.3" hidden="1" x14ac:dyDescent="0.35">
      <c r="A1739" s="349">
        <v>1738</v>
      </c>
      <c r="B1739" s="352" t="s">
        <v>1080</v>
      </c>
      <c r="C1739" s="351" t="s">
        <v>919</v>
      </c>
      <c r="D1739" s="352" t="s">
        <v>919</v>
      </c>
      <c r="E1739" s="352" t="s">
        <v>1998</v>
      </c>
      <c r="F1739" s="353">
        <v>1.5426</v>
      </c>
      <c r="G1739" s="352" t="s">
        <v>2126</v>
      </c>
      <c r="H1739" s="176"/>
      <c r="I1739" s="176" t="s">
        <v>920</v>
      </c>
      <c r="J1739" s="352" t="s">
        <v>22</v>
      </c>
      <c r="K1739" s="352">
        <v>50</v>
      </c>
      <c r="L1739" s="352" t="s">
        <v>23</v>
      </c>
      <c r="M1739" s="351"/>
      <c r="N1739" s="351"/>
      <c r="O1739" s="351">
        <v>50</v>
      </c>
      <c r="P1739" s="349" t="s">
        <v>1836</v>
      </c>
      <c r="R1739" s="349">
        <f t="shared" si="27"/>
        <v>12</v>
      </c>
      <c r="S1739" s="352"/>
      <c r="T1739" s="352"/>
      <c r="U1739" s="352"/>
      <c r="V1739" s="353"/>
      <c r="W1739" s="352"/>
      <c r="X1739" s="176"/>
      <c r="Y1739" s="176"/>
      <c r="Z1739" s="352"/>
      <c r="AA1739" s="352"/>
      <c r="AB1739" s="352"/>
      <c r="AC1739" s="351"/>
      <c r="AD1739" s="351"/>
    </row>
    <row r="1740" spans="1:30" ht="51.3" hidden="1" x14ac:dyDescent="0.35">
      <c r="A1740" s="349">
        <v>1739</v>
      </c>
      <c r="B1740" s="352" t="s">
        <v>1308</v>
      </c>
      <c r="C1740" s="351" t="s">
        <v>4815</v>
      </c>
      <c r="D1740" s="352" t="s">
        <v>3402</v>
      </c>
      <c r="E1740" s="352" t="s">
        <v>1998</v>
      </c>
      <c r="F1740" s="353">
        <v>1.3443000000000001</v>
      </c>
      <c r="G1740" s="352" t="s">
        <v>2126</v>
      </c>
      <c r="H1740" s="176" t="s">
        <v>3791</v>
      </c>
      <c r="I1740" s="176" t="s">
        <v>1019</v>
      </c>
      <c r="J1740" s="352" t="s">
        <v>22</v>
      </c>
      <c r="K1740" s="352">
        <v>100</v>
      </c>
      <c r="L1740" s="352" t="s">
        <v>23</v>
      </c>
      <c r="M1740" s="351"/>
      <c r="N1740" s="351"/>
      <c r="O1740" s="351">
        <v>100</v>
      </c>
      <c r="P1740" s="349" t="s">
        <v>1836</v>
      </c>
      <c r="R1740" s="349">
        <f t="shared" si="27"/>
        <v>9</v>
      </c>
      <c r="S1740" s="352"/>
      <c r="T1740" s="352"/>
      <c r="U1740" s="352"/>
      <c r="V1740" s="353"/>
      <c r="W1740" s="352"/>
      <c r="X1740" s="176"/>
      <c r="Y1740" s="176"/>
      <c r="Z1740" s="352"/>
      <c r="AA1740" s="352"/>
      <c r="AB1740" s="352"/>
      <c r="AC1740" s="351"/>
      <c r="AD1740" s="351"/>
    </row>
    <row r="1741" spans="1:30" ht="89.75" hidden="1" x14ac:dyDescent="0.35">
      <c r="A1741" s="349">
        <v>1740</v>
      </c>
      <c r="B1741" s="352" t="s">
        <v>4029</v>
      </c>
      <c r="C1741" s="351" t="s">
        <v>921</v>
      </c>
      <c r="D1741" s="352" t="s">
        <v>921</v>
      </c>
      <c r="E1741" s="352" t="s">
        <v>762</v>
      </c>
      <c r="F1741" s="353">
        <v>0.81540000000000001</v>
      </c>
      <c r="G1741" s="352" t="s">
        <v>1501</v>
      </c>
      <c r="H1741" s="37" t="s">
        <v>2313</v>
      </c>
      <c r="I1741" s="176" t="s">
        <v>515</v>
      </c>
      <c r="J1741" s="352" t="s">
        <v>828</v>
      </c>
      <c r="K1741" s="352">
        <v>25</v>
      </c>
      <c r="L1741" s="352" t="s">
        <v>1116</v>
      </c>
      <c r="M1741" s="352">
        <v>2</v>
      </c>
      <c r="N1741" s="352" t="s">
        <v>1109</v>
      </c>
      <c r="O1741" s="351">
        <v>25</v>
      </c>
      <c r="P1741" s="349" t="s">
        <v>1836</v>
      </c>
      <c r="R1741" s="349">
        <f t="shared" si="27"/>
        <v>12</v>
      </c>
      <c r="S1741" s="352"/>
      <c r="T1741" s="352"/>
      <c r="U1741" s="352"/>
      <c r="V1741" s="353"/>
      <c r="W1741" s="352"/>
      <c r="X1741" s="176"/>
      <c r="Y1741" s="176"/>
      <c r="Z1741" s="352"/>
      <c r="AA1741" s="352"/>
      <c r="AB1741" s="352"/>
      <c r="AC1741" s="351"/>
      <c r="AD1741" s="351"/>
    </row>
    <row r="1742" spans="1:30" ht="89.75" hidden="1" x14ac:dyDescent="0.35">
      <c r="A1742" s="349">
        <v>1741</v>
      </c>
      <c r="B1742" s="352" t="s">
        <v>4029</v>
      </c>
      <c r="C1742" s="351" t="s">
        <v>921</v>
      </c>
      <c r="D1742" s="352" t="s">
        <v>921</v>
      </c>
      <c r="E1742" s="352" t="s">
        <v>762</v>
      </c>
      <c r="F1742" s="353">
        <v>0.81540000000000001</v>
      </c>
      <c r="G1742" s="352" t="s">
        <v>1501</v>
      </c>
      <c r="H1742" s="176" t="s">
        <v>2313</v>
      </c>
      <c r="I1742" s="176" t="s">
        <v>515</v>
      </c>
      <c r="J1742" s="352" t="s">
        <v>828</v>
      </c>
      <c r="K1742" s="352">
        <v>25</v>
      </c>
      <c r="L1742" s="352" t="s">
        <v>1116</v>
      </c>
      <c r="M1742" s="352">
        <v>2</v>
      </c>
      <c r="N1742" s="352" t="s">
        <v>1109</v>
      </c>
      <c r="O1742" s="351">
        <v>25</v>
      </c>
      <c r="P1742" s="349" t="s">
        <v>1836</v>
      </c>
      <c r="R1742" s="349">
        <f t="shared" si="27"/>
        <v>12</v>
      </c>
      <c r="S1742" s="352"/>
      <c r="T1742" s="352"/>
      <c r="U1742" s="352"/>
      <c r="V1742" s="353"/>
      <c r="W1742" s="352"/>
      <c r="X1742" s="176"/>
      <c r="Y1742" s="176"/>
      <c r="Z1742" s="352"/>
      <c r="AA1742" s="352"/>
      <c r="AB1742" s="352"/>
      <c r="AC1742" s="351"/>
      <c r="AD1742" s="351"/>
    </row>
    <row r="1743" spans="1:30" ht="89.75" hidden="1" x14ac:dyDescent="0.35">
      <c r="A1743" s="349">
        <v>1742</v>
      </c>
      <c r="B1743" s="352" t="s">
        <v>4029</v>
      </c>
      <c r="C1743" s="351" t="s">
        <v>921</v>
      </c>
      <c r="D1743" s="352" t="s">
        <v>921</v>
      </c>
      <c r="E1743" s="352" t="s">
        <v>762</v>
      </c>
      <c r="F1743" s="353">
        <v>0.81540000000000001</v>
      </c>
      <c r="G1743" s="352" t="s">
        <v>1501</v>
      </c>
      <c r="H1743" s="176" t="s">
        <v>2313</v>
      </c>
      <c r="I1743" s="176" t="s">
        <v>515</v>
      </c>
      <c r="J1743" s="352" t="s">
        <v>828</v>
      </c>
      <c r="K1743" s="352">
        <v>25</v>
      </c>
      <c r="L1743" s="352" t="s">
        <v>1116</v>
      </c>
      <c r="M1743" s="352">
        <v>2</v>
      </c>
      <c r="N1743" s="352" t="s">
        <v>1109</v>
      </c>
      <c r="O1743" s="351">
        <v>25</v>
      </c>
      <c r="P1743" s="349" t="s">
        <v>1836</v>
      </c>
      <c r="R1743" s="349">
        <f t="shared" si="27"/>
        <v>12</v>
      </c>
      <c r="S1743" s="352"/>
      <c r="T1743" s="352"/>
      <c r="U1743" s="352"/>
      <c r="V1743" s="353"/>
      <c r="W1743" s="352"/>
      <c r="X1743" s="176"/>
      <c r="Y1743" s="176"/>
      <c r="Z1743" s="352"/>
      <c r="AA1743" s="352"/>
      <c r="AB1743" s="352"/>
      <c r="AC1743" s="351"/>
      <c r="AD1743" s="351"/>
    </row>
    <row r="1744" spans="1:30" ht="89.75" hidden="1" x14ac:dyDescent="0.35">
      <c r="A1744" s="349">
        <v>1743</v>
      </c>
      <c r="B1744" s="352" t="s">
        <v>4029</v>
      </c>
      <c r="C1744" s="351" t="s">
        <v>921</v>
      </c>
      <c r="D1744" s="352" t="s">
        <v>921</v>
      </c>
      <c r="E1744" s="352" t="s">
        <v>762</v>
      </c>
      <c r="F1744" s="353">
        <v>0.81540000000000001</v>
      </c>
      <c r="G1744" s="352" t="s">
        <v>1501</v>
      </c>
      <c r="H1744" s="176" t="s">
        <v>516</v>
      </c>
      <c r="I1744" s="176" t="s">
        <v>515</v>
      </c>
      <c r="J1744" s="352" t="s">
        <v>828</v>
      </c>
      <c r="K1744" s="352">
        <v>25</v>
      </c>
      <c r="L1744" s="352" t="s">
        <v>1116</v>
      </c>
      <c r="M1744" s="352">
        <v>2</v>
      </c>
      <c r="N1744" s="352" t="s">
        <v>1109</v>
      </c>
      <c r="O1744" s="351">
        <v>25</v>
      </c>
      <c r="P1744" s="349" t="s">
        <v>1836</v>
      </c>
      <c r="R1744" s="349">
        <f t="shared" si="27"/>
        <v>12</v>
      </c>
      <c r="S1744" s="352"/>
      <c r="T1744" s="352"/>
      <c r="U1744" s="352"/>
      <c r="V1744" s="353"/>
      <c r="W1744" s="352"/>
      <c r="X1744" s="176"/>
      <c r="Y1744" s="176"/>
      <c r="Z1744" s="352"/>
      <c r="AA1744" s="352"/>
      <c r="AB1744" s="352"/>
      <c r="AC1744" s="351"/>
      <c r="AD1744" s="351"/>
    </row>
    <row r="1745" spans="1:30" ht="89.75" hidden="1" x14ac:dyDescent="0.35">
      <c r="A1745" s="349">
        <v>1744</v>
      </c>
      <c r="B1745" s="352" t="s">
        <v>4029</v>
      </c>
      <c r="C1745" s="351" t="s">
        <v>921</v>
      </c>
      <c r="D1745" s="352" t="s">
        <v>921</v>
      </c>
      <c r="E1745" s="352" t="s">
        <v>762</v>
      </c>
      <c r="F1745" s="353">
        <v>0.81540000000000001</v>
      </c>
      <c r="G1745" s="352" t="s">
        <v>1501</v>
      </c>
      <c r="H1745" s="176" t="s">
        <v>516</v>
      </c>
      <c r="I1745" s="176" t="s">
        <v>515</v>
      </c>
      <c r="J1745" s="352" t="s">
        <v>828</v>
      </c>
      <c r="K1745" s="352">
        <v>25</v>
      </c>
      <c r="L1745" s="352" t="s">
        <v>1116</v>
      </c>
      <c r="M1745" s="352">
        <v>2</v>
      </c>
      <c r="N1745" s="352" t="s">
        <v>1109</v>
      </c>
      <c r="O1745" s="351">
        <v>25</v>
      </c>
      <c r="P1745" s="349" t="s">
        <v>1836</v>
      </c>
      <c r="R1745" s="349">
        <f t="shared" si="27"/>
        <v>12</v>
      </c>
      <c r="S1745" s="352"/>
      <c r="T1745" s="352"/>
      <c r="U1745" s="352"/>
      <c r="V1745" s="353"/>
      <c r="W1745" s="352"/>
      <c r="X1745" s="176"/>
      <c r="Y1745" s="176"/>
      <c r="Z1745" s="352"/>
      <c r="AA1745" s="352"/>
      <c r="AB1745" s="352"/>
      <c r="AC1745" s="351"/>
      <c r="AD1745" s="351"/>
    </row>
    <row r="1746" spans="1:30" ht="89.75" hidden="1" x14ac:dyDescent="0.35">
      <c r="A1746" s="349">
        <v>1745</v>
      </c>
      <c r="B1746" s="352" t="s">
        <v>4029</v>
      </c>
      <c r="C1746" s="351" t="s">
        <v>921</v>
      </c>
      <c r="D1746" s="352" t="s">
        <v>921</v>
      </c>
      <c r="E1746" s="352" t="s">
        <v>2002</v>
      </c>
      <c r="F1746" s="353">
        <v>6.6100000000000006E-2</v>
      </c>
      <c r="G1746" s="352" t="s">
        <v>2126</v>
      </c>
      <c r="H1746" s="37" t="s">
        <v>517</v>
      </c>
      <c r="I1746" s="176" t="s">
        <v>515</v>
      </c>
      <c r="J1746" s="352" t="s">
        <v>1502</v>
      </c>
      <c r="K1746" s="352">
        <v>25</v>
      </c>
      <c r="L1746" s="352" t="s">
        <v>1503</v>
      </c>
      <c r="M1746" s="352"/>
      <c r="N1746" s="352"/>
      <c r="O1746" s="351">
        <v>25</v>
      </c>
      <c r="P1746" s="349" t="s">
        <v>1836</v>
      </c>
      <c r="R1746" s="349">
        <f t="shared" si="27"/>
        <v>12</v>
      </c>
      <c r="S1746" s="352"/>
      <c r="T1746" s="352"/>
      <c r="U1746" s="352"/>
      <c r="V1746" s="353"/>
      <c r="W1746" s="352"/>
      <c r="X1746" s="176"/>
      <c r="Y1746" s="176"/>
      <c r="Z1746" s="352"/>
      <c r="AA1746" s="352"/>
      <c r="AB1746" s="352"/>
      <c r="AC1746" s="351"/>
      <c r="AD1746" s="351"/>
    </row>
    <row r="1747" spans="1:30" ht="89.75" hidden="1" x14ac:dyDescent="0.35">
      <c r="A1747" s="349">
        <v>1746</v>
      </c>
      <c r="B1747" s="352" t="s">
        <v>4029</v>
      </c>
      <c r="C1747" s="351" t="s">
        <v>921</v>
      </c>
      <c r="D1747" s="352" t="s">
        <v>921</v>
      </c>
      <c r="E1747" s="352" t="s">
        <v>1996</v>
      </c>
      <c r="F1747" s="353">
        <v>3.0190999999999999</v>
      </c>
      <c r="G1747" s="352" t="s">
        <v>2126</v>
      </c>
      <c r="H1747" s="176" t="s">
        <v>517</v>
      </c>
      <c r="I1747" s="176" t="s">
        <v>515</v>
      </c>
      <c r="J1747" s="352" t="s">
        <v>3579</v>
      </c>
      <c r="K1747" s="352">
        <v>1</v>
      </c>
      <c r="L1747" s="352" t="s">
        <v>1116</v>
      </c>
      <c r="M1747" s="352"/>
      <c r="N1747" s="352"/>
      <c r="O1747" s="351">
        <v>1</v>
      </c>
      <c r="P1747" s="349" t="s">
        <v>1836</v>
      </c>
      <c r="R1747" s="349">
        <f t="shared" si="27"/>
        <v>12</v>
      </c>
      <c r="S1747" s="352"/>
      <c r="T1747" s="352"/>
      <c r="U1747" s="352"/>
      <c r="V1747" s="353"/>
      <c r="W1747" s="352"/>
      <c r="X1747" s="176"/>
      <c r="Y1747" s="176"/>
      <c r="Z1747" s="352"/>
      <c r="AA1747" s="352"/>
      <c r="AB1747" s="352"/>
      <c r="AC1747" s="351"/>
      <c r="AD1747" s="351"/>
    </row>
    <row r="1748" spans="1:30" ht="89.75" hidden="1" x14ac:dyDescent="0.35">
      <c r="A1748" s="349">
        <v>1747</v>
      </c>
      <c r="B1748" s="352" t="s">
        <v>4029</v>
      </c>
      <c r="C1748" s="351" t="s">
        <v>921</v>
      </c>
      <c r="D1748" s="352" t="s">
        <v>921</v>
      </c>
      <c r="E1748" s="352" t="s">
        <v>762</v>
      </c>
      <c r="F1748" s="353">
        <v>0.81540000000000001</v>
      </c>
      <c r="G1748" s="352" t="s">
        <v>1501</v>
      </c>
      <c r="H1748" s="176" t="s">
        <v>2313</v>
      </c>
      <c r="I1748" s="176" t="s">
        <v>515</v>
      </c>
      <c r="J1748" s="352" t="s">
        <v>828</v>
      </c>
      <c r="K1748" s="352">
        <v>25</v>
      </c>
      <c r="L1748" s="352" t="s">
        <v>1116</v>
      </c>
      <c r="M1748" s="352">
        <v>2</v>
      </c>
      <c r="N1748" s="352" t="s">
        <v>1109</v>
      </c>
      <c r="O1748" s="351">
        <v>25</v>
      </c>
      <c r="P1748" s="349" t="s">
        <v>1836</v>
      </c>
      <c r="R1748" s="349">
        <f t="shared" si="27"/>
        <v>12</v>
      </c>
      <c r="S1748" s="352"/>
      <c r="T1748" s="352"/>
      <c r="U1748" s="352"/>
      <c r="V1748" s="353"/>
      <c r="W1748" s="352"/>
      <c r="X1748" s="176"/>
      <c r="Y1748" s="176"/>
      <c r="Z1748" s="352"/>
      <c r="AA1748" s="352"/>
      <c r="AB1748" s="352"/>
      <c r="AC1748" s="351"/>
      <c r="AD1748" s="351"/>
    </row>
    <row r="1749" spans="1:30" ht="89.75" hidden="1" x14ac:dyDescent="0.35">
      <c r="A1749" s="349">
        <v>1748</v>
      </c>
      <c r="B1749" s="352" t="s">
        <v>4029</v>
      </c>
      <c r="C1749" s="351" t="s">
        <v>921</v>
      </c>
      <c r="D1749" s="352" t="s">
        <v>921</v>
      </c>
      <c r="E1749" s="352" t="s">
        <v>762</v>
      </c>
      <c r="F1749" s="353">
        <v>0.81540000000000001</v>
      </c>
      <c r="G1749" s="352" t="s">
        <v>1501</v>
      </c>
      <c r="H1749" s="176" t="s">
        <v>2313</v>
      </c>
      <c r="I1749" s="176" t="s">
        <v>515</v>
      </c>
      <c r="J1749" s="352" t="s">
        <v>828</v>
      </c>
      <c r="K1749" s="352">
        <v>25</v>
      </c>
      <c r="L1749" s="352" t="s">
        <v>1116</v>
      </c>
      <c r="M1749" s="352">
        <v>2</v>
      </c>
      <c r="N1749" s="352" t="s">
        <v>1109</v>
      </c>
      <c r="O1749" s="351">
        <v>25</v>
      </c>
      <c r="P1749" s="349" t="s">
        <v>1836</v>
      </c>
      <c r="R1749" s="349">
        <f t="shared" si="27"/>
        <v>12</v>
      </c>
      <c r="S1749" s="352"/>
      <c r="T1749" s="352"/>
      <c r="U1749" s="352"/>
      <c r="V1749" s="353"/>
      <c r="W1749" s="352"/>
      <c r="X1749" s="176"/>
      <c r="Y1749" s="176"/>
      <c r="Z1749" s="352"/>
      <c r="AA1749" s="352"/>
      <c r="AB1749" s="352"/>
      <c r="AC1749" s="351"/>
      <c r="AD1749" s="351"/>
    </row>
    <row r="1750" spans="1:30" ht="89.75" hidden="1" x14ac:dyDescent="0.35">
      <c r="A1750" s="349">
        <v>1749</v>
      </c>
      <c r="B1750" s="352" t="s">
        <v>4029</v>
      </c>
      <c r="C1750" s="351" t="s">
        <v>921</v>
      </c>
      <c r="D1750" s="352" t="s">
        <v>921</v>
      </c>
      <c r="E1750" s="352" t="s">
        <v>762</v>
      </c>
      <c r="F1750" s="353">
        <v>0.81540000000000001</v>
      </c>
      <c r="G1750" s="352" t="s">
        <v>1501</v>
      </c>
      <c r="H1750" s="176" t="s">
        <v>2313</v>
      </c>
      <c r="I1750" s="176" t="s">
        <v>515</v>
      </c>
      <c r="J1750" s="352" t="s">
        <v>828</v>
      </c>
      <c r="K1750" s="352">
        <v>25</v>
      </c>
      <c r="L1750" s="352" t="s">
        <v>1116</v>
      </c>
      <c r="M1750" s="352">
        <v>2</v>
      </c>
      <c r="N1750" s="352" t="s">
        <v>1109</v>
      </c>
      <c r="O1750" s="351">
        <v>25</v>
      </c>
      <c r="P1750" s="349" t="s">
        <v>1836</v>
      </c>
      <c r="R1750" s="349">
        <f t="shared" si="27"/>
        <v>12</v>
      </c>
      <c r="S1750" s="352"/>
      <c r="T1750" s="352"/>
      <c r="U1750" s="352"/>
      <c r="V1750" s="353"/>
      <c r="W1750" s="352"/>
      <c r="X1750" s="176"/>
      <c r="Y1750" s="176"/>
      <c r="Z1750" s="352"/>
      <c r="AA1750" s="352"/>
      <c r="AB1750" s="352"/>
      <c r="AC1750" s="351"/>
      <c r="AD1750" s="351"/>
    </row>
    <row r="1751" spans="1:30" ht="89.75" hidden="1" x14ac:dyDescent="0.35">
      <c r="A1751" s="349">
        <v>1750</v>
      </c>
      <c r="B1751" s="352" t="s">
        <v>4029</v>
      </c>
      <c r="C1751" s="351" t="s">
        <v>921</v>
      </c>
      <c r="D1751" s="352" t="s">
        <v>921</v>
      </c>
      <c r="E1751" s="352" t="s">
        <v>762</v>
      </c>
      <c r="F1751" s="353">
        <v>0.81540000000000001</v>
      </c>
      <c r="G1751" s="352" t="s">
        <v>1501</v>
      </c>
      <c r="H1751" s="176" t="s">
        <v>516</v>
      </c>
      <c r="I1751" s="176" t="s">
        <v>515</v>
      </c>
      <c r="J1751" s="352" t="s">
        <v>828</v>
      </c>
      <c r="K1751" s="352">
        <v>25</v>
      </c>
      <c r="L1751" s="352" t="s">
        <v>1116</v>
      </c>
      <c r="M1751" s="352">
        <v>2</v>
      </c>
      <c r="N1751" s="352" t="s">
        <v>1109</v>
      </c>
      <c r="O1751" s="351">
        <v>25</v>
      </c>
      <c r="P1751" s="349" t="s">
        <v>1836</v>
      </c>
      <c r="R1751" s="349">
        <f t="shared" si="27"/>
        <v>12</v>
      </c>
      <c r="S1751" s="352"/>
      <c r="T1751" s="352"/>
      <c r="U1751" s="352"/>
      <c r="V1751" s="353"/>
      <c r="W1751" s="352"/>
      <c r="X1751" s="176"/>
      <c r="Y1751" s="176"/>
      <c r="Z1751" s="352"/>
      <c r="AA1751" s="352"/>
      <c r="AB1751" s="352"/>
      <c r="AC1751" s="351"/>
      <c r="AD1751" s="351"/>
    </row>
    <row r="1752" spans="1:30" ht="89.75" hidden="1" x14ac:dyDescent="0.35">
      <c r="A1752" s="349">
        <v>1751</v>
      </c>
      <c r="B1752" s="352" t="s">
        <v>4029</v>
      </c>
      <c r="C1752" s="351" t="s">
        <v>921</v>
      </c>
      <c r="D1752" s="352" t="s">
        <v>921</v>
      </c>
      <c r="E1752" s="352" t="s">
        <v>762</v>
      </c>
      <c r="F1752" s="353">
        <v>0.81540000000000001</v>
      </c>
      <c r="G1752" s="352" t="s">
        <v>1501</v>
      </c>
      <c r="H1752" s="176" t="s">
        <v>516</v>
      </c>
      <c r="I1752" s="176" t="s">
        <v>515</v>
      </c>
      <c r="J1752" s="352" t="s">
        <v>828</v>
      </c>
      <c r="K1752" s="352">
        <v>25</v>
      </c>
      <c r="L1752" s="352" t="s">
        <v>1116</v>
      </c>
      <c r="M1752" s="351">
        <v>2</v>
      </c>
      <c r="N1752" s="351" t="s">
        <v>1109</v>
      </c>
      <c r="O1752" s="351">
        <v>25</v>
      </c>
      <c r="P1752" s="349" t="s">
        <v>1836</v>
      </c>
      <c r="R1752" s="349">
        <f t="shared" si="27"/>
        <v>12</v>
      </c>
      <c r="S1752" s="352"/>
      <c r="T1752" s="352"/>
      <c r="U1752" s="352"/>
      <c r="V1752" s="353"/>
      <c r="W1752" s="352"/>
      <c r="X1752" s="176"/>
      <c r="Y1752" s="176"/>
      <c r="Z1752" s="352"/>
      <c r="AA1752" s="352"/>
      <c r="AB1752" s="352"/>
      <c r="AC1752" s="351"/>
      <c r="AD1752" s="351"/>
    </row>
    <row r="1753" spans="1:30" ht="89.75" hidden="1" x14ac:dyDescent="0.35">
      <c r="A1753" s="349">
        <v>1752</v>
      </c>
      <c r="B1753" s="352" t="s">
        <v>4029</v>
      </c>
      <c r="C1753" s="351" t="s">
        <v>921</v>
      </c>
      <c r="D1753" s="352" t="s">
        <v>921</v>
      </c>
      <c r="E1753" s="352" t="s">
        <v>2002</v>
      </c>
      <c r="F1753" s="353">
        <v>6.6100000000000006E-2</v>
      </c>
      <c r="G1753" s="352" t="s">
        <v>2126</v>
      </c>
      <c r="H1753" s="176" t="s">
        <v>517</v>
      </c>
      <c r="I1753" s="176" t="s">
        <v>515</v>
      </c>
      <c r="J1753" s="352" t="s">
        <v>1502</v>
      </c>
      <c r="K1753" s="352">
        <v>25</v>
      </c>
      <c r="L1753" s="352" t="s">
        <v>1503</v>
      </c>
      <c r="M1753" s="352"/>
      <c r="N1753" s="352"/>
      <c r="O1753" s="351">
        <v>25</v>
      </c>
      <c r="P1753" s="349" t="s">
        <v>1836</v>
      </c>
      <c r="R1753" s="349">
        <f t="shared" si="27"/>
        <v>12</v>
      </c>
      <c r="S1753" s="352"/>
      <c r="T1753" s="352"/>
      <c r="U1753" s="352"/>
      <c r="V1753" s="353"/>
      <c r="W1753" s="352"/>
      <c r="X1753" s="176"/>
      <c r="Y1753" s="176"/>
      <c r="Z1753" s="352"/>
      <c r="AA1753" s="352"/>
      <c r="AB1753" s="352"/>
      <c r="AC1753" s="351"/>
      <c r="AD1753" s="351"/>
    </row>
    <row r="1754" spans="1:30" ht="89.75" hidden="1" x14ac:dyDescent="0.35">
      <c r="A1754" s="349">
        <v>1753</v>
      </c>
      <c r="B1754" s="352" t="s">
        <v>4029</v>
      </c>
      <c r="C1754" s="351" t="s">
        <v>921</v>
      </c>
      <c r="D1754" s="352" t="s">
        <v>921</v>
      </c>
      <c r="E1754" s="352" t="s">
        <v>1996</v>
      </c>
      <c r="F1754" s="353">
        <v>3.0190999999999999</v>
      </c>
      <c r="G1754" s="352" t="s">
        <v>2126</v>
      </c>
      <c r="H1754" s="176" t="s">
        <v>517</v>
      </c>
      <c r="I1754" s="37" t="s">
        <v>515</v>
      </c>
      <c r="J1754" s="352" t="s">
        <v>3579</v>
      </c>
      <c r="K1754" s="351">
        <v>1</v>
      </c>
      <c r="L1754" s="351" t="s">
        <v>1116</v>
      </c>
      <c r="M1754" s="352"/>
      <c r="N1754" s="352"/>
      <c r="O1754" s="351">
        <v>1</v>
      </c>
      <c r="P1754" s="349" t="s">
        <v>1836</v>
      </c>
      <c r="R1754" s="349">
        <f t="shared" si="27"/>
        <v>12</v>
      </c>
      <c r="S1754" s="352"/>
      <c r="T1754" s="352"/>
      <c r="U1754" s="352"/>
      <c r="V1754" s="353"/>
      <c r="W1754" s="352"/>
      <c r="X1754" s="176"/>
      <c r="Y1754" s="176"/>
      <c r="Z1754" s="352"/>
      <c r="AA1754" s="352"/>
      <c r="AB1754" s="352"/>
      <c r="AC1754" s="352"/>
      <c r="AD1754" s="352"/>
    </row>
    <row r="1755" spans="1:30" ht="76.900000000000006" hidden="1" x14ac:dyDescent="0.35">
      <c r="A1755" s="349">
        <v>1754</v>
      </c>
      <c r="B1755" s="352" t="s">
        <v>761</v>
      </c>
      <c r="C1755" s="351" t="s">
        <v>4816</v>
      </c>
      <c r="D1755" s="352" t="s">
        <v>1959</v>
      </c>
      <c r="E1755" s="352" t="s">
        <v>2857</v>
      </c>
      <c r="F1755" s="353">
        <v>14.2</v>
      </c>
      <c r="G1755" s="352" t="s">
        <v>1107</v>
      </c>
      <c r="H1755" s="176" t="s">
        <v>3107</v>
      </c>
      <c r="I1755" s="37" t="s">
        <v>3108</v>
      </c>
      <c r="J1755" s="352" t="s">
        <v>828</v>
      </c>
      <c r="K1755" s="351">
        <v>100</v>
      </c>
      <c r="L1755" s="351" t="s">
        <v>1116</v>
      </c>
      <c r="M1755" s="352">
        <v>10</v>
      </c>
      <c r="N1755" s="352" t="s">
        <v>1109</v>
      </c>
      <c r="O1755" s="351">
        <v>100</v>
      </c>
      <c r="P1755" s="349" t="s">
        <v>1836</v>
      </c>
      <c r="R1755" s="349">
        <f t="shared" si="27"/>
        <v>12</v>
      </c>
      <c r="S1755" s="352"/>
      <c r="T1755" s="352"/>
      <c r="U1755" s="352"/>
      <c r="V1755" s="353"/>
      <c r="W1755" s="352"/>
      <c r="X1755" s="176"/>
      <c r="Y1755" s="176"/>
      <c r="Z1755" s="352"/>
      <c r="AA1755" s="352"/>
      <c r="AB1755" s="352"/>
      <c r="AC1755" s="351"/>
      <c r="AD1755" s="351"/>
    </row>
    <row r="1756" spans="1:30" ht="115.35" hidden="1" x14ac:dyDescent="0.35">
      <c r="A1756" s="349">
        <v>1755</v>
      </c>
      <c r="B1756" s="352" t="s">
        <v>761</v>
      </c>
      <c r="C1756" s="351" t="s">
        <v>3564</v>
      </c>
      <c r="D1756" s="352" t="s">
        <v>3564</v>
      </c>
      <c r="E1756" s="352" t="s">
        <v>780</v>
      </c>
      <c r="F1756" s="353">
        <v>8.0876000000000001</v>
      </c>
      <c r="G1756" s="352" t="s">
        <v>1107</v>
      </c>
      <c r="H1756" s="176" t="s">
        <v>759</v>
      </c>
      <c r="I1756" s="176" t="s">
        <v>4235</v>
      </c>
      <c r="J1756" s="352" t="s">
        <v>828</v>
      </c>
      <c r="K1756" s="352">
        <v>3.5</v>
      </c>
      <c r="L1756" s="352" t="s">
        <v>1116</v>
      </c>
      <c r="M1756" s="352">
        <v>20</v>
      </c>
      <c r="N1756" s="352" t="s">
        <v>1109</v>
      </c>
      <c r="O1756" s="351">
        <v>3.5</v>
      </c>
      <c r="P1756" s="349" t="s">
        <v>1836</v>
      </c>
      <c r="R1756" s="349">
        <f t="shared" si="27"/>
        <v>10</v>
      </c>
      <c r="S1756" s="352"/>
      <c r="T1756" s="352"/>
      <c r="U1756" s="352"/>
      <c r="V1756" s="353"/>
      <c r="W1756" s="352"/>
      <c r="X1756" s="176"/>
      <c r="Y1756" s="176"/>
      <c r="Z1756" s="352"/>
      <c r="AA1756" s="352"/>
      <c r="AB1756" s="352"/>
      <c r="AC1756" s="351"/>
      <c r="AD1756" s="351"/>
    </row>
    <row r="1757" spans="1:30" ht="115.35" hidden="1" x14ac:dyDescent="0.35">
      <c r="A1757" s="349">
        <v>1756</v>
      </c>
      <c r="B1757" s="352" t="s">
        <v>761</v>
      </c>
      <c r="C1757" s="351" t="s">
        <v>3564</v>
      </c>
      <c r="D1757" s="352" t="s">
        <v>3564</v>
      </c>
      <c r="E1757" s="352" t="s">
        <v>2003</v>
      </c>
      <c r="F1757" s="353">
        <v>0.48480000000000001</v>
      </c>
      <c r="G1757" s="352" t="s">
        <v>2126</v>
      </c>
      <c r="H1757" s="176" t="s">
        <v>2292</v>
      </c>
      <c r="I1757" s="176" t="s">
        <v>4235</v>
      </c>
      <c r="J1757" s="352" t="s">
        <v>966</v>
      </c>
      <c r="K1757" s="352">
        <v>150</v>
      </c>
      <c r="L1757" s="352" t="s">
        <v>3581</v>
      </c>
      <c r="M1757" s="352"/>
      <c r="N1757" s="352"/>
      <c r="O1757" s="351">
        <v>150</v>
      </c>
      <c r="P1757" s="349" t="s">
        <v>1836</v>
      </c>
      <c r="R1757" s="349">
        <f t="shared" si="27"/>
        <v>10</v>
      </c>
      <c r="S1757" s="352"/>
      <c r="T1757" s="352"/>
      <c r="U1757" s="352"/>
      <c r="V1757" s="353"/>
      <c r="W1757" s="352"/>
      <c r="X1757" s="176"/>
      <c r="Y1757" s="176"/>
      <c r="Z1757" s="352"/>
      <c r="AA1757" s="352"/>
      <c r="AB1757" s="352"/>
      <c r="AC1757" s="351"/>
      <c r="AD1757" s="351"/>
    </row>
    <row r="1758" spans="1:30" ht="25.65" hidden="1" x14ac:dyDescent="0.35">
      <c r="A1758" s="349">
        <v>1757</v>
      </c>
      <c r="B1758" s="352" t="s">
        <v>1322</v>
      </c>
      <c r="C1758" s="351" t="s">
        <v>2556</v>
      </c>
      <c r="D1758" s="352" t="s">
        <v>5047</v>
      </c>
      <c r="E1758" s="352" t="s">
        <v>1325</v>
      </c>
      <c r="F1758" s="353">
        <v>6.4</v>
      </c>
      <c r="G1758" s="352" t="s">
        <v>34</v>
      </c>
      <c r="H1758" s="176" t="s">
        <v>2557</v>
      </c>
      <c r="I1758" s="176" t="s">
        <v>2313</v>
      </c>
      <c r="J1758" s="352" t="s">
        <v>469</v>
      </c>
      <c r="K1758" s="352"/>
      <c r="L1758" s="352"/>
      <c r="M1758" s="351">
        <v>1000</v>
      </c>
      <c r="N1758" s="351" t="s">
        <v>1109</v>
      </c>
      <c r="O1758" s="351">
        <v>0</v>
      </c>
      <c r="P1758" s="349" t="s">
        <v>1837</v>
      </c>
      <c r="R1758" s="349">
        <f t="shared" si="27"/>
        <v>32</v>
      </c>
      <c r="S1758" s="352"/>
      <c r="T1758" s="352"/>
      <c r="U1758" s="352"/>
      <c r="V1758" s="353"/>
      <c r="W1758" s="352"/>
      <c r="X1758" s="176"/>
      <c r="Y1758" s="176"/>
      <c r="Z1758" s="352"/>
      <c r="AA1758" s="352"/>
      <c r="AB1758" s="352"/>
      <c r="AC1758" s="352"/>
      <c r="AD1758" s="352"/>
    </row>
    <row r="1759" spans="1:30" hidden="1" x14ac:dyDescent="0.35">
      <c r="A1759" s="349">
        <v>1758</v>
      </c>
      <c r="B1759" s="352" t="s">
        <v>1322</v>
      </c>
      <c r="C1759" s="351" t="s">
        <v>2556</v>
      </c>
      <c r="D1759" s="352" t="s">
        <v>5047</v>
      </c>
      <c r="E1759" s="352" t="s">
        <v>1325</v>
      </c>
      <c r="F1759" s="353">
        <v>6.4</v>
      </c>
      <c r="G1759" s="352" t="s">
        <v>34</v>
      </c>
      <c r="H1759" s="176"/>
      <c r="I1759" s="176" t="s">
        <v>2313</v>
      </c>
      <c r="J1759" s="352" t="s">
        <v>469</v>
      </c>
      <c r="K1759" s="352"/>
      <c r="L1759" s="352"/>
      <c r="M1759" s="351">
        <v>1000</v>
      </c>
      <c r="N1759" s="351" t="s">
        <v>1109</v>
      </c>
      <c r="O1759" s="351">
        <v>0</v>
      </c>
      <c r="P1759" s="349" t="s">
        <v>1837</v>
      </c>
      <c r="R1759" s="349">
        <f t="shared" si="27"/>
        <v>32</v>
      </c>
      <c r="S1759" s="352"/>
      <c r="T1759" s="352"/>
      <c r="U1759" s="352"/>
      <c r="V1759" s="353"/>
      <c r="W1759" s="352"/>
      <c r="X1759" s="176"/>
      <c r="Y1759" s="176"/>
      <c r="Z1759" s="352"/>
      <c r="AA1759" s="352"/>
      <c r="AB1759" s="352"/>
      <c r="AC1759" s="351"/>
      <c r="AD1759" s="351"/>
    </row>
    <row r="1760" spans="1:30" ht="89.75" hidden="1" x14ac:dyDescent="0.35">
      <c r="A1760" s="349">
        <v>1759</v>
      </c>
      <c r="B1760" s="352" t="s">
        <v>1073</v>
      </c>
      <c r="C1760" s="351" t="s">
        <v>2110</v>
      </c>
      <c r="D1760" s="352" t="s">
        <v>2110</v>
      </c>
      <c r="E1760" s="352" t="s">
        <v>780</v>
      </c>
      <c r="F1760" s="353">
        <v>4.3600000000000003</v>
      </c>
      <c r="G1760" s="352" t="s">
        <v>1107</v>
      </c>
      <c r="H1760" s="176" t="s">
        <v>2734</v>
      </c>
      <c r="I1760" s="176" t="s">
        <v>5078</v>
      </c>
      <c r="J1760" s="352" t="s">
        <v>828</v>
      </c>
      <c r="K1760" s="352">
        <v>10</v>
      </c>
      <c r="L1760" s="352" t="s">
        <v>1116</v>
      </c>
      <c r="M1760" s="352">
        <v>20</v>
      </c>
      <c r="N1760" s="352" t="s">
        <v>1109</v>
      </c>
      <c r="O1760" s="351">
        <v>10</v>
      </c>
      <c r="P1760" s="349" t="s">
        <v>1836</v>
      </c>
      <c r="R1760" s="349">
        <f t="shared" si="27"/>
        <v>8</v>
      </c>
      <c r="S1760" s="352"/>
      <c r="T1760" s="352"/>
      <c r="U1760" s="352"/>
      <c r="V1760" s="353"/>
      <c r="W1760" s="352"/>
      <c r="X1760" s="176"/>
      <c r="Y1760" s="176"/>
      <c r="Z1760" s="352"/>
      <c r="AA1760" s="352"/>
      <c r="AB1760" s="352"/>
      <c r="AC1760" s="352"/>
      <c r="AD1760" s="352"/>
    </row>
    <row r="1761" spans="1:30" ht="89.75" hidden="1" x14ac:dyDescent="0.35">
      <c r="A1761" s="349">
        <v>1760</v>
      </c>
      <c r="B1761" s="352" t="s">
        <v>1073</v>
      </c>
      <c r="C1761" s="351" t="s">
        <v>2110</v>
      </c>
      <c r="D1761" s="352" t="s">
        <v>2110</v>
      </c>
      <c r="E1761" s="352" t="s">
        <v>1754</v>
      </c>
      <c r="F1761" s="353">
        <v>15.21</v>
      </c>
      <c r="G1761" s="352" t="s">
        <v>1107</v>
      </c>
      <c r="H1761" s="176" t="s">
        <v>2734</v>
      </c>
      <c r="I1761" s="176" t="s">
        <v>5078</v>
      </c>
      <c r="J1761" s="352" t="s">
        <v>1115</v>
      </c>
      <c r="K1761" s="352">
        <v>20</v>
      </c>
      <c r="L1761" s="352" t="s">
        <v>1116</v>
      </c>
      <c r="M1761" s="351">
        <v>50</v>
      </c>
      <c r="N1761" s="351" t="s">
        <v>1109</v>
      </c>
      <c r="O1761" s="351">
        <v>20</v>
      </c>
      <c r="P1761" s="349" t="s">
        <v>1836</v>
      </c>
      <c r="R1761" s="349">
        <f t="shared" si="27"/>
        <v>8</v>
      </c>
      <c r="S1761" s="352"/>
      <c r="T1761" s="352"/>
      <c r="U1761" s="352"/>
      <c r="V1761" s="353"/>
      <c r="W1761" s="352"/>
      <c r="X1761" s="176"/>
      <c r="Y1761" s="176"/>
      <c r="Z1761" s="352"/>
      <c r="AA1761" s="352"/>
      <c r="AB1761" s="352"/>
      <c r="AC1761" s="351"/>
      <c r="AD1761" s="351"/>
    </row>
    <row r="1762" spans="1:30" ht="192.25" hidden="1" x14ac:dyDescent="0.35">
      <c r="A1762" s="349">
        <v>1761</v>
      </c>
      <c r="B1762" s="352" t="s">
        <v>2070</v>
      </c>
      <c r="C1762" s="351" t="s">
        <v>2463</v>
      </c>
      <c r="D1762" s="352" t="s">
        <v>2463</v>
      </c>
      <c r="E1762" s="352" t="s">
        <v>2855</v>
      </c>
      <c r="F1762" s="353">
        <v>1.3</v>
      </c>
      <c r="G1762" s="352" t="s">
        <v>1107</v>
      </c>
      <c r="H1762" s="176" t="s">
        <v>99</v>
      </c>
      <c r="I1762" s="176" t="s">
        <v>4941</v>
      </c>
      <c r="J1762" s="352" t="s">
        <v>828</v>
      </c>
      <c r="K1762" s="352">
        <v>1</v>
      </c>
      <c r="L1762" s="352" t="s">
        <v>1116</v>
      </c>
      <c r="M1762" s="351">
        <v>1</v>
      </c>
      <c r="N1762" s="351" t="s">
        <v>1109</v>
      </c>
      <c r="O1762" s="351">
        <v>1</v>
      </c>
      <c r="P1762" s="349" t="s">
        <v>1836</v>
      </c>
      <c r="R1762" s="349">
        <f t="shared" si="27"/>
        <v>11</v>
      </c>
      <c r="S1762" s="352"/>
      <c r="T1762" s="352"/>
      <c r="U1762" s="352"/>
      <c r="V1762" s="353"/>
      <c r="W1762" s="352"/>
      <c r="X1762" s="176"/>
      <c r="Y1762" s="176"/>
      <c r="Z1762" s="352"/>
      <c r="AA1762" s="352"/>
      <c r="AB1762" s="352"/>
      <c r="AC1762" s="352"/>
      <c r="AD1762" s="352"/>
    </row>
    <row r="1763" spans="1:30" ht="192.25" hidden="1" x14ac:dyDescent="0.35">
      <c r="A1763" s="349">
        <v>1762</v>
      </c>
      <c r="B1763" s="352" t="s">
        <v>2070</v>
      </c>
      <c r="C1763" s="351" t="s">
        <v>2463</v>
      </c>
      <c r="D1763" s="352" t="s">
        <v>2463</v>
      </c>
      <c r="E1763" s="352" t="s">
        <v>1995</v>
      </c>
      <c r="F1763" s="353">
        <v>8.8099999999999998E-2</v>
      </c>
      <c r="G1763" s="352" t="s">
        <v>2126</v>
      </c>
      <c r="H1763" s="176" t="s">
        <v>4462</v>
      </c>
      <c r="I1763" s="176" t="s">
        <v>4941</v>
      </c>
      <c r="J1763" s="352" t="s">
        <v>3580</v>
      </c>
      <c r="K1763" s="352">
        <v>10</v>
      </c>
      <c r="L1763" s="352" t="s">
        <v>3581</v>
      </c>
      <c r="M1763" s="352"/>
      <c r="N1763" s="352"/>
      <c r="O1763" s="351">
        <v>10</v>
      </c>
      <c r="P1763" s="349" t="s">
        <v>1836</v>
      </c>
      <c r="R1763" s="349">
        <f t="shared" si="27"/>
        <v>11</v>
      </c>
      <c r="S1763" s="352"/>
      <c r="T1763" s="352"/>
      <c r="U1763" s="352"/>
      <c r="V1763" s="353"/>
      <c r="W1763" s="352"/>
      <c r="X1763" s="176"/>
      <c r="Y1763" s="176"/>
      <c r="Z1763" s="352"/>
      <c r="AA1763" s="352"/>
      <c r="AB1763" s="352"/>
      <c r="AC1763" s="351"/>
      <c r="AD1763" s="351"/>
    </row>
    <row r="1764" spans="1:30" ht="192.25" hidden="1" x14ac:dyDescent="0.35">
      <c r="A1764" s="349">
        <v>1763</v>
      </c>
      <c r="B1764" s="352" t="s">
        <v>2070</v>
      </c>
      <c r="C1764" s="351" t="s">
        <v>2463</v>
      </c>
      <c r="D1764" s="352" t="s">
        <v>2463</v>
      </c>
      <c r="E1764" s="352" t="s">
        <v>1995</v>
      </c>
      <c r="F1764" s="353">
        <v>0.13220000000000001</v>
      </c>
      <c r="G1764" s="352" t="s">
        <v>2126</v>
      </c>
      <c r="H1764" s="176" t="s">
        <v>4462</v>
      </c>
      <c r="I1764" s="176" t="s">
        <v>4941</v>
      </c>
      <c r="J1764" s="352" t="s">
        <v>3580</v>
      </c>
      <c r="K1764" s="352">
        <v>40</v>
      </c>
      <c r="L1764" s="352" t="s">
        <v>3581</v>
      </c>
      <c r="M1764" s="352"/>
      <c r="N1764" s="352"/>
      <c r="O1764" s="351">
        <v>40</v>
      </c>
      <c r="P1764" s="349" t="s">
        <v>1836</v>
      </c>
      <c r="R1764" s="349">
        <f t="shared" si="27"/>
        <v>11</v>
      </c>
      <c r="S1764" s="352"/>
      <c r="T1764" s="352"/>
      <c r="U1764" s="352"/>
      <c r="V1764" s="353"/>
      <c r="W1764" s="352"/>
      <c r="X1764" s="176"/>
      <c r="Y1764" s="176"/>
      <c r="Z1764" s="352"/>
      <c r="AA1764" s="352"/>
      <c r="AB1764" s="352"/>
      <c r="AC1764" s="351"/>
      <c r="AD1764" s="351"/>
    </row>
    <row r="1765" spans="1:30" ht="102.55" hidden="1" x14ac:dyDescent="0.35">
      <c r="A1765" s="349">
        <v>1764</v>
      </c>
      <c r="B1765" s="352" t="s">
        <v>1799</v>
      </c>
      <c r="C1765" s="351" t="s">
        <v>3642</v>
      </c>
      <c r="D1765" s="352" t="s">
        <v>3642</v>
      </c>
      <c r="E1765" s="352" t="s">
        <v>1995</v>
      </c>
      <c r="F1765" s="353">
        <v>8.8099999999999998E-2</v>
      </c>
      <c r="G1765" s="352" t="s">
        <v>2126</v>
      </c>
      <c r="H1765" s="176" t="s">
        <v>1056</v>
      </c>
      <c r="I1765" s="176" t="s">
        <v>1576</v>
      </c>
      <c r="J1765" s="352" t="s">
        <v>3580</v>
      </c>
      <c r="K1765" s="352">
        <v>50</v>
      </c>
      <c r="L1765" s="352" t="s">
        <v>3581</v>
      </c>
      <c r="M1765" s="352"/>
      <c r="N1765" s="352"/>
      <c r="O1765" s="351">
        <v>50</v>
      </c>
      <c r="P1765" s="349" t="s">
        <v>1836</v>
      </c>
      <c r="R1765" s="349">
        <f t="shared" si="27"/>
        <v>16</v>
      </c>
      <c r="S1765" s="352"/>
      <c r="T1765" s="352"/>
      <c r="U1765" s="352"/>
      <c r="V1765" s="353"/>
      <c r="W1765" s="352"/>
      <c r="X1765" s="176"/>
      <c r="Y1765" s="176"/>
      <c r="Z1765" s="352"/>
      <c r="AA1765" s="352"/>
      <c r="AB1765" s="352"/>
      <c r="AC1765" s="351"/>
      <c r="AD1765" s="351"/>
    </row>
    <row r="1766" spans="1:30" ht="102.55" hidden="1" x14ac:dyDescent="0.35">
      <c r="A1766" s="349">
        <v>1765</v>
      </c>
      <c r="B1766" s="352" t="s">
        <v>1799</v>
      </c>
      <c r="C1766" s="351" t="s">
        <v>3642</v>
      </c>
      <c r="D1766" s="352" t="s">
        <v>3642</v>
      </c>
      <c r="E1766" s="352" t="s">
        <v>1995</v>
      </c>
      <c r="F1766" s="353">
        <v>8.8099999999999998E-2</v>
      </c>
      <c r="G1766" s="352" t="s">
        <v>2126</v>
      </c>
      <c r="H1766" s="176" t="s">
        <v>1056</v>
      </c>
      <c r="I1766" s="176" t="s">
        <v>1576</v>
      </c>
      <c r="J1766" s="352" t="s">
        <v>3580</v>
      </c>
      <c r="K1766" s="352">
        <v>50</v>
      </c>
      <c r="L1766" s="352" t="s">
        <v>3581</v>
      </c>
      <c r="M1766" s="352"/>
      <c r="N1766" s="352"/>
      <c r="O1766" s="351">
        <v>50</v>
      </c>
      <c r="P1766" s="349" t="s">
        <v>1836</v>
      </c>
      <c r="R1766" s="349">
        <f t="shared" si="27"/>
        <v>16</v>
      </c>
      <c r="S1766" s="352"/>
      <c r="T1766" s="352"/>
      <c r="U1766" s="352"/>
      <c r="V1766" s="353"/>
      <c r="W1766" s="352"/>
      <c r="X1766" s="176"/>
      <c r="Y1766" s="176"/>
      <c r="Z1766" s="352"/>
      <c r="AA1766" s="352"/>
      <c r="AB1766" s="352"/>
      <c r="AC1766" s="351"/>
      <c r="AD1766" s="351"/>
    </row>
    <row r="1767" spans="1:30" ht="166.65" hidden="1" x14ac:dyDescent="0.35">
      <c r="A1767" s="349">
        <v>1766</v>
      </c>
      <c r="B1767" s="352" t="s">
        <v>2694</v>
      </c>
      <c r="C1767" s="351" t="s">
        <v>4817</v>
      </c>
      <c r="D1767" s="352" t="s">
        <v>1673</v>
      </c>
      <c r="E1767" s="352" t="s">
        <v>2855</v>
      </c>
      <c r="F1767" s="353">
        <v>233.1525</v>
      </c>
      <c r="G1767" s="352" t="s">
        <v>1107</v>
      </c>
      <c r="H1767" s="176" t="s">
        <v>4481</v>
      </c>
      <c r="I1767" s="176" t="s">
        <v>4489</v>
      </c>
      <c r="J1767" s="352" t="s">
        <v>828</v>
      </c>
      <c r="K1767" s="352">
        <v>0.5</v>
      </c>
      <c r="L1767" s="352" t="s">
        <v>1116</v>
      </c>
      <c r="M1767" s="352">
        <v>1</v>
      </c>
      <c r="N1767" s="352" t="s">
        <v>1109</v>
      </c>
      <c r="O1767" s="351">
        <v>0.5</v>
      </c>
      <c r="P1767" s="349" t="s">
        <v>1836</v>
      </c>
      <c r="R1767" s="349">
        <f t="shared" si="27"/>
        <v>11</v>
      </c>
      <c r="S1767" s="352"/>
      <c r="T1767" s="352"/>
      <c r="U1767" s="352"/>
      <c r="V1767" s="353"/>
      <c r="W1767" s="352"/>
      <c r="X1767" s="176"/>
      <c r="Y1767" s="176"/>
      <c r="Z1767" s="352"/>
      <c r="AA1767" s="352"/>
      <c r="AB1767" s="352"/>
      <c r="AC1767" s="352"/>
      <c r="AD1767" s="352"/>
    </row>
    <row r="1768" spans="1:30" hidden="1" x14ac:dyDescent="0.35">
      <c r="A1768" s="349">
        <v>1767</v>
      </c>
      <c r="B1768" s="352" t="s">
        <v>1790</v>
      </c>
      <c r="C1768" s="351" t="s">
        <v>4818</v>
      </c>
      <c r="D1768" s="352" t="s">
        <v>4067</v>
      </c>
      <c r="E1768" s="352" t="s">
        <v>407</v>
      </c>
      <c r="F1768" s="353">
        <v>0.57299999999999995</v>
      </c>
      <c r="G1768" s="352" t="s">
        <v>34</v>
      </c>
      <c r="H1768" s="176" t="s">
        <v>4068</v>
      </c>
      <c r="I1768" s="176" t="s">
        <v>4069</v>
      </c>
      <c r="J1768" s="352" t="s">
        <v>3105</v>
      </c>
      <c r="K1768" s="352">
        <v>20</v>
      </c>
      <c r="L1768" s="352" t="s">
        <v>1116</v>
      </c>
      <c r="M1768" s="352">
        <v>0.4</v>
      </c>
      <c r="N1768" s="352" t="s">
        <v>1109</v>
      </c>
      <c r="O1768" s="351">
        <v>20</v>
      </c>
      <c r="P1768" s="349" t="s">
        <v>1836</v>
      </c>
      <c r="R1768" s="349">
        <f t="shared" si="27"/>
        <v>9</v>
      </c>
      <c r="S1768" s="352"/>
      <c r="T1768" s="352"/>
      <c r="U1768" s="352"/>
      <c r="V1768" s="353"/>
      <c r="W1768" s="352"/>
      <c r="X1768" s="176"/>
      <c r="Y1768" s="176"/>
      <c r="Z1768" s="352"/>
      <c r="AA1768" s="352"/>
      <c r="AB1768" s="352"/>
      <c r="AC1768" s="351"/>
      <c r="AD1768" s="351"/>
    </row>
    <row r="1769" spans="1:30" ht="89.75" hidden="1" x14ac:dyDescent="0.35">
      <c r="A1769" s="349">
        <v>1768</v>
      </c>
      <c r="B1769" s="352" t="s">
        <v>1113</v>
      </c>
      <c r="C1769" s="351" t="s">
        <v>3000</v>
      </c>
      <c r="D1769" s="352" t="s">
        <v>3000</v>
      </c>
      <c r="E1769" s="352" t="s">
        <v>827</v>
      </c>
      <c r="F1769" s="353">
        <v>6.35</v>
      </c>
      <c r="G1769" s="352" t="s">
        <v>1107</v>
      </c>
      <c r="H1769" s="176" t="s">
        <v>4225</v>
      </c>
      <c r="I1769" s="176" t="s">
        <v>4226</v>
      </c>
      <c r="J1769" s="352" t="s">
        <v>828</v>
      </c>
      <c r="K1769" s="352">
        <v>10</v>
      </c>
      <c r="L1769" s="352" t="s">
        <v>1116</v>
      </c>
      <c r="M1769" s="352">
        <v>5</v>
      </c>
      <c r="N1769" s="352" t="s">
        <v>1109</v>
      </c>
      <c r="O1769" s="351">
        <v>10</v>
      </c>
      <c r="P1769" s="349" t="s">
        <v>1836</v>
      </c>
      <c r="R1769" s="349">
        <f t="shared" si="27"/>
        <v>9</v>
      </c>
      <c r="S1769" s="352"/>
      <c r="T1769" s="352"/>
      <c r="U1769" s="352"/>
      <c r="V1769" s="353"/>
      <c r="W1769" s="352"/>
      <c r="X1769" s="176"/>
      <c r="Y1769" s="176"/>
      <c r="Z1769" s="352"/>
      <c r="AA1769" s="352"/>
      <c r="AB1769" s="352"/>
      <c r="AC1769" s="351"/>
      <c r="AD1769" s="351"/>
    </row>
    <row r="1770" spans="1:30" ht="89.75" hidden="1" x14ac:dyDescent="0.35">
      <c r="A1770" s="349">
        <v>1769</v>
      </c>
      <c r="B1770" s="352" t="s">
        <v>1113</v>
      </c>
      <c r="C1770" s="351" t="s">
        <v>4819</v>
      </c>
      <c r="D1770" s="352" t="s">
        <v>3000</v>
      </c>
      <c r="E1770" s="352" t="s">
        <v>827</v>
      </c>
      <c r="F1770" s="353">
        <v>6.35</v>
      </c>
      <c r="G1770" s="352" t="s">
        <v>1107</v>
      </c>
      <c r="H1770" s="176" t="s">
        <v>4225</v>
      </c>
      <c r="I1770" s="176" t="s">
        <v>4226</v>
      </c>
      <c r="J1770" s="352" t="s">
        <v>828</v>
      </c>
      <c r="K1770" s="352">
        <v>10</v>
      </c>
      <c r="L1770" s="352" t="s">
        <v>1116</v>
      </c>
      <c r="M1770" s="352">
        <v>5</v>
      </c>
      <c r="N1770" s="352" t="s">
        <v>1109</v>
      </c>
      <c r="O1770" s="351">
        <v>10</v>
      </c>
      <c r="P1770" s="349" t="s">
        <v>1836</v>
      </c>
      <c r="R1770" s="349">
        <f t="shared" si="27"/>
        <v>9</v>
      </c>
      <c r="S1770" s="352"/>
      <c r="T1770" s="352"/>
      <c r="U1770" s="352"/>
      <c r="V1770" s="353"/>
      <c r="W1770" s="352"/>
      <c r="X1770" s="176"/>
      <c r="Y1770" s="176"/>
      <c r="Z1770" s="352"/>
      <c r="AA1770" s="352"/>
      <c r="AB1770" s="352"/>
      <c r="AC1770" s="352"/>
      <c r="AD1770" s="352"/>
    </row>
    <row r="1771" spans="1:30" ht="89.75" hidden="1" x14ac:dyDescent="0.35">
      <c r="A1771" s="349">
        <v>1770</v>
      </c>
      <c r="B1771" s="352" t="s">
        <v>2891</v>
      </c>
      <c r="C1771" s="351" t="s">
        <v>4122</v>
      </c>
      <c r="D1771" s="352" t="s">
        <v>4122</v>
      </c>
      <c r="E1771" s="352" t="s">
        <v>767</v>
      </c>
      <c r="F1771" s="353">
        <v>11.8339</v>
      </c>
      <c r="G1771" s="352" t="s">
        <v>1107</v>
      </c>
      <c r="H1771" s="176" t="s">
        <v>4123</v>
      </c>
      <c r="I1771" s="176" t="s">
        <v>4928</v>
      </c>
      <c r="J1771" s="352" t="s">
        <v>1115</v>
      </c>
      <c r="K1771" s="352">
        <v>200</v>
      </c>
      <c r="L1771" s="352" t="s">
        <v>4022</v>
      </c>
      <c r="M1771" s="352">
        <v>1</v>
      </c>
      <c r="N1771" s="352" t="s">
        <v>1109</v>
      </c>
      <c r="O1771" s="351">
        <v>200</v>
      </c>
      <c r="P1771" s="349" t="s">
        <v>1850</v>
      </c>
      <c r="R1771" s="349">
        <f t="shared" si="27"/>
        <v>11</v>
      </c>
      <c r="S1771" s="352"/>
      <c r="T1771" s="352"/>
      <c r="U1771" s="352"/>
      <c r="V1771" s="353"/>
      <c r="W1771" s="352"/>
      <c r="X1771" s="176"/>
      <c r="Y1771" s="176"/>
      <c r="Z1771" s="352"/>
      <c r="AA1771" s="352"/>
      <c r="AB1771" s="352"/>
      <c r="AC1771" s="351"/>
      <c r="AD1771" s="351"/>
    </row>
    <row r="1772" spans="1:30" ht="89.75" hidden="1" x14ac:dyDescent="0.35">
      <c r="A1772" s="349">
        <v>1771</v>
      </c>
      <c r="B1772" s="352" t="s">
        <v>2891</v>
      </c>
      <c r="C1772" s="351" t="s">
        <v>4122</v>
      </c>
      <c r="D1772" s="352" t="s">
        <v>4122</v>
      </c>
      <c r="E1772" s="352" t="s">
        <v>767</v>
      </c>
      <c r="F1772" s="353">
        <v>11.8339</v>
      </c>
      <c r="G1772" s="352" t="s">
        <v>1107</v>
      </c>
      <c r="H1772" s="176" t="s">
        <v>4123</v>
      </c>
      <c r="I1772" s="176" t="s">
        <v>4928</v>
      </c>
      <c r="J1772" s="352" t="s">
        <v>1115</v>
      </c>
      <c r="K1772" s="352">
        <v>200</v>
      </c>
      <c r="L1772" s="352" t="s">
        <v>4022</v>
      </c>
      <c r="M1772" s="352">
        <v>1</v>
      </c>
      <c r="N1772" s="352" t="s">
        <v>1109</v>
      </c>
      <c r="O1772" s="351">
        <v>200</v>
      </c>
      <c r="P1772" s="349" t="s">
        <v>1850</v>
      </c>
      <c r="R1772" s="349">
        <f t="shared" si="27"/>
        <v>11</v>
      </c>
      <c r="S1772" s="352"/>
      <c r="T1772" s="352"/>
      <c r="U1772" s="352"/>
      <c r="V1772" s="353"/>
      <c r="W1772" s="352"/>
      <c r="X1772" s="176"/>
      <c r="Y1772" s="176"/>
      <c r="Z1772" s="352"/>
      <c r="AA1772" s="352"/>
      <c r="AB1772" s="352"/>
      <c r="AC1772" s="351"/>
      <c r="AD1772" s="351"/>
    </row>
    <row r="1773" spans="1:30" ht="64.099999999999994" hidden="1" x14ac:dyDescent="0.35">
      <c r="A1773" s="349">
        <v>1772</v>
      </c>
      <c r="B1773" s="352" t="s">
        <v>2373</v>
      </c>
      <c r="C1773" s="351" t="s">
        <v>4820</v>
      </c>
      <c r="D1773" s="352" t="s">
        <v>2805</v>
      </c>
      <c r="E1773" s="352" t="s">
        <v>2379</v>
      </c>
      <c r="F1773" s="353">
        <v>15.2056</v>
      </c>
      <c r="G1773" s="352" t="s">
        <v>3034</v>
      </c>
      <c r="H1773" s="176" t="s">
        <v>3220</v>
      </c>
      <c r="I1773" s="176" t="s">
        <v>3221</v>
      </c>
      <c r="J1773" s="352" t="s">
        <v>3215</v>
      </c>
      <c r="K1773" s="352">
        <v>50</v>
      </c>
      <c r="L1773" s="352" t="s">
        <v>3216</v>
      </c>
      <c r="M1773" s="352">
        <v>200</v>
      </c>
      <c r="N1773" s="352" t="s">
        <v>1656</v>
      </c>
      <c r="O1773" s="351">
        <v>50</v>
      </c>
      <c r="P1773" s="349" t="s">
        <v>1850</v>
      </c>
      <c r="R1773" s="349">
        <f t="shared" si="27"/>
        <v>10</v>
      </c>
      <c r="S1773" s="352"/>
      <c r="T1773" s="352"/>
      <c r="U1773" s="352"/>
      <c r="V1773" s="353"/>
      <c r="W1773" s="352"/>
      <c r="X1773" s="176"/>
      <c r="Y1773" s="176"/>
      <c r="Z1773" s="352"/>
      <c r="AA1773" s="352"/>
      <c r="AB1773" s="352"/>
      <c r="AC1773" s="351"/>
      <c r="AD1773" s="351"/>
    </row>
    <row r="1774" spans="1:30" ht="64.099999999999994" hidden="1" x14ac:dyDescent="0.35">
      <c r="A1774" s="349">
        <v>1773</v>
      </c>
      <c r="B1774" s="352" t="s">
        <v>2373</v>
      </c>
      <c r="C1774" s="351" t="s">
        <v>4820</v>
      </c>
      <c r="D1774" s="352" t="s">
        <v>2805</v>
      </c>
      <c r="E1774" s="352" t="s">
        <v>2379</v>
      </c>
      <c r="F1774" s="353">
        <v>49.407200000000003</v>
      </c>
      <c r="G1774" s="352" t="s">
        <v>3034</v>
      </c>
      <c r="H1774" s="176" t="s">
        <v>3220</v>
      </c>
      <c r="I1774" s="176" t="s">
        <v>3221</v>
      </c>
      <c r="J1774" s="352" t="s">
        <v>3215</v>
      </c>
      <c r="K1774" s="352">
        <v>200</v>
      </c>
      <c r="L1774" s="352" t="s">
        <v>3216</v>
      </c>
      <c r="M1774" s="352">
        <v>200</v>
      </c>
      <c r="N1774" s="352" t="s">
        <v>1656</v>
      </c>
      <c r="O1774" s="351">
        <v>200</v>
      </c>
      <c r="P1774" s="349" t="s">
        <v>1850</v>
      </c>
      <c r="R1774" s="349">
        <f t="shared" si="27"/>
        <v>10</v>
      </c>
      <c r="S1774" s="352"/>
      <c r="T1774" s="352"/>
      <c r="U1774" s="352"/>
      <c r="V1774" s="353"/>
      <c r="W1774" s="352"/>
      <c r="X1774" s="176"/>
      <c r="Y1774" s="176"/>
      <c r="Z1774" s="352"/>
      <c r="AA1774" s="352"/>
      <c r="AB1774" s="352"/>
      <c r="AC1774" s="351"/>
      <c r="AD1774" s="351"/>
    </row>
    <row r="1775" spans="1:30" ht="51.3" hidden="1" x14ac:dyDescent="0.35">
      <c r="A1775" s="349">
        <v>1774</v>
      </c>
      <c r="B1775" s="352" t="s">
        <v>2373</v>
      </c>
      <c r="C1775" s="351" t="s">
        <v>4821</v>
      </c>
      <c r="D1775" s="352" t="s">
        <v>2805</v>
      </c>
      <c r="E1775" s="352" t="s">
        <v>2457</v>
      </c>
      <c r="F1775" s="353">
        <v>1.5206</v>
      </c>
      <c r="G1775" s="352" t="s">
        <v>3034</v>
      </c>
      <c r="H1775" s="37" t="s">
        <v>432</v>
      </c>
      <c r="I1775" s="176" t="s">
        <v>433</v>
      </c>
      <c r="J1775" s="352" t="s">
        <v>3035</v>
      </c>
      <c r="K1775" s="352">
        <v>125</v>
      </c>
      <c r="L1775" s="352" t="s">
        <v>4022</v>
      </c>
      <c r="M1775" s="352">
        <v>1</v>
      </c>
      <c r="N1775" s="352" t="s">
        <v>1109</v>
      </c>
      <c r="O1775" s="351">
        <v>125</v>
      </c>
      <c r="P1775" s="349" t="s">
        <v>1850</v>
      </c>
      <c r="R1775" s="349">
        <f t="shared" si="27"/>
        <v>10</v>
      </c>
      <c r="S1775" s="352"/>
      <c r="T1775" s="352"/>
      <c r="U1775" s="352"/>
      <c r="V1775" s="353"/>
      <c r="W1775" s="352"/>
      <c r="X1775" s="176"/>
      <c r="Y1775" s="176"/>
      <c r="Z1775" s="352"/>
      <c r="AA1775" s="352"/>
      <c r="AB1775" s="352"/>
      <c r="AC1775" s="352"/>
      <c r="AD1775" s="352"/>
    </row>
    <row r="1776" spans="1:30" ht="51.3" hidden="1" x14ac:dyDescent="0.35">
      <c r="A1776" s="349">
        <v>1775</v>
      </c>
      <c r="B1776" s="352" t="s">
        <v>2373</v>
      </c>
      <c r="C1776" s="351" t="s">
        <v>4821</v>
      </c>
      <c r="D1776" s="352" t="s">
        <v>2805</v>
      </c>
      <c r="E1776" s="352" t="s">
        <v>2458</v>
      </c>
      <c r="F1776" s="353">
        <v>1.1200000000000001</v>
      </c>
      <c r="G1776" s="352" t="s">
        <v>3034</v>
      </c>
      <c r="H1776" s="176" t="s">
        <v>432</v>
      </c>
      <c r="I1776" s="176" t="s">
        <v>433</v>
      </c>
      <c r="J1776" s="352" t="s">
        <v>3035</v>
      </c>
      <c r="K1776" s="352">
        <v>125</v>
      </c>
      <c r="L1776" s="352" t="s">
        <v>4022</v>
      </c>
      <c r="M1776" s="352">
        <v>2</v>
      </c>
      <c r="N1776" s="352" t="s">
        <v>1109</v>
      </c>
      <c r="O1776" s="351">
        <v>125</v>
      </c>
      <c r="P1776" s="349" t="s">
        <v>1850</v>
      </c>
      <c r="R1776" s="349">
        <f t="shared" si="27"/>
        <v>10</v>
      </c>
      <c r="S1776" s="352"/>
      <c r="T1776" s="352"/>
      <c r="U1776" s="352"/>
      <c r="V1776" s="353"/>
      <c r="W1776" s="352"/>
      <c r="X1776" s="176"/>
      <c r="Y1776" s="176"/>
      <c r="Z1776" s="352"/>
      <c r="AA1776" s="352"/>
      <c r="AB1776" s="352"/>
      <c r="AC1776" s="351"/>
      <c r="AD1776" s="351"/>
    </row>
    <row r="1777" spans="1:30" ht="51.3" hidden="1" x14ac:dyDescent="0.35">
      <c r="A1777" s="349">
        <v>1776</v>
      </c>
      <c r="B1777" s="352" t="s">
        <v>2373</v>
      </c>
      <c r="C1777" s="351" t="s">
        <v>4821</v>
      </c>
      <c r="D1777" s="352" t="s">
        <v>2805</v>
      </c>
      <c r="E1777" s="352" t="s">
        <v>2458</v>
      </c>
      <c r="F1777" s="353">
        <v>1.8511</v>
      </c>
      <c r="G1777" s="352" t="s">
        <v>3034</v>
      </c>
      <c r="H1777" s="37" t="s">
        <v>432</v>
      </c>
      <c r="I1777" s="176" t="s">
        <v>433</v>
      </c>
      <c r="J1777" s="352" t="s">
        <v>3035</v>
      </c>
      <c r="K1777" s="352">
        <v>250</v>
      </c>
      <c r="L1777" s="352" t="s">
        <v>4022</v>
      </c>
      <c r="M1777" s="352">
        <v>2</v>
      </c>
      <c r="N1777" s="352" t="s">
        <v>1109</v>
      </c>
      <c r="O1777" s="351">
        <v>250</v>
      </c>
      <c r="P1777" s="349" t="s">
        <v>1850</v>
      </c>
      <c r="R1777" s="349">
        <f t="shared" si="27"/>
        <v>10</v>
      </c>
      <c r="S1777" s="352"/>
      <c r="T1777" s="352"/>
      <c r="U1777" s="352"/>
      <c r="V1777" s="353"/>
      <c r="W1777" s="352"/>
      <c r="X1777" s="176"/>
      <c r="Y1777" s="176"/>
      <c r="Z1777" s="352"/>
      <c r="AA1777" s="352"/>
      <c r="AB1777" s="352"/>
      <c r="AC1777" s="351"/>
      <c r="AD1777" s="351"/>
    </row>
    <row r="1778" spans="1:30" ht="51.3" hidden="1" x14ac:dyDescent="0.35">
      <c r="A1778" s="349">
        <v>1777</v>
      </c>
      <c r="B1778" s="352" t="s">
        <v>2373</v>
      </c>
      <c r="C1778" s="351" t="s">
        <v>4821</v>
      </c>
      <c r="D1778" s="352" t="s">
        <v>2805</v>
      </c>
      <c r="E1778" s="352" t="s">
        <v>2458</v>
      </c>
      <c r="F1778" s="353">
        <v>2.6884999999999999</v>
      </c>
      <c r="G1778" s="352" t="s">
        <v>3034</v>
      </c>
      <c r="H1778" s="176" t="s">
        <v>432</v>
      </c>
      <c r="I1778" s="176" t="s">
        <v>433</v>
      </c>
      <c r="J1778" s="352" t="s">
        <v>3035</v>
      </c>
      <c r="K1778" s="352">
        <v>500</v>
      </c>
      <c r="L1778" s="352" t="s">
        <v>4022</v>
      </c>
      <c r="M1778" s="352">
        <v>2</v>
      </c>
      <c r="N1778" s="352" t="s">
        <v>1109</v>
      </c>
      <c r="O1778" s="351">
        <v>500</v>
      </c>
      <c r="P1778" s="349" t="s">
        <v>1850</v>
      </c>
      <c r="R1778" s="349">
        <f t="shared" si="27"/>
        <v>10</v>
      </c>
      <c r="S1778" s="352"/>
      <c r="T1778" s="352"/>
      <c r="U1778" s="352"/>
      <c r="V1778" s="353"/>
      <c r="W1778" s="352"/>
      <c r="X1778" s="176"/>
      <c r="Y1778" s="176"/>
      <c r="Z1778" s="352"/>
      <c r="AA1778" s="352"/>
      <c r="AB1778" s="352"/>
      <c r="AC1778" s="352"/>
      <c r="AD1778" s="352"/>
    </row>
    <row r="1779" spans="1:30" ht="51.3" hidden="1" x14ac:dyDescent="0.35">
      <c r="A1779" s="349">
        <v>1778</v>
      </c>
      <c r="B1779" s="352" t="s">
        <v>2373</v>
      </c>
      <c r="C1779" s="351" t="s">
        <v>4822</v>
      </c>
      <c r="D1779" s="352" t="s">
        <v>2805</v>
      </c>
      <c r="E1779" s="352" t="s">
        <v>824</v>
      </c>
      <c r="F1779" s="353">
        <v>31.0943</v>
      </c>
      <c r="G1779" s="352" t="s">
        <v>3034</v>
      </c>
      <c r="H1779" s="176" t="s">
        <v>1122</v>
      </c>
      <c r="I1779" s="176" t="s">
        <v>1123</v>
      </c>
      <c r="J1779" s="352" t="s">
        <v>825</v>
      </c>
      <c r="K1779" s="352">
        <v>100</v>
      </c>
      <c r="L1779" s="352" t="s">
        <v>2902</v>
      </c>
      <c r="M1779" s="352">
        <v>200</v>
      </c>
      <c r="N1779" s="352" t="s">
        <v>1656</v>
      </c>
      <c r="O1779" s="351">
        <v>100</v>
      </c>
      <c r="P1779" s="349" t="s">
        <v>1850</v>
      </c>
      <c r="R1779" s="349">
        <f t="shared" si="27"/>
        <v>10</v>
      </c>
      <c r="S1779" s="352"/>
      <c r="T1779" s="352"/>
      <c r="U1779" s="352"/>
      <c r="V1779" s="353"/>
      <c r="W1779" s="352"/>
      <c r="X1779" s="176"/>
      <c r="Y1779" s="176"/>
      <c r="Z1779" s="352"/>
      <c r="AA1779" s="352"/>
      <c r="AB1779" s="352"/>
      <c r="AC1779" s="351"/>
      <c r="AD1779" s="351"/>
    </row>
    <row r="1780" spans="1:30" ht="38.450000000000003" hidden="1" x14ac:dyDescent="0.35">
      <c r="A1780" s="349">
        <v>1779</v>
      </c>
      <c r="B1780" s="352" t="s">
        <v>2373</v>
      </c>
      <c r="C1780" s="351" t="s">
        <v>4822</v>
      </c>
      <c r="D1780" s="352" t="s">
        <v>2805</v>
      </c>
      <c r="E1780" s="352" t="s">
        <v>824</v>
      </c>
      <c r="F1780" s="353">
        <v>31.0943</v>
      </c>
      <c r="G1780" s="352" t="s">
        <v>3034</v>
      </c>
      <c r="H1780" s="37"/>
      <c r="I1780" s="176" t="s">
        <v>1123</v>
      </c>
      <c r="J1780" s="352" t="s">
        <v>825</v>
      </c>
      <c r="K1780" s="352">
        <v>100</v>
      </c>
      <c r="L1780" s="352" t="s">
        <v>2902</v>
      </c>
      <c r="M1780" s="352">
        <v>200</v>
      </c>
      <c r="N1780" s="352" t="s">
        <v>1656</v>
      </c>
      <c r="O1780" s="351">
        <v>100</v>
      </c>
      <c r="P1780" s="349" t="s">
        <v>1850</v>
      </c>
      <c r="R1780" s="349">
        <f t="shared" si="27"/>
        <v>10</v>
      </c>
      <c r="S1780" s="352"/>
      <c r="T1780" s="352"/>
      <c r="U1780" s="352"/>
      <c r="V1780" s="353"/>
      <c r="W1780" s="352"/>
      <c r="X1780" s="176"/>
      <c r="Y1780" s="176"/>
      <c r="Z1780" s="352"/>
      <c r="AA1780" s="352"/>
      <c r="AB1780" s="352"/>
      <c r="AC1780" s="351"/>
      <c r="AD1780" s="351"/>
    </row>
    <row r="1781" spans="1:30" ht="51.3" hidden="1" x14ac:dyDescent="0.35">
      <c r="A1781" s="349">
        <v>1780</v>
      </c>
      <c r="B1781" s="352" t="s">
        <v>2373</v>
      </c>
      <c r="C1781" s="351" t="s">
        <v>4822</v>
      </c>
      <c r="D1781" s="352" t="s">
        <v>2805</v>
      </c>
      <c r="E1781" s="352" t="s">
        <v>824</v>
      </c>
      <c r="F1781" s="353">
        <v>17.277100000000001</v>
      </c>
      <c r="G1781" s="352" t="s">
        <v>3034</v>
      </c>
      <c r="H1781" s="176" t="s">
        <v>1122</v>
      </c>
      <c r="I1781" s="176" t="s">
        <v>1123</v>
      </c>
      <c r="J1781" s="352" t="s">
        <v>825</v>
      </c>
      <c r="K1781" s="352">
        <v>200</v>
      </c>
      <c r="L1781" s="352" t="s">
        <v>2902</v>
      </c>
      <c r="M1781" s="352">
        <v>200</v>
      </c>
      <c r="N1781" s="352" t="s">
        <v>1656</v>
      </c>
      <c r="O1781" s="351">
        <v>200</v>
      </c>
      <c r="P1781" s="349" t="s">
        <v>1850</v>
      </c>
      <c r="R1781" s="349">
        <f t="shared" si="27"/>
        <v>10</v>
      </c>
      <c r="S1781" s="352"/>
      <c r="T1781" s="352"/>
      <c r="U1781" s="352"/>
      <c r="V1781" s="353"/>
      <c r="W1781" s="352"/>
      <c r="X1781" s="176"/>
      <c r="Y1781" s="176"/>
      <c r="Z1781" s="352"/>
      <c r="AA1781" s="352"/>
      <c r="AB1781" s="352"/>
      <c r="AC1781" s="352"/>
      <c r="AD1781" s="352"/>
    </row>
    <row r="1782" spans="1:30" ht="38.450000000000003" hidden="1" x14ac:dyDescent="0.35">
      <c r="A1782" s="349">
        <v>1781</v>
      </c>
      <c r="B1782" s="352" t="s">
        <v>2373</v>
      </c>
      <c r="C1782" s="351" t="s">
        <v>4822</v>
      </c>
      <c r="D1782" s="352" t="s">
        <v>2805</v>
      </c>
      <c r="E1782" s="352" t="s">
        <v>824</v>
      </c>
      <c r="F1782" s="353">
        <v>17.277100000000001</v>
      </c>
      <c r="G1782" s="352" t="s">
        <v>3034</v>
      </c>
      <c r="H1782" s="176"/>
      <c r="I1782" s="176" t="s">
        <v>1123</v>
      </c>
      <c r="J1782" s="352" t="s">
        <v>825</v>
      </c>
      <c r="K1782" s="352">
        <v>200</v>
      </c>
      <c r="L1782" s="352" t="s">
        <v>2902</v>
      </c>
      <c r="M1782" s="351">
        <v>200</v>
      </c>
      <c r="N1782" s="351" t="s">
        <v>1656</v>
      </c>
      <c r="O1782" s="351">
        <v>200</v>
      </c>
      <c r="P1782" s="349" t="s">
        <v>1850</v>
      </c>
      <c r="R1782" s="349">
        <f t="shared" si="27"/>
        <v>10</v>
      </c>
      <c r="S1782" s="352"/>
      <c r="T1782" s="352"/>
      <c r="U1782" s="352"/>
      <c r="V1782" s="353"/>
      <c r="W1782" s="352"/>
      <c r="X1782" s="176"/>
      <c r="Y1782" s="176"/>
      <c r="Z1782" s="352"/>
      <c r="AA1782" s="352"/>
      <c r="AB1782" s="352"/>
      <c r="AC1782" s="352"/>
      <c r="AD1782" s="352"/>
    </row>
    <row r="1783" spans="1:30" ht="38.450000000000003" hidden="1" x14ac:dyDescent="0.35">
      <c r="A1783" s="349">
        <v>1782</v>
      </c>
      <c r="B1783" s="352" t="s">
        <v>2373</v>
      </c>
      <c r="C1783" s="351" t="s">
        <v>4822</v>
      </c>
      <c r="D1783" s="352" t="s">
        <v>2805</v>
      </c>
      <c r="E1783" s="352" t="s">
        <v>2903</v>
      </c>
      <c r="F1783" s="353">
        <v>8.6385000000000005</v>
      </c>
      <c r="G1783" s="352" t="s">
        <v>3034</v>
      </c>
      <c r="H1783" s="176"/>
      <c r="I1783" s="176" t="s">
        <v>1123</v>
      </c>
      <c r="J1783" s="352" t="s">
        <v>825</v>
      </c>
      <c r="K1783" s="352">
        <v>400</v>
      </c>
      <c r="L1783" s="352" t="s">
        <v>2902</v>
      </c>
      <c r="M1783" s="351">
        <v>50</v>
      </c>
      <c r="N1783" s="351" t="s">
        <v>1656</v>
      </c>
      <c r="O1783" s="351">
        <v>400</v>
      </c>
      <c r="P1783" s="349" t="s">
        <v>1850</v>
      </c>
      <c r="R1783" s="349">
        <f t="shared" si="27"/>
        <v>10</v>
      </c>
      <c r="S1783" s="352"/>
      <c r="T1783" s="352"/>
      <c r="U1783" s="352"/>
      <c r="V1783" s="353"/>
      <c r="W1783" s="352"/>
      <c r="X1783" s="176"/>
      <c r="Y1783" s="176"/>
      <c r="Z1783" s="352"/>
      <c r="AA1783" s="352"/>
      <c r="AB1783" s="352"/>
      <c r="AC1783" s="351"/>
      <c r="AD1783" s="351"/>
    </row>
    <row r="1784" spans="1:30" ht="51.3" hidden="1" x14ac:dyDescent="0.35">
      <c r="A1784" s="349">
        <v>1783</v>
      </c>
      <c r="B1784" s="352" t="s">
        <v>2373</v>
      </c>
      <c r="C1784" s="351" t="s">
        <v>4822</v>
      </c>
      <c r="D1784" s="352" t="s">
        <v>2805</v>
      </c>
      <c r="E1784" s="352" t="s">
        <v>2903</v>
      </c>
      <c r="F1784" s="353">
        <v>8.6385000000000005</v>
      </c>
      <c r="G1784" s="352" t="s">
        <v>3034</v>
      </c>
      <c r="H1784" s="176" t="s">
        <v>1122</v>
      </c>
      <c r="I1784" s="176" t="s">
        <v>1123</v>
      </c>
      <c r="J1784" s="352" t="s">
        <v>825</v>
      </c>
      <c r="K1784" s="352">
        <v>400</v>
      </c>
      <c r="L1784" s="352" t="s">
        <v>2902</v>
      </c>
      <c r="M1784" s="351">
        <v>50</v>
      </c>
      <c r="N1784" s="351" t="s">
        <v>1656</v>
      </c>
      <c r="O1784" s="351">
        <v>400</v>
      </c>
      <c r="P1784" s="349" t="s">
        <v>1850</v>
      </c>
      <c r="R1784" s="349">
        <f t="shared" si="27"/>
        <v>10</v>
      </c>
      <c r="S1784" s="352"/>
      <c r="T1784" s="352"/>
      <c r="U1784" s="352"/>
      <c r="V1784" s="353"/>
      <c r="W1784" s="352"/>
      <c r="X1784" s="176"/>
      <c r="Y1784" s="176"/>
      <c r="Z1784" s="352"/>
      <c r="AA1784" s="352"/>
      <c r="AB1784" s="352"/>
      <c r="AC1784" s="352"/>
      <c r="AD1784" s="352"/>
    </row>
    <row r="1785" spans="1:30" ht="51.3" hidden="1" x14ac:dyDescent="0.35">
      <c r="A1785" s="349">
        <v>1784</v>
      </c>
      <c r="B1785" s="352" t="s">
        <v>785</v>
      </c>
      <c r="C1785" s="351" t="s">
        <v>4823</v>
      </c>
      <c r="D1785" s="352" t="s">
        <v>1408</v>
      </c>
      <c r="E1785" s="352" t="s">
        <v>1008</v>
      </c>
      <c r="F1785" s="353">
        <v>52.271999999999998</v>
      </c>
      <c r="G1785" s="352" t="s">
        <v>3034</v>
      </c>
      <c r="H1785" s="176" t="s">
        <v>355</v>
      </c>
      <c r="I1785" s="176" t="s">
        <v>356</v>
      </c>
      <c r="J1785" s="352" t="s">
        <v>3035</v>
      </c>
      <c r="K1785" s="352">
        <v>1000</v>
      </c>
      <c r="L1785" s="352" t="s">
        <v>732</v>
      </c>
      <c r="M1785" s="351">
        <v>2.5</v>
      </c>
      <c r="N1785" s="351" t="s">
        <v>1109</v>
      </c>
      <c r="O1785" s="351">
        <v>1000</v>
      </c>
      <c r="P1785" s="349" t="s">
        <v>2030</v>
      </c>
      <c r="R1785" s="349">
        <f t="shared" si="27"/>
        <v>12</v>
      </c>
      <c r="S1785" s="352"/>
      <c r="T1785" s="352"/>
      <c r="U1785" s="352"/>
      <c r="V1785" s="353"/>
      <c r="W1785" s="352"/>
      <c r="X1785" s="176"/>
      <c r="Y1785" s="176"/>
      <c r="Z1785" s="352"/>
      <c r="AA1785" s="352"/>
      <c r="AB1785" s="352"/>
      <c r="AC1785" s="352"/>
      <c r="AD1785" s="352"/>
    </row>
    <row r="1786" spans="1:30" ht="25.65" hidden="1" x14ac:dyDescent="0.35">
      <c r="A1786" s="349">
        <v>1785</v>
      </c>
      <c r="B1786" s="352" t="s">
        <v>1080</v>
      </c>
      <c r="C1786" s="351" t="s">
        <v>4824</v>
      </c>
      <c r="D1786" s="352" t="s">
        <v>2810</v>
      </c>
      <c r="E1786" s="352" t="s">
        <v>1995</v>
      </c>
      <c r="F1786" s="353">
        <v>2.2000000000000002</v>
      </c>
      <c r="G1786" s="352" t="s">
        <v>2126</v>
      </c>
      <c r="H1786" s="176" t="s">
        <v>2218</v>
      </c>
      <c r="I1786" s="176" t="s">
        <v>2811</v>
      </c>
      <c r="J1786" s="352" t="s">
        <v>3580</v>
      </c>
      <c r="K1786" s="352">
        <v>50</v>
      </c>
      <c r="L1786" s="352" t="s">
        <v>3581</v>
      </c>
      <c r="M1786" s="351"/>
      <c r="N1786" s="351"/>
      <c r="O1786" s="351">
        <v>50</v>
      </c>
      <c r="P1786" s="349" t="s">
        <v>1836</v>
      </c>
      <c r="R1786" s="349">
        <f t="shared" si="27"/>
        <v>14</v>
      </c>
      <c r="S1786" s="352"/>
      <c r="T1786" s="352"/>
      <c r="U1786" s="352"/>
      <c r="V1786" s="353"/>
      <c r="W1786" s="352"/>
      <c r="X1786" s="176"/>
      <c r="Y1786" s="176"/>
      <c r="Z1786" s="352"/>
      <c r="AA1786" s="352"/>
      <c r="AB1786" s="352"/>
      <c r="AC1786" s="352"/>
      <c r="AD1786" s="352"/>
    </row>
    <row r="1787" spans="1:30" ht="38.450000000000003" hidden="1" x14ac:dyDescent="0.35">
      <c r="A1787" s="349">
        <v>1786</v>
      </c>
      <c r="B1787" s="352" t="s">
        <v>1533</v>
      </c>
      <c r="C1787" s="351" t="s">
        <v>4124</v>
      </c>
      <c r="D1787" s="352" t="s">
        <v>4124</v>
      </c>
      <c r="E1787" s="352" t="s">
        <v>1995</v>
      </c>
      <c r="F1787" s="353">
        <v>0.2</v>
      </c>
      <c r="G1787" s="352" t="s">
        <v>2126</v>
      </c>
      <c r="H1787" s="176" t="s">
        <v>3554</v>
      </c>
      <c r="I1787" s="176" t="s">
        <v>3555</v>
      </c>
      <c r="J1787" s="352" t="s">
        <v>3580</v>
      </c>
      <c r="K1787" s="352">
        <v>500</v>
      </c>
      <c r="L1787" s="352" t="s">
        <v>3581</v>
      </c>
      <c r="M1787" s="351"/>
      <c r="N1787" s="351"/>
      <c r="O1787" s="351">
        <v>500</v>
      </c>
      <c r="P1787" s="349" t="s">
        <v>1836</v>
      </c>
      <c r="R1787" s="349">
        <f t="shared" si="27"/>
        <v>12</v>
      </c>
      <c r="S1787" s="352"/>
      <c r="T1787" s="352"/>
      <c r="U1787" s="352"/>
      <c r="V1787" s="353"/>
      <c r="W1787" s="352"/>
      <c r="X1787" s="176"/>
      <c r="Y1787" s="176"/>
      <c r="Z1787" s="352"/>
      <c r="AA1787" s="352"/>
      <c r="AB1787" s="352"/>
      <c r="AC1787" s="352"/>
      <c r="AD1787" s="352"/>
    </row>
    <row r="1788" spans="1:30" ht="38.450000000000003" hidden="1" x14ac:dyDescent="0.35">
      <c r="A1788" s="349">
        <v>1787</v>
      </c>
      <c r="B1788" s="352" t="s">
        <v>1533</v>
      </c>
      <c r="C1788" s="351" t="s">
        <v>4825</v>
      </c>
      <c r="D1788" s="352" t="s">
        <v>4124</v>
      </c>
      <c r="E1788" s="352" t="s">
        <v>1995</v>
      </c>
      <c r="F1788" s="353">
        <v>0.2</v>
      </c>
      <c r="G1788" s="352" t="s">
        <v>2126</v>
      </c>
      <c r="H1788" s="176" t="s">
        <v>3554</v>
      </c>
      <c r="I1788" s="176" t="s">
        <v>3555</v>
      </c>
      <c r="J1788" s="352" t="s">
        <v>3580</v>
      </c>
      <c r="K1788" s="352">
        <v>500</v>
      </c>
      <c r="L1788" s="352" t="s">
        <v>3581</v>
      </c>
      <c r="M1788" s="351"/>
      <c r="N1788" s="351"/>
      <c r="O1788" s="351">
        <v>500</v>
      </c>
      <c r="P1788" s="349" t="s">
        <v>1836</v>
      </c>
      <c r="R1788" s="349">
        <f t="shared" si="27"/>
        <v>12</v>
      </c>
      <c r="S1788" s="352"/>
      <c r="T1788" s="352"/>
      <c r="U1788" s="352"/>
      <c r="V1788" s="353"/>
      <c r="W1788" s="352"/>
      <c r="X1788" s="176"/>
      <c r="Y1788" s="176"/>
      <c r="Z1788" s="352"/>
      <c r="AA1788" s="352"/>
      <c r="AB1788" s="352"/>
      <c r="AC1788" s="351"/>
      <c r="AD1788" s="351"/>
    </row>
    <row r="1789" spans="1:30" ht="25.65" hidden="1" x14ac:dyDescent="0.35">
      <c r="A1789" s="349">
        <v>1788</v>
      </c>
      <c r="B1789" s="352" t="s">
        <v>1787</v>
      </c>
      <c r="C1789" s="351" t="s">
        <v>3524</v>
      </c>
      <c r="D1789" s="352" t="s">
        <v>3524</v>
      </c>
      <c r="E1789" s="352" t="s">
        <v>2855</v>
      </c>
      <c r="F1789" s="353">
        <v>2.82</v>
      </c>
      <c r="G1789" s="352" t="s">
        <v>1107</v>
      </c>
      <c r="H1789" s="176" t="s">
        <v>1076</v>
      </c>
      <c r="I1789" s="176" t="s">
        <v>1221</v>
      </c>
      <c r="J1789" s="352" t="s">
        <v>828</v>
      </c>
      <c r="K1789" s="352">
        <v>50</v>
      </c>
      <c r="L1789" s="352" t="s">
        <v>1116</v>
      </c>
      <c r="M1789" s="351">
        <v>1</v>
      </c>
      <c r="N1789" s="351" t="s">
        <v>1109</v>
      </c>
      <c r="O1789" s="351">
        <v>50</v>
      </c>
      <c r="P1789" s="349" t="s">
        <v>1836</v>
      </c>
      <c r="R1789" s="349">
        <f t="shared" si="27"/>
        <v>10</v>
      </c>
      <c r="S1789" s="352"/>
      <c r="T1789" s="352"/>
      <c r="U1789" s="352"/>
      <c r="V1789" s="353"/>
      <c r="W1789" s="352"/>
      <c r="X1789" s="176"/>
      <c r="Y1789" s="176"/>
      <c r="Z1789" s="352"/>
      <c r="AA1789" s="352"/>
      <c r="AB1789" s="352"/>
      <c r="AC1789" s="351"/>
      <c r="AD1789" s="351"/>
    </row>
    <row r="1790" spans="1:30" ht="25.65" hidden="1" x14ac:dyDescent="0.35">
      <c r="A1790" s="349">
        <v>1789</v>
      </c>
      <c r="B1790" s="352" t="s">
        <v>1787</v>
      </c>
      <c r="C1790" s="351" t="s">
        <v>3524</v>
      </c>
      <c r="D1790" s="352" t="s">
        <v>3524</v>
      </c>
      <c r="E1790" s="352" t="s">
        <v>1995</v>
      </c>
      <c r="F1790" s="353">
        <v>0.1</v>
      </c>
      <c r="G1790" s="352" t="s">
        <v>2126</v>
      </c>
      <c r="H1790" s="176" t="s">
        <v>1077</v>
      </c>
      <c r="I1790" s="176" t="s">
        <v>1221</v>
      </c>
      <c r="J1790" s="352" t="s">
        <v>3580</v>
      </c>
      <c r="K1790" s="352">
        <v>20</v>
      </c>
      <c r="L1790" s="352" t="s">
        <v>3581</v>
      </c>
      <c r="M1790" s="351"/>
      <c r="N1790" s="351"/>
      <c r="O1790" s="351">
        <v>20</v>
      </c>
      <c r="P1790" s="349" t="s">
        <v>1836</v>
      </c>
      <c r="R1790" s="349">
        <f t="shared" si="27"/>
        <v>10</v>
      </c>
      <c r="S1790" s="352"/>
      <c r="T1790" s="352"/>
      <c r="U1790" s="352"/>
      <c r="V1790" s="353"/>
      <c r="W1790" s="352"/>
      <c r="X1790" s="176"/>
      <c r="Y1790" s="176"/>
      <c r="Z1790" s="352"/>
      <c r="AA1790" s="352"/>
      <c r="AB1790" s="352"/>
      <c r="AC1790" s="352"/>
      <c r="AD1790" s="352"/>
    </row>
    <row r="1791" spans="1:30" ht="25.65" hidden="1" x14ac:dyDescent="0.35">
      <c r="A1791" s="349">
        <v>1790</v>
      </c>
      <c r="B1791" s="352" t="s">
        <v>1787</v>
      </c>
      <c r="C1791" s="351" t="s">
        <v>3524</v>
      </c>
      <c r="D1791" s="352" t="s">
        <v>3524</v>
      </c>
      <c r="E1791" s="352" t="s">
        <v>1995</v>
      </c>
      <c r="F1791" s="353">
        <v>0.1</v>
      </c>
      <c r="G1791" s="352" t="s">
        <v>2126</v>
      </c>
      <c r="H1791" s="176" t="s">
        <v>1077</v>
      </c>
      <c r="I1791" s="176" t="s">
        <v>1221</v>
      </c>
      <c r="J1791" s="352" t="s">
        <v>3580</v>
      </c>
      <c r="K1791" s="352">
        <v>50</v>
      </c>
      <c r="L1791" s="352" t="s">
        <v>3581</v>
      </c>
      <c r="M1791" s="352"/>
      <c r="N1791" s="352"/>
      <c r="O1791" s="351">
        <v>50</v>
      </c>
      <c r="P1791" s="349" t="s">
        <v>1836</v>
      </c>
      <c r="R1791" s="349">
        <f t="shared" si="27"/>
        <v>10</v>
      </c>
      <c r="S1791" s="352"/>
      <c r="T1791" s="352"/>
      <c r="U1791" s="352"/>
      <c r="V1791" s="353"/>
      <c r="W1791" s="352"/>
      <c r="X1791" s="176"/>
      <c r="Y1791" s="176"/>
      <c r="Z1791" s="352"/>
      <c r="AA1791" s="352"/>
      <c r="AB1791" s="352"/>
      <c r="AC1791" s="352"/>
      <c r="AD1791" s="352"/>
    </row>
    <row r="1792" spans="1:30" ht="102.55" hidden="1" x14ac:dyDescent="0.35">
      <c r="A1792" s="349">
        <v>1791</v>
      </c>
      <c r="B1792" s="352" t="s">
        <v>829</v>
      </c>
      <c r="C1792" s="351" t="s">
        <v>3524</v>
      </c>
      <c r="D1792" s="352" t="s">
        <v>3524</v>
      </c>
      <c r="E1792" s="352" t="s">
        <v>1995</v>
      </c>
      <c r="F1792" s="353">
        <v>0.11020000000000001</v>
      </c>
      <c r="G1792" s="352" t="s">
        <v>2126</v>
      </c>
      <c r="H1792" s="176" t="s">
        <v>3833</v>
      </c>
      <c r="I1792" s="176" t="s">
        <v>3834</v>
      </c>
      <c r="J1792" s="352" t="s">
        <v>3580</v>
      </c>
      <c r="K1792" s="352">
        <v>20</v>
      </c>
      <c r="L1792" s="352" t="s">
        <v>3581</v>
      </c>
      <c r="M1792" s="351"/>
      <c r="N1792" s="351"/>
      <c r="O1792" s="351">
        <v>20</v>
      </c>
      <c r="P1792" s="349" t="s">
        <v>1836</v>
      </c>
      <c r="R1792" s="349">
        <f t="shared" si="27"/>
        <v>10</v>
      </c>
      <c r="S1792" s="352"/>
      <c r="T1792" s="352"/>
      <c r="U1792" s="352"/>
      <c r="V1792" s="353"/>
      <c r="W1792" s="352"/>
      <c r="X1792" s="176"/>
      <c r="Y1792" s="176"/>
      <c r="Z1792" s="352"/>
      <c r="AA1792" s="352"/>
      <c r="AB1792" s="352"/>
      <c r="AC1792" s="352"/>
      <c r="AD1792" s="352"/>
    </row>
    <row r="1793" spans="1:30" ht="102.55" hidden="1" x14ac:dyDescent="0.35">
      <c r="A1793" s="349">
        <v>1792</v>
      </c>
      <c r="B1793" s="352" t="s">
        <v>829</v>
      </c>
      <c r="C1793" s="351" t="s">
        <v>3524</v>
      </c>
      <c r="D1793" s="352" t="s">
        <v>3524</v>
      </c>
      <c r="E1793" s="352" t="s">
        <v>1995</v>
      </c>
      <c r="F1793" s="353">
        <v>0.17630000000000001</v>
      </c>
      <c r="G1793" s="352" t="s">
        <v>2126</v>
      </c>
      <c r="H1793" s="176" t="s">
        <v>3833</v>
      </c>
      <c r="I1793" s="176" t="s">
        <v>3834</v>
      </c>
      <c r="J1793" s="352" t="s">
        <v>3580</v>
      </c>
      <c r="K1793" s="352">
        <v>100</v>
      </c>
      <c r="L1793" s="352" t="s">
        <v>3581</v>
      </c>
      <c r="M1793" s="351"/>
      <c r="N1793" s="351"/>
      <c r="O1793" s="351">
        <v>100</v>
      </c>
      <c r="P1793" s="349" t="s">
        <v>1836</v>
      </c>
      <c r="R1793" s="349">
        <f t="shared" si="27"/>
        <v>10</v>
      </c>
      <c r="S1793" s="352"/>
      <c r="T1793" s="352"/>
      <c r="U1793" s="352"/>
      <c r="V1793" s="353"/>
      <c r="W1793" s="352"/>
      <c r="X1793" s="176"/>
      <c r="Y1793" s="176"/>
      <c r="Z1793" s="352"/>
      <c r="AA1793" s="352"/>
      <c r="AB1793" s="352"/>
      <c r="AC1793" s="352"/>
      <c r="AD1793" s="352"/>
    </row>
    <row r="1794" spans="1:30" ht="230.7" hidden="1" x14ac:dyDescent="0.35">
      <c r="A1794" s="349">
        <v>1793</v>
      </c>
      <c r="B1794" s="352" t="s">
        <v>830</v>
      </c>
      <c r="C1794" s="351" t="s">
        <v>3524</v>
      </c>
      <c r="D1794" s="352" t="s">
        <v>3524</v>
      </c>
      <c r="E1794" s="352" t="s">
        <v>1995</v>
      </c>
      <c r="F1794" s="353">
        <v>0.11020000000000001</v>
      </c>
      <c r="G1794" s="352" t="s">
        <v>2126</v>
      </c>
      <c r="H1794" s="176" t="s">
        <v>4665</v>
      </c>
      <c r="I1794" s="176" t="s">
        <v>2496</v>
      </c>
      <c r="J1794" s="352" t="s">
        <v>3580</v>
      </c>
      <c r="K1794" s="352">
        <v>20</v>
      </c>
      <c r="L1794" s="352" t="s">
        <v>3581</v>
      </c>
      <c r="M1794" s="351"/>
      <c r="N1794" s="351"/>
      <c r="O1794" s="351">
        <v>20</v>
      </c>
      <c r="P1794" s="349" t="s">
        <v>1836</v>
      </c>
      <c r="R1794" s="349">
        <f t="shared" si="27"/>
        <v>10</v>
      </c>
      <c r="S1794" s="352"/>
      <c r="T1794" s="352"/>
      <c r="U1794" s="352"/>
      <c r="V1794" s="353"/>
      <c r="W1794" s="352"/>
      <c r="X1794" s="176"/>
      <c r="Y1794" s="176"/>
      <c r="Z1794" s="352"/>
      <c r="AA1794" s="352"/>
      <c r="AB1794" s="352"/>
      <c r="AC1794" s="352"/>
      <c r="AD1794" s="352"/>
    </row>
    <row r="1795" spans="1:30" ht="230.7" hidden="1" x14ac:dyDescent="0.35">
      <c r="A1795" s="349">
        <v>1794</v>
      </c>
      <c r="B1795" s="352" t="s">
        <v>830</v>
      </c>
      <c r="C1795" s="351" t="s">
        <v>3524</v>
      </c>
      <c r="D1795" s="352" t="s">
        <v>3524</v>
      </c>
      <c r="E1795" s="352" t="s">
        <v>1995</v>
      </c>
      <c r="F1795" s="353">
        <v>8.8099999999999998E-2</v>
      </c>
      <c r="G1795" s="352" t="s">
        <v>2126</v>
      </c>
      <c r="H1795" s="176" t="s">
        <v>4665</v>
      </c>
      <c r="I1795" s="176" t="s">
        <v>2496</v>
      </c>
      <c r="J1795" s="352" t="s">
        <v>3580</v>
      </c>
      <c r="K1795" s="352">
        <v>50</v>
      </c>
      <c r="L1795" s="352" t="s">
        <v>3581</v>
      </c>
      <c r="M1795" s="351"/>
      <c r="N1795" s="351"/>
      <c r="O1795" s="351">
        <v>50</v>
      </c>
      <c r="P1795" s="349" t="s">
        <v>1836</v>
      </c>
      <c r="R1795" s="349">
        <f t="shared" ref="R1795:R1858" si="28">LEN(D1795)</f>
        <v>10</v>
      </c>
      <c r="S1795" s="352"/>
      <c r="T1795" s="352"/>
      <c r="U1795" s="352"/>
      <c r="V1795" s="353"/>
      <c r="W1795" s="352"/>
      <c r="X1795" s="176"/>
      <c r="Y1795" s="176"/>
      <c r="Z1795" s="352"/>
      <c r="AA1795" s="352"/>
      <c r="AB1795" s="352"/>
      <c r="AC1795" s="352"/>
      <c r="AD1795" s="352"/>
    </row>
    <row r="1796" spans="1:30" ht="25.65" hidden="1" x14ac:dyDescent="0.35">
      <c r="A1796" s="349">
        <v>1795</v>
      </c>
      <c r="B1796" s="352" t="s">
        <v>1787</v>
      </c>
      <c r="C1796" s="351" t="s">
        <v>4826</v>
      </c>
      <c r="D1796" s="352" t="s">
        <v>3524</v>
      </c>
      <c r="E1796" s="352" t="s">
        <v>2855</v>
      </c>
      <c r="F1796" s="353">
        <v>2.82</v>
      </c>
      <c r="G1796" s="352" t="s">
        <v>1107</v>
      </c>
      <c r="H1796" s="176" t="s">
        <v>1076</v>
      </c>
      <c r="I1796" s="176" t="s">
        <v>1221</v>
      </c>
      <c r="J1796" s="352" t="s">
        <v>828</v>
      </c>
      <c r="K1796" s="352">
        <v>50</v>
      </c>
      <c r="L1796" s="352" t="s">
        <v>1116</v>
      </c>
      <c r="M1796" s="352">
        <v>1</v>
      </c>
      <c r="N1796" s="352" t="s">
        <v>1109</v>
      </c>
      <c r="O1796" s="351">
        <v>50</v>
      </c>
      <c r="P1796" s="349" t="s">
        <v>1836</v>
      </c>
      <c r="R1796" s="349">
        <f t="shared" si="28"/>
        <v>10</v>
      </c>
      <c r="S1796" s="352"/>
      <c r="T1796" s="352"/>
      <c r="U1796" s="352"/>
      <c r="V1796" s="353"/>
      <c r="W1796" s="352"/>
      <c r="X1796" s="176"/>
      <c r="Y1796" s="176"/>
      <c r="Z1796" s="352"/>
      <c r="AA1796" s="352"/>
      <c r="AB1796" s="352"/>
      <c r="AC1796" s="352"/>
      <c r="AD1796" s="352"/>
    </row>
    <row r="1797" spans="1:30" ht="25.65" hidden="1" x14ac:dyDescent="0.35">
      <c r="A1797" s="349">
        <v>1796</v>
      </c>
      <c r="B1797" s="352" t="s">
        <v>1787</v>
      </c>
      <c r="C1797" s="351" t="s">
        <v>4826</v>
      </c>
      <c r="D1797" s="352" t="s">
        <v>3524</v>
      </c>
      <c r="E1797" s="352" t="s">
        <v>1995</v>
      </c>
      <c r="F1797" s="353">
        <v>0.1</v>
      </c>
      <c r="G1797" s="352" t="s">
        <v>2126</v>
      </c>
      <c r="H1797" s="176" t="s">
        <v>1077</v>
      </c>
      <c r="I1797" s="176" t="s">
        <v>1221</v>
      </c>
      <c r="J1797" s="352" t="s">
        <v>3580</v>
      </c>
      <c r="K1797" s="352">
        <v>20</v>
      </c>
      <c r="L1797" s="352" t="s">
        <v>3581</v>
      </c>
      <c r="M1797" s="351"/>
      <c r="N1797" s="351"/>
      <c r="O1797" s="351">
        <v>20</v>
      </c>
      <c r="P1797" s="349" t="s">
        <v>1836</v>
      </c>
      <c r="R1797" s="349">
        <f t="shared" si="28"/>
        <v>10</v>
      </c>
      <c r="S1797" s="352"/>
      <c r="T1797" s="352"/>
      <c r="U1797" s="352"/>
      <c r="V1797" s="353"/>
      <c r="W1797" s="352"/>
      <c r="X1797" s="176"/>
      <c r="Y1797" s="176"/>
      <c r="Z1797" s="352"/>
      <c r="AA1797" s="352"/>
      <c r="AB1797" s="352"/>
      <c r="AC1797" s="352"/>
      <c r="AD1797" s="352"/>
    </row>
    <row r="1798" spans="1:30" ht="25.65" hidden="1" x14ac:dyDescent="0.35">
      <c r="A1798" s="349">
        <v>1797</v>
      </c>
      <c r="B1798" s="352" t="s">
        <v>1787</v>
      </c>
      <c r="C1798" s="351" t="s">
        <v>4826</v>
      </c>
      <c r="D1798" s="352" t="s">
        <v>3524</v>
      </c>
      <c r="E1798" s="352" t="s">
        <v>1995</v>
      </c>
      <c r="F1798" s="353">
        <v>0.1</v>
      </c>
      <c r="G1798" s="352" t="s">
        <v>2126</v>
      </c>
      <c r="H1798" s="176" t="s">
        <v>1077</v>
      </c>
      <c r="I1798" s="176" t="s">
        <v>1221</v>
      </c>
      <c r="J1798" s="352" t="s">
        <v>3580</v>
      </c>
      <c r="K1798" s="352">
        <v>50</v>
      </c>
      <c r="L1798" s="352" t="s">
        <v>3581</v>
      </c>
      <c r="M1798" s="351"/>
      <c r="N1798" s="351"/>
      <c r="O1798" s="351">
        <v>50</v>
      </c>
      <c r="P1798" s="349" t="s">
        <v>1836</v>
      </c>
      <c r="R1798" s="349">
        <f t="shared" si="28"/>
        <v>10</v>
      </c>
      <c r="S1798" s="352"/>
      <c r="T1798" s="352"/>
      <c r="U1798" s="352"/>
      <c r="V1798" s="353"/>
      <c r="W1798" s="352"/>
      <c r="X1798" s="176"/>
      <c r="Y1798" s="176"/>
      <c r="Z1798" s="352"/>
      <c r="AA1798" s="352"/>
      <c r="AB1798" s="352"/>
      <c r="AC1798" s="352"/>
      <c r="AD1798" s="352"/>
    </row>
    <row r="1799" spans="1:30" ht="230.7" hidden="1" x14ac:dyDescent="0.35">
      <c r="A1799" s="349">
        <v>1798</v>
      </c>
      <c r="B1799" s="352" t="s">
        <v>830</v>
      </c>
      <c r="C1799" s="351" t="s">
        <v>4826</v>
      </c>
      <c r="D1799" s="352" t="s">
        <v>3524</v>
      </c>
      <c r="E1799" s="352" t="s">
        <v>1995</v>
      </c>
      <c r="F1799" s="353">
        <v>0.11020000000000001</v>
      </c>
      <c r="G1799" s="352" t="s">
        <v>2126</v>
      </c>
      <c r="H1799" s="176" t="s">
        <v>4665</v>
      </c>
      <c r="I1799" s="176" t="s">
        <v>2496</v>
      </c>
      <c r="J1799" s="352" t="s">
        <v>3580</v>
      </c>
      <c r="K1799" s="352">
        <v>20</v>
      </c>
      <c r="L1799" s="352" t="s">
        <v>3581</v>
      </c>
      <c r="M1799" s="351"/>
      <c r="N1799" s="351"/>
      <c r="O1799" s="351">
        <v>20</v>
      </c>
      <c r="P1799" s="349" t="s">
        <v>1836</v>
      </c>
      <c r="R1799" s="349">
        <f t="shared" si="28"/>
        <v>10</v>
      </c>
      <c r="S1799" s="352"/>
      <c r="T1799" s="352"/>
      <c r="U1799" s="352"/>
      <c r="V1799" s="353"/>
      <c r="W1799" s="352"/>
      <c r="X1799" s="176"/>
      <c r="Y1799" s="176"/>
      <c r="Z1799" s="352"/>
      <c r="AA1799" s="352"/>
      <c r="AB1799" s="352"/>
      <c r="AC1799" s="352"/>
      <c r="AD1799" s="352"/>
    </row>
    <row r="1800" spans="1:30" ht="230.7" hidden="1" x14ac:dyDescent="0.35">
      <c r="A1800" s="349">
        <v>1799</v>
      </c>
      <c r="B1800" s="352" t="s">
        <v>830</v>
      </c>
      <c r="C1800" s="351" t="s">
        <v>4826</v>
      </c>
      <c r="D1800" s="352" t="s">
        <v>3524</v>
      </c>
      <c r="E1800" s="352" t="s">
        <v>1995</v>
      </c>
      <c r="F1800" s="353">
        <v>8.8099999999999998E-2</v>
      </c>
      <c r="G1800" s="352" t="s">
        <v>2126</v>
      </c>
      <c r="H1800" s="176" t="s">
        <v>4665</v>
      </c>
      <c r="I1800" s="176" t="s">
        <v>2496</v>
      </c>
      <c r="J1800" s="352" t="s">
        <v>3580</v>
      </c>
      <c r="K1800" s="352">
        <v>50</v>
      </c>
      <c r="L1800" s="352" t="s">
        <v>3581</v>
      </c>
      <c r="M1800" s="352"/>
      <c r="N1800" s="352"/>
      <c r="O1800" s="351">
        <v>50</v>
      </c>
      <c r="P1800" s="349" t="s">
        <v>1836</v>
      </c>
      <c r="R1800" s="349">
        <f t="shared" si="28"/>
        <v>10</v>
      </c>
      <c r="S1800" s="352"/>
      <c r="T1800" s="352"/>
      <c r="U1800" s="352"/>
      <c r="V1800" s="353"/>
      <c r="W1800" s="352"/>
      <c r="X1800" s="176"/>
      <c r="Y1800" s="176"/>
      <c r="Z1800" s="352"/>
      <c r="AA1800" s="352"/>
      <c r="AB1800" s="352"/>
      <c r="AC1800" s="352"/>
      <c r="AD1800" s="352"/>
    </row>
    <row r="1801" spans="1:30" ht="64.099999999999994" hidden="1" x14ac:dyDescent="0.35">
      <c r="A1801" s="349">
        <v>1800</v>
      </c>
      <c r="B1801" s="352" t="s">
        <v>3205</v>
      </c>
      <c r="C1801" s="351" t="s">
        <v>2437</v>
      </c>
      <c r="D1801" s="352" t="s">
        <v>2437</v>
      </c>
      <c r="E1801" s="352" t="s">
        <v>1995</v>
      </c>
      <c r="F1801" s="353">
        <v>0.28999999999999998</v>
      </c>
      <c r="G1801" s="352" t="s">
        <v>2126</v>
      </c>
      <c r="H1801" s="176" t="s">
        <v>1023</v>
      </c>
      <c r="I1801" s="176" t="s">
        <v>925</v>
      </c>
      <c r="J1801" s="352" t="s">
        <v>3580</v>
      </c>
      <c r="K1801" s="352">
        <v>25</v>
      </c>
      <c r="L1801" s="352" t="s">
        <v>3581</v>
      </c>
      <c r="M1801" s="351"/>
      <c r="N1801" s="351"/>
      <c r="O1801" s="351">
        <v>25</v>
      </c>
      <c r="P1801" s="349" t="s">
        <v>1836</v>
      </c>
      <c r="R1801" s="349">
        <f t="shared" si="28"/>
        <v>13</v>
      </c>
      <c r="S1801" s="352"/>
      <c r="T1801" s="352"/>
      <c r="U1801" s="352"/>
      <c r="V1801" s="353"/>
      <c r="W1801" s="352"/>
      <c r="X1801" s="176"/>
      <c r="Y1801" s="176"/>
      <c r="Z1801" s="352"/>
      <c r="AA1801" s="352"/>
      <c r="AB1801" s="352"/>
      <c r="AC1801" s="352"/>
      <c r="AD1801" s="352"/>
    </row>
    <row r="1802" spans="1:30" ht="38.450000000000003" hidden="1" x14ac:dyDescent="0.35">
      <c r="A1802" s="349">
        <v>1801</v>
      </c>
      <c r="B1802" s="352" t="s">
        <v>2055</v>
      </c>
      <c r="C1802" s="351" t="s">
        <v>4827</v>
      </c>
      <c r="D1802" s="352" t="s">
        <v>789</v>
      </c>
      <c r="E1802" s="352" t="s">
        <v>2008</v>
      </c>
      <c r="F1802" s="353">
        <v>0.9476</v>
      </c>
      <c r="G1802" s="352" t="s">
        <v>2126</v>
      </c>
      <c r="H1802" s="176" t="s">
        <v>3320</v>
      </c>
      <c r="I1802" s="176" t="s">
        <v>3321</v>
      </c>
      <c r="J1802" s="352" t="s">
        <v>2056</v>
      </c>
      <c r="K1802" s="352">
        <v>4</v>
      </c>
      <c r="L1802" s="352" t="s">
        <v>2057</v>
      </c>
      <c r="M1802" s="352"/>
      <c r="N1802" s="352"/>
      <c r="O1802" s="351">
        <v>4</v>
      </c>
      <c r="P1802" s="349" t="s">
        <v>818</v>
      </c>
      <c r="R1802" s="349">
        <f t="shared" si="28"/>
        <v>13</v>
      </c>
      <c r="S1802" s="352"/>
      <c r="T1802" s="352"/>
      <c r="U1802" s="352"/>
      <c r="V1802" s="353"/>
      <c r="W1802" s="352"/>
      <c r="X1802" s="176"/>
      <c r="Y1802" s="176"/>
      <c r="Z1802" s="352"/>
      <c r="AA1802" s="352"/>
      <c r="AB1802" s="352"/>
      <c r="AC1802" s="352"/>
      <c r="AD1802" s="352"/>
    </row>
    <row r="1803" spans="1:30" ht="128.19999999999999" hidden="1" x14ac:dyDescent="0.35">
      <c r="A1803" s="349">
        <v>1802</v>
      </c>
      <c r="B1803" s="352" t="s">
        <v>788</v>
      </c>
      <c r="C1803" s="351" t="s">
        <v>4827</v>
      </c>
      <c r="D1803" s="352" t="s">
        <v>789</v>
      </c>
      <c r="E1803" s="352" t="s">
        <v>2008</v>
      </c>
      <c r="F1803" s="353">
        <v>1.1000000000000001</v>
      </c>
      <c r="G1803" s="352" t="s">
        <v>2126</v>
      </c>
      <c r="H1803" s="176" t="s">
        <v>3815</v>
      </c>
      <c r="I1803" s="176" t="s">
        <v>4486</v>
      </c>
      <c r="J1803" s="352" t="s">
        <v>2056</v>
      </c>
      <c r="K1803" s="352">
        <v>4</v>
      </c>
      <c r="L1803" s="352" t="s">
        <v>2057</v>
      </c>
      <c r="M1803" s="352"/>
      <c r="N1803" s="352"/>
      <c r="O1803" s="351">
        <v>4</v>
      </c>
      <c r="P1803" s="349" t="s">
        <v>818</v>
      </c>
      <c r="R1803" s="349">
        <f t="shared" si="28"/>
        <v>13</v>
      </c>
      <c r="S1803" s="352"/>
      <c r="T1803" s="352"/>
      <c r="U1803" s="352"/>
      <c r="V1803" s="353"/>
      <c r="W1803" s="352"/>
      <c r="X1803" s="176"/>
      <c r="Y1803" s="176"/>
      <c r="Z1803" s="352"/>
      <c r="AA1803" s="352"/>
      <c r="AB1803" s="352"/>
      <c r="AC1803" s="352"/>
      <c r="AD1803" s="352"/>
    </row>
    <row r="1804" spans="1:30" ht="64.099999999999994" hidden="1" x14ac:dyDescent="0.35">
      <c r="A1804" s="349">
        <v>1803</v>
      </c>
      <c r="B1804" s="352" t="s">
        <v>1610</v>
      </c>
      <c r="C1804" s="351" t="s">
        <v>982</v>
      </c>
      <c r="D1804" s="352" t="s">
        <v>982</v>
      </c>
      <c r="E1804" s="352" t="s">
        <v>762</v>
      </c>
      <c r="F1804" s="353">
        <v>2.2000000000000002</v>
      </c>
      <c r="G1804" s="352" t="s">
        <v>1107</v>
      </c>
      <c r="H1804" s="176" t="s">
        <v>3817</v>
      </c>
      <c r="I1804" s="176" t="s">
        <v>1824</v>
      </c>
      <c r="J1804" s="352" t="s">
        <v>828</v>
      </c>
      <c r="K1804" s="352">
        <v>25</v>
      </c>
      <c r="L1804" s="352" t="s">
        <v>1116</v>
      </c>
      <c r="M1804" s="352">
        <v>2</v>
      </c>
      <c r="N1804" s="352" t="s">
        <v>1109</v>
      </c>
      <c r="O1804" s="351">
        <v>25</v>
      </c>
      <c r="P1804" s="349" t="s">
        <v>1836</v>
      </c>
      <c r="R1804" s="349">
        <f t="shared" si="28"/>
        <v>10</v>
      </c>
      <c r="S1804" s="352"/>
      <c r="T1804" s="352"/>
      <c r="U1804" s="352"/>
      <c r="V1804" s="353"/>
      <c r="W1804" s="352"/>
      <c r="X1804" s="176"/>
      <c r="Y1804" s="176"/>
      <c r="Z1804" s="352"/>
      <c r="AA1804" s="352"/>
      <c r="AB1804" s="352"/>
      <c r="AC1804" s="352"/>
      <c r="AD1804" s="352"/>
    </row>
    <row r="1805" spans="1:30" ht="64.099999999999994" hidden="1" x14ac:dyDescent="0.35">
      <c r="A1805" s="349">
        <v>1804</v>
      </c>
      <c r="B1805" s="352" t="s">
        <v>1610</v>
      </c>
      <c r="C1805" s="351" t="s">
        <v>982</v>
      </c>
      <c r="D1805" s="352" t="s">
        <v>982</v>
      </c>
      <c r="E1805" s="352" t="s">
        <v>92</v>
      </c>
      <c r="F1805" s="353">
        <v>46.277900000000002</v>
      </c>
      <c r="G1805" s="352" t="s">
        <v>2126</v>
      </c>
      <c r="H1805" s="176" t="s">
        <v>3547</v>
      </c>
      <c r="I1805" s="176" t="s">
        <v>1824</v>
      </c>
      <c r="J1805" s="352" t="s">
        <v>3579</v>
      </c>
      <c r="K1805" s="352">
        <v>15</v>
      </c>
      <c r="L1805" s="352" t="s">
        <v>1116</v>
      </c>
      <c r="M1805" s="352">
        <v>300</v>
      </c>
      <c r="N1805" s="352" t="s">
        <v>1109</v>
      </c>
      <c r="O1805" s="351">
        <v>15</v>
      </c>
      <c r="P1805" s="349" t="s">
        <v>1836</v>
      </c>
      <c r="R1805" s="349">
        <f t="shared" si="28"/>
        <v>10</v>
      </c>
      <c r="S1805" s="352"/>
      <c r="T1805" s="352"/>
      <c r="U1805" s="352"/>
      <c r="V1805" s="353"/>
      <c r="W1805" s="352"/>
      <c r="X1805" s="176"/>
      <c r="Y1805" s="176"/>
      <c r="Z1805" s="352"/>
      <c r="AA1805" s="352"/>
      <c r="AB1805" s="352"/>
      <c r="AC1805" s="351"/>
      <c r="AD1805" s="351"/>
    </row>
    <row r="1806" spans="1:30" ht="64.099999999999994" hidden="1" x14ac:dyDescent="0.35">
      <c r="A1806" s="349">
        <v>1805</v>
      </c>
      <c r="B1806" s="352" t="s">
        <v>1610</v>
      </c>
      <c r="C1806" s="351" t="s">
        <v>982</v>
      </c>
      <c r="D1806" s="352" t="s">
        <v>982</v>
      </c>
      <c r="E1806" s="352" t="s">
        <v>1995</v>
      </c>
      <c r="F1806" s="353">
        <v>0.44069999999999998</v>
      </c>
      <c r="G1806" s="352" t="s">
        <v>2126</v>
      </c>
      <c r="H1806" s="176" t="s">
        <v>3547</v>
      </c>
      <c r="I1806" s="176" t="s">
        <v>1824</v>
      </c>
      <c r="J1806" s="352" t="s">
        <v>3580</v>
      </c>
      <c r="K1806" s="352">
        <v>150</v>
      </c>
      <c r="L1806" s="352" t="s">
        <v>3581</v>
      </c>
      <c r="M1806" s="351"/>
      <c r="N1806" s="351"/>
      <c r="O1806" s="351">
        <v>150</v>
      </c>
      <c r="P1806" s="349" t="s">
        <v>1836</v>
      </c>
      <c r="R1806" s="349">
        <f t="shared" si="28"/>
        <v>10</v>
      </c>
      <c r="S1806" s="352"/>
      <c r="T1806" s="352"/>
      <c r="U1806" s="352"/>
      <c r="V1806" s="353"/>
      <c r="W1806" s="352"/>
      <c r="X1806" s="176"/>
      <c r="Y1806" s="176"/>
      <c r="Z1806" s="352"/>
      <c r="AA1806" s="352"/>
      <c r="AB1806" s="352"/>
      <c r="AC1806" s="351"/>
      <c r="AD1806" s="351"/>
    </row>
    <row r="1807" spans="1:30" ht="89.75" hidden="1" x14ac:dyDescent="0.35">
      <c r="A1807" s="349">
        <v>1806</v>
      </c>
      <c r="B1807" s="352" t="s">
        <v>4027</v>
      </c>
      <c r="C1807" s="351" t="s">
        <v>4732</v>
      </c>
      <c r="D1807" s="352" t="s">
        <v>3369</v>
      </c>
      <c r="E1807" s="352" t="s">
        <v>2857</v>
      </c>
      <c r="F1807" s="353">
        <v>7.56</v>
      </c>
      <c r="G1807" s="352" t="s">
        <v>1107</v>
      </c>
      <c r="H1807" s="176" t="s">
        <v>3982</v>
      </c>
      <c r="I1807" s="176" t="s">
        <v>4762</v>
      </c>
      <c r="J1807" s="352" t="s">
        <v>828</v>
      </c>
      <c r="K1807" s="352">
        <v>0.5</v>
      </c>
      <c r="L1807" s="352" t="s">
        <v>1116</v>
      </c>
      <c r="M1807" s="352">
        <v>10</v>
      </c>
      <c r="N1807" s="352" t="s">
        <v>1109</v>
      </c>
      <c r="O1807" s="351">
        <v>0.5</v>
      </c>
      <c r="P1807" s="349" t="s">
        <v>1836</v>
      </c>
      <c r="R1807" s="349">
        <f t="shared" si="28"/>
        <v>10</v>
      </c>
      <c r="S1807" s="352"/>
      <c r="T1807" s="352"/>
      <c r="U1807" s="352"/>
      <c r="V1807" s="353"/>
      <c r="W1807" s="352"/>
      <c r="X1807" s="176"/>
      <c r="Y1807" s="176"/>
      <c r="Z1807" s="352"/>
      <c r="AA1807" s="352"/>
      <c r="AB1807" s="352"/>
      <c r="AC1807" s="351"/>
      <c r="AD1807" s="351"/>
    </row>
    <row r="1808" spans="1:30" ht="89.75" hidden="1" x14ac:dyDescent="0.35">
      <c r="A1808" s="349">
        <v>1807</v>
      </c>
      <c r="B1808" s="352" t="s">
        <v>4027</v>
      </c>
      <c r="C1808" s="351" t="s">
        <v>4732</v>
      </c>
      <c r="D1808" s="352" t="s">
        <v>3369</v>
      </c>
      <c r="E1808" s="352" t="s">
        <v>762</v>
      </c>
      <c r="F1808" s="353">
        <v>1.7</v>
      </c>
      <c r="G1808" s="352" t="s">
        <v>1107</v>
      </c>
      <c r="H1808" s="176" t="s">
        <v>3982</v>
      </c>
      <c r="I1808" s="176" t="s">
        <v>4762</v>
      </c>
      <c r="J1808" s="352" t="s">
        <v>828</v>
      </c>
      <c r="K1808" s="352">
        <v>0.5</v>
      </c>
      <c r="L1808" s="352" t="s">
        <v>1116</v>
      </c>
      <c r="M1808" s="352">
        <v>2</v>
      </c>
      <c r="N1808" s="352" t="s">
        <v>1109</v>
      </c>
      <c r="O1808" s="351">
        <v>0.5</v>
      </c>
      <c r="P1808" s="349" t="s">
        <v>1836</v>
      </c>
      <c r="R1808" s="349">
        <f t="shared" si="28"/>
        <v>10</v>
      </c>
      <c r="S1808" s="352"/>
      <c r="T1808" s="352"/>
      <c r="U1808" s="352"/>
      <c r="V1808" s="353"/>
      <c r="W1808" s="352"/>
      <c r="X1808" s="176"/>
      <c r="Y1808" s="176"/>
      <c r="Z1808" s="352"/>
      <c r="AA1808" s="352"/>
      <c r="AB1808" s="352"/>
      <c r="AC1808" s="352"/>
      <c r="AD1808" s="352"/>
    </row>
    <row r="1809" spans="1:30" ht="51.3" hidden="1" x14ac:dyDescent="0.35">
      <c r="A1809" s="349">
        <v>1808</v>
      </c>
      <c r="B1809" s="352" t="s">
        <v>1113</v>
      </c>
      <c r="C1809" s="351" t="s">
        <v>4733</v>
      </c>
      <c r="D1809" s="352" t="s">
        <v>3001</v>
      </c>
      <c r="E1809" s="352" t="s">
        <v>2855</v>
      </c>
      <c r="F1809" s="353">
        <v>2.98</v>
      </c>
      <c r="G1809" s="352" t="s">
        <v>1501</v>
      </c>
      <c r="H1809" s="176" t="s">
        <v>655</v>
      </c>
      <c r="I1809" s="176" t="s">
        <v>4614</v>
      </c>
      <c r="J1809" s="352" t="s">
        <v>828</v>
      </c>
      <c r="K1809" s="352">
        <v>10</v>
      </c>
      <c r="L1809" s="352" t="s">
        <v>1116</v>
      </c>
      <c r="M1809" s="351">
        <v>1</v>
      </c>
      <c r="N1809" s="351" t="s">
        <v>1109</v>
      </c>
      <c r="O1809" s="351">
        <v>10</v>
      </c>
      <c r="P1809" s="349" t="s">
        <v>1836</v>
      </c>
      <c r="R1809" s="349">
        <f t="shared" si="28"/>
        <v>19</v>
      </c>
      <c r="S1809" s="352"/>
      <c r="T1809" s="352"/>
      <c r="U1809" s="352"/>
      <c r="V1809" s="353"/>
      <c r="W1809" s="352"/>
      <c r="X1809" s="176"/>
      <c r="Y1809" s="176"/>
      <c r="Z1809" s="352"/>
      <c r="AA1809" s="352"/>
      <c r="AB1809" s="352"/>
      <c r="AC1809" s="352"/>
      <c r="AD1809" s="352"/>
    </row>
    <row r="1810" spans="1:30" ht="64.099999999999994" hidden="1" x14ac:dyDescent="0.35">
      <c r="A1810" s="349">
        <v>1809</v>
      </c>
      <c r="B1810" s="352" t="s">
        <v>2891</v>
      </c>
      <c r="C1810" s="351" t="s">
        <v>5002</v>
      </c>
      <c r="D1810" s="352" t="s">
        <v>1960</v>
      </c>
      <c r="E1810" s="352" t="s">
        <v>1997</v>
      </c>
      <c r="F1810" s="353">
        <v>58.464399999999998</v>
      </c>
      <c r="G1810" s="352" t="s">
        <v>731</v>
      </c>
      <c r="H1810" s="176" t="s">
        <v>4155</v>
      </c>
      <c r="I1810" s="176" t="s">
        <v>122</v>
      </c>
      <c r="J1810" s="352" t="s">
        <v>1115</v>
      </c>
      <c r="K1810" s="352">
        <v>100</v>
      </c>
      <c r="L1810" s="352" t="s">
        <v>768</v>
      </c>
      <c r="M1810" s="351"/>
      <c r="N1810" s="351"/>
      <c r="O1810" s="351">
        <v>100</v>
      </c>
      <c r="P1810" s="349" t="s">
        <v>1850</v>
      </c>
      <c r="R1810" s="349">
        <f t="shared" si="28"/>
        <v>12</v>
      </c>
      <c r="S1810" s="352"/>
      <c r="T1810" s="352"/>
      <c r="U1810" s="352"/>
      <c r="V1810" s="353"/>
      <c r="W1810" s="352"/>
      <c r="X1810" s="176"/>
      <c r="Y1810" s="176"/>
      <c r="Z1810" s="352"/>
      <c r="AA1810" s="352"/>
      <c r="AB1810" s="352"/>
      <c r="AC1810" s="351"/>
      <c r="AD1810" s="351"/>
    </row>
    <row r="1811" spans="1:30" ht="89.75" hidden="1" x14ac:dyDescent="0.35">
      <c r="A1811" s="349">
        <v>1810</v>
      </c>
      <c r="B1811" s="352" t="s">
        <v>2891</v>
      </c>
      <c r="C1811" s="351" t="s">
        <v>5003</v>
      </c>
      <c r="D1811" s="352" t="s">
        <v>4122</v>
      </c>
      <c r="E1811" s="352" t="s">
        <v>767</v>
      </c>
      <c r="F1811" s="353">
        <v>11.8339</v>
      </c>
      <c r="G1811" s="352" t="s">
        <v>1107</v>
      </c>
      <c r="H1811" s="176" t="s">
        <v>4123</v>
      </c>
      <c r="I1811" s="176" t="s">
        <v>4928</v>
      </c>
      <c r="J1811" s="352" t="s">
        <v>1115</v>
      </c>
      <c r="K1811" s="352">
        <v>200</v>
      </c>
      <c r="L1811" s="352" t="s">
        <v>4022</v>
      </c>
      <c r="M1811" s="351">
        <v>1</v>
      </c>
      <c r="N1811" s="351" t="s">
        <v>1109</v>
      </c>
      <c r="O1811" s="351">
        <v>200</v>
      </c>
      <c r="P1811" s="349" t="s">
        <v>1850</v>
      </c>
      <c r="R1811" s="349">
        <f t="shared" si="28"/>
        <v>11</v>
      </c>
      <c r="S1811" s="352"/>
      <c r="T1811" s="352"/>
      <c r="U1811" s="352"/>
      <c r="V1811" s="353"/>
      <c r="W1811" s="352"/>
      <c r="X1811" s="176"/>
      <c r="Y1811" s="176"/>
      <c r="Z1811" s="352"/>
      <c r="AA1811" s="352"/>
      <c r="AB1811" s="352"/>
      <c r="AC1811" s="351"/>
      <c r="AD1811" s="351"/>
    </row>
    <row r="1812" spans="1:30" ht="89.75" hidden="1" x14ac:dyDescent="0.35">
      <c r="A1812" s="349">
        <v>1811</v>
      </c>
      <c r="B1812" s="352" t="s">
        <v>2891</v>
      </c>
      <c r="C1812" s="351" t="s">
        <v>5003</v>
      </c>
      <c r="D1812" s="352" t="s">
        <v>4122</v>
      </c>
      <c r="E1812" s="352" t="s">
        <v>767</v>
      </c>
      <c r="F1812" s="353">
        <v>11.8339</v>
      </c>
      <c r="G1812" s="352" t="s">
        <v>1107</v>
      </c>
      <c r="H1812" s="176" t="s">
        <v>4123</v>
      </c>
      <c r="I1812" s="176" t="s">
        <v>4928</v>
      </c>
      <c r="J1812" s="352" t="s">
        <v>1115</v>
      </c>
      <c r="K1812" s="352">
        <v>200</v>
      </c>
      <c r="L1812" s="352" t="s">
        <v>4022</v>
      </c>
      <c r="M1812" s="351">
        <v>1</v>
      </c>
      <c r="N1812" s="351" t="s">
        <v>1109</v>
      </c>
      <c r="O1812" s="351">
        <v>200</v>
      </c>
      <c r="P1812" s="349" t="s">
        <v>1850</v>
      </c>
      <c r="R1812" s="349">
        <f t="shared" si="28"/>
        <v>11</v>
      </c>
      <c r="S1812" s="352"/>
      <c r="T1812" s="352"/>
      <c r="U1812" s="352"/>
      <c r="V1812" s="353"/>
      <c r="W1812" s="352"/>
      <c r="X1812" s="176"/>
      <c r="Y1812" s="176"/>
      <c r="Z1812" s="352"/>
      <c r="AA1812" s="352"/>
      <c r="AB1812" s="352"/>
      <c r="AC1812" s="351"/>
      <c r="AD1812" s="351"/>
    </row>
    <row r="1813" spans="1:30" ht="76.900000000000006" hidden="1" x14ac:dyDescent="0.35">
      <c r="A1813" s="349">
        <v>1812</v>
      </c>
      <c r="B1813" s="352" t="s">
        <v>1609</v>
      </c>
      <c r="C1813" s="351" t="s">
        <v>5004</v>
      </c>
      <c r="D1813" s="352" t="s">
        <v>2063</v>
      </c>
      <c r="E1813" s="352" t="s">
        <v>1997</v>
      </c>
      <c r="F1813" s="353">
        <v>1496.32</v>
      </c>
      <c r="G1813" s="352" t="s">
        <v>1107</v>
      </c>
      <c r="H1813" s="176" t="s">
        <v>2064</v>
      </c>
      <c r="I1813" s="176" t="s">
        <v>2065</v>
      </c>
      <c r="J1813" s="352" t="s">
        <v>1115</v>
      </c>
      <c r="K1813" s="352">
        <v>100</v>
      </c>
      <c r="L1813" s="352" t="s">
        <v>1464</v>
      </c>
      <c r="M1813" s="351"/>
      <c r="N1813" s="351"/>
      <c r="O1813" s="351">
        <v>100</v>
      </c>
      <c r="P1813" s="349" t="s">
        <v>1836</v>
      </c>
      <c r="R1813" s="349">
        <f t="shared" si="28"/>
        <v>10</v>
      </c>
      <c r="S1813" s="352"/>
      <c r="T1813" s="352"/>
      <c r="U1813" s="352"/>
      <c r="V1813" s="353"/>
      <c r="W1813" s="352"/>
      <c r="X1813" s="176"/>
      <c r="Y1813" s="176"/>
      <c r="Z1813" s="352"/>
      <c r="AA1813" s="352"/>
      <c r="AB1813" s="352"/>
      <c r="AC1813" s="352"/>
      <c r="AD1813" s="352"/>
    </row>
    <row r="1814" spans="1:30" ht="38.450000000000003" hidden="1" x14ac:dyDescent="0.35">
      <c r="A1814" s="349">
        <v>1813</v>
      </c>
      <c r="B1814" s="352" t="s">
        <v>4027</v>
      </c>
      <c r="C1814" s="351" t="s">
        <v>4129</v>
      </c>
      <c r="D1814" s="352" t="s">
        <v>4129</v>
      </c>
      <c r="E1814" s="352" t="s">
        <v>1997</v>
      </c>
      <c r="F1814" s="353">
        <v>24.3</v>
      </c>
      <c r="G1814" s="352" t="s">
        <v>1107</v>
      </c>
      <c r="H1814" s="176" t="s">
        <v>2045</v>
      </c>
      <c r="I1814" s="176" t="s">
        <v>4332</v>
      </c>
      <c r="J1814" s="352" t="s">
        <v>1115</v>
      </c>
      <c r="K1814" s="352">
        <v>2</v>
      </c>
      <c r="L1814" s="352" t="s">
        <v>1464</v>
      </c>
      <c r="M1814" s="351"/>
      <c r="N1814" s="351"/>
      <c r="O1814" s="351">
        <v>2</v>
      </c>
      <c r="P1814" s="349" t="s">
        <v>1836</v>
      </c>
      <c r="R1814" s="349">
        <f t="shared" si="28"/>
        <v>12</v>
      </c>
      <c r="S1814" s="352"/>
      <c r="T1814" s="352"/>
      <c r="U1814" s="352"/>
      <c r="V1814" s="353"/>
      <c r="W1814" s="352"/>
      <c r="X1814" s="176"/>
      <c r="Y1814" s="176"/>
      <c r="Z1814" s="352"/>
      <c r="AA1814" s="352"/>
      <c r="AB1814" s="352"/>
      <c r="AC1814" s="351"/>
      <c r="AD1814" s="351"/>
    </row>
    <row r="1815" spans="1:30" ht="89.75" hidden="1" x14ac:dyDescent="0.35">
      <c r="A1815" s="349">
        <v>1814</v>
      </c>
      <c r="B1815" s="352" t="s">
        <v>2694</v>
      </c>
      <c r="C1815" s="351" t="s">
        <v>5005</v>
      </c>
      <c r="D1815" s="352" t="s">
        <v>3315</v>
      </c>
      <c r="E1815" s="352" t="s">
        <v>1995</v>
      </c>
      <c r="F1815" s="353">
        <v>0.61699999999999999</v>
      </c>
      <c r="G1815" s="352" t="s">
        <v>2126</v>
      </c>
      <c r="H1815" s="176" t="s">
        <v>752</v>
      </c>
      <c r="I1815" s="176" t="s">
        <v>753</v>
      </c>
      <c r="J1815" s="352" t="s">
        <v>3580</v>
      </c>
      <c r="K1815" s="352">
        <v>5</v>
      </c>
      <c r="L1815" s="352" t="s">
        <v>3581</v>
      </c>
      <c r="M1815" s="351"/>
      <c r="N1815" s="351"/>
      <c r="O1815" s="351">
        <v>5</v>
      </c>
      <c r="P1815" s="349" t="s">
        <v>1836</v>
      </c>
      <c r="R1815" s="349">
        <f t="shared" si="28"/>
        <v>9</v>
      </c>
      <c r="S1815" s="352"/>
      <c r="T1815" s="352"/>
      <c r="U1815" s="352"/>
      <c r="V1815" s="353"/>
      <c r="W1815" s="352"/>
      <c r="X1815" s="176"/>
      <c r="Y1815" s="176"/>
      <c r="Z1815" s="352"/>
      <c r="AA1815" s="352"/>
      <c r="AB1815" s="352"/>
      <c r="AC1815" s="351"/>
      <c r="AD1815" s="351"/>
    </row>
    <row r="1816" spans="1:30" ht="89.75" hidden="1" x14ac:dyDescent="0.35">
      <c r="A1816" s="349">
        <v>1815</v>
      </c>
      <c r="B1816" s="352" t="s">
        <v>2694</v>
      </c>
      <c r="C1816" s="351" t="s">
        <v>5005</v>
      </c>
      <c r="D1816" s="352" t="s">
        <v>3315</v>
      </c>
      <c r="E1816" s="352" t="s">
        <v>1995</v>
      </c>
      <c r="F1816" s="353">
        <v>1.32</v>
      </c>
      <c r="G1816" s="352" t="s">
        <v>2126</v>
      </c>
      <c r="H1816" s="176" t="s">
        <v>752</v>
      </c>
      <c r="I1816" s="176" t="s">
        <v>753</v>
      </c>
      <c r="J1816" s="352" t="s">
        <v>3580</v>
      </c>
      <c r="K1816" s="352">
        <v>20</v>
      </c>
      <c r="L1816" s="352" t="s">
        <v>3581</v>
      </c>
      <c r="M1816" s="351"/>
      <c r="N1816" s="351"/>
      <c r="O1816" s="351">
        <v>20</v>
      </c>
      <c r="P1816" s="349" t="s">
        <v>1836</v>
      </c>
      <c r="R1816" s="349">
        <f t="shared" si="28"/>
        <v>9</v>
      </c>
      <c r="S1816" s="352"/>
      <c r="T1816" s="352"/>
      <c r="U1816" s="352"/>
      <c r="V1816" s="353"/>
      <c r="W1816" s="352"/>
      <c r="X1816" s="176"/>
      <c r="Y1816" s="176"/>
      <c r="Z1816" s="352"/>
      <c r="AA1816" s="352"/>
      <c r="AB1816" s="352"/>
      <c r="AC1816" s="352"/>
      <c r="AD1816" s="352"/>
    </row>
    <row r="1817" spans="1:30" ht="269.14999999999998" hidden="1" x14ac:dyDescent="0.35">
      <c r="A1817" s="349">
        <v>1816</v>
      </c>
      <c r="B1817" s="352" t="s">
        <v>1113</v>
      </c>
      <c r="C1817" s="351" t="s">
        <v>5006</v>
      </c>
      <c r="D1817" s="352" t="s">
        <v>3623</v>
      </c>
      <c r="E1817" s="352" t="s">
        <v>1997</v>
      </c>
      <c r="F1817" s="353">
        <v>7.71</v>
      </c>
      <c r="G1817" s="352" t="s">
        <v>1107</v>
      </c>
      <c r="H1817" s="176" t="s">
        <v>3269</v>
      </c>
      <c r="I1817" s="176" t="s">
        <v>656</v>
      </c>
      <c r="J1817" s="352" t="s">
        <v>1115</v>
      </c>
      <c r="K1817" s="351">
        <v>15</v>
      </c>
      <c r="L1817" s="351" t="s">
        <v>1464</v>
      </c>
      <c r="M1817" s="351"/>
      <c r="N1817" s="351"/>
      <c r="O1817" s="351">
        <v>15</v>
      </c>
      <c r="P1817" s="349" t="s">
        <v>1836</v>
      </c>
      <c r="R1817" s="349">
        <f t="shared" si="28"/>
        <v>15</v>
      </c>
      <c r="S1817" s="352"/>
      <c r="T1817" s="352"/>
      <c r="U1817" s="352"/>
      <c r="V1817" s="353"/>
      <c r="W1817" s="352"/>
      <c r="X1817" s="176"/>
      <c r="Y1817" s="176"/>
      <c r="Z1817" s="352"/>
      <c r="AA1817" s="352"/>
      <c r="AB1817" s="352"/>
      <c r="AC1817" s="352"/>
      <c r="AD1817" s="352"/>
    </row>
    <row r="1818" spans="1:30" ht="269.14999999999998" hidden="1" x14ac:dyDescent="0.35">
      <c r="A1818" s="349">
        <v>1817</v>
      </c>
      <c r="B1818" s="352" t="s">
        <v>1113</v>
      </c>
      <c r="C1818" s="351" t="s">
        <v>5006</v>
      </c>
      <c r="D1818" s="352" t="s">
        <v>3623</v>
      </c>
      <c r="E1818" s="352" t="s">
        <v>1997</v>
      </c>
      <c r="F1818" s="353">
        <v>9.92</v>
      </c>
      <c r="G1818" s="352" t="s">
        <v>1107</v>
      </c>
      <c r="H1818" s="176" t="s">
        <v>3269</v>
      </c>
      <c r="I1818" s="176" t="s">
        <v>656</v>
      </c>
      <c r="J1818" s="352" t="s">
        <v>1115</v>
      </c>
      <c r="K1818" s="352">
        <v>50</v>
      </c>
      <c r="L1818" s="352" t="s">
        <v>1464</v>
      </c>
      <c r="M1818" s="351"/>
      <c r="N1818" s="351"/>
      <c r="O1818" s="351">
        <v>50</v>
      </c>
      <c r="P1818" s="349" t="s">
        <v>1836</v>
      </c>
      <c r="R1818" s="349">
        <f t="shared" si="28"/>
        <v>15</v>
      </c>
      <c r="S1818" s="352"/>
      <c r="T1818" s="352"/>
      <c r="U1818" s="352"/>
      <c r="V1818" s="353"/>
      <c r="W1818" s="352"/>
      <c r="X1818" s="176"/>
      <c r="Y1818" s="176"/>
      <c r="Z1818" s="352"/>
      <c r="AA1818" s="352"/>
      <c r="AB1818" s="352"/>
      <c r="AC1818" s="352"/>
      <c r="AD1818" s="352"/>
    </row>
    <row r="1819" spans="1:30" ht="269.14999999999998" hidden="1" x14ac:dyDescent="0.35">
      <c r="A1819" s="349">
        <v>1818</v>
      </c>
      <c r="B1819" s="352" t="s">
        <v>1113</v>
      </c>
      <c r="C1819" s="351" t="s">
        <v>5006</v>
      </c>
      <c r="D1819" s="352" t="s">
        <v>3623</v>
      </c>
      <c r="E1819" s="352" t="s">
        <v>1997</v>
      </c>
      <c r="F1819" s="353">
        <v>20.94</v>
      </c>
      <c r="G1819" s="352" t="s">
        <v>1107</v>
      </c>
      <c r="H1819" s="176" t="s">
        <v>3269</v>
      </c>
      <c r="I1819" s="176" t="s">
        <v>656</v>
      </c>
      <c r="J1819" s="352" t="s">
        <v>1115</v>
      </c>
      <c r="K1819" s="352">
        <v>100</v>
      </c>
      <c r="L1819" s="352" t="s">
        <v>1464</v>
      </c>
      <c r="M1819" s="352"/>
      <c r="N1819" s="352"/>
      <c r="O1819" s="351">
        <v>100</v>
      </c>
      <c r="P1819" s="349" t="s">
        <v>1836</v>
      </c>
      <c r="R1819" s="349">
        <f t="shared" si="28"/>
        <v>15</v>
      </c>
      <c r="S1819" s="352"/>
      <c r="T1819" s="352"/>
      <c r="U1819" s="352"/>
      <c r="V1819" s="353"/>
      <c r="W1819" s="352"/>
      <c r="X1819" s="176"/>
      <c r="Y1819" s="176"/>
      <c r="Z1819" s="352"/>
      <c r="AA1819" s="352"/>
      <c r="AB1819" s="352"/>
      <c r="AC1819" s="351"/>
      <c r="AD1819" s="351"/>
    </row>
    <row r="1820" spans="1:30" ht="89.75" hidden="1" x14ac:dyDescent="0.35">
      <c r="A1820" s="349">
        <v>1819</v>
      </c>
      <c r="B1820" s="352" t="s">
        <v>1113</v>
      </c>
      <c r="C1820" s="351" t="s">
        <v>5006</v>
      </c>
      <c r="D1820" s="352" t="s">
        <v>3623</v>
      </c>
      <c r="E1820" s="352" t="s">
        <v>1995</v>
      </c>
      <c r="F1820" s="353">
        <v>3.46</v>
      </c>
      <c r="G1820" s="352" t="s">
        <v>2126</v>
      </c>
      <c r="H1820" s="176" t="s">
        <v>657</v>
      </c>
      <c r="I1820" s="176" t="s">
        <v>656</v>
      </c>
      <c r="J1820" s="352" t="s">
        <v>3580</v>
      </c>
      <c r="K1820" s="352">
        <v>15</v>
      </c>
      <c r="L1820" s="352" t="s">
        <v>3581</v>
      </c>
      <c r="M1820" s="352"/>
      <c r="N1820" s="352"/>
      <c r="O1820" s="351">
        <v>15</v>
      </c>
      <c r="P1820" s="349" t="s">
        <v>1836</v>
      </c>
      <c r="R1820" s="349">
        <f t="shared" si="28"/>
        <v>15</v>
      </c>
      <c r="S1820" s="352"/>
      <c r="T1820" s="352"/>
      <c r="U1820" s="352"/>
      <c r="V1820" s="353"/>
      <c r="W1820" s="352"/>
      <c r="X1820" s="176"/>
      <c r="Y1820" s="176"/>
      <c r="Z1820" s="352"/>
      <c r="AA1820" s="352"/>
      <c r="AB1820" s="352"/>
      <c r="AC1820" s="351"/>
      <c r="AD1820" s="351"/>
    </row>
    <row r="1821" spans="1:30" ht="76.900000000000006" hidden="1" x14ac:dyDescent="0.35">
      <c r="A1821" s="349">
        <v>1820</v>
      </c>
      <c r="B1821" s="352" t="s">
        <v>2192</v>
      </c>
      <c r="C1821" s="351" t="s">
        <v>5007</v>
      </c>
      <c r="D1821" s="352" t="s">
        <v>1992</v>
      </c>
      <c r="E1821" s="352" t="s">
        <v>1998</v>
      </c>
      <c r="F1821" s="353">
        <v>0.17630000000000001</v>
      </c>
      <c r="G1821" s="352" t="s">
        <v>2126</v>
      </c>
      <c r="H1821" s="176" t="s">
        <v>447</v>
      </c>
      <c r="I1821" s="176" t="s">
        <v>2048</v>
      </c>
      <c r="J1821" s="352" t="s">
        <v>22</v>
      </c>
      <c r="K1821" s="352">
        <v>500</v>
      </c>
      <c r="L1821" s="352" t="s">
        <v>23</v>
      </c>
      <c r="M1821" s="352"/>
      <c r="N1821" s="352"/>
      <c r="O1821" s="351">
        <v>500</v>
      </c>
      <c r="P1821" s="349" t="s">
        <v>1836</v>
      </c>
      <c r="R1821" s="349">
        <f t="shared" si="28"/>
        <v>22</v>
      </c>
      <c r="S1821" s="352"/>
      <c r="T1821" s="352"/>
      <c r="U1821" s="352"/>
      <c r="V1821" s="353"/>
      <c r="W1821" s="352"/>
      <c r="X1821" s="176"/>
      <c r="Y1821" s="176"/>
      <c r="Z1821" s="352"/>
      <c r="AA1821" s="352"/>
      <c r="AB1821" s="352"/>
      <c r="AC1821" s="351"/>
      <c r="AD1821" s="351"/>
    </row>
    <row r="1822" spans="1:30" ht="76.900000000000006" hidden="1" x14ac:dyDescent="0.35">
      <c r="A1822" s="349">
        <v>1821</v>
      </c>
      <c r="B1822" s="352" t="s">
        <v>2192</v>
      </c>
      <c r="C1822" s="351" t="s">
        <v>5007</v>
      </c>
      <c r="D1822" s="352" t="s">
        <v>1992</v>
      </c>
      <c r="E1822" s="352" t="s">
        <v>2023</v>
      </c>
      <c r="F1822" s="353">
        <v>0.22</v>
      </c>
      <c r="G1822" s="352" t="s">
        <v>967</v>
      </c>
      <c r="H1822" s="176" t="s">
        <v>2049</v>
      </c>
      <c r="I1822" s="176" t="s">
        <v>2048</v>
      </c>
      <c r="J1822" s="352" t="s">
        <v>2023</v>
      </c>
      <c r="K1822" s="352"/>
      <c r="L1822" s="352"/>
      <c r="M1822" s="352"/>
      <c r="N1822" s="352"/>
      <c r="O1822" s="351">
        <v>0</v>
      </c>
      <c r="P1822" s="349" t="s">
        <v>2313</v>
      </c>
      <c r="R1822" s="349">
        <f t="shared" si="28"/>
        <v>22</v>
      </c>
      <c r="S1822" s="352"/>
      <c r="T1822" s="352"/>
      <c r="U1822" s="352"/>
      <c r="V1822" s="353"/>
      <c r="W1822" s="352"/>
      <c r="X1822" s="176"/>
      <c r="Y1822" s="176"/>
      <c r="Z1822" s="352"/>
      <c r="AA1822" s="352"/>
      <c r="AB1822" s="352"/>
      <c r="AC1822" s="352"/>
      <c r="AD1822" s="352"/>
    </row>
    <row r="1823" spans="1:30" ht="64.099999999999994" hidden="1" x14ac:dyDescent="0.35">
      <c r="A1823" s="349">
        <v>1822</v>
      </c>
      <c r="B1823" s="352" t="s">
        <v>159</v>
      </c>
      <c r="C1823" s="351" t="s">
        <v>2370</v>
      </c>
      <c r="D1823" s="352" t="s">
        <v>1389</v>
      </c>
      <c r="E1823" s="352" t="s">
        <v>769</v>
      </c>
      <c r="F1823" s="353">
        <v>3.31</v>
      </c>
      <c r="G1823" s="352" t="s">
        <v>34</v>
      </c>
      <c r="H1823" s="176" t="s">
        <v>2371</v>
      </c>
      <c r="I1823" s="176" t="s">
        <v>4227</v>
      </c>
      <c r="J1823" s="352" t="s">
        <v>29</v>
      </c>
      <c r="K1823" s="352">
        <v>5</v>
      </c>
      <c r="L1823" s="352" t="s">
        <v>470</v>
      </c>
      <c r="M1823" s="352">
        <v>50</v>
      </c>
      <c r="N1823" s="352" t="s">
        <v>31</v>
      </c>
      <c r="O1823" s="351">
        <v>5</v>
      </c>
      <c r="P1823" s="349" t="s">
        <v>1838</v>
      </c>
      <c r="R1823" s="349">
        <f t="shared" si="28"/>
        <v>22</v>
      </c>
      <c r="S1823" s="352"/>
      <c r="T1823" s="352"/>
      <c r="U1823" s="352"/>
      <c r="V1823" s="353"/>
      <c r="W1823" s="352"/>
      <c r="X1823" s="176"/>
      <c r="Y1823" s="176"/>
      <c r="Z1823" s="352"/>
      <c r="AA1823" s="352"/>
      <c r="AB1823" s="352"/>
      <c r="AC1823" s="351"/>
      <c r="AD1823" s="351"/>
    </row>
    <row r="1824" spans="1:30" ht="64.099999999999994" hidden="1" x14ac:dyDescent="0.35">
      <c r="A1824" s="349">
        <v>1823</v>
      </c>
      <c r="B1824" s="352" t="s">
        <v>159</v>
      </c>
      <c r="C1824" s="351" t="s">
        <v>2370</v>
      </c>
      <c r="D1824" s="352" t="s">
        <v>1389</v>
      </c>
      <c r="E1824" s="352" t="s">
        <v>769</v>
      </c>
      <c r="F1824" s="353">
        <v>3.3056000000000001</v>
      </c>
      <c r="G1824" s="352" t="s">
        <v>34</v>
      </c>
      <c r="H1824" s="176" t="s">
        <v>2371</v>
      </c>
      <c r="I1824" s="176" t="s">
        <v>4227</v>
      </c>
      <c r="J1824" s="352" t="s">
        <v>29</v>
      </c>
      <c r="K1824" s="352">
        <v>10</v>
      </c>
      <c r="L1824" s="352" t="s">
        <v>470</v>
      </c>
      <c r="M1824" s="352">
        <v>50</v>
      </c>
      <c r="N1824" s="352" t="s">
        <v>31</v>
      </c>
      <c r="O1824" s="351">
        <v>10</v>
      </c>
      <c r="P1824" s="349" t="s">
        <v>1838</v>
      </c>
      <c r="R1824" s="349">
        <f t="shared" si="28"/>
        <v>22</v>
      </c>
      <c r="S1824" s="352"/>
      <c r="T1824" s="352"/>
      <c r="U1824" s="352"/>
      <c r="V1824" s="353"/>
      <c r="W1824" s="352"/>
      <c r="X1824" s="176"/>
      <c r="Y1824" s="176"/>
      <c r="Z1824" s="352"/>
      <c r="AA1824" s="352"/>
      <c r="AB1824" s="352"/>
      <c r="AC1824" s="351"/>
      <c r="AD1824" s="351"/>
    </row>
    <row r="1825" spans="1:30" ht="64.099999999999994" hidden="1" x14ac:dyDescent="0.35">
      <c r="A1825" s="349">
        <v>1824</v>
      </c>
      <c r="B1825" s="352" t="s">
        <v>159</v>
      </c>
      <c r="C1825" s="351" t="s">
        <v>5008</v>
      </c>
      <c r="D1825" s="352" t="s">
        <v>1389</v>
      </c>
      <c r="E1825" s="352" t="s">
        <v>769</v>
      </c>
      <c r="F1825" s="353">
        <v>3.31</v>
      </c>
      <c r="G1825" s="352" t="s">
        <v>34</v>
      </c>
      <c r="H1825" s="176" t="s">
        <v>2371</v>
      </c>
      <c r="I1825" s="176" t="s">
        <v>4227</v>
      </c>
      <c r="J1825" s="352" t="s">
        <v>29</v>
      </c>
      <c r="K1825" s="352">
        <v>5</v>
      </c>
      <c r="L1825" s="352" t="s">
        <v>470</v>
      </c>
      <c r="M1825" s="352">
        <v>50</v>
      </c>
      <c r="N1825" s="352" t="s">
        <v>31</v>
      </c>
      <c r="O1825" s="351">
        <v>5</v>
      </c>
      <c r="P1825" s="349" t="s">
        <v>1838</v>
      </c>
      <c r="R1825" s="349">
        <f t="shared" si="28"/>
        <v>22</v>
      </c>
      <c r="S1825" s="352"/>
      <c r="T1825" s="352"/>
      <c r="U1825" s="352"/>
      <c r="V1825" s="353"/>
      <c r="W1825" s="352"/>
      <c r="X1825" s="176"/>
      <c r="Y1825" s="176"/>
      <c r="Z1825" s="352"/>
      <c r="AA1825" s="352"/>
      <c r="AB1825" s="352"/>
      <c r="AC1825" s="351"/>
      <c r="AD1825" s="351"/>
    </row>
    <row r="1826" spans="1:30" ht="64.099999999999994" hidden="1" x14ac:dyDescent="0.35">
      <c r="A1826" s="349">
        <v>1825</v>
      </c>
      <c r="B1826" s="352" t="s">
        <v>159</v>
      </c>
      <c r="C1826" s="351" t="s">
        <v>5008</v>
      </c>
      <c r="D1826" s="352" t="s">
        <v>1389</v>
      </c>
      <c r="E1826" s="352" t="s">
        <v>769</v>
      </c>
      <c r="F1826" s="353">
        <v>3.3056000000000001</v>
      </c>
      <c r="G1826" s="352" t="s">
        <v>34</v>
      </c>
      <c r="H1826" s="176" t="s">
        <v>2371</v>
      </c>
      <c r="I1826" s="176" t="s">
        <v>4227</v>
      </c>
      <c r="J1826" s="352" t="s">
        <v>29</v>
      </c>
      <c r="K1826" s="352">
        <v>10</v>
      </c>
      <c r="L1826" s="352" t="s">
        <v>470</v>
      </c>
      <c r="M1826" s="351">
        <v>50</v>
      </c>
      <c r="N1826" s="351" t="s">
        <v>31</v>
      </c>
      <c r="O1826" s="351">
        <v>10</v>
      </c>
      <c r="P1826" s="349" t="s">
        <v>1838</v>
      </c>
      <c r="R1826" s="349">
        <f t="shared" si="28"/>
        <v>22</v>
      </c>
      <c r="S1826" s="352"/>
      <c r="T1826" s="352"/>
      <c r="U1826" s="352"/>
      <c r="V1826" s="353"/>
      <c r="W1826" s="352"/>
      <c r="X1826" s="176"/>
      <c r="Y1826" s="176"/>
      <c r="Z1826" s="352"/>
      <c r="AA1826" s="352"/>
      <c r="AB1826" s="352"/>
      <c r="AC1826" s="351"/>
      <c r="AD1826" s="351"/>
    </row>
    <row r="1827" spans="1:30" ht="282" hidden="1" x14ac:dyDescent="0.35">
      <c r="A1827" s="349">
        <v>1826</v>
      </c>
      <c r="B1827" s="352" t="s">
        <v>328</v>
      </c>
      <c r="C1827" s="351" t="s">
        <v>4071</v>
      </c>
      <c r="D1827" s="352" t="s">
        <v>1398</v>
      </c>
      <c r="E1827" s="352" t="s">
        <v>1756</v>
      </c>
      <c r="F1827" s="353">
        <v>22.04</v>
      </c>
      <c r="G1827" s="352" t="s">
        <v>2126</v>
      </c>
      <c r="H1827" s="176" t="s">
        <v>4664</v>
      </c>
      <c r="I1827" s="176" t="s">
        <v>4761</v>
      </c>
      <c r="J1827" s="352" t="s">
        <v>4025</v>
      </c>
      <c r="K1827" s="352">
        <v>2500</v>
      </c>
      <c r="L1827" s="352" t="s">
        <v>1518</v>
      </c>
      <c r="M1827" s="352">
        <v>10</v>
      </c>
      <c r="N1827" s="352" t="s">
        <v>1109</v>
      </c>
      <c r="O1827" s="351">
        <v>2500</v>
      </c>
      <c r="P1827" s="349" t="s">
        <v>2030</v>
      </c>
      <c r="R1827" s="349">
        <f t="shared" si="28"/>
        <v>15</v>
      </c>
      <c r="S1827" s="352"/>
      <c r="T1827" s="352"/>
      <c r="U1827" s="352"/>
      <c r="V1827" s="353"/>
      <c r="W1827" s="352"/>
      <c r="X1827" s="176"/>
      <c r="Y1827" s="176"/>
      <c r="Z1827" s="352"/>
      <c r="AA1827" s="352"/>
      <c r="AB1827" s="352"/>
      <c r="AC1827" s="352"/>
      <c r="AD1827" s="352"/>
    </row>
    <row r="1828" spans="1:30" ht="51.3" hidden="1" x14ac:dyDescent="0.35">
      <c r="A1828" s="349">
        <v>1827</v>
      </c>
      <c r="B1828" s="352" t="s">
        <v>4100</v>
      </c>
      <c r="C1828" s="351" t="s">
        <v>5009</v>
      </c>
      <c r="D1828" s="352" t="s">
        <v>4020</v>
      </c>
      <c r="E1828" s="352" t="s">
        <v>3583</v>
      </c>
      <c r="F1828" s="353">
        <v>37.507100000000001</v>
      </c>
      <c r="G1828" s="352" t="s">
        <v>1107</v>
      </c>
      <c r="H1828" s="176" t="s">
        <v>3635</v>
      </c>
      <c r="I1828" s="176" t="s">
        <v>3634</v>
      </c>
      <c r="J1828" s="352" t="s">
        <v>1115</v>
      </c>
      <c r="K1828" s="352">
        <v>10</v>
      </c>
      <c r="L1828" s="352" t="s">
        <v>1116</v>
      </c>
      <c r="M1828" s="352">
        <v>20</v>
      </c>
      <c r="N1828" s="352" t="s">
        <v>1109</v>
      </c>
      <c r="O1828" s="351">
        <v>10</v>
      </c>
      <c r="P1828" s="349" t="s">
        <v>1836</v>
      </c>
      <c r="R1828" s="349">
        <f t="shared" si="28"/>
        <v>10</v>
      </c>
      <c r="S1828" s="352"/>
      <c r="T1828" s="352"/>
      <c r="U1828" s="352"/>
      <c r="V1828" s="353"/>
      <c r="W1828" s="352"/>
      <c r="X1828" s="176"/>
      <c r="Y1828" s="176"/>
      <c r="Z1828" s="352"/>
      <c r="AA1828" s="352"/>
      <c r="AB1828" s="352"/>
      <c r="AC1828" s="352"/>
      <c r="AD1828" s="352"/>
    </row>
    <row r="1829" spans="1:30" ht="51.3" hidden="1" x14ac:dyDescent="0.35">
      <c r="A1829" s="349">
        <v>1828</v>
      </c>
      <c r="B1829" s="352" t="s">
        <v>4100</v>
      </c>
      <c r="C1829" s="351" t="s">
        <v>5009</v>
      </c>
      <c r="D1829" s="352" t="s">
        <v>4020</v>
      </c>
      <c r="E1829" s="352" t="s">
        <v>3583</v>
      </c>
      <c r="F1829" s="353">
        <v>37.507100000000001</v>
      </c>
      <c r="G1829" s="352" t="s">
        <v>1107</v>
      </c>
      <c r="H1829" s="176" t="s">
        <v>2313</v>
      </c>
      <c r="I1829" s="176" t="s">
        <v>3634</v>
      </c>
      <c r="J1829" s="352" t="s">
        <v>1115</v>
      </c>
      <c r="K1829" s="352">
        <v>10</v>
      </c>
      <c r="L1829" s="352" t="s">
        <v>1116</v>
      </c>
      <c r="M1829" s="352">
        <v>20</v>
      </c>
      <c r="N1829" s="352" t="s">
        <v>1109</v>
      </c>
      <c r="O1829" s="351">
        <v>10</v>
      </c>
      <c r="P1829" s="349" t="s">
        <v>1836</v>
      </c>
      <c r="R1829" s="349">
        <f t="shared" si="28"/>
        <v>10</v>
      </c>
      <c r="S1829" s="352"/>
      <c r="T1829" s="352"/>
      <c r="U1829" s="352"/>
      <c r="V1829" s="353"/>
      <c r="W1829" s="352"/>
      <c r="X1829" s="176"/>
      <c r="Y1829" s="176"/>
      <c r="Z1829" s="352"/>
      <c r="AA1829" s="352"/>
      <c r="AB1829" s="352"/>
      <c r="AC1829" s="351"/>
      <c r="AD1829" s="351"/>
    </row>
    <row r="1830" spans="1:30" ht="76.900000000000006" hidden="1" x14ac:dyDescent="0.35">
      <c r="A1830" s="349">
        <v>1829</v>
      </c>
      <c r="B1830" s="352" t="s">
        <v>4100</v>
      </c>
      <c r="C1830" s="351" t="s">
        <v>5009</v>
      </c>
      <c r="D1830" s="352" t="s">
        <v>4020</v>
      </c>
      <c r="E1830" s="352" t="s">
        <v>1998</v>
      </c>
      <c r="F1830" s="353">
        <v>3.5259</v>
      </c>
      <c r="G1830" s="352" t="s">
        <v>2126</v>
      </c>
      <c r="H1830" s="176" t="s">
        <v>3864</v>
      </c>
      <c r="I1830" s="176" t="s">
        <v>3634</v>
      </c>
      <c r="J1830" s="352" t="s">
        <v>22</v>
      </c>
      <c r="K1830" s="351">
        <v>100</v>
      </c>
      <c r="L1830" s="351" t="s">
        <v>23</v>
      </c>
      <c r="M1830" s="351"/>
      <c r="N1830" s="351"/>
      <c r="O1830" s="351">
        <v>100</v>
      </c>
      <c r="P1830" s="349" t="s">
        <v>1836</v>
      </c>
      <c r="R1830" s="349">
        <f t="shared" si="28"/>
        <v>10</v>
      </c>
      <c r="S1830" s="352"/>
      <c r="T1830" s="352"/>
      <c r="U1830" s="352"/>
      <c r="V1830" s="353"/>
      <c r="W1830" s="352"/>
      <c r="X1830" s="176"/>
      <c r="Y1830" s="176"/>
      <c r="Z1830" s="352"/>
      <c r="AA1830" s="352"/>
      <c r="AB1830" s="352"/>
      <c r="AC1830" s="351"/>
      <c r="AD1830" s="351"/>
    </row>
    <row r="1831" spans="1:30" ht="76.900000000000006" hidden="1" x14ac:dyDescent="0.35">
      <c r="A1831" s="349">
        <v>1830</v>
      </c>
      <c r="B1831" s="352" t="s">
        <v>4100</v>
      </c>
      <c r="C1831" s="351" t="s">
        <v>5009</v>
      </c>
      <c r="D1831" s="352" t="s">
        <v>4020</v>
      </c>
      <c r="E1831" s="352" t="s">
        <v>553</v>
      </c>
      <c r="F1831" s="353">
        <v>82.572999999999993</v>
      </c>
      <c r="G1831" s="352" t="s">
        <v>2126</v>
      </c>
      <c r="H1831" s="176" t="s">
        <v>3864</v>
      </c>
      <c r="I1831" s="176" t="s">
        <v>3634</v>
      </c>
      <c r="J1831" s="352" t="s">
        <v>3579</v>
      </c>
      <c r="K1831" s="352">
        <v>10</v>
      </c>
      <c r="L1831" s="352" t="s">
        <v>1116</v>
      </c>
      <c r="M1831" s="351">
        <v>200</v>
      </c>
      <c r="N1831" s="351" t="s">
        <v>1109</v>
      </c>
      <c r="O1831" s="351">
        <v>10</v>
      </c>
      <c r="P1831" s="349" t="s">
        <v>1836</v>
      </c>
      <c r="R1831" s="349">
        <f t="shared" si="28"/>
        <v>10</v>
      </c>
      <c r="S1831" s="352"/>
      <c r="T1831" s="352"/>
      <c r="U1831" s="352"/>
      <c r="V1831" s="353"/>
      <c r="W1831" s="352"/>
      <c r="X1831" s="176"/>
      <c r="Y1831" s="176"/>
      <c r="Z1831" s="352"/>
      <c r="AA1831" s="352"/>
      <c r="AB1831" s="352"/>
      <c r="AC1831" s="351"/>
      <c r="AD1831" s="351"/>
    </row>
    <row r="1832" spans="1:30" ht="76.900000000000006" hidden="1" x14ac:dyDescent="0.35">
      <c r="A1832" s="349">
        <v>1831</v>
      </c>
      <c r="B1832" s="352" t="s">
        <v>4100</v>
      </c>
      <c r="C1832" s="351" t="s">
        <v>5009</v>
      </c>
      <c r="D1832" s="352" t="s">
        <v>4020</v>
      </c>
      <c r="E1832" s="352" t="s">
        <v>1995</v>
      </c>
      <c r="F1832" s="353">
        <v>10.8643</v>
      </c>
      <c r="G1832" s="352" t="s">
        <v>2126</v>
      </c>
      <c r="H1832" s="176" t="s">
        <v>3864</v>
      </c>
      <c r="I1832" s="176" t="s">
        <v>3634</v>
      </c>
      <c r="J1832" s="352" t="s">
        <v>3580</v>
      </c>
      <c r="K1832" s="352">
        <v>300</v>
      </c>
      <c r="L1832" s="352" t="s">
        <v>3581</v>
      </c>
      <c r="M1832" s="352"/>
      <c r="N1832" s="352"/>
      <c r="O1832" s="351">
        <v>300</v>
      </c>
      <c r="P1832" s="349" t="s">
        <v>1836</v>
      </c>
      <c r="R1832" s="349">
        <f t="shared" si="28"/>
        <v>10</v>
      </c>
      <c r="S1832" s="352"/>
      <c r="T1832" s="352"/>
      <c r="U1832" s="352"/>
      <c r="V1832" s="353"/>
      <c r="W1832" s="352"/>
      <c r="X1832" s="176"/>
      <c r="Y1832" s="176"/>
      <c r="Z1832" s="352"/>
      <c r="AA1832" s="352"/>
      <c r="AB1832" s="352"/>
      <c r="AC1832" s="352"/>
      <c r="AD1832" s="352"/>
    </row>
    <row r="1833" spans="1:30" ht="51.3" hidden="1" x14ac:dyDescent="0.35">
      <c r="A1833" s="349">
        <v>1832</v>
      </c>
      <c r="B1833" s="352" t="s">
        <v>4100</v>
      </c>
      <c r="C1833" s="351" t="s">
        <v>2423</v>
      </c>
      <c r="D1833" s="352" t="s">
        <v>2423</v>
      </c>
      <c r="E1833" s="352" t="s">
        <v>329</v>
      </c>
      <c r="F1833" s="353">
        <v>2712.4144000000001</v>
      </c>
      <c r="G1833" s="352" t="s">
        <v>1107</v>
      </c>
      <c r="H1833" s="176" t="s">
        <v>2637</v>
      </c>
      <c r="I1833" s="176" t="s">
        <v>3183</v>
      </c>
      <c r="J1833" s="352" t="s">
        <v>1115</v>
      </c>
      <c r="K1833" s="352">
        <v>100</v>
      </c>
      <c r="L1833" s="352" t="s">
        <v>1116</v>
      </c>
      <c r="M1833" s="351">
        <v>12</v>
      </c>
      <c r="N1833" s="351" t="s">
        <v>1109</v>
      </c>
      <c r="O1833" s="351">
        <v>100</v>
      </c>
      <c r="P1833" s="349" t="s">
        <v>1836</v>
      </c>
      <c r="R1833" s="349">
        <f t="shared" si="28"/>
        <v>10</v>
      </c>
      <c r="S1833" s="352"/>
      <c r="T1833" s="352"/>
      <c r="U1833" s="352"/>
      <c r="V1833" s="353"/>
      <c r="W1833" s="352"/>
      <c r="X1833" s="176"/>
      <c r="Y1833" s="176"/>
      <c r="Z1833" s="352"/>
      <c r="AA1833" s="352"/>
      <c r="AB1833" s="352"/>
      <c r="AC1833" s="352"/>
      <c r="AD1833" s="352"/>
    </row>
    <row r="1834" spans="1:30" ht="38.450000000000003" hidden="1" x14ac:dyDescent="0.35">
      <c r="A1834" s="349">
        <v>1833</v>
      </c>
      <c r="B1834" s="352" t="s">
        <v>1018</v>
      </c>
      <c r="C1834" s="351" t="s">
        <v>281</v>
      </c>
      <c r="D1834" s="352" t="s">
        <v>281</v>
      </c>
      <c r="E1834" s="352" t="s">
        <v>2004</v>
      </c>
      <c r="F1834" s="353">
        <v>0.88149999999999995</v>
      </c>
      <c r="G1834" s="352" t="s">
        <v>2126</v>
      </c>
      <c r="H1834" s="176" t="s">
        <v>2892</v>
      </c>
      <c r="I1834" s="176" t="s">
        <v>3829</v>
      </c>
      <c r="J1834" s="352" t="s">
        <v>3577</v>
      </c>
      <c r="K1834" s="352"/>
      <c r="L1834" s="352"/>
      <c r="M1834" s="352"/>
      <c r="N1834" s="352"/>
      <c r="O1834" s="351">
        <v>0</v>
      </c>
      <c r="P1834" s="349" t="s">
        <v>2313</v>
      </c>
      <c r="R1834" s="349">
        <f t="shared" si="28"/>
        <v>11</v>
      </c>
      <c r="S1834" s="352"/>
      <c r="T1834" s="352"/>
      <c r="U1834" s="352"/>
      <c r="V1834" s="353"/>
      <c r="W1834" s="352"/>
      <c r="X1834" s="176"/>
      <c r="Y1834" s="176"/>
      <c r="Z1834" s="352"/>
      <c r="AA1834" s="352"/>
      <c r="AB1834" s="352"/>
      <c r="AC1834" s="351"/>
      <c r="AD1834" s="351"/>
    </row>
    <row r="1835" spans="1:30" ht="89.75" hidden="1" x14ac:dyDescent="0.35">
      <c r="A1835" s="349">
        <v>1834</v>
      </c>
      <c r="B1835" s="352" t="s">
        <v>1533</v>
      </c>
      <c r="C1835" s="351" t="s">
        <v>2263</v>
      </c>
      <c r="D1835" s="352" t="s">
        <v>2263</v>
      </c>
      <c r="E1835" s="352" t="s">
        <v>1998</v>
      </c>
      <c r="F1835" s="353">
        <v>7.87</v>
      </c>
      <c r="G1835" s="352" t="s">
        <v>2126</v>
      </c>
      <c r="H1835" s="176" t="s">
        <v>2294</v>
      </c>
      <c r="I1835" s="176" t="s">
        <v>3553</v>
      </c>
      <c r="J1835" s="352" t="s">
        <v>22</v>
      </c>
      <c r="K1835" s="352">
        <v>150</v>
      </c>
      <c r="L1835" s="352" t="s">
        <v>23</v>
      </c>
      <c r="M1835" s="351"/>
      <c r="N1835" s="351"/>
      <c r="O1835" s="351">
        <v>150</v>
      </c>
      <c r="P1835" s="349" t="s">
        <v>1836</v>
      </c>
      <c r="R1835" s="349">
        <f t="shared" si="28"/>
        <v>10</v>
      </c>
      <c r="S1835" s="352"/>
      <c r="T1835" s="352"/>
      <c r="U1835" s="352"/>
      <c r="V1835" s="353"/>
      <c r="W1835" s="352"/>
      <c r="X1835" s="176"/>
      <c r="Y1835" s="176"/>
      <c r="Z1835" s="352"/>
      <c r="AA1835" s="352"/>
      <c r="AB1835" s="352"/>
      <c r="AC1835" s="351"/>
      <c r="AD1835" s="351"/>
    </row>
    <row r="1836" spans="1:30" ht="205.1" hidden="1" x14ac:dyDescent="0.35">
      <c r="A1836" s="349">
        <v>1835</v>
      </c>
      <c r="B1836" s="352" t="s">
        <v>1533</v>
      </c>
      <c r="C1836" s="351" t="s">
        <v>5010</v>
      </c>
      <c r="D1836" s="352" t="s">
        <v>3875</v>
      </c>
      <c r="E1836" s="352" t="s">
        <v>1997</v>
      </c>
      <c r="F1836" s="353">
        <v>23.36</v>
      </c>
      <c r="G1836" s="352" t="s">
        <v>1107</v>
      </c>
      <c r="H1836" s="176" t="s">
        <v>345</v>
      </c>
      <c r="I1836" s="176" t="s">
        <v>4924</v>
      </c>
      <c r="J1836" s="352" t="s">
        <v>1115</v>
      </c>
      <c r="K1836" s="352">
        <v>600</v>
      </c>
      <c r="L1836" s="352" t="s">
        <v>1464</v>
      </c>
      <c r="M1836" s="352"/>
      <c r="N1836" s="352"/>
      <c r="O1836" s="351">
        <v>600</v>
      </c>
      <c r="P1836" s="349" t="s">
        <v>1836</v>
      </c>
      <c r="R1836" s="349">
        <f t="shared" si="28"/>
        <v>11</v>
      </c>
      <c r="S1836" s="352"/>
      <c r="T1836" s="352"/>
      <c r="U1836" s="352"/>
      <c r="V1836" s="353"/>
      <c r="W1836" s="352"/>
      <c r="X1836" s="176"/>
      <c r="Y1836" s="176"/>
      <c r="Z1836" s="352"/>
      <c r="AA1836" s="352"/>
      <c r="AB1836" s="352"/>
      <c r="AC1836" s="351"/>
      <c r="AD1836" s="351"/>
    </row>
    <row r="1837" spans="1:30" ht="205.1" hidden="1" x14ac:dyDescent="0.35">
      <c r="A1837" s="349">
        <v>1836</v>
      </c>
      <c r="B1837" s="352" t="s">
        <v>1533</v>
      </c>
      <c r="C1837" s="351" t="s">
        <v>5010</v>
      </c>
      <c r="D1837" s="352" t="s">
        <v>3875</v>
      </c>
      <c r="E1837" s="352" t="s">
        <v>1998</v>
      </c>
      <c r="F1837" s="353">
        <v>1.1000000000000001</v>
      </c>
      <c r="G1837" s="352" t="s">
        <v>2126</v>
      </c>
      <c r="H1837" s="176" t="s">
        <v>3223</v>
      </c>
      <c r="I1837" s="176" t="s">
        <v>4924</v>
      </c>
      <c r="J1837" s="352" t="s">
        <v>22</v>
      </c>
      <c r="K1837" s="352">
        <v>150</v>
      </c>
      <c r="L1837" s="352" t="s">
        <v>23</v>
      </c>
      <c r="M1837" s="351"/>
      <c r="N1837" s="351"/>
      <c r="O1837" s="351">
        <v>150</v>
      </c>
      <c r="P1837" s="349" t="s">
        <v>1836</v>
      </c>
      <c r="R1837" s="349">
        <f t="shared" si="28"/>
        <v>11</v>
      </c>
      <c r="S1837" s="352"/>
      <c r="T1837" s="352"/>
      <c r="U1837" s="352"/>
      <c r="V1837" s="353"/>
      <c r="W1837" s="352"/>
      <c r="X1837" s="176"/>
      <c r="Y1837" s="176"/>
      <c r="Z1837" s="352"/>
      <c r="AA1837" s="352"/>
      <c r="AB1837" s="352"/>
      <c r="AC1837" s="351"/>
      <c r="AD1837" s="351"/>
    </row>
    <row r="1838" spans="1:30" ht="205.1" hidden="1" x14ac:dyDescent="0.35">
      <c r="A1838" s="349">
        <v>1837</v>
      </c>
      <c r="B1838" s="352" t="s">
        <v>1533</v>
      </c>
      <c r="C1838" s="351" t="s">
        <v>5010</v>
      </c>
      <c r="D1838" s="352" t="s">
        <v>3875</v>
      </c>
      <c r="E1838" s="352" t="s">
        <v>1998</v>
      </c>
      <c r="F1838" s="353">
        <v>1.7</v>
      </c>
      <c r="G1838" s="352" t="s">
        <v>2126</v>
      </c>
      <c r="H1838" s="176" t="s">
        <v>3223</v>
      </c>
      <c r="I1838" s="176" t="s">
        <v>4924</v>
      </c>
      <c r="J1838" s="352" t="s">
        <v>22</v>
      </c>
      <c r="K1838" s="352">
        <v>300</v>
      </c>
      <c r="L1838" s="352" t="s">
        <v>23</v>
      </c>
      <c r="M1838" s="352"/>
      <c r="N1838" s="352"/>
      <c r="O1838" s="351">
        <v>300</v>
      </c>
      <c r="P1838" s="349" t="s">
        <v>1836</v>
      </c>
      <c r="R1838" s="349">
        <f t="shared" si="28"/>
        <v>11</v>
      </c>
      <c r="S1838" s="352"/>
      <c r="T1838" s="352"/>
      <c r="U1838" s="352"/>
      <c r="V1838" s="353"/>
      <c r="W1838" s="352"/>
      <c r="X1838" s="176"/>
      <c r="Y1838" s="176"/>
      <c r="Z1838" s="352"/>
      <c r="AA1838" s="352"/>
      <c r="AB1838" s="352"/>
      <c r="AC1838" s="352"/>
      <c r="AD1838" s="352"/>
    </row>
    <row r="1839" spans="1:30" ht="205.1" hidden="1" x14ac:dyDescent="0.35">
      <c r="A1839" s="349">
        <v>1838</v>
      </c>
      <c r="B1839" s="352" t="s">
        <v>1533</v>
      </c>
      <c r="C1839" s="351" t="s">
        <v>5010</v>
      </c>
      <c r="D1839" s="352" t="s">
        <v>3875</v>
      </c>
      <c r="E1839" s="352" t="s">
        <v>2189</v>
      </c>
      <c r="F1839" s="353">
        <v>17.100000000000001</v>
      </c>
      <c r="G1839" s="352" t="s">
        <v>2126</v>
      </c>
      <c r="H1839" s="176" t="s">
        <v>3223</v>
      </c>
      <c r="I1839" s="176" t="s">
        <v>4924</v>
      </c>
      <c r="J1839" s="352" t="s">
        <v>3579</v>
      </c>
      <c r="K1839" s="352">
        <v>20</v>
      </c>
      <c r="L1839" s="352" t="s">
        <v>1116</v>
      </c>
      <c r="M1839" s="351">
        <v>120</v>
      </c>
      <c r="N1839" s="351" t="s">
        <v>1109</v>
      </c>
      <c r="O1839" s="351">
        <v>20</v>
      </c>
      <c r="P1839" s="349" t="s">
        <v>1836</v>
      </c>
      <c r="R1839" s="349">
        <f t="shared" si="28"/>
        <v>11</v>
      </c>
      <c r="S1839" s="352"/>
      <c r="T1839" s="352"/>
      <c r="U1839" s="352"/>
      <c r="V1839" s="353"/>
      <c r="W1839" s="352"/>
      <c r="X1839" s="176"/>
      <c r="Y1839" s="176"/>
      <c r="Z1839" s="352"/>
      <c r="AA1839" s="352"/>
      <c r="AB1839" s="352"/>
      <c r="AC1839" s="351"/>
      <c r="AD1839" s="351"/>
    </row>
    <row r="1840" spans="1:30" ht="205.1" hidden="1" x14ac:dyDescent="0.35">
      <c r="A1840" s="349">
        <v>1839</v>
      </c>
      <c r="B1840" s="352" t="s">
        <v>1533</v>
      </c>
      <c r="C1840" s="351" t="s">
        <v>3875</v>
      </c>
      <c r="D1840" s="352" t="s">
        <v>3875</v>
      </c>
      <c r="E1840" s="352" t="s">
        <v>1997</v>
      </c>
      <c r="F1840" s="353">
        <v>23.36</v>
      </c>
      <c r="G1840" s="352" t="s">
        <v>1107</v>
      </c>
      <c r="H1840" s="176" t="s">
        <v>345</v>
      </c>
      <c r="I1840" s="176" t="s">
        <v>4924</v>
      </c>
      <c r="J1840" s="352" t="s">
        <v>1115</v>
      </c>
      <c r="K1840" s="352">
        <v>600</v>
      </c>
      <c r="L1840" s="352" t="s">
        <v>1464</v>
      </c>
      <c r="M1840" s="351"/>
      <c r="N1840" s="351"/>
      <c r="O1840" s="351">
        <v>600</v>
      </c>
      <c r="P1840" s="349" t="s">
        <v>1836</v>
      </c>
      <c r="R1840" s="349">
        <f t="shared" si="28"/>
        <v>11</v>
      </c>
      <c r="S1840" s="352"/>
      <c r="T1840" s="352"/>
      <c r="U1840" s="352"/>
      <c r="V1840" s="353"/>
      <c r="W1840" s="352"/>
      <c r="X1840" s="176"/>
      <c r="Y1840" s="176"/>
      <c r="Z1840" s="352"/>
      <c r="AA1840" s="352"/>
      <c r="AB1840" s="352"/>
      <c r="AC1840" s="351"/>
      <c r="AD1840" s="351"/>
    </row>
    <row r="1841" spans="1:30" ht="205.1" hidden="1" x14ac:dyDescent="0.35">
      <c r="A1841" s="349">
        <v>1840</v>
      </c>
      <c r="B1841" s="352" t="s">
        <v>1533</v>
      </c>
      <c r="C1841" s="351" t="s">
        <v>3875</v>
      </c>
      <c r="D1841" s="352" t="s">
        <v>3875</v>
      </c>
      <c r="E1841" s="352" t="s">
        <v>1998</v>
      </c>
      <c r="F1841" s="353">
        <v>1.1000000000000001</v>
      </c>
      <c r="G1841" s="352" t="s">
        <v>2126</v>
      </c>
      <c r="H1841" s="176" t="s">
        <v>3223</v>
      </c>
      <c r="I1841" s="176" t="s">
        <v>4924</v>
      </c>
      <c r="J1841" s="352" t="s">
        <v>22</v>
      </c>
      <c r="K1841" s="352">
        <v>150</v>
      </c>
      <c r="L1841" s="352" t="s">
        <v>23</v>
      </c>
      <c r="M1841" s="352"/>
      <c r="N1841" s="352"/>
      <c r="O1841" s="351">
        <v>150</v>
      </c>
      <c r="P1841" s="349" t="s">
        <v>1836</v>
      </c>
      <c r="R1841" s="349">
        <f t="shared" si="28"/>
        <v>11</v>
      </c>
      <c r="S1841" s="352"/>
      <c r="T1841" s="352"/>
      <c r="U1841" s="352"/>
      <c r="V1841" s="353"/>
      <c r="W1841" s="352"/>
      <c r="X1841" s="176"/>
      <c r="Y1841" s="176"/>
      <c r="Z1841" s="352"/>
      <c r="AA1841" s="352"/>
      <c r="AB1841" s="352"/>
      <c r="AC1841" s="352"/>
      <c r="AD1841" s="352"/>
    </row>
    <row r="1842" spans="1:30" ht="205.1" hidden="1" x14ac:dyDescent="0.35">
      <c r="A1842" s="349">
        <v>1841</v>
      </c>
      <c r="B1842" s="352" t="s">
        <v>1533</v>
      </c>
      <c r="C1842" s="351" t="s">
        <v>3875</v>
      </c>
      <c r="D1842" s="352" t="s">
        <v>3875</v>
      </c>
      <c r="E1842" s="352" t="s">
        <v>1998</v>
      </c>
      <c r="F1842" s="353">
        <v>1.7</v>
      </c>
      <c r="G1842" s="352" t="s">
        <v>2126</v>
      </c>
      <c r="H1842" s="176" t="s">
        <v>3223</v>
      </c>
      <c r="I1842" s="176" t="s">
        <v>4924</v>
      </c>
      <c r="J1842" s="352" t="s">
        <v>22</v>
      </c>
      <c r="K1842" s="352">
        <v>300</v>
      </c>
      <c r="L1842" s="352" t="s">
        <v>23</v>
      </c>
      <c r="M1842" s="352"/>
      <c r="N1842" s="352"/>
      <c r="O1842" s="351">
        <v>300</v>
      </c>
      <c r="P1842" s="349" t="s">
        <v>1836</v>
      </c>
      <c r="R1842" s="349">
        <f t="shared" si="28"/>
        <v>11</v>
      </c>
      <c r="S1842" s="352"/>
      <c r="T1842" s="352"/>
      <c r="U1842" s="352"/>
      <c r="V1842" s="353"/>
      <c r="W1842" s="352"/>
      <c r="X1842" s="176"/>
      <c r="Y1842" s="176"/>
      <c r="Z1842" s="352"/>
      <c r="AA1842" s="352"/>
      <c r="AB1842" s="352"/>
      <c r="AC1842" s="352"/>
      <c r="AD1842" s="352"/>
    </row>
    <row r="1843" spans="1:30" ht="205.1" hidden="1" x14ac:dyDescent="0.35">
      <c r="A1843" s="349">
        <v>1842</v>
      </c>
      <c r="B1843" s="352" t="s">
        <v>1533</v>
      </c>
      <c r="C1843" s="351" t="s">
        <v>3875</v>
      </c>
      <c r="D1843" s="352" t="s">
        <v>3875</v>
      </c>
      <c r="E1843" s="352" t="s">
        <v>2189</v>
      </c>
      <c r="F1843" s="353">
        <v>17.100000000000001</v>
      </c>
      <c r="G1843" s="352" t="s">
        <v>2126</v>
      </c>
      <c r="H1843" s="176" t="s">
        <v>3223</v>
      </c>
      <c r="I1843" s="176" t="s">
        <v>4924</v>
      </c>
      <c r="J1843" s="352" t="s">
        <v>3579</v>
      </c>
      <c r="K1843" s="352">
        <v>20</v>
      </c>
      <c r="L1843" s="352" t="s">
        <v>1116</v>
      </c>
      <c r="M1843" s="352">
        <v>120</v>
      </c>
      <c r="N1843" s="352" t="s">
        <v>1109</v>
      </c>
      <c r="O1843" s="351">
        <v>20</v>
      </c>
      <c r="P1843" s="349" t="s">
        <v>1836</v>
      </c>
      <c r="R1843" s="349">
        <f t="shared" si="28"/>
        <v>11</v>
      </c>
      <c r="S1843" s="352"/>
      <c r="T1843" s="352"/>
      <c r="U1843" s="352"/>
      <c r="V1843" s="353"/>
      <c r="W1843" s="352"/>
      <c r="X1843" s="176"/>
      <c r="Y1843" s="176"/>
      <c r="Z1843" s="352"/>
      <c r="AA1843" s="352"/>
      <c r="AB1843" s="352"/>
      <c r="AC1843" s="352"/>
      <c r="AD1843" s="352"/>
    </row>
    <row r="1844" spans="1:30" ht="76.900000000000006" hidden="1" x14ac:dyDescent="0.35">
      <c r="A1844" s="349">
        <v>1843</v>
      </c>
      <c r="B1844" s="352" t="s">
        <v>3457</v>
      </c>
      <c r="C1844" s="351" t="s">
        <v>5011</v>
      </c>
      <c r="D1844" s="352" t="s">
        <v>2759</v>
      </c>
      <c r="E1844" s="352" t="s">
        <v>1995</v>
      </c>
      <c r="F1844" s="353">
        <v>0.50690000000000002</v>
      </c>
      <c r="G1844" s="352" t="s">
        <v>2126</v>
      </c>
      <c r="H1844" s="176" t="s">
        <v>3851</v>
      </c>
      <c r="I1844" s="176" t="s">
        <v>2943</v>
      </c>
      <c r="J1844" s="352" t="s">
        <v>3580</v>
      </c>
      <c r="K1844" s="352">
        <v>10</v>
      </c>
      <c r="L1844" s="352" t="s">
        <v>3581</v>
      </c>
      <c r="M1844" s="352"/>
      <c r="N1844" s="352"/>
      <c r="O1844" s="351">
        <v>10</v>
      </c>
      <c r="P1844" s="349" t="s">
        <v>1836</v>
      </c>
      <c r="R1844" s="349">
        <f t="shared" si="28"/>
        <v>14</v>
      </c>
      <c r="S1844" s="352"/>
      <c r="T1844" s="352"/>
      <c r="U1844" s="352"/>
      <c r="V1844" s="353"/>
      <c r="W1844" s="352"/>
      <c r="X1844" s="176"/>
      <c r="Y1844" s="176"/>
      <c r="Z1844" s="352"/>
      <c r="AA1844" s="352"/>
      <c r="AB1844" s="352"/>
      <c r="AC1844" s="352"/>
      <c r="AD1844" s="352"/>
    </row>
    <row r="1845" spans="1:30" ht="38.450000000000003" hidden="1" x14ac:dyDescent="0.35">
      <c r="A1845" s="349">
        <v>1844</v>
      </c>
      <c r="B1845" s="352" t="s">
        <v>4100</v>
      </c>
      <c r="C1845" s="351" t="s">
        <v>3631</v>
      </c>
      <c r="D1845" s="352" t="s">
        <v>3631</v>
      </c>
      <c r="E1845" s="352" t="s">
        <v>1998</v>
      </c>
      <c r="F1845" s="353">
        <v>2.6884999999999999</v>
      </c>
      <c r="G1845" s="352" t="s">
        <v>2126</v>
      </c>
      <c r="H1845" s="176" t="s">
        <v>3632</v>
      </c>
      <c r="I1845" s="176" t="s">
        <v>3633</v>
      </c>
      <c r="J1845" s="352" t="s">
        <v>22</v>
      </c>
      <c r="K1845" s="352">
        <v>100</v>
      </c>
      <c r="L1845" s="352" t="s">
        <v>23</v>
      </c>
      <c r="M1845" s="352"/>
      <c r="N1845" s="352"/>
      <c r="O1845" s="351">
        <v>100</v>
      </c>
      <c r="P1845" s="349" t="s">
        <v>1836</v>
      </c>
      <c r="R1845" s="349">
        <f t="shared" si="28"/>
        <v>9</v>
      </c>
      <c r="S1845" s="352"/>
      <c r="T1845" s="352"/>
      <c r="U1845" s="352"/>
      <c r="V1845" s="353"/>
      <c r="W1845" s="352"/>
      <c r="X1845" s="176"/>
      <c r="Y1845" s="176"/>
      <c r="Z1845" s="352"/>
      <c r="AA1845" s="352"/>
      <c r="AB1845" s="352"/>
      <c r="AC1845" s="352"/>
      <c r="AD1845" s="352"/>
    </row>
    <row r="1846" spans="1:30" ht="38.450000000000003" hidden="1" x14ac:dyDescent="0.35">
      <c r="A1846" s="349">
        <v>1845</v>
      </c>
      <c r="B1846" s="352" t="s">
        <v>4100</v>
      </c>
      <c r="C1846" s="351" t="s">
        <v>3631</v>
      </c>
      <c r="D1846" s="352" t="s">
        <v>3631</v>
      </c>
      <c r="E1846" s="352" t="s">
        <v>2187</v>
      </c>
      <c r="F1846" s="353">
        <v>135.21960000000001</v>
      </c>
      <c r="G1846" s="352" t="s">
        <v>2126</v>
      </c>
      <c r="H1846" s="176" t="s">
        <v>3632</v>
      </c>
      <c r="I1846" s="176" t="s">
        <v>3633</v>
      </c>
      <c r="J1846" s="352" t="s">
        <v>3579</v>
      </c>
      <c r="K1846" s="352">
        <v>80</v>
      </c>
      <c r="L1846" s="352" t="s">
        <v>1116</v>
      </c>
      <c r="M1846" s="351">
        <v>90</v>
      </c>
      <c r="N1846" s="351" t="s">
        <v>1109</v>
      </c>
      <c r="O1846" s="351">
        <v>80</v>
      </c>
      <c r="P1846" s="349" t="s">
        <v>1836</v>
      </c>
      <c r="R1846" s="349">
        <f t="shared" si="28"/>
        <v>9</v>
      </c>
      <c r="S1846" s="352"/>
      <c r="T1846" s="352"/>
      <c r="U1846" s="352"/>
      <c r="V1846" s="353"/>
      <c r="W1846" s="352"/>
      <c r="X1846" s="176"/>
      <c r="Y1846" s="176"/>
      <c r="Z1846" s="352"/>
      <c r="AA1846" s="352"/>
      <c r="AB1846" s="352"/>
      <c r="AC1846" s="351"/>
      <c r="AD1846" s="351"/>
    </row>
    <row r="1847" spans="1:30" ht="102.55" hidden="1" x14ac:dyDescent="0.35">
      <c r="A1847" s="349">
        <v>1846</v>
      </c>
      <c r="B1847" s="352" t="s">
        <v>3204</v>
      </c>
      <c r="C1847" s="351" t="s">
        <v>2072</v>
      </c>
      <c r="D1847" s="352" t="s">
        <v>2072</v>
      </c>
      <c r="E1847" s="352" t="s">
        <v>730</v>
      </c>
      <c r="F1847" s="353">
        <v>717.66</v>
      </c>
      <c r="G1847" s="352" t="s">
        <v>1107</v>
      </c>
      <c r="H1847" s="176" t="s">
        <v>1130</v>
      </c>
      <c r="I1847" s="176" t="s">
        <v>1131</v>
      </c>
      <c r="J1847" s="352" t="s">
        <v>1115</v>
      </c>
      <c r="K1847" s="352">
        <v>10</v>
      </c>
      <c r="L1847" s="352" t="s">
        <v>1116</v>
      </c>
      <c r="M1847" s="351">
        <v>10</v>
      </c>
      <c r="N1847" s="351" t="s">
        <v>1109</v>
      </c>
      <c r="O1847" s="351">
        <v>10</v>
      </c>
      <c r="P1847" s="349" t="s">
        <v>1836</v>
      </c>
      <c r="R1847" s="349">
        <f t="shared" si="28"/>
        <v>9</v>
      </c>
      <c r="S1847" s="352"/>
      <c r="T1847" s="352"/>
      <c r="U1847" s="352"/>
      <c r="V1847" s="353"/>
      <c r="W1847" s="352"/>
      <c r="X1847" s="176"/>
      <c r="Y1847" s="176"/>
      <c r="Z1847" s="352"/>
      <c r="AA1847" s="351"/>
      <c r="AB1847" s="351"/>
      <c r="AC1847" s="351"/>
      <c r="AD1847" s="351"/>
    </row>
    <row r="1848" spans="1:30" ht="102.55" hidden="1" x14ac:dyDescent="0.35">
      <c r="A1848" s="349">
        <v>1847</v>
      </c>
      <c r="B1848" s="352" t="s">
        <v>3204</v>
      </c>
      <c r="C1848" s="351" t="s">
        <v>2072</v>
      </c>
      <c r="D1848" s="352" t="s">
        <v>2072</v>
      </c>
      <c r="E1848" s="352" t="s">
        <v>1754</v>
      </c>
      <c r="F1848" s="353">
        <v>3588.32</v>
      </c>
      <c r="G1848" s="352" t="s">
        <v>1107</v>
      </c>
      <c r="H1848" s="176" t="s">
        <v>1130</v>
      </c>
      <c r="I1848" s="176" t="s">
        <v>1131</v>
      </c>
      <c r="J1848" s="352" t="s">
        <v>1115</v>
      </c>
      <c r="K1848" s="352">
        <v>10</v>
      </c>
      <c r="L1848" s="352" t="s">
        <v>1116</v>
      </c>
      <c r="M1848" s="352">
        <v>50</v>
      </c>
      <c r="N1848" s="352" t="s">
        <v>1109</v>
      </c>
      <c r="O1848" s="351">
        <v>10</v>
      </c>
      <c r="P1848" s="349" t="s">
        <v>1836</v>
      </c>
      <c r="R1848" s="349">
        <f t="shared" si="28"/>
        <v>9</v>
      </c>
      <c r="S1848" s="352"/>
      <c r="T1848" s="352"/>
      <c r="U1848" s="352"/>
      <c r="V1848" s="353"/>
      <c r="W1848" s="352"/>
      <c r="X1848" s="176"/>
      <c r="Y1848" s="176"/>
      <c r="Z1848" s="352"/>
      <c r="AA1848" s="351"/>
      <c r="AB1848" s="351"/>
      <c r="AC1848" s="351"/>
      <c r="AD1848" s="351"/>
    </row>
    <row r="1849" spans="1:30" ht="153.80000000000001" hidden="1" x14ac:dyDescent="0.35">
      <c r="A1849" s="349">
        <v>1848</v>
      </c>
      <c r="B1849" s="352" t="s">
        <v>1787</v>
      </c>
      <c r="C1849" s="351" t="s">
        <v>5012</v>
      </c>
      <c r="D1849" s="352" t="s">
        <v>3876</v>
      </c>
      <c r="E1849" s="352" t="s">
        <v>1997</v>
      </c>
      <c r="F1849" s="353">
        <v>2.0499999999999998</v>
      </c>
      <c r="G1849" s="352" t="s">
        <v>1107</v>
      </c>
      <c r="H1849" s="176" t="s">
        <v>3295</v>
      </c>
      <c r="I1849" s="176" t="s">
        <v>4674</v>
      </c>
      <c r="J1849" s="352" t="s">
        <v>1115</v>
      </c>
      <c r="K1849" s="352">
        <v>1</v>
      </c>
      <c r="L1849" s="352" t="s">
        <v>1464</v>
      </c>
      <c r="M1849" s="351"/>
      <c r="N1849" s="351"/>
      <c r="O1849" s="351">
        <v>1</v>
      </c>
      <c r="P1849" s="349" t="s">
        <v>1836</v>
      </c>
      <c r="R1849" s="349">
        <f t="shared" si="28"/>
        <v>10</v>
      </c>
      <c r="S1849" s="352"/>
      <c r="T1849" s="352"/>
      <c r="U1849" s="352"/>
      <c r="V1849" s="353"/>
      <c r="W1849" s="352"/>
      <c r="X1849" s="176"/>
      <c r="Y1849" s="176"/>
      <c r="Z1849" s="352"/>
      <c r="AA1849" s="352"/>
      <c r="AB1849" s="352"/>
      <c r="AC1849" s="352"/>
      <c r="AD1849" s="352"/>
    </row>
    <row r="1850" spans="1:30" ht="205.1" hidden="1" x14ac:dyDescent="0.35">
      <c r="A1850" s="349">
        <v>1849</v>
      </c>
      <c r="B1850" s="352" t="s">
        <v>1787</v>
      </c>
      <c r="C1850" s="351" t="s">
        <v>5012</v>
      </c>
      <c r="D1850" s="352" t="s">
        <v>3876</v>
      </c>
      <c r="E1850" s="352" t="s">
        <v>1756</v>
      </c>
      <c r="F1850" s="353">
        <v>5.58</v>
      </c>
      <c r="G1850" s="352" t="s">
        <v>2126</v>
      </c>
      <c r="H1850" s="176" t="s">
        <v>1172</v>
      </c>
      <c r="I1850" s="176" t="s">
        <v>4674</v>
      </c>
      <c r="J1850" s="352" t="s">
        <v>4025</v>
      </c>
      <c r="K1850" s="352">
        <v>2.5</v>
      </c>
      <c r="L1850" s="352" t="s">
        <v>1116</v>
      </c>
      <c r="M1850" s="351">
        <v>10</v>
      </c>
      <c r="N1850" s="351" t="s">
        <v>1109</v>
      </c>
      <c r="O1850" s="351">
        <v>2.5</v>
      </c>
      <c r="P1850" s="349" t="s">
        <v>1836</v>
      </c>
      <c r="R1850" s="349">
        <f t="shared" si="28"/>
        <v>10</v>
      </c>
      <c r="S1850" s="352"/>
      <c r="T1850" s="352"/>
      <c r="U1850" s="352"/>
      <c r="V1850" s="353"/>
      <c r="W1850" s="352"/>
      <c r="X1850" s="176"/>
      <c r="Y1850" s="176"/>
      <c r="Z1850" s="352"/>
      <c r="AA1850" s="352"/>
      <c r="AB1850" s="352"/>
      <c r="AC1850" s="352"/>
      <c r="AD1850" s="352"/>
    </row>
    <row r="1851" spans="1:30" ht="205.1" hidden="1" x14ac:dyDescent="0.35">
      <c r="A1851" s="349">
        <v>1850</v>
      </c>
      <c r="B1851" s="352" t="s">
        <v>1787</v>
      </c>
      <c r="C1851" s="351" t="s">
        <v>5012</v>
      </c>
      <c r="D1851" s="352" t="s">
        <v>3876</v>
      </c>
      <c r="E1851" s="352" t="s">
        <v>1995</v>
      </c>
      <c r="F1851" s="353">
        <v>0.33</v>
      </c>
      <c r="G1851" s="352" t="s">
        <v>2126</v>
      </c>
      <c r="H1851" s="176" t="s">
        <v>1172</v>
      </c>
      <c r="I1851" s="176" t="s">
        <v>4674</v>
      </c>
      <c r="J1851" s="352" t="s">
        <v>3580</v>
      </c>
      <c r="K1851" s="352">
        <v>2</v>
      </c>
      <c r="L1851" s="352" t="s">
        <v>3581</v>
      </c>
      <c r="M1851" s="351"/>
      <c r="N1851" s="351"/>
      <c r="O1851" s="351">
        <v>2</v>
      </c>
      <c r="P1851" s="349" t="s">
        <v>1836</v>
      </c>
      <c r="R1851" s="349">
        <f t="shared" si="28"/>
        <v>10</v>
      </c>
      <c r="S1851" s="352"/>
      <c r="T1851" s="352"/>
      <c r="U1851" s="352"/>
      <c r="V1851" s="353"/>
      <c r="W1851" s="352"/>
      <c r="X1851" s="176"/>
      <c r="Y1851" s="176"/>
      <c r="Z1851" s="352"/>
      <c r="AA1851" s="352"/>
      <c r="AB1851" s="352"/>
      <c r="AC1851" s="351"/>
      <c r="AD1851" s="351"/>
    </row>
    <row r="1852" spans="1:30" ht="205.1" hidden="1" x14ac:dyDescent="0.35">
      <c r="A1852" s="349">
        <v>1851</v>
      </c>
      <c r="B1852" s="352" t="s">
        <v>1787</v>
      </c>
      <c r="C1852" s="351" t="s">
        <v>5012</v>
      </c>
      <c r="D1852" s="352" t="s">
        <v>3876</v>
      </c>
      <c r="E1852" s="352" t="s">
        <v>1995</v>
      </c>
      <c r="F1852" s="353">
        <v>0.25</v>
      </c>
      <c r="G1852" s="352" t="s">
        <v>2126</v>
      </c>
      <c r="H1852" s="176" t="s">
        <v>1172</v>
      </c>
      <c r="I1852" s="176" t="s">
        <v>4674</v>
      </c>
      <c r="J1852" s="352" t="s">
        <v>3580</v>
      </c>
      <c r="K1852" s="352">
        <v>500</v>
      </c>
      <c r="L1852" s="352" t="s">
        <v>1757</v>
      </c>
      <c r="M1852" s="352"/>
      <c r="N1852" s="352"/>
      <c r="O1852" s="351">
        <v>500</v>
      </c>
      <c r="P1852" s="349" t="s">
        <v>1850</v>
      </c>
      <c r="R1852" s="349">
        <f t="shared" si="28"/>
        <v>10</v>
      </c>
      <c r="S1852" s="352"/>
      <c r="T1852" s="352"/>
      <c r="U1852" s="352"/>
      <c r="V1852" s="353"/>
      <c r="W1852" s="352"/>
      <c r="X1852" s="176"/>
      <c r="Y1852" s="176"/>
      <c r="Z1852" s="352"/>
      <c r="AA1852" s="352"/>
      <c r="AB1852" s="352"/>
      <c r="AC1852" s="351"/>
      <c r="AD1852" s="351"/>
    </row>
    <row r="1853" spans="1:30" ht="179.45" hidden="1" x14ac:dyDescent="0.35">
      <c r="A1853" s="349">
        <v>1852</v>
      </c>
      <c r="B1853" s="352" t="s">
        <v>550</v>
      </c>
      <c r="C1853" s="351" t="s">
        <v>5013</v>
      </c>
      <c r="D1853" s="352" t="s">
        <v>3877</v>
      </c>
      <c r="E1853" s="352" t="s">
        <v>1997</v>
      </c>
      <c r="F1853" s="353">
        <v>22.565999999999999</v>
      </c>
      <c r="G1853" s="352" t="s">
        <v>1107</v>
      </c>
      <c r="H1853" s="176" t="s">
        <v>3866</v>
      </c>
      <c r="I1853" s="176" t="s">
        <v>4759</v>
      </c>
      <c r="J1853" s="352" t="s">
        <v>1115</v>
      </c>
      <c r="K1853" s="352">
        <v>1</v>
      </c>
      <c r="L1853" s="352" t="s">
        <v>3252</v>
      </c>
      <c r="M1853" s="352"/>
      <c r="N1853" s="352"/>
      <c r="O1853" s="351">
        <v>1000</v>
      </c>
      <c r="P1853" s="349" t="s">
        <v>1836</v>
      </c>
      <c r="R1853" s="349">
        <f t="shared" si="28"/>
        <v>10</v>
      </c>
      <c r="S1853" s="352"/>
      <c r="T1853" s="352"/>
      <c r="U1853" s="352"/>
      <c r="V1853" s="353"/>
      <c r="W1853" s="352"/>
      <c r="X1853" s="176"/>
      <c r="Y1853" s="176"/>
      <c r="Z1853" s="352"/>
      <c r="AA1853" s="352"/>
      <c r="AB1853" s="352"/>
      <c r="AC1853" s="351"/>
      <c r="AD1853" s="351"/>
    </row>
    <row r="1854" spans="1:30" ht="179.45" hidden="1" x14ac:dyDescent="0.35">
      <c r="A1854" s="349">
        <v>1853</v>
      </c>
      <c r="B1854" s="352" t="s">
        <v>550</v>
      </c>
      <c r="C1854" s="351" t="s">
        <v>5013</v>
      </c>
      <c r="D1854" s="352" t="s">
        <v>3877</v>
      </c>
      <c r="E1854" s="352" t="s">
        <v>1997</v>
      </c>
      <c r="F1854" s="353">
        <v>37.969900000000003</v>
      </c>
      <c r="G1854" s="352" t="s">
        <v>1107</v>
      </c>
      <c r="H1854" s="176" t="s">
        <v>3866</v>
      </c>
      <c r="I1854" s="176" t="s">
        <v>4759</v>
      </c>
      <c r="J1854" s="352" t="s">
        <v>1115</v>
      </c>
      <c r="K1854" s="352">
        <v>2</v>
      </c>
      <c r="L1854" s="352" t="s">
        <v>3252</v>
      </c>
      <c r="M1854" s="351"/>
      <c r="N1854" s="351"/>
      <c r="O1854" s="351">
        <v>2000</v>
      </c>
      <c r="P1854" s="349" t="s">
        <v>1836</v>
      </c>
      <c r="R1854" s="349">
        <f t="shared" si="28"/>
        <v>10</v>
      </c>
      <c r="S1854" s="352"/>
      <c r="T1854" s="352"/>
      <c r="U1854" s="352"/>
      <c r="V1854" s="353"/>
      <c r="W1854" s="352"/>
      <c r="X1854" s="176"/>
      <c r="Y1854" s="176"/>
      <c r="Z1854" s="352"/>
      <c r="AA1854" s="352"/>
      <c r="AB1854" s="352"/>
      <c r="AC1854" s="351"/>
      <c r="AD1854" s="351"/>
    </row>
    <row r="1855" spans="1:30" ht="179.45" hidden="1" x14ac:dyDescent="0.35">
      <c r="A1855" s="349">
        <v>1854</v>
      </c>
      <c r="B1855" s="352" t="s">
        <v>550</v>
      </c>
      <c r="C1855" s="351" t="s">
        <v>5013</v>
      </c>
      <c r="D1855" s="352" t="s">
        <v>3877</v>
      </c>
      <c r="E1855" s="352" t="s">
        <v>1997</v>
      </c>
      <c r="F1855" s="353">
        <v>13.8</v>
      </c>
      <c r="G1855" s="352" t="s">
        <v>1107</v>
      </c>
      <c r="H1855" s="176" t="s">
        <v>3866</v>
      </c>
      <c r="I1855" s="176" t="s">
        <v>4759</v>
      </c>
      <c r="J1855" s="352" t="s">
        <v>1115</v>
      </c>
      <c r="K1855" s="352">
        <v>500</v>
      </c>
      <c r="L1855" s="352" t="s">
        <v>1464</v>
      </c>
      <c r="M1855" s="352"/>
      <c r="N1855" s="352"/>
      <c r="O1855" s="351">
        <v>500</v>
      </c>
      <c r="P1855" s="349" t="s">
        <v>1836</v>
      </c>
      <c r="R1855" s="349">
        <f t="shared" si="28"/>
        <v>10</v>
      </c>
      <c r="S1855" s="352"/>
      <c r="T1855" s="352"/>
      <c r="U1855" s="352"/>
      <c r="V1855" s="353"/>
      <c r="W1855" s="352"/>
      <c r="X1855" s="176"/>
      <c r="Y1855" s="176"/>
      <c r="Z1855" s="352"/>
      <c r="AA1855" s="351"/>
      <c r="AB1855" s="351"/>
      <c r="AC1855" s="351"/>
      <c r="AD1855" s="351"/>
    </row>
    <row r="1856" spans="1:30" ht="25.65" hidden="1" x14ac:dyDescent="0.35">
      <c r="A1856" s="349">
        <v>1855</v>
      </c>
      <c r="B1856" s="352" t="s">
        <v>3587</v>
      </c>
      <c r="C1856" s="351" t="s">
        <v>2730</v>
      </c>
      <c r="D1856" s="352" t="s">
        <v>2730</v>
      </c>
      <c r="E1856" s="352" t="s">
        <v>827</v>
      </c>
      <c r="F1856" s="353">
        <v>13.8</v>
      </c>
      <c r="G1856" s="352" t="s">
        <v>1107</v>
      </c>
      <c r="H1856" s="176" t="s">
        <v>2731</v>
      </c>
      <c r="I1856" s="176" t="s">
        <v>2732</v>
      </c>
      <c r="J1856" s="352" t="s">
        <v>828</v>
      </c>
      <c r="K1856" s="352">
        <v>10</v>
      </c>
      <c r="L1856" s="352" t="s">
        <v>1116</v>
      </c>
      <c r="M1856" s="351">
        <v>5</v>
      </c>
      <c r="N1856" s="351" t="s">
        <v>1109</v>
      </c>
      <c r="O1856" s="351">
        <v>10</v>
      </c>
      <c r="P1856" s="349" t="s">
        <v>1836</v>
      </c>
      <c r="R1856" s="349">
        <f t="shared" si="28"/>
        <v>10</v>
      </c>
      <c r="S1856" s="352"/>
      <c r="T1856" s="352"/>
      <c r="U1856" s="352"/>
      <c r="V1856" s="353"/>
      <c r="W1856" s="352"/>
      <c r="X1856" s="176"/>
      <c r="Y1856" s="176"/>
      <c r="Z1856" s="352"/>
      <c r="AA1856" s="352"/>
      <c r="AB1856" s="352"/>
      <c r="AC1856" s="352"/>
      <c r="AD1856" s="352"/>
    </row>
    <row r="1857" spans="1:30" ht="38.450000000000003" hidden="1" x14ac:dyDescent="0.35">
      <c r="A1857" s="349">
        <v>1856</v>
      </c>
      <c r="B1857" s="352" t="s">
        <v>807</v>
      </c>
      <c r="C1857" s="351" t="s">
        <v>2639</v>
      </c>
      <c r="D1857" s="352" t="s">
        <v>2639</v>
      </c>
      <c r="E1857" s="352" t="s">
        <v>3583</v>
      </c>
      <c r="F1857" s="353">
        <v>7.34</v>
      </c>
      <c r="G1857" s="352" t="s">
        <v>1318</v>
      </c>
      <c r="H1857" s="176" t="s">
        <v>2640</v>
      </c>
      <c r="I1857" s="176" t="s">
        <v>2641</v>
      </c>
      <c r="J1857" s="352" t="s">
        <v>1115</v>
      </c>
      <c r="K1857" s="352">
        <v>2</v>
      </c>
      <c r="L1857" s="352" t="s">
        <v>1116</v>
      </c>
      <c r="M1857" s="351">
        <v>20</v>
      </c>
      <c r="N1857" s="351" t="s">
        <v>1109</v>
      </c>
      <c r="O1857" s="351">
        <v>2</v>
      </c>
      <c r="P1857" s="349" t="s">
        <v>1836</v>
      </c>
      <c r="R1857" s="349">
        <f t="shared" si="28"/>
        <v>11</v>
      </c>
      <c r="S1857" s="352"/>
      <c r="T1857" s="352"/>
      <c r="U1857" s="352"/>
      <c r="V1857" s="353"/>
      <c r="W1857" s="352"/>
      <c r="X1857" s="176"/>
      <c r="Y1857" s="176"/>
      <c r="Z1857" s="352"/>
      <c r="AA1857" s="352"/>
      <c r="AB1857" s="352"/>
      <c r="AC1857" s="352"/>
      <c r="AD1857" s="352"/>
    </row>
    <row r="1858" spans="1:30" ht="115.35" hidden="1" x14ac:dyDescent="0.35">
      <c r="A1858" s="349">
        <v>1857</v>
      </c>
      <c r="B1858" s="352" t="s">
        <v>761</v>
      </c>
      <c r="C1858" s="351" t="s">
        <v>5014</v>
      </c>
      <c r="D1858" s="352" t="s">
        <v>3564</v>
      </c>
      <c r="E1858" s="352" t="s">
        <v>780</v>
      </c>
      <c r="F1858" s="353">
        <v>8.0876000000000001</v>
      </c>
      <c r="G1858" s="352" t="s">
        <v>1107</v>
      </c>
      <c r="H1858" s="176" t="s">
        <v>759</v>
      </c>
      <c r="I1858" s="176" t="s">
        <v>4235</v>
      </c>
      <c r="J1858" s="352" t="s">
        <v>828</v>
      </c>
      <c r="K1858" s="352">
        <v>3.5</v>
      </c>
      <c r="L1858" s="352" t="s">
        <v>1116</v>
      </c>
      <c r="M1858" s="351">
        <v>20</v>
      </c>
      <c r="N1858" s="351" t="s">
        <v>1109</v>
      </c>
      <c r="O1858" s="351">
        <v>3.5</v>
      </c>
      <c r="P1858" s="349" t="s">
        <v>1836</v>
      </c>
      <c r="R1858" s="349">
        <f t="shared" si="28"/>
        <v>10</v>
      </c>
      <c r="S1858" s="352"/>
      <c r="T1858" s="352"/>
      <c r="U1858" s="352"/>
      <c r="V1858" s="353"/>
      <c r="W1858" s="352"/>
      <c r="X1858" s="176"/>
      <c r="Y1858" s="176"/>
      <c r="Z1858" s="352"/>
      <c r="AA1858" s="351"/>
      <c r="AB1858" s="351"/>
      <c r="AC1858" s="351"/>
      <c r="AD1858" s="351"/>
    </row>
    <row r="1859" spans="1:30" ht="115.35" hidden="1" x14ac:dyDescent="0.35">
      <c r="A1859" s="349">
        <v>1858</v>
      </c>
      <c r="B1859" s="352" t="s">
        <v>761</v>
      </c>
      <c r="C1859" s="351" t="s">
        <v>5014</v>
      </c>
      <c r="D1859" s="352" t="s">
        <v>3564</v>
      </c>
      <c r="E1859" s="352" t="s">
        <v>2003</v>
      </c>
      <c r="F1859" s="353">
        <v>0.48480000000000001</v>
      </c>
      <c r="G1859" s="352" t="s">
        <v>2126</v>
      </c>
      <c r="H1859" s="176" t="s">
        <v>2292</v>
      </c>
      <c r="I1859" s="176" t="s">
        <v>4235</v>
      </c>
      <c r="J1859" s="352" t="s">
        <v>966</v>
      </c>
      <c r="K1859" s="352">
        <v>150</v>
      </c>
      <c r="L1859" s="352" t="s">
        <v>3581</v>
      </c>
      <c r="M1859" s="351"/>
      <c r="N1859" s="351"/>
      <c r="O1859" s="351">
        <v>150</v>
      </c>
      <c r="P1859" s="349" t="s">
        <v>1836</v>
      </c>
      <c r="R1859" s="349">
        <f t="shared" ref="R1859:R1922" si="29">LEN(D1859)</f>
        <v>10</v>
      </c>
      <c r="S1859" s="352"/>
      <c r="T1859" s="352"/>
      <c r="U1859" s="352"/>
      <c r="V1859" s="353"/>
      <c r="W1859" s="352"/>
      <c r="X1859" s="176"/>
      <c r="Y1859" s="176"/>
      <c r="Z1859" s="352"/>
      <c r="AA1859" s="351"/>
      <c r="AB1859" s="351"/>
      <c r="AC1859" s="351"/>
      <c r="AD1859" s="351"/>
    </row>
    <row r="1860" spans="1:30" ht="153.80000000000001" hidden="1" x14ac:dyDescent="0.35">
      <c r="A1860" s="349">
        <v>1859</v>
      </c>
      <c r="B1860" s="352" t="s">
        <v>1787</v>
      </c>
      <c r="C1860" s="351" t="s">
        <v>5015</v>
      </c>
      <c r="D1860" s="352" t="s">
        <v>1238</v>
      </c>
      <c r="E1860" s="352" t="s">
        <v>2008</v>
      </c>
      <c r="F1860" s="353">
        <v>1.1000000000000001</v>
      </c>
      <c r="G1860" s="352" t="s">
        <v>2126</v>
      </c>
      <c r="H1860" s="176" t="s">
        <v>1078</v>
      </c>
      <c r="I1860" s="176" t="s">
        <v>4675</v>
      </c>
      <c r="J1860" s="352" t="s">
        <v>2056</v>
      </c>
      <c r="K1860" s="352">
        <v>500</v>
      </c>
      <c r="L1860" s="352" t="s">
        <v>330</v>
      </c>
      <c r="M1860" s="352"/>
      <c r="N1860" s="352"/>
      <c r="O1860" s="351">
        <v>500</v>
      </c>
      <c r="P1860" s="349" t="s">
        <v>1836</v>
      </c>
      <c r="R1860" s="349">
        <f t="shared" si="29"/>
        <v>11</v>
      </c>
      <c r="S1860" s="352"/>
      <c r="T1860" s="352"/>
      <c r="U1860" s="352"/>
      <c r="V1860" s="353"/>
      <c r="W1860" s="352"/>
      <c r="X1860" s="176"/>
      <c r="Y1860" s="176"/>
      <c r="Z1860" s="352"/>
      <c r="AA1860" s="352"/>
      <c r="AB1860" s="352"/>
      <c r="AC1860" s="351"/>
      <c r="AD1860" s="351"/>
    </row>
    <row r="1861" spans="1:30" ht="153.80000000000001" hidden="1" x14ac:dyDescent="0.35">
      <c r="A1861" s="349">
        <v>1860</v>
      </c>
      <c r="B1861" s="352" t="s">
        <v>1787</v>
      </c>
      <c r="C1861" s="351" t="s">
        <v>5015</v>
      </c>
      <c r="D1861" s="352" t="s">
        <v>1238</v>
      </c>
      <c r="E1861" s="352" t="s">
        <v>1995</v>
      </c>
      <c r="F1861" s="353">
        <v>1.3</v>
      </c>
      <c r="G1861" s="352" t="s">
        <v>2126</v>
      </c>
      <c r="H1861" s="176" t="s">
        <v>1078</v>
      </c>
      <c r="I1861" s="176" t="s">
        <v>4675</v>
      </c>
      <c r="J1861" s="352" t="s">
        <v>3580</v>
      </c>
      <c r="K1861" s="352">
        <v>500</v>
      </c>
      <c r="L1861" s="352" t="s">
        <v>3581</v>
      </c>
      <c r="M1861" s="352"/>
      <c r="N1861" s="352"/>
      <c r="O1861" s="351">
        <v>500</v>
      </c>
      <c r="P1861" s="349" t="s">
        <v>1836</v>
      </c>
      <c r="R1861" s="349">
        <f t="shared" si="29"/>
        <v>11</v>
      </c>
      <c r="S1861" s="352"/>
      <c r="T1861" s="352"/>
      <c r="U1861" s="352"/>
      <c r="V1861" s="353"/>
      <c r="W1861" s="352"/>
      <c r="X1861" s="176"/>
      <c r="Y1861" s="176"/>
      <c r="Z1861" s="352"/>
      <c r="AA1861" s="352"/>
      <c r="AB1861" s="352"/>
      <c r="AC1861" s="351"/>
      <c r="AD1861" s="351"/>
    </row>
    <row r="1862" spans="1:30" ht="115.35" hidden="1" x14ac:dyDescent="0.35">
      <c r="A1862" s="349">
        <v>1861</v>
      </c>
      <c r="B1862" s="352" t="s">
        <v>1490</v>
      </c>
      <c r="C1862" s="351" t="s">
        <v>5016</v>
      </c>
      <c r="D1862" s="352" t="s">
        <v>948</v>
      </c>
      <c r="E1862" s="352" t="s">
        <v>2003</v>
      </c>
      <c r="F1862" s="353">
        <v>0.4</v>
      </c>
      <c r="G1862" s="352" t="s">
        <v>2126</v>
      </c>
      <c r="H1862" s="176" t="s">
        <v>1091</v>
      </c>
      <c r="I1862" s="176" t="s">
        <v>4594</v>
      </c>
      <c r="J1862" s="352" t="s">
        <v>966</v>
      </c>
      <c r="K1862" s="352">
        <v>500</v>
      </c>
      <c r="L1862" s="352" t="s">
        <v>3581</v>
      </c>
      <c r="M1862" s="352"/>
      <c r="N1862" s="352"/>
      <c r="O1862" s="351">
        <v>500</v>
      </c>
      <c r="P1862" s="349" t="s">
        <v>1836</v>
      </c>
      <c r="R1862" s="349">
        <f t="shared" si="29"/>
        <v>13</v>
      </c>
      <c r="S1862" s="352"/>
      <c r="T1862" s="352"/>
      <c r="U1862" s="352"/>
      <c r="V1862" s="353"/>
      <c r="W1862" s="352"/>
      <c r="X1862" s="176"/>
      <c r="Y1862" s="176"/>
      <c r="Z1862" s="352"/>
      <c r="AA1862" s="351"/>
      <c r="AB1862" s="351"/>
      <c r="AC1862" s="351"/>
      <c r="AD1862" s="351"/>
    </row>
    <row r="1863" spans="1:30" ht="64.099999999999994" hidden="1" x14ac:dyDescent="0.35">
      <c r="A1863" s="349">
        <v>1862</v>
      </c>
      <c r="B1863" s="352" t="s">
        <v>1609</v>
      </c>
      <c r="C1863" s="351" t="s">
        <v>5016</v>
      </c>
      <c r="D1863" s="352" t="s">
        <v>948</v>
      </c>
      <c r="E1863" s="352" t="s">
        <v>2003</v>
      </c>
      <c r="F1863" s="353">
        <v>0.4</v>
      </c>
      <c r="G1863" s="352" t="s">
        <v>2126</v>
      </c>
      <c r="H1863" s="176" t="s">
        <v>2066</v>
      </c>
      <c r="I1863" s="176" t="s">
        <v>1441</v>
      </c>
      <c r="J1863" s="352" t="s">
        <v>966</v>
      </c>
      <c r="K1863" s="352">
        <v>500</v>
      </c>
      <c r="L1863" s="352" t="s">
        <v>3581</v>
      </c>
      <c r="M1863" s="352"/>
      <c r="N1863" s="352"/>
      <c r="O1863" s="351">
        <v>500</v>
      </c>
      <c r="P1863" s="349" t="s">
        <v>1836</v>
      </c>
      <c r="R1863" s="349">
        <f t="shared" si="29"/>
        <v>13</v>
      </c>
      <c r="S1863" s="352"/>
      <c r="T1863" s="352"/>
      <c r="U1863" s="352"/>
      <c r="V1863" s="353"/>
      <c r="W1863" s="352"/>
      <c r="X1863" s="176"/>
      <c r="Y1863" s="176"/>
      <c r="Z1863" s="352"/>
      <c r="AA1863" s="352"/>
      <c r="AB1863" s="352"/>
      <c r="AC1863" s="351"/>
      <c r="AD1863" s="351"/>
    </row>
    <row r="1864" spans="1:30" ht="25.65" hidden="1" x14ac:dyDescent="0.35">
      <c r="A1864" s="349">
        <v>1863</v>
      </c>
      <c r="B1864" s="352" t="s">
        <v>316</v>
      </c>
      <c r="C1864" s="351" t="s">
        <v>279</v>
      </c>
      <c r="D1864" s="352" t="s">
        <v>279</v>
      </c>
      <c r="E1864" s="352" t="s">
        <v>2374</v>
      </c>
      <c r="F1864" s="353">
        <v>1.43</v>
      </c>
      <c r="G1864" s="352" t="s">
        <v>3034</v>
      </c>
      <c r="H1864" s="176" t="s">
        <v>1083</v>
      </c>
      <c r="I1864" s="176" t="s">
        <v>1084</v>
      </c>
      <c r="J1864" s="352" t="s">
        <v>2375</v>
      </c>
      <c r="K1864" s="352">
        <v>200</v>
      </c>
      <c r="L1864" s="352" t="s">
        <v>2376</v>
      </c>
      <c r="M1864" s="352">
        <v>8</v>
      </c>
      <c r="N1864" s="352" t="s">
        <v>2377</v>
      </c>
      <c r="O1864" s="351">
        <v>200</v>
      </c>
      <c r="P1864" s="349" t="s">
        <v>1850</v>
      </c>
      <c r="R1864" s="349">
        <f t="shared" si="29"/>
        <v>10</v>
      </c>
      <c r="S1864" s="352"/>
      <c r="T1864" s="352"/>
      <c r="U1864" s="352"/>
      <c r="V1864" s="353"/>
      <c r="W1864" s="352"/>
      <c r="X1864" s="176"/>
      <c r="Y1864" s="176"/>
      <c r="Z1864" s="352"/>
      <c r="AA1864" s="352"/>
      <c r="AB1864" s="352"/>
      <c r="AC1864" s="351"/>
      <c r="AD1864" s="351"/>
    </row>
    <row r="1865" spans="1:30" ht="25.65" hidden="1" x14ac:dyDescent="0.35">
      <c r="A1865" s="349">
        <v>1864</v>
      </c>
      <c r="B1865" s="352" t="s">
        <v>316</v>
      </c>
      <c r="C1865" s="351" t="s">
        <v>279</v>
      </c>
      <c r="D1865" s="352" t="s">
        <v>279</v>
      </c>
      <c r="E1865" s="352" t="s">
        <v>2374</v>
      </c>
      <c r="F1865" s="353">
        <v>2.42</v>
      </c>
      <c r="G1865" s="352" t="s">
        <v>3034</v>
      </c>
      <c r="H1865" s="176" t="s">
        <v>1083</v>
      </c>
      <c r="I1865" s="176" t="s">
        <v>1084</v>
      </c>
      <c r="J1865" s="352" t="s">
        <v>2375</v>
      </c>
      <c r="K1865" s="352">
        <v>400</v>
      </c>
      <c r="L1865" s="352" t="s">
        <v>2376</v>
      </c>
      <c r="M1865" s="352">
        <v>8</v>
      </c>
      <c r="N1865" s="352" t="s">
        <v>2377</v>
      </c>
      <c r="O1865" s="351">
        <v>400</v>
      </c>
      <c r="P1865" s="349" t="s">
        <v>1850</v>
      </c>
      <c r="R1865" s="349">
        <f t="shared" si="29"/>
        <v>10</v>
      </c>
      <c r="S1865" s="352"/>
      <c r="T1865" s="352"/>
      <c r="U1865" s="352"/>
      <c r="V1865" s="353"/>
      <c r="W1865" s="352"/>
      <c r="X1865" s="176"/>
      <c r="Y1865" s="176"/>
      <c r="Z1865" s="352"/>
      <c r="AA1865" s="352"/>
      <c r="AB1865" s="352"/>
      <c r="AC1865" s="351"/>
      <c r="AD1865" s="351"/>
    </row>
    <row r="1866" spans="1:30" ht="25.65" hidden="1" x14ac:dyDescent="0.35">
      <c r="A1866" s="349">
        <v>1865</v>
      </c>
      <c r="B1866" s="352" t="s">
        <v>316</v>
      </c>
      <c r="C1866" s="351" t="s">
        <v>279</v>
      </c>
      <c r="D1866" s="352" t="s">
        <v>279</v>
      </c>
      <c r="E1866" s="352" t="s">
        <v>743</v>
      </c>
      <c r="F1866" s="353">
        <v>13.49</v>
      </c>
      <c r="G1866" s="352" t="s">
        <v>3034</v>
      </c>
      <c r="H1866" s="176" t="s">
        <v>1083</v>
      </c>
      <c r="I1866" s="176" t="s">
        <v>1084</v>
      </c>
      <c r="J1866" s="352" t="s">
        <v>744</v>
      </c>
      <c r="K1866" s="352">
        <v>200</v>
      </c>
      <c r="L1866" s="352" t="s">
        <v>2376</v>
      </c>
      <c r="M1866" s="352">
        <v>60</v>
      </c>
      <c r="N1866" s="352" t="s">
        <v>1656</v>
      </c>
      <c r="O1866" s="351">
        <v>200</v>
      </c>
      <c r="P1866" s="349" t="s">
        <v>1850</v>
      </c>
      <c r="R1866" s="349">
        <f t="shared" si="29"/>
        <v>10</v>
      </c>
      <c r="S1866" s="352"/>
      <c r="T1866" s="352"/>
      <c r="U1866" s="352"/>
      <c r="V1866" s="353"/>
      <c r="W1866" s="352"/>
      <c r="X1866" s="176"/>
      <c r="Y1866" s="176"/>
      <c r="Z1866" s="352"/>
      <c r="AA1866" s="352"/>
      <c r="AB1866" s="352"/>
      <c r="AC1866" s="352"/>
      <c r="AD1866" s="352"/>
    </row>
    <row r="1867" spans="1:30" ht="141" hidden="1" x14ac:dyDescent="0.35">
      <c r="A1867" s="349">
        <v>1866</v>
      </c>
      <c r="B1867" s="352" t="s">
        <v>316</v>
      </c>
      <c r="C1867" s="351" t="s">
        <v>279</v>
      </c>
      <c r="D1867" s="352" t="s">
        <v>279</v>
      </c>
      <c r="E1867" s="352" t="s">
        <v>331</v>
      </c>
      <c r="F1867" s="353">
        <v>11.503399999999999</v>
      </c>
      <c r="G1867" s="352" t="s">
        <v>3034</v>
      </c>
      <c r="H1867" s="176" t="s">
        <v>2341</v>
      </c>
      <c r="I1867" s="176" t="s">
        <v>1117</v>
      </c>
      <c r="J1867" s="352" t="s">
        <v>3035</v>
      </c>
      <c r="K1867" s="352">
        <v>5</v>
      </c>
      <c r="L1867" s="352" t="s">
        <v>1116</v>
      </c>
      <c r="M1867" s="352">
        <v>20</v>
      </c>
      <c r="N1867" s="352" t="s">
        <v>1109</v>
      </c>
      <c r="O1867" s="351">
        <v>5</v>
      </c>
      <c r="P1867" s="349" t="s">
        <v>1836</v>
      </c>
      <c r="R1867" s="349">
        <f t="shared" si="29"/>
        <v>10</v>
      </c>
      <c r="S1867" s="352"/>
      <c r="T1867" s="352"/>
      <c r="U1867" s="352"/>
      <c r="V1867" s="353"/>
      <c r="W1867" s="352"/>
      <c r="X1867" s="176"/>
      <c r="Y1867" s="176"/>
      <c r="Z1867" s="352"/>
      <c r="AA1867" s="352"/>
      <c r="AB1867" s="352"/>
      <c r="AC1867" s="351"/>
      <c r="AD1867" s="351"/>
    </row>
    <row r="1868" spans="1:30" ht="256.35000000000002" hidden="1" x14ac:dyDescent="0.35">
      <c r="A1868" s="349">
        <v>1867</v>
      </c>
      <c r="B1868" s="352" t="s">
        <v>316</v>
      </c>
      <c r="C1868" s="351" t="s">
        <v>279</v>
      </c>
      <c r="D1868" s="352" t="s">
        <v>279</v>
      </c>
      <c r="E1868" s="352" t="s">
        <v>332</v>
      </c>
      <c r="F1868" s="353">
        <v>0.3306</v>
      </c>
      <c r="G1868" s="352" t="s">
        <v>3034</v>
      </c>
      <c r="H1868" s="176" t="s">
        <v>5080</v>
      </c>
      <c r="I1868" s="176" t="s">
        <v>1117</v>
      </c>
      <c r="J1868" s="352" t="s">
        <v>333</v>
      </c>
      <c r="K1868" s="352">
        <v>1</v>
      </c>
      <c r="L1868" s="352" t="s">
        <v>1116</v>
      </c>
      <c r="M1868" s="352">
        <v>2.5</v>
      </c>
      <c r="N1868" s="352" t="s">
        <v>1109</v>
      </c>
      <c r="O1868" s="351">
        <v>1</v>
      </c>
      <c r="P1868" s="349" t="s">
        <v>1836</v>
      </c>
      <c r="R1868" s="349">
        <f t="shared" si="29"/>
        <v>10</v>
      </c>
      <c r="S1868" s="352"/>
      <c r="T1868" s="352"/>
      <c r="U1868" s="352"/>
      <c r="V1868" s="353"/>
      <c r="W1868" s="352"/>
      <c r="X1868" s="176"/>
      <c r="Y1868" s="176"/>
      <c r="Z1868" s="352"/>
      <c r="AA1868" s="352"/>
      <c r="AB1868" s="352"/>
      <c r="AC1868" s="351"/>
      <c r="AD1868" s="351"/>
    </row>
    <row r="1869" spans="1:30" ht="51.3" hidden="1" x14ac:dyDescent="0.35">
      <c r="A1869" s="349">
        <v>1868</v>
      </c>
      <c r="B1869" s="352" t="s">
        <v>316</v>
      </c>
      <c r="C1869" s="351" t="s">
        <v>279</v>
      </c>
      <c r="D1869" s="352" t="s">
        <v>279</v>
      </c>
      <c r="E1869" s="352" t="s">
        <v>2379</v>
      </c>
      <c r="F1869" s="353">
        <v>7.74</v>
      </c>
      <c r="G1869" s="352" t="s">
        <v>3034</v>
      </c>
      <c r="H1869" s="176" t="s">
        <v>1081</v>
      </c>
      <c r="I1869" s="176" t="s">
        <v>1082</v>
      </c>
      <c r="J1869" s="352" t="s">
        <v>3215</v>
      </c>
      <c r="K1869" s="352">
        <v>100</v>
      </c>
      <c r="L1869" s="352" t="s">
        <v>3216</v>
      </c>
      <c r="M1869" s="352">
        <v>200</v>
      </c>
      <c r="N1869" s="352" t="s">
        <v>1656</v>
      </c>
      <c r="O1869" s="351">
        <v>100</v>
      </c>
      <c r="P1869" s="349" t="s">
        <v>1850</v>
      </c>
      <c r="R1869" s="349">
        <f t="shared" si="29"/>
        <v>10</v>
      </c>
      <c r="S1869" s="352"/>
      <c r="T1869" s="352"/>
      <c r="U1869" s="352"/>
      <c r="V1869" s="353"/>
      <c r="W1869" s="352"/>
      <c r="X1869" s="176"/>
      <c r="Y1869" s="176"/>
      <c r="Z1869" s="352"/>
      <c r="AA1869" s="352"/>
      <c r="AB1869" s="352"/>
      <c r="AC1869" s="351"/>
      <c r="AD1869" s="351"/>
    </row>
    <row r="1870" spans="1:30" ht="115.35" hidden="1" x14ac:dyDescent="0.35">
      <c r="A1870" s="349">
        <v>1869</v>
      </c>
      <c r="B1870" s="352" t="s">
        <v>316</v>
      </c>
      <c r="C1870" s="351" t="s">
        <v>279</v>
      </c>
      <c r="D1870" s="352" t="s">
        <v>279</v>
      </c>
      <c r="E1870" s="352" t="s">
        <v>827</v>
      </c>
      <c r="F1870" s="353">
        <v>12.010199999999999</v>
      </c>
      <c r="G1870" s="352" t="s">
        <v>1107</v>
      </c>
      <c r="H1870" s="176" t="s">
        <v>480</v>
      </c>
      <c r="I1870" s="176" t="s">
        <v>481</v>
      </c>
      <c r="J1870" s="352" t="s">
        <v>828</v>
      </c>
      <c r="K1870" s="352">
        <v>1</v>
      </c>
      <c r="L1870" s="352" t="s">
        <v>1116</v>
      </c>
      <c r="M1870" s="352">
        <v>5</v>
      </c>
      <c r="N1870" s="352" t="s">
        <v>1109</v>
      </c>
      <c r="O1870" s="351">
        <v>1</v>
      </c>
      <c r="P1870" s="349" t="s">
        <v>1836</v>
      </c>
      <c r="R1870" s="349">
        <f t="shared" si="29"/>
        <v>10</v>
      </c>
      <c r="S1870" s="352"/>
      <c r="T1870" s="352"/>
      <c r="U1870" s="352"/>
      <c r="V1870" s="353"/>
      <c r="W1870" s="352"/>
      <c r="X1870" s="176"/>
      <c r="Y1870" s="176"/>
      <c r="Z1870" s="352"/>
      <c r="AA1870" s="352"/>
      <c r="AB1870" s="352"/>
      <c r="AC1870" s="352"/>
      <c r="AD1870" s="352"/>
    </row>
    <row r="1871" spans="1:30" ht="76.900000000000006" hidden="1" x14ac:dyDescent="0.35">
      <c r="A1871" s="349">
        <v>1870</v>
      </c>
      <c r="B1871" s="352" t="s">
        <v>316</v>
      </c>
      <c r="C1871" s="351" t="s">
        <v>279</v>
      </c>
      <c r="D1871" s="352" t="s">
        <v>279</v>
      </c>
      <c r="E1871" s="352" t="s">
        <v>334</v>
      </c>
      <c r="F1871" s="353">
        <v>4.3193000000000001</v>
      </c>
      <c r="G1871" s="352" t="s">
        <v>2126</v>
      </c>
      <c r="H1871" s="176" t="s">
        <v>507</v>
      </c>
      <c r="I1871" s="176" t="s">
        <v>2901</v>
      </c>
      <c r="J1871" s="352" t="s">
        <v>3579</v>
      </c>
      <c r="K1871" s="352">
        <v>400</v>
      </c>
      <c r="L1871" s="352" t="s">
        <v>4022</v>
      </c>
      <c r="M1871" s="352">
        <v>150</v>
      </c>
      <c r="N1871" s="352" t="s">
        <v>1109</v>
      </c>
      <c r="O1871" s="351">
        <v>400</v>
      </c>
      <c r="P1871" s="349" t="s">
        <v>1850</v>
      </c>
      <c r="R1871" s="349">
        <f t="shared" si="29"/>
        <v>10</v>
      </c>
      <c r="S1871" s="352"/>
      <c r="T1871" s="352"/>
      <c r="U1871" s="352"/>
      <c r="V1871" s="353"/>
      <c r="W1871" s="352"/>
      <c r="X1871" s="176"/>
      <c r="Y1871" s="176"/>
      <c r="Z1871" s="352"/>
      <c r="AA1871" s="352"/>
      <c r="AB1871" s="352"/>
      <c r="AC1871" s="351"/>
      <c r="AD1871" s="351"/>
    </row>
    <row r="1872" spans="1:30" ht="25.65" hidden="1" x14ac:dyDescent="0.35">
      <c r="A1872" s="349">
        <v>1871</v>
      </c>
      <c r="B1872" s="352" t="s">
        <v>335</v>
      </c>
      <c r="C1872" s="351" t="s">
        <v>5017</v>
      </c>
      <c r="D1872" s="352" t="s">
        <v>2411</v>
      </c>
      <c r="E1872" s="352" t="s">
        <v>2697</v>
      </c>
      <c r="F1872" s="353">
        <v>10</v>
      </c>
      <c r="G1872" s="352" t="s">
        <v>34</v>
      </c>
      <c r="H1872" s="176" t="s">
        <v>2371</v>
      </c>
      <c r="I1872" s="176" t="s">
        <v>2510</v>
      </c>
      <c r="J1872" s="352" t="s">
        <v>2131</v>
      </c>
      <c r="K1872" s="352">
        <v>5</v>
      </c>
      <c r="L1872" s="352" t="s">
        <v>470</v>
      </c>
      <c r="M1872" s="352">
        <v>10</v>
      </c>
      <c r="N1872" s="352" t="s">
        <v>31</v>
      </c>
      <c r="O1872" s="351">
        <v>5</v>
      </c>
      <c r="P1872" s="349" t="s">
        <v>1838</v>
      </c>
      <c r="R1872" s="349">
        <f t="shared" si="29"/>
        <v>11</v>
      </c>
      <c r="S1872" s="352"/>
      <c r="T1872" s="352"/>
      <c r="U1872" s="352"/>
      <c r="V1872" s="353"/>
      <c r="W1872" s="352"/>
      <c r="X1872" s="176"/>
      <c r="Y1872" s="176"/>
      <c r="Z1872" s="352"/>
      <c r="AA1872" s="352"/>
      <c r="AB1872" s="352"/>
      <c r="AC1872" s="351"/>
      <c r="AD1872" s="351"/>
    </row>
    <row r="1873" spans="1:30" ht="25.65" hidden="1" x14ac:dyDescent="0.35">
      <c r="A1873" s="349">
        <v>1872</v>
      </c>
      <c r="B1873" s="352" t="s">
        <v>335</v>
      </c>
      <c r="C1873" s="351" t="s">
        <v>5017</v>
      </c>
      <c r="D1873" s="352" t="s">
        <v>2411</v>
      </c>
      <c r="E1873" s="352" t="s">
        <v>2697</v>
      </c>
      <c r="F1873" s="353">
        <v>10</v>
      </c>
      <c r="G1873" s="352" t="s">
        <v>34</v>
      </c>
      <c r="H1873" s="176" t="s">
        <v>2371</v>
      </c>
      <c r="I1873" s="176" t="s">
        <v>2510</v>
      </c>
      <c r="J1873" s="352" t="s">
        <v>2131</v>
      </c>
      <c r="K1873" s="352">
        <v>10</v>
      </c>
      <c r="L1873" s="352" t="s">
        <v>470</v>
      </c>
      <c r="M1873" s="352">
        <v>10</v>
      </c>
      <c r="N1873" s="352" t="s">
        <v>31</v>
      </c>
      <c r="O1873" s="351">
        <v>10</v>
      </c>
      <c r="P1873" s="349" t="s">
        <v>1838</v>
      </c>
      <c r="R1873" s="349">
        <f t="shared" si="29"/>
        <v>11</v>
      </c>
      <c r="S1873" s="352"/>
      <c r="T1873" s="352"/>
      <c r="U1873" s="352"/>
      <c r="V1873" s="353"/>
      <c r="W1873" s="352"/>
      <c r="X1873" s="176"/>
      <c r="Y1873" s="176"/>
      <c r="Z1873" s="352"/>
      <c r="AA1873" s="352"/>
      <c r="AB1873" s="352"/>
      <c r="AC1873" s="352"/>
      <c r="AD1873" s="352"/>
    </row>
    <row r="1874" spans="1:30" ht="25.65" hidden="1" x14ac:dyDescent="0.35">
      <c r="A1874" s="349">
        <v>1873</v>
      </c>
      <c r="B1874" s="352" t="s">
        <v>335</v>
      </c>
      <c r="C1874" s="351" t="s">
        <v>2411</v>
      </c>
      <c r="D1874" s="352" t="s">
        <v>2411</v>
      </c>
      <c r="E1874" s="352" t="s">
        <v>2697</v>
      </c>
      <c r="F1874" s="353">
        <v>10</v>
      </c>
      <c r="G1874" s="352" t="s">
        <v>34</v>
      </c>
      <c r="H1874" s="176" t="s">
        <v>2371</v>
      </c>
      <c r="I1874" s="176" t="s">
        <v>2510</v>
      </c>
      <c r="J1874" s="352" t="s">
        <v>2131</v>
      </c>
      <c r="K1874" s="352">
        <v>5</v>
      </c>
      <c r="L1874" s="352" t="s">
        <v>470</v>
      </c>
      <c r="M1874" s="352">
        <v>10</v>
      </c>
      <c r="N1874" s="352" t="s">
        <v>31</v>
      </c>
      <c r="O1874" s="351">
        <v>5</v>
      </c>
      <c r="P1874" s="349" t="s">
        <v>1838</v>
      </c>
      <c r="R1874" s="349">
        <f t="shared" si="29"/>
        <v>11</v>
      </c>
      <c r="S1874" s="352"/>
      <c r="T1874" s="352"/>
      <c r="U1874" s="352"/>
      <c r="V1874" s="353"/>
      <c r="W1874" s="352"/>
      <c r="X1874" s="176"/>
      <c r="Y1874" s="176"/>
      <c r="Z1874" s="352"/>
      <c r="AA1874" s="352"/>
      <c r="AB1874" s="352"/>
      <c r="AC1874" s="352"/>
      <c r="AD1874" s="352"/>
    </row>
    <row r="1875" spans="1:30" ht="25.65" hidden="1" x14ac:dyDescent="0.35">
      <c r="A1875" s="349">
        <v>1874</v>
      </c>
      <c r="B1875" s="352" t="s">
        <v>335</v>
      </c>
      <c r="C1875" s="351" t="s">
        <v>2411</v>
      </c>
      <c r="D1875" s="352" t="s">
        <v>2411</v>
      </c>
      <c r="E1875" s="352" t="s">
        <v>2697</v>
      </c>
      <c r="F1875" s="353">
        <v>10</v>
      </c>
      <c r="G1875" s="352" t="s">
        <v>34</v>
      </c>
      <c r="H1875" s="176" t="s">
        <v>2371</v>
      </c>
      <c r="I1875" s="176" t="s">
        <v>2510</v>
      </c>
      <c r="J1875" s="352" t="s">
        <v>2131</v>
      </c>
      <c r="K1875" s="352">
        <v>10</v>
      </c>
      <c r="L1875" s="352" t="s">
        <v>470</v>
      </c>
      <c r="M1875" s="352">
        <v>10</v>
      </c>
      <c r="N1875" s="352" t="s">
        <v>31</v>
      </c>
      <c r="O1875" s="351">
        <v>10</v>
      </c>
      <c r="P1875" s="349" t="s">
        <v>1838</v>
      </c>
      <c r="R1875" s="349">
        <f t="shared" si="29"/>
        <v>11</v>
      </c>
      <c r="S1875" s="352"/>
      <c r="T1875" s="352"/>
      <c r="U1875" s="352"/>
      <c r="V1875" s="353"/>
      <c r="W1875" s="352"/>
      <c r="X1875" s="176"/>
      <c r="Y1875" s="176"/>
      <c r="Z1875" s="352"/>
      <c r="AA1875" s="351"/>
      <c r="AB1875" s="351"/>
      <c r="AC1875" s="352"/>
      <c r="AD1875" s="352"/>
    </row>
    <row r="1876" spans="1:30" ht="64.099999999999994" hidden="1" x14ac:dyDescent="0.35">
      <c r="A1876" s="349">
        <v>1875</v>
      </c>
      <c r="B1876" s="352" t="s">
        <v>316</v>
      </c>
      <c r="C1876" s="351" t="s">
        <v>1239</v>
      </c>
      <c r="D1876" s="352" t="s">
        <v>1239</v>
      </c>
      <c r="E1876" s="352" t="s">
        <v>2374</v>
      </c>
      <c r="F1876" s="353">
        <v>5.5754000000000001</v>
      </c>
      <c r="G1876" s="352" t="s">
        <v>3034</v>
      </c>
      <c r="H1876" s="176" t="s">
        <v>350</v>
      </c>
      <c r="I1876" s="176" t="s">
        <v>439</v>
      </c>
      <c r="J1876" s="352" t="s">
        <v>2375</v>
      </c>
      <c r="K1876" s="352">
        <v>50</v>
      </c>
      <c r="L1876" s="352" t="s">
        <v>2376</v>
      </c>
      <c r="M1876" s="352">
        <v>8</v>
      </c>
      <c r="N1876" s="352" t="s">
        <v>2377</v>
      </c>
      <c r="O1876" s="351">
        <v>50</v>
      </c>
      <c r="P1876" s="349" t="s">
        <v>1850</v>
      </c>
      <c r="R1876" s="349">
        <f t="shared" si="29"/>
        <v>10</v>
      </c>
      <c r="S1876" s="352"/>
      <c r="T1876" s="352"/>
      <c r="U1876" s="352"/>
      <c r="V1876" s="353"/>
      <c r="W1876" s="352"/>
      <c r="X1876" s="176"/>
      <c r="Y1876" s="176"/>
      <c r="Z1876" s="352"/>
      <c r="AA1876" s="351"/>
      <c r="AB1876" s="351"/>
      <c r="AC1876" s="352"/>
      <c r="AD1876" s="352"/>
    </row>
    <row r="1877" spans="1:30" ht="64.099999999999994" hidden="1" x14ac:dyDescent="0.35">
      <c r="A1877" s="349">
        <v>1876</v>
      </c>
      <c r="B1877" s="352" t="s">
        <v>316</v>
      </c>
      <c r="C1877" s="351" t="s">
        <v>1239</v>
      </c>
      <c r="D1877" s="352" t="s">
        <v>1239</v>
      </c>
      <c r="E1877" s="352" t="s">
        <v>743</v>
      </c>
      <c r="F1877" s="353">
        <v>77.724900000000005</v>
      </c>
      <c r="G1877" s="352" t="s">
        <v>3034</v>
      </c>
      <c r="H1877" s="176"/>
      <c r="I1877" s="176" t="s">
        <v>439</v>
      </c>
      <c r="J1877" s="352" t="s">
        <v>744</v>
      </c>
      <c r="K1877" s="352">
        <v>50</v>
      </c>
      <c r="L1877" s="352" t="s">
        <v>2376</v>
      </c>
      <c r="M1877" s="351">
        <v>60</v>
      </c>
      <c r="N1877" s="351" t="s">
        <v>1656</v>
      </c>
      <c r="O1877" s="351">
        <v>50</v>
      </c>
      <c r="P1877" s="349" t="s">
        <v>1850</v>
      </c>
      <c r="R1877" s="349">
        <f t="shared" si="29"/>
        <v>10</v>
      </c>
      <c r="S1877" s="352"/>
      <c r="T1877" s="352"/>
      <c r="U1877" s="352"/>
      <c r="V1877" s="353"/>
      <c r="W1877" s="352"/>
      <c r="X1877" s="176"/>
      <c r="Y1877" s="176"/>
      <c r="Z1877" s="352"/>
      <c r="AA1877" s="351"/>
      <c r="AB1877" s="351"/>
      <c r="AC1877" s="352"/>
      <c r="AD1877" s="352"/>
    </row>
    <row r="1878" spans="1:30" ht="64.099999999999994" hidden="1" x14ac:dyDescent="0.35">
      <c r="A1878" s="349">
        <v>1877</v>
      </c>
      <c r="B1878" s="352" t="s">
        <v>316</v>
      </c>
      <c r="C1878" s="351" t="s">
        <v>1239</v>
      </c>
      <c r="D1878" s="352" t="s">
        <v>1239</v>
      </c>
      <c r="E1878" s="352" t="s">
        <v>743</v>
      </c>
      <c r="F1878" s="353">
        <v>77.724900000000005</v>
      </c>
      <c r="G1878" s="352" t="s">
        <v>3034</v>
      </c>
      <c r="H1878" s="176" t="s">
        <v>350</v>
      </c>
      <c r="I1878" s="176" t="s">
        <v>439</v>
      </c>
      <c r="J1878" s="352" t="s">
        <v>744</v>
      </c>
      <c r="K1878" s="352">
        <v>50</v>
      </c>
      <c r="L1878" s="352" t="s">
        <v>2376</v>
      </c>
      <c r="M1878" s="351">
        <v>60</v>
      </c>
      <c r="N1878" s="351" t="s">
        <v>1656</v>
      </c>
      <c r="O1878" s="351">
        <v>50</v>
      </c>
      <c r="P1878" s="349" t="s">
        <v>1850</v>
      </c>
      <c r="R1878" s="349">
        <f t="shared" si="29"/>
        <v>10</v>
      </c>
      <c r="S1878" s="352"/>
      <c r="T1878" s="352"/>
      <c r="U1878" s="352"/>
      <c r="V1878" s="353"/>
      <c r="W1878" s="352"/>
      <c r="X1878" s="176"/>
      <c r="Y1878" s="176"/>
      <c r="Z1878" s="352"/>
      <c r="AA1878" s="351"/>
      <c r="AB1878" s="351"/>
      <c r="AC1878" s="352"/>
      <c r="AD1878" s="352"/>
    </row>
    <row r="1879" spans="1:30" ht="76.900000000000006" hidden="1" x14ac:dyDescent="0.35">
      <c r="A1879" s="349">
        <v>1878</v>
      </c>
      <c r="B1879" s="352" t="s">
        <v>316</v>
      </c>
      <c r="C1879" s="351" t="s">
        <v>1239</v>
      </c>
      <c r="D1879" s="352" t="s">
        <v>1239</v>
      </c>
      <c r="E1879" s="352" t="s">
        <v>742</v>
      </c>
      <c r="F1879" s="353">
        <v>64.700900000000004</v>
      </c>
      <c r="G1879" s="352" t="s">
        <v>3034</v>
      </c>
      <c r="H1879" s="176" t="s">
        <v>1809</v>
      </c>
      <c r="I1879" s="176" t="s">
        <v>2490</v>
      </c>
      <c r="J1879" s="352" t="s">
        <v>3215</v>
      </c>
      <c r="K1879" s="352">
        <v>25</v>
      </c>
      <c r="L1879" s="352" t="s">
        <v>3216</v>
      </c>
      <c r="M1879" s="351">
        <v>120</v>
      </c>
      <c r="N1879" s="351" t="s">
        <v>1656</v>
      </c>
      <c r="O1879" s="351">
        <v>25</v>
      </c>
      <c r="P1879" s="349" t="s">
        <v>1850</v>
      </c>
      <c r="R1879" s="349">
        <f t="shared" si="29"/>
        <v>10</v>
      </c>
      <c r="S1879" s="352"/>
      <c r="T1879" s="352"/>
      <c r="U1879" s="352"/>
      <c r="V1879" s="353"/>
      <c r="W1879" s="352"/>
      <c r="X1879" s="176"/>
      <c r="Y1879" s="176"/>
      <c r="Z1879" s="352"/>
      <c r="AA1879" s="351"/>
      <c r="AB1879" s="351"/>
      <c r="AC1879" s="352"/>
      <c r="AD1879" s="352"/>
    </row>
    <row r="1880" spans="1:30" ht="76.900000000000006" hidden="1" x14ac:dyDescent="0.35">
      <c r="A1880" s="349">
        <v>1879</v>
      </c>
      <c r="B1880" s="352" t="s">
        <v>316</v>
      </c>
      <c r="C1880" s="351" t="s">
        <v>1239</v>
      </c>
      <c r="D1880" s="352" t="s">
        <v>1239</v>
      </c>
      <c r="E1880" s="352" t="s">
        <v>742</v>
      </c>
      <c r="F1880" s="353">
        <v>64.700900000000004</v>
      </c>
      <c r="G1880" s="352" t="s">
        <v>3034</v>
      </c>
      <c r="H1880" s="176"/>
      <c r="I1880" s="176" t="s">
        <v>2490</v>
      </c>
      <c r="J1880" s="352" t="s">
        <v>3215</v>
      </c>
      <c r="K1880" s="352">
        <v>25</v>
      </c>
      <c r="L1880" s="352" t="s">
        <v>3216</v>
      </c>
      <c r="M1880" s="352">
        <v>120</v>
      </c>
      <c r="N1880" s="352" t="s">
        <v>1656</v>
      </c>
      <c r="O1880" s="351">
        <v>25</v>
      </c>
      <c r="P1880" s="349" t="s">
        <v>1850</v>
      </c>
      <c r="R1880" s="349">
        <f t="shared" si="29"/>
        <v>10</v>
      </c>
      <c r="S1880" s="352"/>
      <c r="T1880" s="352"/>
      <c r="U1880" s="352"/>
      <c r="V1880" s="353"/>
      <c r="W1880" s="352"/>
      <c r="X1880" s="176"/>
      <c r="Y1880" s="176"/>
      <c r="Z1880" s="352"/>
      <c r="AA1880" s="352"/>
      <c r="AB1880" s="352"/>
      <c r="AC1880" s="351"/>
      <c r="AD1880" s="351"/>
    </row>
    <row r="1881" spans="1:30" ht="38.450000000000003" hidden="1" x14ac:dyDescent="0.35">
      <c r="A1881" s="349">
        <v>1880</v>
      </c>
      <c r="B1881" s="352" t="s">
        <v>1609</v>
      </c>
      <c r="C1881" s="351" t="s">
        <v>5018</v>
      </c>
      <c r="D1881" s="352" t="s">
        <v>3060</v>
      </c>
      <c r="E1881" s="352" t="s">
        <v>2003</v>
      </c>
      <c r="F1881" s="353">
        <v>0.51</v>
      </c>
      <c r="G1881" s="352" t="s">
        <v>2126</v>
      </c>
      <c r="H1881" s="176" t="s">
        <v>311</v>
      </c>
      <c r="I1881" s="176" t="s">
        <v>1100</v>
      </c>
      <c r="J1881" s="352" t="s">
        <v>966</v>
      </c>
      <c r="K1881" s="352">
        <v>250</v>
      </c>
      <c r="L1881" s="352" t="s">
        <v>3581</v>
      </c>
      <c r="M1881" s="351"/>
      <c r="N1881" s="351"/>
      <c r="O1881" s="351">
        <v>250</v>
      </c>
      <c r="P1881" s="349" t="s">
        <v>1836</v>
      </c>
      <c r="R1881" s="349">
        <f t="shared" si="29"/>
        <v>10</v>
      </c>
      <c r="S1881" s="352"/>
      <c r="T1881" s="352"/>
      <c r="U1881" s="352"/>
      <c r="V1881" s="353"/>
      <c r="W1881" s="352"/>
      <c r="X1881" s="176"/>
      <c r="Y1881" s="176"/>
      <c r="Z1881" s="352"/>
      <c r="AA1881" s="352"/>
      <c r="AB1881" s="352"/>
      <c r="AC1881" s="351"/>
      <c r="AD1881" s="351"/>
    </row>
    <row r="1882" spans="1:30" ht="38.450000000000003" hidden="1" x14ac:dyDescent="0.35">
      <c r="A1882" s="349">
        <v>1881</v>
      </c>
      <c r="B1882" s="352" t="s">
        <v>1609</v>
      </c>
      <c r="C1882" s="351" t="s">
        <v>5018</v>
      </c>
      <c r="D1882" s="352" t="s">
        <v>3060</v>
      </c>
      <c r="E1882" s="352" t="s">
        <v>1999</v>
      </c>
      <c r="F1882" s="353">
        <v>1.23</v>
      </c>
      <c r="G1882" s="352" t="s">
        <v>967</v>
      </c>
      <c r="H1882" s="176" t="s">
        <v>2656</v>
      </c>
      <c r="I1882" s="176" t="s">
        <v>1100</v>
      </c>
      <c r="J1882" s="352" t="s">
        <v>968</v>
      </c>
      <c r="K1882" s="352">
        <v>250</v>
      </c>
      <c r="L1882" s="352" t="s">
        <v>969</v>
      </c>
      <c r="M1882" s="352"/>
      <c r="N1882" s="352"/>
      <c r="O1882" s="351">
        <v>250</v>
      </c>
      <c r="P1882" s="349" t="s">
        <v>1836</v>
      </c>
      <c r="R1882" s="349">
        <f t="shared" si="29"/>
        <v>10</v>
      </c>
      <c r="S1882" s="352"/>
      <c r="T1882" s="352"/>
      <c r="U1882" s="352"/>
      <c r="V1882" s="353"/>
      <c r="W1882" s="352"/>
      <c r="X1882" s="176"/>
      <c r="Y1882" s="176"/>
      <c r="Z1882" s="352"/>
      <c r="AA1882" s="352"/>
      <c r="AB1882" s="352"/>
      <c r="AC1882" s="351"/>
      <c r="AD1882" s="351"/>
    </row>
    <row r="1883" spans="1:30" ht="38.450000000000003" hidden="1" x14ac:dyDescent="0.35">
      <c r="A1883" s="349">
        <v>1882</v>
      </c>
      <c r="B1883" s="352" t="s">
        <v>1609</v>
      </c>
      <c r="C1883" s="351" t="s">
        <v>5018</v>
      </c>
      <c r="D1883" s="352" t="s">
        <v>3060</v>
      </c>
      <c r="E1883" s="352" t="s">
        <v>1999</v>
      </c>
      <c r="F1883" s="353">
        <v>1.23</v>
      </c>
      <c r="G1883" s="352" t="s">
        <v>967</v>
      </c>
      <c r="H1883" s="176" t="s">
        <v>2656</v>
      </c>
      <c r="I1883" s="176" t="s">
        <v>1100</v>
      </c>
      <c r="J1883" s="352" t="s">
        <v>968</v>
      </c>
      <c r="K1883" s="352">
        <v>500</v>
      </c>
      <c r="L1883" s="352" t="s">
        <v>969</v>
      </c>
      <c r="M1883" s="352"/>
      <c r="N1883" s="352"/>
      <c r="O1883" s="351">
        <v>500</v>
      </c>
      <c r="P1883" s="349" t="s">
        <v>1836</v>
      </c>
      <c r="R1883" s="349">
        <f t="shared" si="29"/>
        <v>10</v>
      </c>
      <c r="S1883" s="352"/>
      <c r="T1883" s="352"/>
      <c r="U1883" s="352"/>
      <c r="V1883" s="353"/>
      <c r="W1883" s="352"/>
      <c r="X1883" s="176"/>
      <c r="Y1883" s="176"/>
      <c r="Z1883" s="352"/>
      <c r="AA1883" s="352"/>
      <c r="AB1883" s="352"/>
      <c r="AC1883" s="351"/>
      <c r="AD1883" s="351"/>
    </row>
    <row r="1884" spans="1:30" ht="38.450000000000003" hidden="1" x14ac:dyDescent="0.35">
      <c r="A1884" s="349">
        <v>1883</v>
      </c>
      <c r="B1884" s="352" t="s">
        <v>3204</v>
      </c>
      <c r="C1884" s="351" t="s">
        <v>5019</v>
      </c>
      <c r="D1884" s="352" t="s">
        <v>679</v>
      </c>
      <c r="E1884" s="352" t="s">
        <v>2855</v>
      </c>
      <c r="F1884" s="351">
        <v>6.8315000000000001</v>
      </c>
      <c r="G1884" s="352" t="s">
        <v>1107</v>
      </c>
      <c r="H1884" s="176" t="s">
        <v>680</v>
      </c>
      <c r="I1884" s="176" t="s">
        <v>687</v>
      </c>
      <c r="J1884" s="352" t="s">
        <v>828</v>
      </c>
      <c r="K1884" s="351">
        <v>50</v>
      </c>
      <c r="L1884" s="351" t="s">
        <v>1116</v>
      </c>
      <c r="M1884" s="351">
        <v>1</v>
      </c>
      <c r="N1884" s="351" t="s">
        <v>1109</v>
      </c>
      <c r="O1884" s="351">
        <v>50</v>
      </c>
      <c r="P1884" s="349" t="s">
        <v>1836</v>
      </c>
      <c r="R1884" s="349">
        <f t="shared" si="29"/>
        <v>12</v>
      </c>
      <c r="S1884" s="352"/>
      <c r="T1884" s="352"/>
      <c r="U1884" s="352"/>
      <c r="V1884" s="353"/>
      <c r="W1884" s="352"/>
      <c r="X1884" s="176"/>
      <c r="Y1884" s="176"/>
      <c r="Z1884" s="352"/>
      <c r="AA1884" s="352"/>
      <c r="AB1884" s="352"/>
      <c r="AC1884" s="352"/>
      <c r="AD1884" s="352"/>
    </row>
    <row r="1885" spans="1:30" ht="51.3" hidden="1" x14ac:dyDescent="0.35">
      <c r="A1885" s="349">
        <v>1884</v>
      </c>
      <c r="B1885" s="352" t="s">
        <v>4029</v>
      </c>
      <c r="C1885" s="351" t="s">
        <v>5020</v>
      </c>
      <c r="D1885" s="352" t="s">
        <v>453</v>
      </c>
      <c r="E1885" s="352" t="s">
        <v>2002</v>
      </c>
      <c r="F1885" s="353">
        <v>0.41870000000000002</v>
      </c>
      <c r="G1885" s="352" t="s">
        <v>2126</v>
      </c>
      <c r="H1885" s="176" t="s">
        <v>2630</v>
      </c>
      <c r="I1885" s="176" t="s">
        <v>2631</v>
      </c>
      <c r="J1885" s="352" t="s">
        <v>1502</v>
      </c>
      <c r="K1885" s="352">
        <v>0.5</v>
      </c>
      <c r="L1885" s="352" t="s">
        <v>1503</v>
      </c>
      <c r="M1885" s="352"/>
      <c r="N1885" s="352"/>
      <c r="O1885" s="351">
        <v>0.5</v>
      </c>
      <c r="P1885" s="349" t="s">
        <v>1836</v>
      </c>
      <c r="R1885" s="349">
        <f t="shared" si="29"/>
        <v>10</v>
      </c>
      <c r="S1885" s="352"/>
      <c r="T1885" s="352"/>
      <c r="U1885" s="352"/>
      <c r="V1885" s="353"/>
      <c r="W1885" s="352"/>
      <c r="X1885" s="176"/>
      <c r="Y1885" s="176"/>
      <c r="Z1885" s="352"/>
      <c r="AA1885" s="352"/>
      <c r="AB1885" s="352"/>
      <c r="AC1885" s="351"/>
      <c r="AD1885" s="351"/>
    </row>
    <row r="1886" spans="1:30" ht="89.75" hidden="1" x14ac:dyDescent="0.35">
      <c r="A1886" s="349">
        <v>1885</v>
      </c>
      <c r="B1886" s="352" t="s">
        <v>788</v>
      </c>
      <c r="C1886" s="351" t="s">
        <v>5021</v>
      </c>
      <c r="D1886" s="352" t="s">
        <v>2838</v>
      </c>
      <c r="E1886" s="352" t="s">
        <v>2855</v>
      </c>
      <c r="F1886" s="353">
        <v>14.6767</v>
      </c>
      <c r="G1886" s="352" t="s">
        <v>1107</v>
      </c>
      <c r="H1886" s="176" t="s">
        <v>1532</v>
      </c>
      <c r="I1886" s="176" t="s">
        <v>2825</v>
      </c>
      <c r="J1886" s="352" t="s">
        <v>828</v>
      </c>
      <c r="K1886" s="352">
        <v>50</v>
      </c>
      <c r="L1886" s="352" t="s">
        <v>4022</v>
      </c>
      <c r="M1886" s="351">
        <v>1</v>
      </c>
      <c r="N1886" s="351" t="s">
        <v>1109</v>
      </c>
      <c r="O1886" s="351">
        <v>50</v>
      </c>
      <c r="P1886" s="349" t="s">
        <v>1850</v>
      </c>
      <c r="R1886" s="349">
        <f t="shared" si="29"/>
        <v>10</v>
      </c>
      <c r="S1886" s="352"/>
      <c r="T1886" s="352"/>
      <c r="U1886" s="352"/>
      <c r="V1886" s="353"/>
      <c r="W1886" s="352"/>
      <c r="X1886" s="176"/>
      <c r="Y1886" s="176"/>
      <c r="Z1886" s="352"/>
      <c r="AA1886" s="352"/>
      <c r="AB1886" s="352"/>
      <c r="AC1886" s="351"/>
      <c r="AD1886" s="351"/>
    </row>
    <row r="1887" spans="1:30" ht="128.19999999999999" hidden="1" x14ac:dyDescent="0.35">
      <c r="A1887" s="349">
        <v>1886</v>
      </c>
      <c r="B1887" s="352" t="s">
        <v>2891</v>
      </c>
      <c r="C1887" s="351" t="s">
        <v>5021</v>
      </c>
      <c r="D1887" s="352" t="s">
        <v>2838</v>
      </c>
      <c r="E1887" s="352" t="s">
        <v>2855</v>
      </c>
      <c r="F1887" s="353">
        <v>10.666</v>
      </c>
      <c r="G1887" s="352" t="s">
        <v>315</v>
      </c>
      <c r="H1887" s="176" t="s">
        <v>2135</v>
      </c>
      <c r="I1887" s="176" t="s">
        <v>888</v>
      </c>
      <c r="J1887" s="352" t="s">
        <v>828</v>
      </c>
      <c r="K1887" s="352">
        <v>50</v>
      </c>
      <c r="L1887" s="352" t="s">
        <v>4022</v>
      </c>
      <c r="M1887" s="351">
        <v>1</v>
      </c>
      <c r="N1887" s="351" t="s">
        <v>1109</v>
      </c>
      <c r="O1887" s="351">
        <v>50</v>
      </c>
      <c r="P1887" s="349" t="s">
        <v>1850</v>
      </c>
      <c r="R1887" s="349">
        <f t="shared" si="29"/>
        <v>10</v>
      </c>
      <c r="S1887" s="352"/>
      <c r="T1887" s="352"/>
      <c r="U1887" s="352"/>
      <c r="V1887" s="353"/>
      <c r="W1887" s="352"/>
      <c r="X1887" s="176"/>
      <c r="Y1887" s="176"/>
      <c r="Z1887" s="352"/>
      <c r="AA1887" s="352"/>
      <c r="AB1887" s="352"/>
      <c r="AC1887" s="352"/>
      <c r="AD1887" s="352"/>
    </row>
    <row r="1888" spans="1:30" ht="76.900000000000006" hidden="1" x14ac:dyDescent="0.35">
      <c r="A1888" s="349">
        <v>1887</v>
      </c>
      <c r="B1888" s="352" t="s">
        <v>2181</v>
      </c>
      <c r="C1888" s="351" t="s">
        <v>1869</v>
      </c>
      <c r="D1888" s="352" t="s">
        <v>1869</v>
      </c>
      <c r="E1888" s="352" t="s">
        <v>2004</v>
      </c>
      <c r="F1888" s="353"/>
      <c r="G1888" s="352" t="s">
        <v>2126</v>
      </c>
      <c r="H1888" s="176" t="s">
        <v>2898</v>
      </c>
      <c r="I1888" s="176" t="s">
        <v>2899</v>
      </c>
      <c r="J1888" s="352" t="s">
        <v>3577</v>
      </c>
      <c r="K1888" s="352"/>
      <c r="L1888" s="352"/>
      <c r="M1888" s="351"/>
      <c r="N1888" s="351"/>
      <c r="O1888" s="351">
        <v>0</v>
      </c>
      <c r="P1888" s="349" t="s">
        <v>2313</v>
      </c>
      <c r="R1888" s="349">
        <f t="shared" si="29"/>
        <v>6</v>
      </c>
      <c r="S1888" s="352"/>
      <c r="T1888" s="352"/>
      <c r="U1888" s="352"/>
      <c r="V1888" s="353"/>
      <c r="W1888" s="352"/>
      <c r="X1888" s="176"/>
      <c r="Y1888" s="176"/>
      <c r="Z1888" s="352"/>
      <c r="AA1888" s="351"/>
      <c r="AB1888" s="351"/>
      <c r="AC1888" s="352"/>
      <c r="AD1888" s="352"/>
    </row>
    <row r="1889" spans="1:30" ht="64.099999999999994" hidden="1" x14ac:dyDescent="0.35">
      <c r="A1889" s="349">
        <v>1888</v>
      </c>
      <c r="B1889" s="352" t="s">
        <v>1474</v>
      </c>
      <c r="C1889" s="351" t="s">
        <v>2995</v>
      </c>
      <c r="D1889" s="352" t="s">
        <v>2995</v>
      </c>
      <c r="E1889" s="352" t="s">
        <v>2387</v>
      </c>
      <c r="F1889" s="353">
        <v>11.6797</v>
      </c>
      <c r="G1889" s="352" t="s">
        <v>34</v>
      </c>
      <c r="H1889" s="176" t="s">
        <v>2996</v>
      </c>
      <c r="I1889" s="176" t="s">
        <v>3507</v>
      </c>
      <c r="J1889" s="352" t="s">
        <v>2388</v>
      </c>
      <c r="K1889" s="352">
        <v>2.5</v>
      </c>
      <c r="L1889" s="352" t="s">
        <v>470</v>
      </c>
      <c r="M1889" s="351">
        <v>120</v>
      </c>
      <c r="N1889" s="351" t="s">
        <v>1109</v>
      </c>
      <c r="O1889" s="351">
        <v>2.5</v>
      </c>
      <c r="P1889" s="349" t="s">
        <v>1838</v>
      </c>
      <c r="R1889" s="349">
        <f t="shared" si="29"/>
        <v>13</v>
      </c>
      <c r="S1889" s="352"/>
      <c r="T1889" s="352"/>
      <c r="U1889" s="352"/>
      <c r="V1889" s="353"/>
      <c r="W1889" s="352"/>
      <c r="X1889" s="176"/>
      <c r="Y1889" s="176"/>
      <c r="Z1889" s="352"/>
      <c r="AA1889" s="351"/>
      <c r="AB1889" s="351"/>
      <c r="AC1889" s="352"/>
      <c r="AD1889" s="352"/>
    </row>
    <row r="1890" spans="1:30" ht="141" hidden="1" x14ac:dyDescent="0.35">
      <c r="A1890" s="349">
        <v>1889</v>
      </c>
      <c r="B1890" s="352" t="s">
        <v>2070</v>
      </c>
      <c r="C1890" s="351" t="s">
        <v>5022</v>
      </c>
      <c r="D1890" s="352" t="s">
        <v>2310</v>
      </c>
      <c r="E1890" s="352" t="s">
        <v>827</v>
      </c>
      <c r="F1890" s="353">
        <v>0.15</v>
      </c>
      <c r="G1890" s="352" t="s">
        <v>1107</v>
      </c>
      <c r="H1890" s="176" t="s">
        <v>4463</v>
      </c>
      <c r="I1890" s="176" t="s">
        <v>4942</v>
      </c>
      <c r="J1890" s="352" t="s">
        <v>828</v>
      </c>
      <c r="K1890" s="352">
        <v>1</v>
      </c>
      <c r="L1890" s="352" t="s">
        <v>1116</v>
      </c>
      <c r="M1890" s="352">
        <v>5</v>
      </c>
      <c r="N1890" s="352" t="s">
        <v>1109</v>
      </c>
      <c r="O1890" s="351">
        <v>1</v>
      </c>
      <c r="P1890" s="349" t="s">
        <v>1836</v>
      </c>
      <c r="R1890" s="349">
        <f t="shared" si="29"/>
        <v>10</v>
      </c>
      <c r="S1890" s="352"/>
      <c r="T1890" s="352"/>
      <c r="U1890" s="352"/>
      <c r="V1890" s="353"/>
      <c r="W1890" s="352"/>
      <c r="X1890" s="176"/>
      <c r="Y1890" s="176"/>
      <c r="Z1890" s="352"/>
      <c r="AA1890" s="352"/>
      <c r="AB1890" s="352"/>
      <c r="AC1890" s="351"/>
      <c r="AD1890" s="351"/>
    </row>
    <row r="1891" spans="1:30" ht="179.45" hidden="1" x14ac:dyDescent="0.35">
      <c r="A1891" s="349">
        <v>1890</v>
      </c>
      <c r="B1891" s="352" t="s">
        <v>2070</v>
      </c>
      <c r="C1891" s="351" t="s">
        <v>5022</v>
      </c>
      <c r="D1891" s="352" t="s">
        <v>2310</v>
      </c>
      <c r="E1891" s="352" t="s">
        <v>1995</v>
      </c>
      <c r="F1891" s="353">
        <v>0.35</v>
      </c>
      <c r="G1891" s="352" t="s">
        <v>2126</v>
      </c>
      <c r="H1891" s="176" t="s">
        <v>4464</v>
      </c>
      <c r="I1891" s="176" t="s">
        <v>4942</v>
      </c>
      <c r="J1891" s="352" t="s">
        <v>3580</v>
      </c>
      <c r="K1891" s="352">
        <v>50</v>
      </c>
      <c r="L1891" s="352" t="s">
        <v>3581</v>
      </c>
      <c r="M1891" s="352"/>
      <c r="N1891" s="352"/>
      <c r="O1891" s="351">
        <v>50</v>
      </c>
      <c r="P1891" s="349" t="s">
        <v>1836</v>
      </c>
      <c r="R1891" s="349">
        <f t="shared" si="29"/>
        <v>10</v>
      </c>
      <c r="S1891" s="352"/>
      <c r="T1891" s="352"/>
      <c r="U1891" s="352"/>
      <c r="V1891" s="353"/>
      <c r="W1891" s="352"/>
      <c r="X1891" s="176"/>
      <c r="Y1891" s="176"/>
      <c r="Z1891" s="352"/>
      <c r="AA1891" s="351"/>
      <c r="AB1891" s="351"/>
      <c r="AC1891" s="352"/>
      <c r="AD1891" s="352"/>
    </row>
    <row r="1892" spans="1:30" ht="179.45" hidden="1" x14ac:dyDescent="0.35">
      <c r="A1892" s="349">
        <v>1891</v>
      </c>
      <c r="B1892" s="352" t="s">
        <v>2070</v>
      </c>
      <c r="C1892" s="351" t="s">
        <v>5022</v>
      </c>
      <c r="D1892" s="352" t="s">
        <v>2310</v>
      </c>
      <c r="E1892" s="352" t="s">
        <v>1995</v>
      </c>
      <c r="F1892" s="353">
        <v>0.31</v>
      </c>
      <c r="G1892" s="352" t="s">
        <v>2126</v>
      </c>
      <c r="H1892" s="176" t="s">
        <v>4464</v>
      </c>
      <c r="I1892" s="176" t="s">
        <v>4942</v>
      </c>
      <c r="J1892" s="352" t="s">
        <v>3580</v>
      </c>
      <c r="K1892" s="352">
        <v>100</v>
      </c>
      <c r="L1892" s="352" t="s">
        <v>3581</v>
      </c>
      <c r="M1892" s="352"/>
      <c r="N1892" s="352"/>
      <c r="O1892" s="351">
        <v>100</v>
      </c>
      <c r="P1892" s="349" t="s">
        <v>1836</v>
      </c>
      <c r="R1892" s="349">
        <f t="shared" si="29"/>
        <v>10</v>
      </c>
      <c r="S1892" s="352"/>
      <c r="T1892" s="352"/>
      <c r="U1892" s="352"/>
      <c r="V1892" s="353"/>
      <c r="W1892" s="352"/>
      <c r="X1892" s="176"/>
      <c r="Y1892" s="176"/>
      <c r="Z1892" s="352"/>
      <c r="AA1892" s="351"/>
      <c r="AB1892" s="351"/>
      <c r="AC1892" s="352"/>
      <c r="AD1892" s="352"/>
    </row>
    <row r="1893" spans="1:30" ht="179.45" hidden="1" x14ac:dyDescent="0.35">
      <c r="A1893" s="349">
        <v>1892</v>
      </c>
      <c r="B1893" s="352" t="s">
        <v>2070</v>
      </c>
      <c r="C1893" s="351" t="s">
        <v>5022</v>
      </c>
      <c r="D1893" s="352" t="s">
        <v>2310</v>
      </c>
      <c r="E1893" s="352" t="s">
        <v>2000</v>
      </c>
      <c r="F1893" s="353">
        <v>0.35260000000000002</v>
      </c>
      <c r="G1893" s="352" t="s">
        <v>2126</v>
      </c>
      <c r="H1893" s="176" t="s">
        <v>4464</v>
      </c>
      <c r="I1893" s="176" t="s">
        <v>4942</v>
      </c>
      <c r="J1893" s="352" t="s">
        <v>2695</v>
      </c>
      <c r="K1893" s="352">
        <v>50</v>
      </c>
      <c r="L1893" s="352" t="s">
        <v>3581</v>
      </c>
      <c r="M1893" s="352"/>
      <c r="N1893" s="352"/>
      <c r="O1893" s="351">
        <v>50</v>
      </c>
      <c r="P1893" s="349" t="s">
        <v>1836</v>
      </c>
      <c r="R1893" s="349">
        <f t="shared" si="29"/>
        <v>10</v>
      </c>
      <c r="S1893" s="352"/>
      <c r="T1893" s="352"/>
      <c r="U1893" s="352"/>
      <c r="V1893" s="353"/>
      <c r="W1893" s="352"/>
      <c r="X1893" s="176"/>
      <c r="Y1893" s="176"/>
      <c r="Z1893" s="352"/>
      <c r="AA1893" s="351"/>
      <c r="AB1893" s="351"/>
      <c r="AC1893" s="352"/>
      <c r="AD1893" s="352"/>
    </row>
    <row r="1894" spans="1:30" ht="179.45" hidden="1" x14ac:dyDescent="0.35">
      <c r="A1894" s="349">
        <v>1893</v>
      </c>
      <c r="B1894" s="352" t="s">
        <v>2070</v>
      </c>
      <c r="C1894" s="351" t="s">
        <v>5022</v>
      </c>
      <c r="D1894" s="352" t="s">
        <v>2310</v>
      </c>
      <c r="E1894" s="352" t="s">
        <v>2000</v>
      </c>
      <c r="F1894" s="353">
        <v>0.55089999999999995</v>
      </c>
      <c r="G1894" s="352" t="s">
        <v>2126</v>
      </c>
      <c r="H1894" s="176" t="s">
        <v>4464</v>
      </c>
      <c r="I1894" s="176" t="s">
        <v>4942</v>
      </c>
      <c r="J1894" s="352" t="s">
        <v>2695</v>
      </c>
      <c r="K1894" s="352">
        <v>100</v>
      </c>
      <c r="L1894" s="352" t="s">
        <v>3581</v>
      </c>
      <c r="M1894" s="352"/>
      <c r="N1894" s="352"/>
      <c r="O1894" s="351">
        <v>100</v>
      </c>
      <c r="P1894" s="349" t="s">
        <v>1836</v>
      </c>
      <c r="R1894" s="349">
        <f t="shared" si="29"/>
        <v>10</v>
      </c>
      <c r="S1894" s="352"/>
      <c r="T1894" s="352"/>
      <c r="U1894" s="352"/>
      <c r="V1894" s="353"/>
      <c r="W1894" s="352"/>
      <c r="X1894" s="176"/>
      <c r="Y1894" s="176"/>
      <c r="Z1894" s="352"/>
      <c r="AA1894" s="352"/>
      <c r="AB1894" s="352"/>
      <c r="AC1894" s="352"/>
      <c r="AD1894" s="352"/>
    </row>
    <row r="1895" spans="1:30" ht="64.099999999999994" hidden="1" x14ac:dyDescent="0.35">
      <c r="A1895" s="349">
        <v>1894</v>
      </c>
      <c r="B1895" s="352" t="s">
        <v>1474</v>
      </c>
      <c r="C1895" s="351" t="s">
        <v>5023</v>
      </c>
      <c r="D1895" s="352" t="s">
        <v>2995</v>
      </c>
      <c r="E1895" s="352" t="s">
        <v>2387</v>
      </c>
      <c r="F1895" s="353">
        <v>11.6797</v>
      </c>
      <c r="G1895" s="352" t="s">
        <v>34</v>
      </c>
      <c r="H1895" s="176" t="s">
        <v>2996</v>
      </c>
      <c r="I1895" s="176" t="s">
        <v>3507</v>
      </c>
      <c r="J1895" s="352" t="s">
        <v>2388</v>
      </c>
      <c r="K1895" s="352">
        <v>2.5</v>
      </c>
      <c r="L1895" s="352" t="s">
        <v>470</v>
      </c>
      <c r="M1895" s="351">
        <v>120</v>
      </c>
      <c r="N1895" s="351" t="s">
        <v>1109</v>
      </c>
      <c r="O1895" s="351">
        <v>2.5</v>
      </c>
      <c r="P1895" s="349" t="s">
        <v>1838</v>
      </c>
      <c r="R1895" s="349">
        <f t="shared" si="29"/>
        <v>13</v>
      </c>
      <c r="S1895" s="352"/>
      <c r="T1895" s="352"/>
      <c r="U1895" s="352"/>
      <c r="V1895" s="353"/>
      <c r="W1895" s="352"/>
      <c r="X1895" s="176"/>
      <c r="Y1895" s="176"/>
      <c r="Z1895" s="352"/>
      <c r="AA1895" s="352"/>
      <c r="AB1895" s="352"/>
      <c r="AC1895" s="351"/>
      <c r="AD1895" s="351"/>
    </row>
    <row r="1896" spans="1:30" ht="64.099999999999994" hidden="1" x14ac:dyDescent="0.35">
      <c r="A1896" s="349">
        <v>1895</v>
      </c>
      <c r="B1896" s="352" t="s">
        <v>965</v>
      </c>
      <c r="C1896" s="351" t="s">
        <v>2169</v>
      </c>
      <c r="D1896" s="352" t="s">
        <v>1399</v>
      </c>
      <c r="E1896" s="352" t="s">
        <v>103</v>
      </c>
      <c r="F1896" s="353">
        <v>3.4378000000000002</v>
      </c>
      <c r="G1896" s="352" t="s">
        <v>2126</v>
      </c>
      <c r="H1896" s="176" t="s">
        <v>124</v>
      </c>
      <c r="I1896" s="176" t="s">
        <v>125</v>
      </c>
      <c r="J1896" s="352" t="s">
        <v>3579</v>
      </c>
      <c r="K1896" s="352">
        <v>2</v>
      </c>
      <c r="L1896" s="352" t="s">
        <v>1116</v>
      </c>
      <c r="M1896" s="352">
        <v>75</v>
      </c>
      <c r="N1896" s="352" t="s">
        <v>1109</v>
      </c>
      <c r="O1896" s="351">
        <v>2</v>
      </c>
      <c r="P1896" s="349" t="s">
        <v>1836</v>
      </c>
      <c r="R1896" s="349">
        <f t="shared" si="29"/>
        <v>14</v>
      </c>
      <c r="S1896" s="352"/>
      <c r="T1896" s="352"/>
      <c r="U1896" s="352"/>
      <c r="V1896" s="353"/>
      <c r="W1896" s="352"/>
      <c r="X1896" s="176"/>
      <c r="Y1896" s="176"/>
      <c r="Z1896" s="352"/>
      <c r="AA1896" s="352"/>
      <c r="AB1896" s="352"/>
      <c r="AC1896" s="351"/>
      <c r="AD1896" s="351"/>
    </row>
    <row r="1897" spans="1:30" ht="38.450000000000003" hidden="1" x14ac:dyDescent="0.35">
      <c r="A1897" s="349">
        <v>1896</v>
      </c>
      <c r="B1897" s="352" t="s">
        <v>3248</v>
      </c>
      <c r="C1897" s="351" t="s">
        <v>5024</v>
      </c>
      <c r="D1897" s="352" t="s">
        <v>1814</v>
      </c>
      <c r="E1897" s="352" t="s">
        <v>1613</v>
      </c>
      <c r="F1897" s="353">
        <v>244.66</v>
      </c>
      <c r="G1897" s="352" t="s">
        <v>1454</v>
      </c>
      <c r="H1897" s="176" t="s">
        <v>3766</v>
      </c>
      <c r="I1897" s="176" t="s">
        <v>3254</v>
      </c>
      <c r="J1897" s="352" t="s">
        <v>1614</v>
      </c>
      <c r="K1897" s="352">
        <v>7.5</v>
      </c>
      <c r="L1897" s="352" t="s">
        <v>1615</v>
      </c>
      <c r="M1897" s="352">
        <v>30</v>
      </c>
      <c r="N1897" s="352" t="s">
        <v>1616</v>
      </c>
      <c r="O1897" s="351">
        <v>7.5</v>
      </c>
      <c r="P1897" s="349" t="s">
        <v>1836</v>
      </c>
      <c r="R1897" s="349">
        <f t="shared" si="29"/>
        <v>11</v>
      </c>
      <c r="S1897" s="352"/>
      <c r="T1897" s="352"/>
      <c r="U1897" s="352"/>
      <c r="V1897" s="353"/>
      <c r="W1897" s="352"/>
      <c r="X1897" s="176"/>
      <c r="Y1897" s="176"/>
      <c r="Z1897" s="352"/>
      <c r="AA1897" s="352"/>
      <c r="AB1897" s="352"/>
      <c r="AC1897" s="352"/>
      <c r="AD1897" s="352"/>
    </row>
    <row r="1898" spans="1:30" ht="38.450000000000003" hidden="1" x14ac:dyDescent="0.35">
      <c r="A1898" s="349">
        <v>1897</v>
      </c>
      <c r="B1898" s="352" t="s">
        <v>3248</v>
      </c>
      <c r="C1898" s="351" t="s">
        <v>5024</v>
      </c>
      <c r="D1898" s="352" t="s">
        <v>1814</v>
      </c>
      <c r="E1898" s="352" t="s">
        <v>1617</v>
      </c>
      <c r="F1898" s="353">
        <v>104.15</v>
      </c>
      <c r="G1898" s="352" t="s">
        <v>1454</v>
      </c>
      <c r="H1898" s="176" t="s">
        <v>3766</v>
      </c>
      <c r="I1898" s="176" t="s">
        <v>3254</v>
      </c>
      <c r="J1898" s="352" t="s">
        <v>1618</v>
      </c>
      <c r="K1898" s="352">
        <v>2.8</v>
      </c>
      <c r="L1898" s="352" t="s">
        <v>1615</v>
      </c>
      <c r="M1898" s="352">
        <v>10</v>
      </c>
      <c r="N1898" s="352" t="s">
        <v>1616</v>
      </c>
      <c r="O1898" s="351">
        <v>2.8</v>
      </c>
      <c r="P1898" s="349" t="s">
        <v>1836</v>
      </c>
      <c r="R1898" s="349">
        <f t="shared" si="29"/>
        <v>11</v>
      </c>
      <c r="S1898" s="352"/>
      <c r="T1898" s="352"/>
      <c r="U1898" s="352"/>
      <c r="V1898" s="353"/>
      <c r="W1898" s="352"/>
      <c r="X1898" s="176"/>
      <c r="Y1898" s="176"/>
      <c r="Z1898" s="352"/>
      <c r="AA1898" s="352"/>
      <c r="AB1898" s="352"/>
      <c r="AC1898" s="351"/>
      <c r="AD1898" s="351"/>
    </row>
    <row r="1899" spans="1:30" ht="51.3" hidden="1" x14ac:dyDescent="0.35">
      <c r="A1899" s="349">
        <v>1898</v>
      </c>
      <c r="B1899" s="352" t="s">
        <v>958</v>
      </c>
      <c r="C1899" s="351" t="s">
        <v>5025</v>
      </c>
      <c r="D1899" s="352" t="s">
        <v>3471</v>
      </c>
      <c r="E1899" s="352" t="s">
        <v>1995</v>
      </c>
      <c r="F1899" s="353">
        <v>8.8099999999999998E-2</v>
      </c>
      <c r="G1899" s="352" t="s">
        <v>2126</v>
      </c>
      <c r="H1899" s="176" t="s">
        <v>3013</v>
      </c>
      <c r="I1899" s="176" t="s">
        <v>3472</v>
      </c>
      <c r="J1899" s="352" t="s">
        <v>3580</v>
      </c>
      <c r="K1899" s="352">
        <v>10</v>
      </c>
      <c r="L1899" s="352" t="s">
        <v>3581</v>
      </c>
      <c r="M1899" s="352"/>
      <c r="N1899" s="352"/>
      <c r="O1899" s="351">
        <v>10</v>
      </c>
      <c r="P1899" s="349" t="s">
        <v>1836</v>
      </c>
      <c r="R1899" s="349">
        <f t="shared" si="29"/>
        <v>8</v>
      </c>
      <c r="S1899" s="352"/>
      <c r="T1899" s="352"/>
      <c r="U1899" s="352"/>
      <c r="V1899" s="353"/>
      <c r="W1899" s="352"/>
      <c r="X1899" s="176"/>
      <c r="Y1899" s="176"/>
      <c r="Z1899" s="352"/>
      <c r="AA1899" s="352"/>
      <c r="AB1899" s="352"/>
      <c r="AC1899" s="351"/>
      <c r="AD1899" s="351"/>
    </row>
    <row r="1900" spans="1:30" ht="76.900000000000006" hidden="1" x14ac:dyDescent="0.35">
      <c r="A1900" s="349">
        <v>1899</v>
      </c>
      <c r="B1900" s="352" t="s">
        <v>316</v>
      </c>
      <c r="C1900" s="351" t="s">
        <v>5026</v>
      </c>
      <c r="D1900" s="352" t="s">
        <v>1239</v>
      </c>
      <c r="E1900" s="352" t="s">
        <v>742</v>
      </c>
      <c r="F1900" s="353">
        <v>64.700900000000004</v>
      </c>
      <c r="G1900" s="352" t="s">
        <v>3034</v>
      </c>
      <c r="H1900" s="176" t="s">
        <v>1809</v>
      </c>
      <c r="I1900" s="176" t="s">
        <v>2490</v>
      </c>
      <c r="J1900" s="352" t="s">
        <v>3215</v>
      </c>
      <c r="K1900" s="352">
        <v>25</v>
      </c>
      <c r="L1900" s="352" t="s">
        <v>3216</v>
      </c>
      <c r="M1900" s="352">
        <v>120</v>
      </c>
      <c r="N1900" s="352" t="s">
        <v>1656</v>
      </c>
      <c r="O1900" s="351">
        <v>25</v>
      </c>
      <c r="P1900" s="349" t="s">
        <v>1850</v>
      </c>
      <c r="R1900" s="349">
        <f t="shared" si="29"/>
        <v>10</v>
      </c>
      <c r="S1900" s="352"/>
      <c r="T1900" s="352"/>
      <c r="U1900" s="352"/>
      <c r="V1900" s="353"/>
      <c r="W1900" s="352"/>
      <c r="X1900" s="176"/>
      <c r="Y1900" s="176"/>
      <c r="Z1900" s="352"/>
      <c r="AA1900" s="352"/>
      <c r="AB1900" s="352"/>
      <c r="AC1900" s="351"/>
      <c r="AD1900" s="351"/>
    </row>
    <row r="1901" spans="1:30" ht="76.900000000000006" hidden="1" x14ac:dyDescent="0.35">
      <c r="A1901" s="349">
        <v>1900</v>
      </c>
      <c r="B1901" s="352" t="s">
        <v>316</v>
      </c>
      <c r="C1901" s="351" t="s">
        <v>5026</v>
      </c>
      <c r="D1901" s="352" t="s">
        <v>1239</v>
      </c>
      <c r="E1901" s="352" t="s">
        <v>742</v>
      </c>
      <c r="F1901" s="353">
        <v>64.700900000000004</v>
      </c>
      <c r="G1901" s="352" t="s">
        <v>3034</v>
      </c>
      <c r="H1901" s="176"/>
      <c r="I1901" s="176" t="s">
        <v>2490</v>
      </c>
      <c r="J1901" s="352" t="s">
        <v>3215</v>
      </c>
      <c r="K1901" s="351">
        <v>25</v>
      </c>
      <c r="L1901" s="351" t="s">
        <v>3216</v>
      </c>
      <c r="M1901" s="352">
        <v>120</v>
      </c>
      <c r="N1901" s="352" t="s">
        <v>1656</v>
      </c>
      <c r="O1901" s="351">
        <v>25</v>
      </c>
      <c r="P1901" s="349" t="s">
        <v>1850</v>
      </c>
      <c r="R1901" s="349">
        <f t="shared" si="29"/>
        <v>10</v>
      </c>
      <c r="S1901" s="352"/>
      <c r="T1901" s="352"/>
      <c r="U1901" s="352"/>
      <c r="V1901" s="353"/>
      <c r="W1901" s="352"/>
      <c r="X1901" s="176"/>
      <c r="Y1901" s="176"/>
      <c r="Z1901" s="352"/>
      <c r="AA1901" s="352"/>
      <c r="AB1901" s="352"/>
      <c r="AC1901" s="351"/>
      <c r="AD1901" s="351"/>
    </row>
    <row r="1902" spans="1:30" ht="64.099999999999994" hidden="1" x14ac:dyDescent="0.35">
      <c r="A1902" s="349">
        <v>1901</v>
      </c>
      <c r="B1902" s="352" t="s">
        <v>316</v>
      </c>
      <c r="C1902" s="351" t="s">
        <v>5027</v>
      </c>
      <c r="D1902" s="352" t="s">
        <v>1239</v>
      </c>
      <c r="E1902" s="352" t="s">
        <v>743</v>
      </c>
      <c r="F1902" s="353">
        <v>77.724900000000005</v>
      </c>
      <c r="G1902" s="352" t="s">
        <v>3034</v>
      </c>
      <c r="H1902" s="176"/>
      <c r="I1902" s="176" t="s">
        <v>439</v>
      </c>
      <c r="J1902" s="352" t="s">
        <v>744</v>
      </c>
      <c r="K1902" s="351">
        <v>50</v>
      </c>
      <c r="L1902" s="351" t="s">
        <v>2376</v>
      </c>
      <c r="M1902" s="352">
        <v>60</v>
      </c>
      <c r="N1902" s="352" t="s">
        <v>1656</v>
      </c>
      <c r="O1902" s="351">
        <v>50</v>
      </c>
      <c r="P1902" s="349" t="s">
        <v>1850</v>
      </c>
      <c r="R1902" s="349">
        <f t="shared" si="29"/>
        <v>10</v>
      </c>
      <c r="S1902" s="352"/>
      <c r="T1902" s="352"/>
      <c r="U1902" s="352"/>
      <c r="V1902" s="353"/>
      <c r="W1902" s="352"/>
      <c r="X1902" s="176"/>
      <c r="Y1902" s="176"/>
      <c r="Z1902" s="352"/>
      <c r="AA1902" s="352"/>
      <c r="AB1902" s="352"/>
      <c r="AC1902" s="351"/>
      <c r="AD1902" s="351"/>
    </row>
    <row r="1903" spans="1:30" ht="64.099999999999994" hidden="1" x14ac:dyDescent="0.35">
      <c r="A1903" s="349">
        <v>1902</v>
      </c>
      <c r="B1903" s="352" t="s">
        <v>316</v>
      </c>
      <c r="C1903" s="351" t="s">
        <v>5027</v>
      </c>
      <c r="D1903" s="352" t="s">
        <v>1239</v>
      </c>
      <c r="E1903" s="352" t="s">
        <v>743</v>
      </c>
      <c r="F1903" s="353">
        <v>77.724900000000005</v>
      </c>
      <c r="G1903" s="352" t="s">
        <v>3034</v>
      </c>
      <c r="H1903" s="176" t="s">
        <v>350</v>
      </c>
      <c r="I1903" s="176" t="s">
        <v>439</v>
      </c>
      <c r="J1903" s="352" t="s">
        <v>744</v>
      </c>
      <c r="K1903" s="352">
        <v>50</v>
      </c>
      <c r="L1903" s="352" t="s">
        <v>2376</v>
      </c>
      <c r="M1903" s="351">
        <v>60</v>
      </c>
      <c r="N1903" s="351" t="s">
        <v>1656</v>
      </c>
      <c r="O1903" s="351">
        <v>50</v>
      </c>
      <c r="P1903" s="349" t="s">
        <v>1850</v>
      </c>
      <c r="R1903" s="349">
        <f t="shared" si="29"/>
        <v>10</v>
      </c>
      <c r="S1903" s="352"/>
      <c r="T1903" s="352"/>
      <c r="U1903" s="352"/>
      <c r="V1903" s="353"/>
      <c r="W1903" s="352"/>
      <c r="X1903" s="176"/>
      <c r="Y1903" s="176"/>
      <c r="Z1903" s="352"/>
      <c r="AA1903" s="352"/>
      <c r="AB1903" s="352"/>
      <c r="AC1903" s="351"/>
      <c r="AD1903" s="351"/>
    </row>
    <row r="1904" spans="1:30" ht="64.099999999999994" hidden="1" x14ac:dyDescent="0.35">
      <c r="A1904" s="349">
        <v>1903</v>
      </c>
      <c r="B1904" s="352" t="s">
        <v>316</v>
      </c>
      <c r="C1904" s="351" t="s">
        <v>5028</v>
      </c>
      <c r="D1904" s="352" t="s">
        <v>1239</v>
      </c>
      <c r="E1904" s="352" t="s">
        <v>2374</v>
      </c>
      <c r="F1904" s="353">
        <v>5.5754000000000001</v>
      </c>
      <c r="G1904" s="352" t="s">
        <v>3034</v>
      </c>
      <c r="H1904" s="176" t="s">
        <v>350</v>
      </c>
      <c r="I1904" s="176" t="s">
        <v>439</v>
      </c>
      <c r="J1904" s="352" t="s">
        <v>2375</v>
      </c>
      <c r="K1904" s="352">
        <v>50</v>
      </c>
      <c r="L1904" s="352" t="s">
        <v>2376</v>
      </c>
      <c r="M1904" s="351">
        <v>8</v>
      </c>
      <c r="N1904" s="351" t="s">
        <v>2377</v>
      </c>
      <c r="O1904" s="351">
        <v>50</v>
      </c>
      <c r="P1904" s="349" t="s">
        <v>1850</v>
      </c>
      <c r="R1904" s="349">
        <f t="shared" si="29"/>
        <v>10</v>
      </c>
      <c r="S1904" s="352"/>
      <c r="T1904" s="352"/>
      <c r="U1904" s="352"/>
      <c r="V1904" s="353"/>
      <c r="W1904" s="352"/>
      <c r="X1904" s="176"/>
      <c r="Y1904" s="176"/>
      <c r="Z1904" s="352"/>
      <c r="AA1904" s="352"/>
      <c r="AB1904" s="352"/>
      <c r="AC1904" s="351"/>
      <c r="AD1904" s="351"/>
    </row>
    <row r="1905" spans="1:30" ht="64.099999999999994" hidden="1" x14ac:dyDescent="0.35">
      <c r="A1905" s="349">
        <v>1904</v>
      </c>
      <c r="B1905" s="352" t="s">
        <v>4045</v>
      </c>
      <c r="C1905" s="351" t="s">
        <v>2725</v>
      </c>
      <c r="D1905" s="352" t="s">
        <v>2725</v>
      </c>
      <c r="E1905" s="352" t="s">
        <v>104</v>
      </c>
      <c r="F1905" s="353">
        <v>352.09</v>
      </c>
      <c r="G1905" s="352" t="s">
        <v>2058</v>
      </c>
      <c r="H1905" s="176" t="s">
        <v>650</v>
      </c>
      <c r="I1905" s="176" t="s">
        <v>4194</v>
      </c>
      <c r="J1905" s="352" t="s">
        <v>3035</v>
      </c>
      <c r="K1905" s="352"/>
      <c r="L1905" s="352"/>
      <c r="M1905" s="351">
        <v>250</v>
      </c>
      <c r="N1905" s="351" t="s">
        <v>1109</v>
      </c>
      <c r="O1905" s="351">
        <v>0</v>
      </c>
      <c r="P1905" s="349" t="s">
        <v>1837</v>
      </c>
      <c r="R1905" s="349">
        <f t="shared" si="29"/>
        <v>11</v>
      </c>
      <c r="S1905" s="352"/>
      <c r="T1905" s="352"/>
      <c r="U1905" s="352"/>
      <c r="V1905" s="353"/>
      <c r="W1905" s="352"/>
      <c r="X1905" s="176"/>
      <c r="Y1905" s="176"/>
      <c r="Z1905" s="352"/>
      <c r="AA1905" s="352"/>
      <c r="AB1905" s="352"/>
      <c r="AC1905" s="351"/>
      <c r="AD1905" s="351"/>
    </row>
    <row r="1906" spans="1:30" ht="64.099999999999994" hidden="1" x14ac:dyDescent="0.35">
      <c r="A1906" s="349">
        <v>1905</v>
      </c>
      <c r="B1906" s="352" t="s">
        <v>4045</v>
      </c>
      <c r="C1906" s="351" t="s">
        <v>5029</v>
      </c>
      <c r="D1906" s="352" t="s">
        <v>2725</v>
      </c>
      <c r="E1906" s="352" t="s">
        <v>104</v>
      </c>
      <c r="F1906" s="353">
        <v>352.09</v>
      </c>
      <c r="G1906" s="352" t="s">
        <v>2058</v>
      </c>
      <c r="H1906" s="176" t="s">
        <v>650</v>
      </c>
      <c r="I1906" s="176" t="s">
        <v>4194</v>
      </c>
      <c r="J1906" s="352" t="s">
        <v>3035</v>
      </c>
      <c r="K1906" s="352"/>
      <c r="L1906" s="352"/>
      <c r="M1906" s="351">
        <v>250</v>
      </c>
      <c r="N1906" s="351" t="s">
        <v>1109</v>
      </c>
      <c r="O1906" s="351">
        <v>0</v>
      </c>
      <c r="P1906" s="349" t="s">
        <v>1837</v>
      </c>
      <c r="R1906" s="349">
        <f t="shared" si="29"/>
        <v>11</v>
      </c>
      <c r="S1906" s="352"/>
      <c r="T1906" s="352"/>
      <c r="U1906" s="352"/>
      <c r="V1906" s="353"/>
      <c r="W1906" s="352"/>
      <c r="X1906" s="176"/>
      <c r="Y1906" s="176"/>
      <c r="Z1906" s="352"/>
      <c r="AA1906" s="352"/>
      <c r="AB1906" s="352"/>
      <c r="AC1906" s="352"/>
      <c r="AD1906" s="352"/>
    </row>
    <row r="1907" spans="1:30" ht="115.35" hidden="1" x14ac:dyDescent="0.35">
      <c r="A1907" s="349">
        <v>1906</v>
      </c>
      <c r="B1907" s="352" t="s">
        <v>3204</v>
      </c>
      <c r="C1907" s="351" t="s">
        <v>5030</v>
      </c>
      <c r="D1907" s="352" t="s">
        <v>688</v>
      </c>
      <c r="E1907" s="352" t="s">
        <v>1997</v>
      </c>
      <c r="F1907" s="353">
        <v>2915.0014999999999</v>
      </c>
      <c r="G1907" s="352" t="s">
        <v>1107</v>
      </c>
      <c r="H1907" s="176" t="s">
        <v>689</v>
      </c>
      <c r="I1907" s="176" t="s">
        <v>690</v>
      </c>
      <c r="J1907" s="352" t="s">
        <v>1115</v>
      </c>
      <c r="K1907" s="351">
        <v>20</v>
      </c>
      <c r="L1907" s="351" t="s">
        <v>1464</v>
      </c>
      <c r="M1907" s="352"/>
      <c r="N1907" s="352"/>
      <c r="O1907" s="351">
        <v>20</v>
      </c>
      <c r="P1907" s="349" t="s">
        <v>1836</v>
      </c>
      <c r="R1907" s="349">
        <f t="shared" si="29"/>
        <v>11</v>
      </c>
      <c r="S1907" s="352"/>
      <c r="T1907" s="352"/>
      <c r="U1907" s="352"/>
      <c r="V1907" s="353"/>
      <c r="W1907" s="352"/>
      <c r="X1907" s="176"/>
      <c r="Y1907" s="176"/>
      <c r="Z1907" s="352"/>
      <c r="AA1907" s="352"/>
      <c r="AB1907" s="352"/>
      <c r="AC1907" s="351"/>
      <c r="AD1907" s="351"/>
    </row>
    <row r="1908" spans="1:30" ht="38.450000000000003" hidden="1" x14ac:dyDescent="0.35">
      <c r="A1908" s="349">
        <v>1907</v>
      </c>
      <c r="B1908" s="352" t="s">
        <v>2125</v>
      </c>
      <c r="C1908" s="351" t="s">
        <v>5031</v>
      </c>
      <c r="D1908" s="352" t="s">
        <v>1429</v>
      </c>
      <c r="E1908" s="352" t="s">
        <v>1995</v>
      </c>
      <c r="F1908" s="353">
        <v>0.24</v>
      </c>
      <c r="G1908" s="352" t="s">
        <v>2126</v>
      </c>
      <c r="H1908" s="176" t="s">
        <v>2912</v>
      </c>
      <c r="I1908" s="176"/>
      <c r="J1908" s="352" t="s">
        <v>3580</v>
      </c>
      <c r="K1908" s="352">
        <v>110</v>
      </c>
      <c r="L1908" s="352" t="s">
        <v>3581</v>
      </c>
      <c r="M1908" s="351"/>
      <c r="N1908" s="351"/>
      <c r="O1908" s="351">
        <v>110</v>
      </c>
      <c r="P1908" s="349" t="s">
        <v>1836</v>
      </c>
      <c r="R1908" s="349">
        <f t="shared" si="29"/>
        <v>23</v>
      </c>
      <c r="S1908" s="352"/>
      <c r="T1908" s="352"/>
      <c r="U1908" s="352"/>
      <c r="V1908" s="353"/>
      <c r="W1908" s="352"/>
      <c r="X1908" s="176"/>
      <c r="Y1908" s="176"/>
      <c r="Z1908" s="352"/>
      <c r="AA1908" s="352"/>
      <c r="AB1908" s="352"/>
      <c r="AC1908" s="351"/>
      <c r="AD1908" s="351"/>
    </row>
    <row r="1909" spans="1:30" ht="141" hidden="1" x14ac:dyDescent="0.35">
      <c r="A1909" s="349">
        <v>1908</v>
      </c>
      <c r="B1909" s="352" t="s">
        <v>347</v>
      </c>
      <c r="C1909" s="351" t="s">
        <v>5032</v>
      </c>
      <c r="D1909" s="352" t="s">
        <v>1216</v>
      </c>
      <c r="E1909" s="352" t="s">
        <v>2020</v>
      </c>
      <c r="F1909" s="353">
        <v>6.6100000000000006E-2</v>
      </c>
      <c r="G1909" s="352" t="s">
        <v>2126</v>
      </c>
      <c r="H1909" s="176" t="s">
        <v>1718</v>
      </c>
      <c r="I1909" s="176" t="s">
        <v>4596</v>
      </c>
      <c r="J1909" s="352" t="s">
        <v>348</v>
      </c>
      <c r="K1909" s="352">
        <v>1</v>
      </c>
      <c r="L1909" s="352" t="s">
        <v>3581</v>
      </c>
      <c r="M1909" s="352"/>
      <c r="N1909" s="352"/>
      <c r="O1909" s="351">
        <v>1</v>
      </c>
      <c r="P1909" s="349" t="s">
        <v>1836</v>
      </c>
      <c r="R1909" s="349">
        <f t="shared" si="29"/>
        <v>13</v>
      </c>
      <c r="S1909" s="352"/>
      <c r="T1909" s="352"/>
      <c r="U1909" s="352"/>
      <c r="V1909" s="353"/>
      <c r="W1909" s="352"/>
      <c r="X1909" s="176"/>
      <c r="Y1909" s="176"/>
      <c r="Z1909" s="352"/>
      <c r="AA1909" s="352"/>
      <c r="AB1909" s="352"/>
      <c r="AC1909" s="352"/>
      <c r="AD1909" s="352"/>
    </row>
    <row r="1910" spans="1:30" ht="38.450000000000003" hidden="1" x14ac:dyDescent="0.35">
      <c r="A1910" s="349">
        <v>1909</v>
      </c>
      <c r="B1910" s="352" t="s">
        <v>627</v>
      </c>
      <c r="C1910" s="351" t="s">
        <v>4432</v>
      </c>
      <c r="D1910" s="352" t="s">
        <v>1208</v>
      </c>
      <c r="E1910" s="352" t="s">
        <v>2000</v>
      </c>
      <c r="F1910" s="353">
        <v>0.15429999999999999</v>
      </c>
      <c r="G1910" s="352" t="s">
        <v>2126</v>
      </c>
      <c r="H1910" s="176" t="s">
        <v>1805</v>
      </c>
      <c r="I1910" s="176" t="s">
        <v>613</v>
      </c>
      <c r="J1910" s="352" t="s">
        <v>2695</v>
      </c>
      <c r="K1910" s="352">
        <v>600</v>
      </c>
      <c r="L1910" s="352" t="s">
        <v>3581</v>
      </c>
      <c r="M1910" s="352"/>
      <c r="N1910" s="352"/>
      <c r="O1910" s="351">
        <v>600</v>
      </c>
      <c r="P1910" s="349" t="s">
        <v>1836</v>
      </c>
      <c r="R1910" s="349">
        <f t="shared" si="29"/>
        <v>14</v>
      </c>
      <c r="S1910" s="352"/>
      <c r="T1910" s="352"/>
      <c r="U1910" s="352"/>
      <c r="V1910" s="353"/>
      <c r="W1910" s="352"/>
      <c r="X1910" s="176"/>
      <c r="Y1910" s="176"/>
      <c r="Z1910" s="352"/>
      <c r="AA1910" s="352"/>
      <c r="AB1910" s="352"/>
      <c r="AC1910" s="352"/>
      <c r="AD1910" s="352"/>
    </row>
    <row r="1911" spans="1:30" ht="89.75" hidden="1" x14ac:dyDescent="0.35">
      <c r="A1911" s="349">
        <v>1910</v>
      </c>
      <c r="B1911" s="352" t="s">
        <v>694</v>
      </c>
      <c r="C1911" s="351" t="s">
        <v>4433</v>
      </c>
      <c r="D1911" s="352" t="s">
        <v>5036</v>
      </c>
      <c r="E1911" s="352" t="s">
        <v>779</v>
      </c>
      <c r="F1911" s="353">
        <v>16.109100000000002</v>
      </c>
      <c r="G1911" s="352" t="s">
        <v>34</v>
      </c>
      <c r="H1911" s="176" t="s">
        <v>3907</v>
      </c>
      <c r="I1911" s="176" t="s">
        <v>3331</v>
      </c>
      <c r="J1911" s="352" t="s">
        <v>4025</v>
      </c>
      <c r="K1911" s="352"/>
      <c r="L1911" s="352"/>
      <c r="M1911" s="352">
        <v>8</v>
      </c>
      <c r="N1911" s="352" t="s">
        <v>1109</v>
      </c>
      <c r="O1911" s="351">
        <v>0</v>
      </c>
      <c r="P1911" s="349" t="s">
        <v>1837</v>
      </c>
      <c r="R1911" s="349">
        <f t="shared" si="29"/>
        <v>28</v>
      </c>
      <c r="S1911" s="352"/>
      <c r="T1911" s="352"/>
      <c r="U1911" s="352"/>
      <c r="V1911" s="353"/>
      <c r="W1911" s="352"/>
      <c r="X1911" s="176"/>
      <c r="Y1911" s="176"/>
      <c r="Z1911" s="352"/>
      <c r="AA1911" s="352"/>
      <c r="AB1911" s="352"/>
      <c r="AC1911" s="351"/>
      <c r="AD1911" s="351"/>
    </row>
    <row r="1912" spans="1:30" ht="38.450000000000003" hidden="1" x14ac:dyDescent="0.35">
      <c r="A1912" s="349">
        <v>1911</v>
      </c>
      <c r="B1912" s="352" t="s">
        <v>3248</v>
      </c>
      <c r="C1912" s="351" t="s">
        <v>4434</v>
      </c>
      <c r="D1912" s="352" t="s">
        <v>1240</v>
      </c>
      <c r="E1912" s="352" t="s">
        <v>2014</v>
      </c>
      <c r="F1912" s="353">
        <v>1.5</v>
      </c>
      <c r="G1912" s="352" t="s">
        <v>28</v>
      </c>
      <c r="H1912" s="176" t="s">
        <v>277</v>
      </c>
      <c r="I1912" s="176" t="s">
        <v>2828</v>
      </c>
      <c r="J1912" s="352" t="s">
        <v>1448</v>
      </c>
      <c r="K1912" s="352">
        <v>1</v>
      </c>
      <c r="L1912" s="352" t="s">
        <v>470</v>
      </c>
      <c r="M1912" s="351"/>
      <c r="N1912" s="351"/>
      <c r="O1912" s="351">
        <v>1</v>
      </c>
      <c r="P1912" s="349" t="s">
        <v>1838</v>
      </c>
      <c r="R1912" s="349">
        <f t="shared" si="29"/>
        <v>11</v>
      </c>
      <c r="S1912" s="352"/>
      <c r="T1912" s="352"/>
      <c r="U1912" s="352"/>
      <c r="V1912" s="353"/>
      <c r="W1912" s="352"/>
      <c r="X1912" s="176"/>
      <c r="Y1912" s="176"/>
      <c r="Z1912" s="352"/>
      <c r="AA1912" s="352"/>
      <c r="AB1912" s="352"/>
      <c r="AC1912" s="351"/>
      <c r="AD1912" s="351"/>
    </row>
    <row r="1913" spans="1:30" ht="102.55" hidden="1" x14ac:dyDescent="0.35">
      <c r="A1913" s="349">
        <v>1912</v>
      </c>
      <c r="B1913" s="352" t="s">
        <v>3118</v>
      </c>
      <c r="C1913" s="351" t="s">
        <v>1833</v>
      </c>
      <c r="D1913" s="352" t="s">
        <v>1376</v>
      </c>
      <c r="E1913" s="352" t="s">
        <v>1443</v>
      </c>
      <c r="F1913" s="353">
        <v>14.3241</v>
      </c>
      <c r="G1913" s="352" t="s">
        <v>1107</v>
      </c>
      <c r="H1913" s="176" t="s">
        <v>1761</v>
      </c>
      <c r="I1913" s="176" t="s">
        <v>2439</v>
      </c>
      <c r="J1913" s="352" t="s">
        <v>1108</v>
      </c>
      <c r="K1913" s="352">
        <v>200</v>
      </c>
      <c r="L1913" s="352" t="s">
        <v>1116</v>
      </c>
      <c r="M1913" s="351">
        <v>100</v>
      </c>
      <c r="N1913" s="351" t="s">
        <v>1109</v>
      </c>
      <c r="O1913" s="351">
        <v>200</v>
      </c>
      <c r="P1913" s="349" t="s">
        <v>1836</v>
      </c>
      <c r="R1913" s="349">
        <f t="shared" si="29"/>
        <v>23</v>
      </c>
      <c r="S1913" s="352"/>
      <c r="T1913" s="352"/>
      <c r="U1913" s="352"/>
      <c r="V1913" s="353"/>
      <c r="W1913" s="352"/>
      <c r="X1913" s="176"/>
      <c r="Y1913" s="176"/>
      <c r="Z1913" s="352"/>
      <c r="AA1913" s="352"/>
      <c r="AB1913" s="352"/>
      <c r="AC1913" s="351"/>
      <c r="AD1913" s="351"/>
    </row>
    <row r="1914" spans="1:30" ht="102.55" hidden="1" x14ac:dyDescent="0.35">
      <c r="A1914" s="349">
        <v>1913</v>
      </c>
      <c r="B1914" s="352" t="s">
        <v>3118</v>
      </c>
      <c r="C1914" s="351" t="s">
        <v>1833</v>
      </c>
      <c r="D1914" s="352" t="s">
        <v>1376</v>
      </c>
      <c r="E1914" s="352" t="s">
        <v>1111</v>
      </c>
      <c r="F1914" s="353">
        <v>14.3241</v>
      </c>
      <c r="G1914" s="352" t="s">
        <v>1107</v>
      </c>
      <c r="H1914" s="176" t="s">
        <v>1761</v>
      </c>
      <c r="I1914" s="176" t="s">
        <v>2439</v>
      </c>
      <c r="J1914" s="352" t="s">
        <v>1108</v>
      </c>
      <c r="K1914" s="351">
        <v>200</v>
      </c>
      <c r="L1914" s="351" t="s">
        <v>1116</v>
      </c>
      <c r="M1914" s="352">
        <v>250</v>
      </c>
      <c r="N1914" s="352" t="s">
        <v>1109</v>
      </c>
      <c r="O1914" s="351">
        <v>200</v>
      </c>
      <c r="P1914" s="349" t="s">
        <v>1836</v>
      </c>
      <c r="R1914" s="349">
        <f t="shared" si="29"/>
        <v>23</v>
      </c>
      <c r="S1914" s="352"/>
      <c r="T1914" s="352"/>
      <c r="U1914" s="352"/>
      <c r="V1914" s="353"/>
      <c r="W1914" s="352"/>
      <c r="X1914" s="176"/>
      <c r="Y1914" s="176"/>
      <c r="Z1914" s="352"/>
      <c r="AA1914" s="352"/>
      <c r="AB1914" s="352"/>
      <c r="AC1914" s="352"/>
      <c r="AD1914" s="352"/>
    </row>
    <row r="1915" spans="1:30" ht="102.55" hidden="1" x14ac:dyDescent="0.35">
      <c r="A1915" s="349">
        <v>1914</v>
      </c>
      <c r="B1915" s="352" t="s">
        <v>3118</v>
      </c>
      <c r="C1915" s="351" t="s">
        <v>1833</v>
      </c>
      <c r="D1915" s="352" t="s">
        <v>1376</v>
      </c>
      <c r="E1915" s="352" t="s">
        <v>1106</v>
      </c>
      <c r="F1915" s="353">
        <v>15.3599</v>
      </c>
      <c r="G1915" s="352" t="s">
        <v>1107</v>
      </c>
      <c r="H1915" s="176" t="s">
        <v>1761</v>
      </c>
      <c r="I1915" s="176" t="s">
        <v>2439</v>
      </c>
      <c r="J1915" s="352" t="s">
        <v>1108</v>
      </c>
      <c r="K1915" s="351">
        <v>200</v>
      </c>
      <c r="L1915" s="351" t="s">
        <v>1116</v>
      </c>
      <c r="M1915" s="352">
        <v>500</v>
      </c>
      <c r="N1915" s="352" t="s">
        <v>1109</v>
      </c>
      <c r="O1915" s="351">
        <v>200</v>
      </c>
      <c r="P1915" s="349" t="s">
        <v>1836</v>
      </c>
      <c r="R1915" s="349">
        <f t="shared" si="29"/>
        <v>23</v>
      </c>
      <c r="S1915" s="352"/>
      <c r="T1915" s="352"/>
      <c r="U1915" s="352"/>
      <c r="V1915" s="353"/>
      <c r="W1915" s="352"/>
      <c r="X1915" s="176"/>
      <c r="Y1915" s="176"/>
      <c r="Z1915" s="352"/>
      <c r="AA1915" s="352"/>
      <c r="AB1915" s="352"/>
      <c r="AC1915" s="351"/>
      <c r="AD1915" s="351"/>
    </row>
    <row r="1916" spans="1:30" ht="115.35" hidden="1" x14ac:dyDescent="0.35">
      <c r="A1916" s="349">
        <v>1915</v>
      </c>
      <c r="B1916" s="352" t="s">
        <v>778</v>
      </c>
      <c r="C1916" s="351" t="s">
        <v>4435</v>
      </c>
      <c r="D1916" s="352" t="s">
        <v>3170</v>
      </c>
      <c r="E1916" s="352" t="s">
        <v>1997</v>
      </c>
      <c r="F1916" s="353">
        <v>2.2000000000000002</v>
      </c>
      <c r="G1916" s="352" t="s">
        <v>1107</v>
      </c>
      <c r="H1916" s="176" t="s">
        <v>1655</v>
      </c>
      <c r="I1916" s="176" t="s">
        <v>1088</v>
      </c>
      <c r="J1916" s="352" t="s">
        <v>1115</v>
      </c>
      <c r="K1916" s="351">
        <v>100</v>
      </c>
      <c r="L1916" s="351" t="s">
        <v>1464</v>
      </c>
      <c r="M1916" s="352"/>
      <c r="N1916" s="352"/>
      <c r="O1916" s="351">
        <v>100</v>
      </c>
      <c r="P1916" s="349" t="s">
        <v>1836</v>
      </c>
      <c r="R1916" s="349">
        <f t="shared" si="29"/>
        <v>13</v>
      </c>
      <c r="S1916" s="352"/>
      <c r="T1916" s="352"/>
      <c r="U1916" s="352"/>
      <c r="V1916" s="353"/>
      <c r="W1916" s="352"/>
      <c r="X1916" s="176"/>
      <c r="Y1916" s="176"/>
      <c r="Z1916" s="352"/>
      <c r="AA1916" s="352"/>
      <c r="AB1916" s="352"/>
      <c r="AC1916" s="351"/>
      <c r="AD1916" s="351"/>
    </row>
    <row r="1917" spans="1:30" ht="153.80000000000001" hidden="1" x14ac:dyDescent="0.35">
      <c r="A1917" s="349">
        <v>1916</v>
      </c>
      <c r="B1917" s="352" t="s">
        <v>778</v>
      </c>
      <c r="C1917" s="351" t="s">
        <v>4436</v>
      </c>
      <c r="D1917" s="352" t="s">
        <v>2944</v>
      </c>
      <c r="E1917" s="352" t="s">
        <v>1997</v>
      </c>
      <c r="F1917" s="353">
        <v>19.260400000000001</v>
      </c>
      <c r="G1917" s="352" t="s">
        <v>1107</v>
      </c>
      <c r="H1917" s="176" t="s">
        <v>4272</v>
      </c>
      <c r="I1917" s="176" t="s">
        <v>4927</v>
      </c>
      <c r="J1917" s="352" t="s">
        <v>1115</v>
      </c>
      <c r="K1917" s="351">
        <v>500</v>
      </c>
      <c r="L1917" s="351" t="s">
        <v>1464</v>
      </c>
      <c r="M1917" s="351"/>
      <c r="N1917" s="351"/>
      <c r="O1917" s="351">
        <v>500</v>
      </c>
      <c r="P1917" s="349" t="s">
        <v>1836</v>
      </c>
      <c r="R1917" s="349">
        <f t="shared" si="29"/>
        <v>17</v>
      </c>
      <c r="S1917" s="352"/>
      <c r="T1917" s="352"/>
      <c r="U1917" s="352"/>
      <c r="V1917" s="353"/>
      <c r="W1917" s="352"/>
      <c r="X1917" s="176"/>
      <c r="Y1917" s="176"/>
      <c r="Z1917" s="352"/>
      <c r="AA1917" s="352"/>
      <c r="AB1917" s="352"/>
      <c r="AC1917" s="351"/>
      <c r="AD1917" s="351"/>
    </row>
    <row r="1918" spans="1:30" ht="76.900000000000006" hidden="1" x14ac:dyDescent="0.35">
      <c r="A1918" s="349">
        <v>1917</v>
      </c>
      <c r="B1918" s="352" t="s">
        <v>466</v>
      </c>
      <c r="C1918" s="351" t="s">
        <v>361</v>
      </c>
      <c r="D1918" s="352" t="s">
        <v>1400</v>
      </c>
      <c r="E1918" s="352" t="s">
        <v>105</v>
      </c>
      <c r="F1918" s="353">
        <v>2.5783</v>
      </c>
      <c r="G1918" s="352" t="s">
        <v>468</v>
      </c>
      <c r="H1918" s="176" t="s">
        <v>937</v>
      </c>
      <c r="I1918" s="176" t="s">
        <v>3296</v>
      </c>
      <c r="J1918" s="352" t="s">
        <v>106</v>
      </c>
      <c r="K1918" s="351"/>
      <c r="L1918" s="351"/>
      <c r="M1918" s="351">
        <v>100</v>
      </c>
      <c r="N1918" s="351" t="s">
        <v>1109</v>
      </c>
      <c r="O1918" s="351">
        <v>0</v>
      </c>
      <c r="P1918" s="349" t="s">
        <v>1837</v>
      </c>
      <c r="R1918" s="349">
        <f t="shared" si="29"/>
        <v>19</v>
      </c>
      <c r="S1918" s="352"/>
      <c r="T1918" s="352"/>
      <c r="U1918" s="352"/>
      <c r="V1918" s="353"/>
      <c r="W1918" s="352"/>
      <c r="X1918" s="176"/>
      <c r="Y1918" s="176"/>
      <c r="Z1918" s="352"/>
      <c r="AA1918" s="352"/>
      <c r="AB1918" s="352"/>
      <c r="AC1918" s="352"/>
      <c r="AD1918" s="352"/>
    </row>
    <row r="1919" spans="1:30" ht="76.900000000000006" hidden="1" x14ac:dyDescent="0.35">
      <c r="A1919" s="349">
        <v>1918</v>
      </c>
      <c r="B1919" s="352" t="s">
        <v>466</v>
      </c>
      <c r="C1919" s="351" t="s">
        <v>361</v>
      </c>
      <c r="D1919" s="352" t="s">
        <v>1400</v>
      </c>
      <c r="E1919" s="352" t="s">
        <v>105</v>
      </c>
      <c r="F1919" s="353">
        <v>2.5783</v>
      </c>
      <c r="G1919" s="352" t="s">
        <v>468</v>
      </c>
      <c r="H1919" s="176" t="s">
        <v>937</v>
      </c>
      <c r="I1919" s="176" t="s">
        <v>3296</v>
      </c>
      <c r="J1919" s="352" t="s">
        <v>106</v>
      </c>
      <c r="K1919" s="352"/>
      <c r="L1919" s="352"/>
      <c r="M1919" s="351">
        <v>100</v>
      </c>
      <c r="N1919" s="351" t="s">
        <v>1109</v>
      </c>
      <c r="O1919" s="351">
        <v>0</v>
      </c>
      <c r="P1919" s="349" t="s">
        <v>1837</v>
      </c>
      <c r="R1919" s="349">
        <f t="shared" si="29"/>
        <v>19</v>
      </c>
      <c r="S1919" s="352"/>
      <c r="T1919" s="352"/>
      <c r="U1919" s="352"/>
      <c r="V1919" s="353"/>
      <c r="W1919" s="352"/>
      <c r="X1919" s="176"/>
      <c r="Y1919" s="176"/>
      <c r="Z1919" s="352"/>
      <c r="AA1919" s="352"/>
      <c r="AB1919" s="352"/>
      <c r="AC1919" s="351"/>
      <c r="AD1919" s="351"/>
    </row>
    <row r="1920" spans="1:30" ht="76.900000000000006" hidden="1" x14ac:dyDescent="0.35">
      <c r="A1920" s="349">
        <v>1919</v>
      </c>
      <c r="B1920" s="352" t="s">
        <v>757</v>
      </c>
      <c r="C1920" s="351" t="s">
        <v>4437</v>
      </c>
      <c r="D1920" s="352" t="s">
        <v>1401</v>
      </c>
      <c r="E1920" s="352" t="s">
        <v>730</v>
      </c>
      <c r="F1920" s="353">
        <v>5.0465</v>
      </c>
      <c r="G1920" s="352" t="s">
        <v>1107</v>
      </c>
      <c r="H1920" s="176" t="s">
        <v>1139</v>
      </c>
      <c r="I1920" s="176" t="s">
        <v>773</v>
      </c>
      <c r="J1920" s="352" t="s">
        <v>1115</v>
      </c>
      <c r="K1920" s="352"/>
      <c r="L1920" s="352"/>
      <c r="M1920" s="352">
        <v>10</v>
      </c>
      <c r="N1920" s="352" t="s">
        <v>1109</v>
      </c>
      <c r="O1920" s="351">
        <v>0</v>
      </c>
      <c r="P1920" s="349" t="s">
        <v>1837</v>
      </c>
      <c r="R1920" s="349">
        <f t="shared" si="29"/>
        <v>12</v>
      </c>
      <c r="S1920" s="352"/>
      <c r="T1920" s="352"/>
      <c r="U1920" s="352"/>
      <c r="V1920" s="353"/>
      <c r="W1920" s="352"/>
      <c r="X1920" s="176"/>
      <c r="Y1920" s="176"/>
      <c r="Z1920" s="352"/>
      <c r="AA1920" s="352"/>
      <c r="AB1920" s="352"/>
      <c r="AC1920" s="351"/>
      <c r="AD1920" s="351"/>
    </row>
    <row r="1921" spans="1:30" ht="89.75" hidden="1" x14ac:dyDescent="0.35">
      <c r="A1921" s="349">
        <v>1920</v>
      </c>
      <c r="B1921" s="352" t="s">
        <v>2192</v>
      </c>
      <c r="C1921" s="351" t="s">
        <v>4438</v>
      </c>
      <c r="D1921" s="352" t="s">
        <v>1992</v>
      </c>
      <c r="E1921" s="352" t="s">
        <v>2004</v>
      </c>
      <c r="F1921" s="353">
        <v>1</v>
      </c>
      <c r="G1921" s="352" t="s">
        <v>2126</v>
      </c>
      <c r="H1921" s="176" t="s">
        <v>2050</v>
      </c>
      <c r="I1921" s="176" t="s">
        <v>3327</v>
      </c>
      <c r="J1921" s="352" t="s">
        <v>3577</v>
      </c>
      <c r="K1921" s="352"/>
      <c r="L1921" s="352"/>
      <c r="M1921" s="351"/>
      <c r="N1921" s="351"/>
      <c r="O1921" s="351">
        <v>0</v>
      </c>
      <c r="P1921" s="349" t="s">
        <v>2313</v>
      </c>
      <c r="R1921" s="349">
        <f t="shared" si="29"/>
        <v>22</v>
      </c>
      <c r="S1921" s="352"/>
      <c r="T1921" s="352"/>
      <c r="U1921" s="352"/>
      <c r="V1921" s="353"/>
      <c r="W1921" s="352"/>
      <c r="X1921" s="176"/>
      <c r="Y1921" s="176"/>
      <c r="Z1921" s="352"/>
      <c r="AA1921" s="352"/>
      <c r="AB1921" s="352"/>
      <c r="AC1921" s="352"/>
      <c r="AD1921" s="352"/>
    </row>
    <row r="1922" spans="1:30" ht="89.75" hidden="1" x14ac:dyDescent="0.35">
      <c r="A1922" s="349">
        <v>1921</v>
      </c>
      <c r="B1922" s="352" t="s">
        <v>2192</v>
      </c>
      <c r="C1922" s="351" t="s">
        <v>4438</v>
      </c>
      <c r="D1922" s="352" t="s">
        <v>1992</v>
      </c>
      <c r="E1922" s="352" t="s">
        <v>2023</v>
      </c>
      <c r="F1922" s="353">
        <v>0.22</v>
      </c>
      <c r="G1922" s="352" t="s">
        <v>967</v>
      </c>
      <c r="H1922" s="176" t="s">
        <v>2326</v>
      </c>
      <c r="I1922" s="176" t="s">
        <v>3327</v>
      </c>
      <c r="J1922" s="352" t="s">
        <v>2023</v>
      </c>
      <c r="K1922" s="352"/>
      <c r="L1922" s="352"/>
      <c r="M1922" s="352"/>
      <c r="N1922" s="352"/>
      <c r="O1922" s="351">
        <v>0</v>
      </c>
      <c r="P1922" s="349" t="s">
        <v>2313</v>
      </c>
      <c r="R1922" s="349">
        <f t="shared" si="29"/>
        <v>22</v>
      </c>
      <c r="S1922" s="352"/>
      <c r="T1922" s="352"/>
      <c r="U1922" s="352"/>
      <c r="V1922" s="353"/>
      <c r="W1922" s="352"/>
      <c r="X1922" s="176"/>
      <c r="Y1922" s="176"/>
      <c r="Z1922" s="352"/>
      <c r="AA1922" s="352"/>
      <c r="AB1922" s="352"/>
      <c r="AC1922" s="351"/>
      <c r="AD1922" s="351"/>
    </row>
    <row r="1923" spans="1:30" ht="115.35" hidden="1" x14ac:dyDescent="0.35">
      <c r="A1923" s="349">
        <v>1922</v>
      </c>
      <c r="B1923" s="352" t="s">
        <v>2070</v>
      </c>
      <c r="C1923" s="351" t="s">
        <v>4439</v>
      </c>
      <c r="D1923" s="352" t="s">
        <v>2440</v>
      </c>
      <c r="E1923" s="352" t="s">
        <v>2738</v>
      </c>
      <c r="F1923" s="353">
        <v>16.505800000000001</v>
      </c>
      <c r="G1923" s="352" t="s">
        <v>1107</v>
      </c>
      <c r="H1923" s="176" t="s">
        <v>1795</v>
      </c>
      <c r="I1923" s="176" t="s">
        <v>4269</v>
      </c>
      <c r="J1923" s="352" t="s">
        <v>828</v>
      </c>
      <c r="K1923" s="352">
        <v>10</v>
      </c>
      <c r="L1923" s="352" t="s">
        <v>1116</v>
      </c>
      <c r="M1923" s="352">
        <v>4</v>
      </c>
      <c r="N1923" s="352" t="s">
        <v>1109</v>
      </c>
      <c r="O1923" s="351">
        <v>10</v>
      </c>
      <c r="P1923" s="349" t="s">
        <v>1836</v>
      </c>
      <c r="R1923" s="349">
        <f t="shared" ref="R1923:R1986" si="30">LEN(D1923)</f>
        <v>7</v>
      </c>
      <c r="S1923" s="352"/>
      <c r="T1923" s="352"/>
      <c r="U1923" s="352"/>
      <c r="V1923" s="353"/>
      <c r="W1923" s="352"/>
      <c r="X1923" s="176"/>
      <c r="Y1923" s="176"/>
      <c r="Z1923" s="352"/>
      <c r="AA1923" s="352"/>
      <c r="AB1923" s="352"/>
      <c r="AC1923" s="351"/>
      <c r="AD1923" s="351"/>
    </row>
    <row r="1924" spans="1:30" ht="115.35" hidden="1" x14ac:dyDescent="0.35">
      <c r="A1924" s="349">
        <v>1923</v>
      </c>
      <c r="B1924" s="352" t="s">
        <v>2070</v>
      </c>
      <c r="C1924" s="351" t="s">
        <v>4439</v>
      </c>
      <c r="D1924" s="352" t="s">
        <v>2440</v>
      </c>
      <c r="E1924" s="352" t="s">
        <v>1995</v>
      </c>
      <c r="F1924" s="353">
        <v>0.2</v>
      </c>
      <c r="G1924" s="352" t="s">
        <v>2126</v>
      </c>
      <c r="H1924" s="176" t="s">
        <v>3111</v>
      </c>
      <c r="I1924" s="176" t="s">
        <v>4269</v>
      </c>
      <c r="J1924" s="352" t="s">
        <v>3580</v>
      </c>
      <c r="K1924" s="352">
        <v>80</v>
      </c>
      <c r="L1924" s="352" t="s">
        <v>3581</v>
      </c>
      <c r="M1924" s="351"/>
      <c r="N1924" s="351"/>
      <c r="O1924" s="351">
        <v>80</v>
      </c>
      <c r="P1924" s="349" t="s">
        <v>1836</v>
      </c>
      <c r="R1924" s="349">
        <f t="shared" si="30"/>
        <v>7</v>
      </c>
      <c r="S1924" s="352"/>
      <c r="T1924" s="352"/>
      <c r="U1924" s="352"/>
      <c r="V1924" s="353"/>
      <c r="W1924" s="352"/>
      <c r="X1924" s="176"/>
      <c r="Y1924" s="176"/>
      <c r="Z1924" s="352"/>
      <c r="AA1924" s="351"/>
      <c r="AB1924" s="351"/>
      <c r="AC1924" s="352"/>
      <c r="AD1924" s="352"/>
    </row>
    <row r="1925" spans="1:30" ht="115.35" hidden="1" x14ac:dyDescent="0.35">
      <c r="A1925" s="349">
        <v>1924</v>
      </c>
      <c r="B1925" s="352" t="s">
        <v>2070</v>
      </c>
      <c r="C1925" s="351" t="s">
        <v>2440</v>
      </c>
      <c r="D1925" s="352" t="s">
        <v>2440</v>
      </c>
      <c r="E1925" s="352" t="s">
        <v>2738</v>
      </c>
      <c r="F1925" s="353">
        <v>16.505800000000001</v>
      </c>
      <c r="G1925" s="352" t="s">
        <v>1107</v>
      </c>
      <c r="H1925" s="176" t="s">
        <v>1795</v>
      </c>
      <c r="I1925" s="176" t="s">
        <v>4269</v>
      </c>
      <c r="J1925" s="352" t="s">
        <v>828</v>
      </c>
      <c r="K1925" s="352">
        <v>10</v>
      </c>
      <c r="L1925" s="352" t="s">
        <v>1116</v>
      </c>
      <c r="M1925" s="351">
        <v>4</v>
      </c>
      <c r="N1925" s="351" t="s">
        <v>1109</v>
      </c>
      <c r="O1925" s="351">
        <v>10</v>
      </c>
      <c r="P1925" s="349" t="s">
        <v>1836</v>
      </c>
      <c r="R1925" s="349">
        <f t="shared" si="30"/>
        <v>7</v>
      </c>
      <c r="S1925" s="352"/>
      <c r="T1925" s="352"/>
      <c r="U1925" s="352"/>
      <c r="V1925" s="353"/>
      <c r="W1925" s="352"/>
      <c r="X1925" s="176"/>
      <c r="Y1925" s="176"/>
      <c r="Z1925" s="352"/>
      <c r="AA1925" s="351"/>
      <c r="AB1925" s="351"/>
      <c r="AC1925" s="352"/>
      <c r="AD1925" s="352"/>
    </row>
    <row r="1926" spans="1:30" ht="115.35" hidden="1" x14ac:dyDescent="0.35">
      <c r="A1926" s="349">
        <v>1925</v>
      </c>
      <c r="B1926" s="352" t="s">
        <v>2070</v>
      </c>
      <c r="C1926" s="351" t="s">
        <v>2440</v>
      </c>
      <c r="D1926" s="352" t="s">
        <v>2440</v>
      </c>
      <c r="E1926" s="352" t="s">
        <v>1995</v>
      </c>
      <c r="F1926" s="353">
        <v>0.2</v>
      </c>
      <c r="G1926" s="352" t="s">
        <v>2126</v>
      </c>
      <c r="H1926" s="176" t="s">
        <v>3111</v>
      </c>
      <c r="I1926" s="176" t="s">
        <v>4269</v>
      </c>
      <c r="J1926" s="352" t="s">
        <v>3580</v>
      </c>
      <c r="K1926" s="352">
        <v>80</v>
      </c>
      <c r="L1926" s="352" t="s">
        <v>3581</v>
      </c>
      <c r="M1926" s="351"/>
      <c r="N1926" s="351"/>
      <c r="O1926" s="351">
        <v>80</v>
      </c>
      <c r="P1926" s="349" t="s">
        <v>1836</v>
      </c>
      <c r="R1926" s="349">
        <f t="shared" si="30"/>
        <v>7</v>
      </c>
      <c r="S1926" s="352"/>
      <c r="T1926" s="352"/>
      <c r="U1926" s="352"/>
      <c r="V1926" s="353"/>
      <c r="W1926" s="352"/>
      <c r="X1926" s="176"/>
      <c r="Y1926" s="176"/>
      <c r="Z1926" s="352"/>
      <c r="AA1926" s="351"/>
      <c r="AB1926" s="351"/>
      <c r="AC1926" s="352"/>
      <c r="AD1926" s="352"/>
    </row>
    <row r="1927" spans="1:30" ht="25.65" hidden="1" x14ac:dyDescent="0.35">
      <c r="A1927" s="349">
        <v>1926</v>
      </c>
      <c r="B1927" s="352" t="s">
        <v>959</v>
      </c>
      <c r="C1927" s="351" t="s">
        <v>4440</v>
      </c>
      <c r="D1927" s="352" t="s">
        <v>1358</v>
      </c>
      <c r="E1927" s="352" t="s">
        <v>2191</v>
      </c>
      <c r="F1927" s="353">
        <v>11.0847</v>
      </c>
      <c r="G1927" s="352" t="s">
        <v>34</v>
      </c>
      <c r="H1927" s="176" t="s">
        <v>2357</v>
      </c>
      <c r="I1927" s="176" t="s">
        <v>2358</v>
      </c>
      <c r="J1927" s="352" t="s">
        <v>2704</v>
      </c>
      <c r="K1927" s="352">
        <v>85</v>
      </c>
      <c r="L1927" s="352" t="s">
        <v>470</v>
      </c>
      <c r="M1927" s="351">
        <v>1000</v>
      </c>
      <c r="N1927" s="351" t="s">
        <v>1109</v>
      </c>
      <c r="O1927" s="351">
        <v>85</v>
      </c>
      <c r="P1927" s="349" t="s">
        <v>1838</v>
      </c>
      <c r="R1927" s="349">
        <f t="shared" si="30"/>
        <v>4</v>
      </c>
      <c r="S1927" s="352"/>
      <c r="T1927" s="352"/>
      <c r="U1927" s="352"/>
      <c r="V1927" s="353"/>
      <c r="W1927" s="352"/>
      <c r="X1927" s="176"/>
      <c r="Y1927" s="176"/>
      <c r="Z1927" s="352"/>
      <c r="AA1927" s="351"/>
      <c r="AB1927" s="351"/>
      <c r="AC1927" s="352"/>
      <c r="AD1927" s="352"/>
    </row>
    <row r="1928" spans="1:30" ht="128.19999999999999" hidden="1" x14ac:dyDescent="0.35">
      <c r="A1928" s="349">
        <v>1927</v>
      </c>
      <c r="B1928" s="352" t="s">
        <v>1463</v>
      </c>
      <c r="C1928" s="351" t="s">
        <v>1909</v>
      </c>
      <c r="D1928" s="352" t="s">
        <v>1909</v>
      </c>
      <c r="E1928" s="352" t="s">
        <v>1998</v>
      </c>
      <c r="F1928" s="353">
        <v>0.05</v>
      </c>
      <c r="G1928" s="352" t="s">
        <v>2126</v>
      </c>
      <c r="H1928" s="176" t="s">
        <v>683</v>
      </c>
      <c r="I1928" s="176" t="s">
        <v>832</v>
      </c>
      <c r="J1928" s="352" t="s">
        <v>22</v>
      </c>
      <c r="K1928" s="352">
        <v>1</v>
      </c>
      <c r="L1928" s="352" t="s">
        <v>23</v>
      </c>
      <c r="M1928" s="351"/>
      <c r="N1928" s="351"/>
      <c r="O1928" s="351">
        <v>1</v>
      </c>
      <c r="P1928" s="349" t="s">
        <v>1836</v>
      </c>
      <c r="R1928" s="349">
        <f t="shared" si="30"/>
        <v>13</v>
      </c>
      <c r="S1928" s="352"/>
      <c r="T1928" s="352"/>
      <c r="U1928" s="352"/>
      <c r="V1928" s="353"/>
      <c r="W1928" s="352"/>
      <c r="X1928" s="176"/>
      <c r="Y1928" s="176"/>
      <c r="Z1928" s="352"/>
      <c r="AA1928" s="352"/>
      <c r="AB1928" s="352"/>
      <c r="AC1928" s="352"/>
      <c r="AD1928" s="352"/>
    </row>
    <row r="1929" spans="1:30" ht="128.19999999999999" hidden="1" x14ac:dyDescent="0.35">
      <c r="A1929" s="349">
        <v>1928</v>
      </c>
      <c r="B1929" s="352" t="s">
        <v>1463</v>
      </c>
      <c r="C1929" s="351" t="s">
        <v>1909</v>
      </c>
      <c r="D1929" s="352" t="s">
        <v>1909</v>
      </c>
      <c r="E1929" s="352" t="s">
        <v>1998</v>
      </c>
      <c r="F1929" s="353">
        <v>0.05</v>
      </c>
      <c r="G1929" s="352" t="s">
        <v>2126</v>
      </c>
      <c r="H1929" s="176" t="s">
        <v>683</v>
      </c>
      <c r="I1929" s="176" t="s">
        <v>832</v>
      </c>
      <c r="J1929" s="352" t="s">
        <v>22</v>
      </c>
      <c r="K1929" s="352">
        <v>2</v>
      </c>
      <c r="L1929" s="352" t="s">
        <v>23</v>
      </c>
      <c r="M1929" s="351"/>
      <c r="N1929" s="351"/>
      <c r="O1929" s="351">
        <v>2</v>
      </c>
      <c r="P1929" s="349" t="s">
        <v>1836</v>
      </c>
      <c r="R1929" s="349">
        <f t="shared" si="30"/>
        <v>13</v>
      </c>
      <c r="S1929" s="352"/>
      <c r="T1929" s="352"/>
      <c r="U1929" s="352"/>
      <c r="V1929" s="353"/>
      <c r="W1929" s="352"/>
      <c r="X1929" s="176"/>
      <c r="Y1929" s="176"/>
      <c r="Z1929" s="352"/>
      <c r="AA1929" s="352"/>
      <c r="AB1929" s="352"/>
      <c r="AC1929" s="352"/>
      <c r="AD1929" s="352"/>
    </row>
    <row r="1930" spans="1:30" ht="128.19999999999999" hidden="1" x14ac:dyDescent="0.35">
      <c r="A1930" s="349">
        <v>1929</v>
      </c>
      <c r="B1930" s="352" t="s">
        <v>1463</v>
      </c>
      <c r="C1930" s="351" t="s">
        <v>1909</v>
      </c>
      <c r="D1930" s="352" t="s">
        <v>1909</v>
      </c>
      <c r="E1930" s="352" t="s">
        <v>1998</v>
      </c>
      <c r="F1930" s="353">
        <v>0.05</v>
      </c>
      <c r="G1930" s="352" t="s">
        <v>2126</v>
      </c>
      <c r="H1930" s="176" t="s">
        <v>683</v>
      </c>
      <c r="I1930" s="176" t="s">
        <v>832</v>
      </c>
      <c r="J1930" s="352" t="s">
        <v>22</v>
      </c>
      <c r="K1930" s="352">
        <v>5</v>
      </c>
      <c r="L1930" s="352" t="s">
        <v>23</v>
      </c>
      <c r="M1930" s="351"/>
      <c r="N1930" s="351"/>
      <c r="O1930" s="351">
        <v>5</v>
      </c>
      <c r="P1930" s="349" t="s">
        <v>1836</v>
      </c>
      <c r="R1930" s="349">
        <f t="shared" si="30"/>
        <v>13</v>
      </c>
      <c r="S1930" s="352"/>
      <c r="T1930" s="352"/>
      <c r="U1930" s="352"/>
      <c r="V1930" s="353"/>
      <c r="W1930" s="352"/>
      <c r="X1930" s="176"/>
      <c r="Y1930" s="176"/>
      <c r="Z1930" s="352"/>
      <c r="AA1930" s="352"/>
      <c r="AB1930" s="352"/>
      <c r="AC1930" s="352"/>
      <c r="AD1930" s="352"/>
    </row>
    <row r="1931" spans="1:30" ht="128.19999999999999" hidden="1" x14ac:dyDescent="0.35">
      <c r="A1931" s="349">
        <v>1930</v>
      </c>
      <c r="B1931" s="352" t="s">
        <v>1463</v>
      </c>
      <c r="C1931" s="351" t="s">
        <v>1909</v>
      </c>
      <c r="D1931" s="352" t="s">
        <v>1909</v>
      </c>
      <c r="E1931" s="352" t="s">
        <v>1998</v>
      </c>
      <c r="F1931" s="353">
        <v>0.05</v>
      </c>
      <c r="G1931" s="352" t="s">
        <v>2126</v>
      </c>
      <c r="H1931" s="176" t="s">
        <v>683</v>
      </c>
      <c r="I1931" s="176" t="s">
        <v>832</v>
      </c>
      <c r="J1931" s="352" t="s">
        <v>22</v>
      </c>
      <c r="K1931" s="352">
        <v>10</v>
      </c>
      <c r="L1931" s="352" t="s">
        <v>23</v>
      </c>
      <c r="M1931" s="351"/>
      <c r="N1931" s="351"/>
      <c r="O1931" s="351">
        <v>10</v>
      </c>
      <c r="P1931" s="349" t="s">
        <v>1836</v>
      </c>
      <c r="R1931" s="349">
        <f t="shared" si="30"/>
        <v>13</v>
      </c>
      <c r="S1931" s="352"/>
      <c r="T1931" s="352"/>
      <c r="U1931" s="352"/>
      <c r="V1931" s="353"/>
      <c r="W1931" s="352"/>
      <c r="X1931" s="176"/>
      <c r="Y1931" s="176"/>
      <c r="Z1931" s="352"/>
      <c r="AA1931" s="352"/>
      <c r="AB1931" s="352"/>
      <c r="AC1931" s="352"/>
      <c r="AD1931" s="352"/>
    </row>
    <row r="1932" spans="1:30" ht="128.19999999999999" hidden="1" x14ac:dyDescent="0.35">
      <c r="A1932" s="349">
        <v>1931</v>
      </c>
      <c r="B1932" s="352" t="s">
        <v>1463</v>
      </c>
      <c r="C1932" s="351" t="s">
        <v>1909</v>
      </c>
      <c r="D1932" s="352" t="s">
        <v>1909</v>
      </c>
      <c r="E1932" s="352" t="s">
        <v>1995</v>
      </c>
      <c r="F1932" s="353">
        <v>0.35</v>
      </c>
      <c r="G1932" s="352" t="s">
        <v>2126</v>
      </c>
      <c r="H1932" s="176" t="s">
        <v>683</v>
      </c>
      <c r="I1932" s="176" t="s">
        <v>832</v>
      </c>
      <c r="J1932" s="352" t="s">
        <v>3580</v>
      </c>
      <c r="K1932" s="352">
        <v>25</v>
      </c>
      <c r="L1932" s="352" t="s">
        <v>3581</v>
      </c>
      <c r="M1932" s="351"/>
      <c r="N1932" s="351"/>
      <c r="O1932" s="351">
        <v>25</v>
      </c>
      <c r="P1932" s="349" t="s">
        <v>1836</v>
      </c>
      <c r="R1932" s="349">
        <f t="shared" si="30"/>
        <v>13</v>
      </c>
      <c r="S1932" s="352"/>
      <c r="T1932" s="352"/>
      <c r="U1932" s="352"/>
      <c r="V1932" s="353"/>
      <c r="W1932" s="352"/>
      <c r="X1932" s="176"/>
      <c r="Y1932" s="176"/>
      <c r="Z1932" s="352"/>
      <c r="AA1932" s="352"/>
      <c r="AB1932" s="352"/>
      <c r="AC1932" s="351"/>
      <c r="AD1932" s="351"/>
    </row>
    <row r="1933" spans="1:30" ht="128.19999999999999" hidden="1" x14ac:dyDescent="0.35">
      <c r="A1933" s="349">
        <v>1932</v>
      </c>
      <c r="B1933" s="352" t="s">
        <v>1463</v>
      </c>
      <c r="C1933" s="351" t="s">
        <v>1909</v>
      </c>
      <c r="D1933" s="352" t="s">
        <v>1909</v>
      </c>
      <c r="E1933" s="352" t="s">
        <v>1998</v>
      </c>
      <c r="F1933" s="353">
        <v>0.05</v>
      </c>
      <c r="G1933" s="352" t="s">
        <v>2126</v>
      </c>
      <c r="H1933" s="176" t="s">
        <v>683</v>
      </c>
      <c r="I1933" s="176" t="s">
        <v>832</v>
      </c>
      <c r="J1933" s="352" t="s">
        <v>22</v>
      </c>
      <c r="K1933" s="352">
        <v>1</v>
      </c>
      <c r="L1933" s="352" t="s">
        <v>23</v>
      </c>
      <c r="M1933" s="351"/>
      <c r="N1933" s="351"/>
      <c r="O1933" s="351">
        <v>1</v>
      </c>
      <c r="P1933" s="349" t="s">
        <v>1836</v>
      </c>
      <c r="R1933" s="349">
        <f t="shared" si="30"/>
        <v>13</v>
      </c>
      <c r="S1933" s="352"/>
      <c r="T1933" s="352"/>
      <c r="U1933" s="352"/>
      <c r="V1933" s="353"/>
      <c r="W1933" s="352"/>
      <c r="X1933" s="176"/>
      <c r="Y1933" s="176"/>
      <c r="Z1933" s="352"/>
      <c r="AA1933" s="352"/>
      <c r="AB1933" s="352"/>
      <c r="AC1933" s="351"/>
      <c r="AD1933" s="351"/>
    </row>
    <row r="1934" spans="1:30" ht="128.19999999999999" hidden="1" x14ac:dyDescent="0.35">
      <c r="A1934" s="349">
        <v>1933</v>
      </c>
      <c r="B1934" s="352" t="s">
        <v>1463</v>
      </c>
      <c r="C1934" s="351" t="s">
        <v>1909</v>
      </c>
      <c r="D1934" s="352" t="s">
        <v>1909</v>
      </c>
      <c r="E1934" s="352" t="s">
        <v>1998</v>
      </c>
      <c r="F1934" s="353">
        <v>0.05</v>
      </c>
      <c r="G1934" s="352" t="s">
        <v>2126</v>
      </c>
      <c r="H1934" s="176" t="s">
        <v>683</v>
      </c>
      <c r="I1934" s="176" t="s">
        <v>832</v>
      </c>
      <c r="J1934" s="352" t="s">
        <v>22</v>
      </c>
      <c r="K1934" s="352">
        <v>2</v>
      </c>
      <c r="L1934" s="352" t="s">
        <v>23</v>
      </c>
      <c r="M1934" s="351"/>
      <c r="N1934" s="351"/>
      <c r="O1934" s="351">
        <v>2</v>
      </c>
      <c r="P1934" s="349" t="s">
        <v>1836</v>
      </c>
      <c r="R1934" s="349">
        <f t="shared" si="30"/>
        <v>13</v>
      </c>
      <c r="S1934" s="352"/>
      <c r="T1934" s="352"/>
      <c r="U1934" s="352"/>
      <c r="V1934" s="353"/>
      <c r="W1934" s="352"/>
      <c r="X1934" s="176"/>
      <c r="Y1934" s="176"/>
      <c r="Z1934" s="352"/>
      <c r="AA1934" s="352"/>
      <c r="AB1934" s="352"/>
      <c r="AC1934" s="351"/>
      <c r="AD1934" s="351"/>
    </row>
    <row r="1935" spans="1:30" ht="128.19999999999999" hidden="1" x14ac:dyDescent="0.35">
      <c r="A1935" s="349">
        <v>1934</v>
      </c>
      <c r="B1935" s="352" t="s">
        <v>1463</v>
      </c>
      <c r="C1935" s="351" t="s">
        <v>1909</v>
      </c>
      <c r="D1935" s="352" t="s">
        <v>1909</v>
      </c>
      <c r="E1935" s="352" t="s">
        <v>1998</v>
      </c>
      <c r="F1935" s="353">
        <v>0.05</v>
      </c>
      <c r="G1935" s="352" t="s">
        <v>2126</v>
      </c>
      <c r="H1935" s="176" t="s">
        <v>683</v>
      </c>
      <c r="I1935" s="176" t="s">
        <v>832</v>
      </c>
      <c r="J1935" s="352" t="s">
        <v>22</v>
      </c>
      <c r="K1935" s="352">
        <v>5</v>
      </c>
      <c r="L1935" s="352" t="s">
        <v>23</v>
      </c>
      <c r="M1935" s="352"/>
      <c r="N1935" s="352"/>
      <c r="O1935" s="351">
        <v>5</v>
      </c>
      <c r="P1935" s="349" t="s">
        <v>1836</v>
      </c>
      <c r="R1935" s="349">
        <f t="shared" si="30"/>
        <v>13</v>
      </c>
      <c r="S1935" s="352"/>
      <c r="T1935" s="352"/>
      <c r="U1935" s="352"/>
      <c r="V1935" s="353"/>
      <c r="W1935" s="352"/>
      <c r="X1935" s="176"/>
      <c r="Y1935" s="176"/>
      <c r="Z1935" s="352"/>
      <c r="AA1935" s="352"/>
      <c r="AB1935" s="352"/>
      <c r="AC1935" s="351"/>
      <c r="AD1935" s="351"/>
    </row>
    <row r="1936" spans="1:30" ht="128.19999999999999" hidden="1" x14ac:dyDescent="0.35">
      <c r="A1936" s="349">
        <v>1935</v>
      </c>
      <c r="B1936" s="352" t="s">
        <v>1463</v>
      </c>
      <c r="C1936" s="351" t="s">
        <v>1909</v>
      </c>
      <c r="D1936" s="352" t="s">
        <v>1909</v>
      </c>
      <c r="E1936" s="352" t="s">
        <v>1998</v>
      </c>
      <c r="F1936" s="353">
        <v>0.05</v>
      </c>
      <c r="G1936" s="352" t="s">
        <v>2126</v>
      </c>
      <c r="H1936" s="176" t="s">
        <v>683</v>
      </c>
      <c r="I1936" s="176" t="s">
        <v>832</v>
      </c>
      <c r="J1936" s="352" t="s">
        <v>22</v>
      </c>
      <c r="K1936" s="352">
        <v>10</v>
      </c>
      <c r="L1936" s="352" t="s">
        <v>23</v>
      </c>
      <c r="M1936" s="352"/>
      <c r="N1936" s="352"/>
      <c r="O1936" s="351">
        <v>10</v>
      </c>
      <c r="P1936" s="349" t="s">
        <v>1836</v>
      </c>
      <c r="R1936" s="349">
        <f t="shared" si="30"/>
        <v>13</v>
      </c>
      <c r="S1936" s="352"/>
      <c r="T1936" s="352"/>
      <c r="U1936" s="352"/>
      <c r="V1936" s="353"/>
      <c r="W1936" s="352"/>
      <c r="X1936" s="176"/>
      <c r="Y1936" s="176"/>
      <c r="Z1936" s="352"/>
      <c r="AA1936" s="352"/>
      <c r="AB1936" s="352"/>
      <c r="AC1936" s="352"/>
      <c r="AD1936" s="352"/>
    </row>
    <row r="1937" spans="1:30" ht="128.19999999999999" hidden="1" x14ac:dyDescent="0.35">
      <c r="A1937" s="349">
        <v>1936</v>
      </c>
      <c r="B1937" s="352" t="s">
        <v>1463</v>
      </c>
      <c r="C1937" s="351" t="s">
        <v>1909</v>
      </c>
      <c r="D1937" s="352" t="s">
        <v>1909</v>
      </c>
      <c r="E1937" s="352" t="s">
        <v>1995</v>
      </c>
      <c r="F1937" s="353">
        <v>0.35</v>
      </c>
      <c r="G1937" s="352" t="s">
        <v>2126</v>
      </c>
      <c r="H1937" s="176" t="s">
        <v>683</v>
      </c>
      <c r="I1937" s="37" t="s">
        <v>832</v>
      </c>
      <c r="J1937" s="352" t="s">
        <v>3580</v>
      </c>
      <c r="K1937" s="351">
        <v>25</v>
      </c>
      <c r="L1937" s="351" t="s">
        <v>3581</v>
      </c>
      <c r="M1937" s="352"/>
      <c r="N1937" s="352"/>
      <c r="O1937" s="351">
        <v>25</v>
      </c>
      <c r="P1937" s="349" t="s">
        <v>1836</v>
      </c>
      <c r="R1937" s="349">
        <f t="shared" si="30"/>
        <v>13</v>
      </c>
      <c r="S1937" s="352"/>
      <c r="T1937" s="352"/>
      <c r="U1937" s="352"/>
      <c r="V1937" s="353"/>
      <c r="W1937" s="352"/>
      <c r="X1937" s="176"/>
      <c r="Y1937" s="176"/>
      <c r="Z1937" s="352"/>
      <c r="AA1937" s="352"/>
      <c r="AB1937" s="352"/>
      <c r="AC1937" s="351"/>
      <c r="AD1937" s="351"/>
    </row>
    <row r="1938" spans="1:30" ht="51.3" hidden="1" x14ac:dyDescent="0.35">
      <c r="A1938" s="349">
        <v>1937</v>
      </c>
      <c r="B1938" s="352" t="s">
        <v>4100</v>
      </c>
      <c r="C1938" s="351" t="s">
        <v>3167</v>
      </c>
      <c r="D1938" s="352" t="s">
        <v>3167</v>
      </c>
      <c r="E1938" s="352" t="s">
        <v>1998</v>
      </c>
      <c r="F1938" s="353">
        <v>8.6826000000000008</v>
      </c>
      <c r="G1938" s="352" t="s">
        <v>2126</v>
      </c>
      <c r="H1938" s="176" t="s">
        <v>3769</v>
      </c>
      <c r="I1938" s="37" t="s">
        <v>3146</v>
      </c>
      <c r="J1938" s="352" t="s">
        <v>22</v>
      </c>
      <c r="K1938" s="351">
        <v>30</v>
      </c>
      <c r="L1938" s="351" t="s">
        <v>23</v>
      </c>
      <c r="M1938" s="352"/>
      <c r="N1938" s="352"/>
      <c r="O1938" s="351">
        <v>30</v>
      </c>
      <c r="P1938" s="349" t="s">
        <v>1836</v>
      </c>
      <c r="R1938" s="349">
        <f t="shared" si="30"/>
        <v>9</v>
      </c>
      <c r="S1938" s="352"/>
      <c r="T1938" s="352"/>
      <c r="U1938" s="352"/>
      <c r="V1938" s="353"/>
      <c r="W1938" s="352"/>
      <c r="X1938" s="176"/>
      <c r="Y1938" s="176"/>
      <c r="Z1938" s="352"/>
      <c r="AA1938" s="352"/>
      <c r="AB1938" s="352"/>
      <c r="AC1938" s="352"/>
      <c r="AD1938" s="352"/>
    </row>
    <row r="1939" spans="1:30" ht="51.3" hidden="1" x14ac:dyDescent="0.35">
      <c r="A1939" s="349">
        <v>1938</v>
      </c>
      <c r="B1939" s="352" t="s">
        <v>4100</v>
      </c>
      <c r="C1939" s="351" t="s">
        <v>3167</v>
      </c>
      <c r="D1939" s="352" t="s">
        <v>3167</v>
      </c>
      <c r="E1939" s="352" t="s">
        <v>1998</v>
      </c>
      <c r="F1939" s="353">
        <v>2.69</v>
      </c>
      <c r="G1939" s="352" t="s">
        <v>2126</v>
      </c>
      <c r="H1939" s="176" t="s">
        <v>3769</v>
      </c>
      <c r="I1939" s="176" t="s">
        <v>3146</v>
      </c>
      <c r="J1939" s="352" t="s">
        <v>22</v>
      </c>
      <c r="K1939" s="352">
        <v>40</v>
      </c>
      <c r="L1939" s="352" t="s">
        <v>23</v>
      </c>
      <c r="M1939" s="352"/>
      <c r="N1939" s="352"/>
      <c r="O1939" s="351">
        <v>40</v>
      </c>
      <c r="P1939" s="349" t="s">
        <v>1836</v>
      </c>
      <c r="R1939" s="349">
        <f t="shared" si="30"/>
        <v>9</v>
      </c>
      <c r="S1939" s="352"/>
      <c r="T1939" s="352"/>
      <c r="U1939" s="352"/>
      <c r="V1939" s="353"/>
      <c r="W1939" s="352"/>
      <c r="X1939" s="176"/>
      <c r="Y1939" s="176"/>
      <c r="Z1939" s="352"/>
      <c r="AA1939" s="352"/>
      <c r="AB1939" s="352"/>
      <c r="AC1939" s="351"/>
      <c r="AD1939" s="351"/>
    </row>
    <row r="1940" spans="1:30" ht="51.3" hidden="1" x14ac:dyDescent="0.35">
      <c r="A1940" s="349">
        <v>1939</v>
      </c>
      <c r="B1940" s="352" t="s">
        <v>4100</v>
      </c>
      <c r="C1940" s="351" t="s">
        <v>3167</v>
      </c>
      <c r="D1940" s="352" t="s">
        <v>3167</v>
      </c>
      <c r="E1940" s="352" t="s">
        <v>553</v>
      </c>
      <c r="F1940" s="353">
        <v>50.531100000000002</v>
      </c>
      <c r="G1940" s="352" t="s">
        <v>2126</v>
      </c>
      <c r="H1940" s="176" t="s">
        <v>3769</v>
      </c>
      <c r="I1940" s="176" t="s">
        <v>3146</v>
      </c>
      <c r="J1940" s="352" t="s">
        <v>3579</v>
      </c>
      <c r="K1940" s="352">
        <v>1</v>
      </c>
      <c r="L1940" s="352" t="s">
        <v>1116</v>
      </c>
      <c r="M1940" s="352">
        <v>200</v>
      </c>
      <c r="N1940" s="352" t="s">
        <v>1109</v>
      </c>
      <c r="O1940" s="351">
        <v>1</v>
      </c>
      <c r="P1940" s="349" t="s">
        <v>1836</v>
      </c>
      <c r="R1940" s="349">
        <f t="shared" si="30"/>
        <v>9</v>
      </c>
      <c r="S1940" s="352"/>
      <c r="T1940" s="352"/>
      <c r="U1940" s="352"/>
      <c r="V1940" s="353"/>
      <c r="W1940" s="352"/>
      <c r="X1940" s="176"/>
      <c r="Y1940" s="176"/>
      <c r="Z1940" s="352"/>
      <c r="AA1940" s="352"/>
      <c r="AB1940" s="352"/>
      <c r="AC1940" s="351"/>
      <c r="AD1940" s="351"/>
    </row>
    <row r="1941" spans="1:30" ht="25.65" hidden="1" x14ac:dyDescent="0.35">
      <c r="A1941" s="349">
        <v>1940</v>
      </c>
      <c r="B1941" s="352" t="s">
        <v>1322</v>
      </c>
      <c r="C1941" s="351" t="s">
        <v>4441</v>
      </c>
      <c r="D1941" s="352" t="s">
        <v>5047</v>
      </c>
      <c r="E1941" s="352" t="s">
        <v>1325</v>
      </c>
      <c r="F1941" s="353">
        <v>6.4</v>
      </c>
      <c r="G1941" s="352" t="s">
        <v>34</v>
      </c>
      <c r="H1941" s="176" t="s">
        <v>2557</v>
      </c>
      <c r="I1941" s="176" t="s">
        <v>2313</v>
      </c>
      <c r="J1941" s="352" t="s">
        <v>469</v>
      </c>
      <c r="K1941" s="352"/>
      <c r="L1941" s="352"/>
      <c r="M1941" s="352">
        <v>1000</v>
      </c>
      <c r="N1941" s="352" t="s">
        <v>1109</v>
      </c>
      <c r="O1941" s="351">
        <v>0</v>
      </c>
      <c r="P1941" s="349" t="s">
        <v>1837</v>
      </c>
      <c r="R1941" s="349">
        <f t="shared" si="30"/>
        <v>32</v>
      </c>
      <c r="S1941" s="352"/>
      <c r="T1941" s="352"/>
      <c r="U1941" s="352"/>
      <c r="V1941" s="353"/>
      <c r="W1941" s="352"/>
      <c r="X1941" s="176"/>
      <c r="Y1941" s="176"/>
      <c r="Z1941" s="352"/>
      <c r="AA1941" s="352"/>
      <c r="AB1941" s="352"/>
      <c r="AC1941" s="351"/>
      <c r="AD1941" s="351"/>
    </row>
    <row r="1942" spans="1:30" hidden="1" x14ac:dyDescent="0.35">
      <c r="A1942" s="349">
        <v>1941</v>
      </c>
      <c r="B1942" s="352" t="s">
        <v>1322</v>
      </c>
      <c r="C1942" s="351" t="s">
        <v>4441</v>
      </c>
      <c r="D1942" s="352" t="s">
        <v>5047</v>
      </c>
      <c r="E1942" s="352" t="s">
        <v>1325</v>
      </c>
      <c r="F1942" s="353">
        <v>6.4</v>
      </c>
      <c r="G1942" s="352" t="s">
        <v>34</v>
      </c>
      <c r="H1942" s="176"/>
      <c r="I1942" s="176" t="s">
        <v>2313</v>
      </c>
      <c r="J1942" s="352" t="s">
        <v>469</v>
      </c>
      <c r="K1942" s="352"/>
      <c r="L1942" s="352"/>
      <c r="M1942" s="351">
        <v>1000</v>
      </c>
      <c r="N1942" s="351" t="s">
        <v>1109</v>
      </c>
      <c r="O1942" s="351">
        <v>0</v>
      </c>
      <c r="P1942" s="349" t="s">
        <v>1837</v>
      </c>
      <c r="R1942" s="349">
        <f t="shared" si="30"/>
        <v>32</v>
      </c>
      <c r="S1942" s="352"/>
      <c r="T1942" s="352"/>
      <c r="U1942" s="352"/>
      <c r="V1942" s="353"/>
      <c r="W1942" s="352"/>
      <c r="X1942" s="176"/>
      <c r="Y1942" s="176"/>
      <c r="Z1942" s="352"/>
      <c r="AA1942" s="352"/>
      <c r="AB1942" s="352"/>
      <c r="AC1942" s="352"/>
      <c r="AD1942" s="352"/>
    </row>
    <row r="1943" spans="1:30" ht="64.099999999999994" hidden="1" x14ac:dyDescent="0.35">
      <c r="A1943" s="349">
        <v>1942</v>
      </c>
      <c r="B1943" s="352" t="s">
        <v>1787</v>
      </c>
      <c r="C1943" s="351" t="s">
        <v>4442</v>
      </c>
      <c r="D1943" s="352" t="s">
        <v>3886</v>
      </c>
      <c r="E1943" s="352" t="s">
        <v>1744</v>
      </c>
      <c r="F1943" s="353">
        <v>2.12</v>
      </c>
      <c r="G1943" s="352" t="s">
        <v>967</v>
      </c>
      <c r="H1943" s="176" t="s">
        <v>292</v>
      </c>
      <c r="I1943" s="176" t="s">
        <v>4949</v>
      </c>
      <c r="J1943" s="352" t="s">
        <v>806</v>
      </c>
      <c r="K1943" s="352">
        <v>2</v>
      </c>
      <c r="L1943" s="352" t="s">
        <v>1116</v>
      </c>
      <c r="M1943" s="351">
        <v>2.5</v>
      </c>
      <c r="N1943" s="351" t="s">
        <v>1109</v>
      </c>
      <c r="O1943" s="351">
        <v>2</v>
      </c>
      <c r="P1943" s="349" t="s">
        <v>1836</v>
      </c>
      <c r="R1943" s="349">
        <f t="shared" si="30"/>
        <v>8</v>
      </c>
      <c r="S1943" s="352"/>
      <c r="T1943" s="352"/>
      <c r="U1943" s="352"/>
      <c r="V1943" s="353"/>
      <c r="W1943" s="352"/>
      <c r="X1943" s="176"/>
      <c r="Y1943" s="176"/>
      <c r="Z1943" s="352"/>
      <c r="AA1943" s="352"/>
      <c r="AB1943" s="352"/>
      <c r="AC1943" s="352"/>
      <c r="AD1943" s="352"/>
    </row>
    <row r="1944" spans="1:30" ht="64.099999999999994" hidden="1" x14ac:dyDescent="0.35">
      <c r="A1944" s="349">
        <v>1943</v>
      </c>
      <c r="B1944" s="352" t="s">
        <v>1787</v>
      </c>
      <c r="C1944" s="351" t="s">
        <v>4442</v>
      </c>
      <c r="D1944" s="352" t="s">
        <v>3886</v>
      </c>
      <c r="E1944" s="352" t="s">
        <v>1744</v>
      </c>
      <c r="F1944" s="353">
        <v>2.58</v>
      </c>
      <c r="G1944" s="352" t="s">
        <v>967</v>
      </c>
      <c r="H1944" s="176" t="s">
        <v>292</v>
      </c>
      <c r="I1944" s="176" t="s">
        <v>4949</v>
      </c>
      <c r="J1944" s="352" t="s">
        <v>806</v>
      </c>
      <c r="K1944" s="352">
        <v>4</v>
      </c>
      <c r="L1944" s="352" t="s">
        <v>1116</v>
      </c>
      <c r="M1944" s="352">
        <v>2.5</v>
      </c>
      <c r="N1944" s="352" t="s">
        <v>1109</v>
      </c>
      <c r="O1944" s="351">
        <v>4</v>
      </c>
      <c r="P1944" s="349" t="s">
        <v>1836</v>
      </c>
      <c r="R1944" s="349">
        <f t="shared" si="30"/>
        <v>8</v>
      </c>
      <c r="S1944" s="352"/>
      <c r="T1944" s="352"/>
      <c r="U1944" s="352"/>
      <c r="V1944" s="353"/>
      <c r="W1944" s="352"/>
      <c r="X1944" s="176"/>
      <c r="Y1944" s="176"/>
      <c r="Z1944" s="352"/>
      <c r="AA1944" s="352"/>
      <c r="AB1944" s="352"/>
      <c r="AC1944" s="351"/>
      <c r="AD1944" s="351"/>
    </row>
    <row r="1945" spans="1:30" ht="64.099999999999994" hidden="1" x14ac:dyDescent="0.35">
      <c r="A1945" s="349">
        <v>1944</v>
      </c>
      <c r="B1945" s="352" t="s">
        <v>159</v>
      </c>
      <c r="C1945" s="351" t="s">
        <v>4443</v>
      </c>
      <c r="D1945" s="352" t="s">
        <v>1284</v>
      </c>
      <c r="E1945" s="352" t="s">
        <v>1014</v>
      </c>
      <c r="F1945" s="353">
        <v>8.5945</v>
      </c>
      <c r="G1945" s="352" t="s">
        <v>34</v>
      </c>
      <c r="H1945" s="176" t="s">
        <v>2991</v>
      </c>
      <c r="I1945" s="176" t="s">
        <v>2992</v>
      </c>
      <c r="J1945" s="352" t="s">
        <v>1015</v>
      </c>
      <c r="K1945" s="352">
        <v>2</v>
      </c>
      <c r="L1945" s="352" t="s">
        <v>470</v>
      </c>
      <c r="M1945" s="352">
        <v>25</v>
      </c>
      <c r="N1945" s="352" t="s">
        <v>1109</v>
      </c>
      <c r="O1945" s="351">
        <v>2</v>
      </c>
      <c r="P1945" s="349" t="s">
        <v>1838</v>
      </c>
      <c r="R1945" s="349">
        <f t="shared" si="30"/>
        <v>12</v>
      </c>
      <c r="S1945" s="352"/>
      <c r="T1945" s="352"/>
      <c r="U1945" s="352"/>
      <c r="V1945" s="353"/>
      <c r="W1945" s="352"/>
      <c r="X1945" s="176"/>
      <c r="Y1945" s="176"/>
      <c r="Z1945" s="352"/>
      <c r="AA1945" s="352"/>
      <c r="AB1945" s="352"/>
      <c r="AC1945" s="351"/>
      <c r="AD1945" s="351"/>
    </row>
    <row r="1946" spans="1:30" ht="102.55" hidden="1" x14ac:dyDescent="0.35">
      <c r="A1946" s="349">
        <v>1945</v>
      </c>
      <c r="B1946" s="352" t="s">
        <v>1799</v>
      </c>
      <c r="C1946" s="351" t="s">
        <v>4444</v>
      </c>
      <c r="D1946" s="352" t="s">
        <v>720</v>
      </c>
      <c r="E1946" s="352" t="s">
        <v>1995</v>
      </c>
      <c r="F1946" s="353">
        <v>0.2</v>
      </c>
      <c r="G1946" s="352" t="s">
        <v>2126</v>
      </c>
      <c r="H1946" s="176" t="s">
        <v>2833</v>
      </c>
      <c r="I1946" s="176" t="s">
        <v>1568</v>
      </c>
      <c r="J1946" s="352" t="s">
        <v>3580</v>
      </c>
      <c r="K1946" s="352">
        <v>10</v>
      </c>
      <c r="L1946" s="352" t="s">
        <v>3581</v>
      </c>
      <c r="M1946" s="351"/>
      <c r="N1946" s="351"/>
      <c r="O1946" s="351">
        <v>10</v>
      </c>
      <c r="P1946" s="349" t="s">
        <v>1836</v>
      </c>
      <c r="R1946" s="349">
        <f t="shared" si="30"/>
        <v>9</v>
      </c>
      <c r="S1946" s="352"/>
      <c r="T1946" s="352"/>
      <c r="U1946" s="352"/>
      <c r="V1946" s="353"/>
      <c r="W1946" s="352"/>
      <c r="X1946" s="176"/>
      <c r="Y1946" s="176"/>
      <c r="Z1946" s="352"/>
      <c r="AA1946" s="352"/>
      <c r="AB1946" s="352"/>
      <c r="AC1946" s="352"/>
      <c r="AD1946" s="352"/>
    </row>
    <row r="1947" spans="1:30" ht="102.55" hidden="1" x14ac:dyDescent="0.35">
      <c r="A1947" s="349">
        <v>1946</v>
      </c>
      <c r="B1947" s="352" t="s">
        <v>1799</v>
      </c>
      <c r="C1947" s="351" t="s">
        <v>4444</v>
      </c>
      <c r="D1947" s="352" t="s">
        <v>720</v>
      </c>
      <c r="E1947" s="352" t="s">
        <v>1995</v>
      </c>
      <c r="F1947" s="353">
        <v>0.48480000000000001</v>
      </c>
      <c r="G1947" s="352" t="s">
        <v>2126</v>
      </c>
      <c r="H1947" s="176" t="s">
        <v>2833</v>
      </c>
      <c r="I1947" s="176" t="s">
        <v>1568</v>
      </c>
      <c r="J1947" s="352" t="s">
        <v>3580</v>
      </c>
      <c r="K1947" s="352">
        <v>30</v>
      </c>
      <c r="L1947" s="352" t="s">
        <v>3581</v>
      </c>
      <c r="M1947" s="352"/>
      <c r="N1947" s="352"/>
      <c r="O1947" s="351">
        <v>30</v>
      </c>
      <c r="P1947" s="349" t="s">
        <v>1836</v>
      </c>
      <c r="R1947" s="349">
        <f t="shared" si="30"/>
        <v>9</v>
      </c>
      <c r="S1947" s="352"/>
      <c r="T1947" s="352"/>
      <c r="U1947" s="352"/>
      <c r="V1947" s="353"/>
      <c r="W1947" s="352"/>
      <c r="X1947" s="176"/>
      <c r="Y1947" s="176"/>
      <c r="Z1947" s="352"/>
      <c r="AA1947" s="352"/>
      <c r="AB1947" s="352"/>
      <c r="AC1947" s="352"/>
      <c r="AD1947" s="352"/>
    </row>
    <row r="1948" spans="1:30" ht="102.55" hidden="1" x14ac:dyDescent="0.35">
      <c r="A1948" s="349">
        <v>1947</v>
      </c>
      <c r="B1948" s="352" t="s">
        <v>1610</v>
      </c>
      <c r="C1948" s="351" t="s">
        <v>983</v>
      </c>
      <c r="D1948" s="352" t="s">
        <v>983</v>
      </c>
      <c r="E1948" s="352" t="s">
        <v>2027</v>
      </c>
      <c r="F1948" s="353">
        <v>0.51</v>
      </c>
      <c r="G1948" s="352" t="s">
        <v>2126</v>
      </c>
      <c r="H1948" s="176" t="s">
        <v>3816</v>
      </c>
      <c r="I1948" s="176" t="s">
        <v>5086</v>
      </c>
      <c r="J1948" s="352" t="s">
        <v>3329</v>
      </c>
      <c r="K1948" s="352">
        <v>1</v>
      </c>
      <c r="L1948" s="352" t="s">
        <v>2057</v>
      </c>
      <c r="M1948" s="352"/>
      <c r="N1948" s="352"/>
      <c r="O1948" s="351">
        <v>1</v>
      </c>
      <c r="P1948" s="349" t="s">
        <v>818</v>
      </c>
      <c r="R1948" s="349">
        <f t="shared" si="30"/>
        <v>10</v>
      </c>
      <c r="S1948" s="352"/>
      <c r="T1948" s="352"/>
      <c r="U1948" s="352"/>
      <c r="V1948" s="353"/>
      <c r="W1948" s="352"/>
      <c r="X1948" s="176"/>
      <c r="Y1948" s="176"/>
      <c r="Z1948" s="352"/>
      <c r="AA1948" s="352"/>
      <c r="AB1948" s="352"/>
      <c r="AC1948" s="351"/>
      <c r="AD1948" s="351"/>
    </row>
    <row r="1949" spans="1:30" ht="102.55" hidden="1" x14ac:dyDescent="0.35">
      <c r="A1949" s="349">
        <v>1948</v>
      </c>
      <c r="B1949" s="352" t="s">
        <v>1610</v>
      </c>
      <c r="C1949" s="351" t="s">
        <v>983</v>
      </c>
      <c r="D1949" s="352" t="s">
        <v>983</v>
      </c>
      <c r="E1949" s="352" t="s">
        <v>107</v>
      </c>
      <c r="F1949" s="353">
        <v>25.7393</v>
      </c>
      <c r="G1949" s="352" t="s">
        <v>2126</v>
      </c>
      <c r="H1949" s="176" t="s">
        <v>3816</v>
      </c>
      <c r="I1949" s="176" t="s">
        <v>5086</v>
      </c>
      <c r="J1949" s="352" t="s">
        <v>3329</v>
      </c>
      <c r="K1949" s="352">
        <v>200</v>
      </c>
      <c r="L1949" s="352" t="s">
        <v>1116</v>
      </c>
      <c r="M1949" s="352">
        <v>250</v>
      </c>
      <c r="N1949" s="352" t="s">
        <v>1109</v>
      </c>
      <c r="O1949" s="351">
        <v>200</v>
      </c>
      <c r="P1949" s="349" t="s">
        <v>1836</v>
      </c>
      <c r="R1949" s="349">
        <f t="shared" si="30"/>
        <v>10</v>
      </c>
      <c r="S1949" s="352"/>
      <c r="T1949" s="352"/>
      <c r="U1949" s="352"/>
      <c r="V1949" s="353"/>
      <c r="W1949" s="352"/>
      <c r="X1949" s="176"/>
      <c r="Y1949" s="176"/>
      <c r="Z1949" s="352"/>
      <c r="AA1949" s="352"/>
      <c r="AB1949" s="352"/>
      <c r="AC1949" s="352"/>
      <c r="AD1949" s="352"/>
    </row>
    <row r="1950" spans="1:30" ht="102.55" hidden="1" x14ac:dyDescent="0.35">
      <c r="A1950" s="349">
        <v>1949</v>
      </c>
      <c r="B1950" s="352" t="s">
        <v>1610</v>
      </c>
      <c r="C1950" s="351" t="s">
        <v>983</v>
      </c>
      <c r="D1950" s="352" t="s">
        <v>983</v>
      </c>
      <c r="E1950" s="352" t="s">
        <v>1995</v>
      </c>
      <c r="F1950" s="353">
        <v>0.73</v>
      </c>
      <c r="G1950" s="352" t="s">
        <v>2126</v>
      </c>
      <c r="H1950" s="176" t="s">
        <v>3816</v>
      </c>
      <c r="I1950" s="176" t="s">
        <v>5086</v>
      </c>
      <c r="J1950" s="352" t="s">
        <v>3580</v>
      </c>
      <c r="K1950" s="352">
        <v>1</v>
      </c>
      <c r="L1950" s="352" t="s">
        <v>2039</v>
      </c>
      <c r="M1950" s="352"/>
      <c r="N1950" s="352"/>
      <c r="O1950" s="351">
        <v>1</v>
      </c>
      <c r="P1950" s="349" t="s">
        <v>818</v>
      </c>
      <c r="R1950" s="349">
        <f t="shared" si="30"/>
        <v>10</v>
      </c>
      <c r="S1950" s="352"/>
      <c r="T1950" s="352"/>
      <c r="U1950" s="352"/>
      <c r="V1950" s="353"/>
      <c r="W1950" s="352"/>
      <c r="X1950" s="176"/>
      <c r="Y1950" s="176"/>
      <c r="Z1950" s="352"/>
      <c r="AA1950" s="352"/>
      <c r="AB1950" s="352"/>
      <c r="AC1950" s="352"/>
      <c r="AD1950" s="352"/>
    </row>
    <row r="1951" spans="1:30" ht="76.900000000000006" hidden="1" x14ac:dyDescent="0.35">
      <c r="A1951" s="349">
        <v>1950</v>
      </c>
      <c r="B1951" s="352" t="s">
        <v>4027</v>
      </c>
      <c r="C1951" s="351" t="s">
        <v>4445</v>
      </c>
      <c r="D1951" s="352" t="s">
        <v>3082</v>
      </c>
      <c r="E1951" s="352" t="s">
        <v>2857</v>
      </c>
      <c r="F1951" s="353">
        <v>3.06</v>
      </c>
      <c r="G1951" s="352" t="s">
        <v>1107</v>
      </c>
      <c r="H1951" s="176" t="s">
        <v>3983</v>
      </c>
      <c r="I1951" s="176" t="s">
        <v>4431</v>
      </c>
      <c r="J1951" s="352" t="s">
        <v>828</v>
      </c>
      <c r="K1951" s="352">
        <v>5.0000000000000001E-3</v>
      </c>
      <c r="L1951" s="352" t="s">
        <v>1116</v>
      </c>
      <c r="M1951" s="352">
        <v>10</v>
      </c>
      <c r="N1951" s="352" t="s">
        <v>1109</v>
      </c>
      <c r="O1951" s="351">
        <v>5.0000000000000001E-3</v>
      </c>
      <c r="P1951" s="349" t="s">
        <v>1836</v>
      </c>
      <c r="R1951" s="349">
        <f t="shared" si="30"/>
        <v>10</v>
      </c>
      <c r="S1951" s="352"/>
      <c r="T1951" s="352"/>
      <c r="U1951" s="352"/>
      <c r="V1951" s="353"/>
      <c r="W1951" s="352"/>
      <c r="X1951" s="176"/>
      <c r="Y1951" s="176"/>
      <c r="Z1951" s="352"/>
      <c r="AA1951" s="352"/>
      <c r="AB1951" s="352"/>
      <c r="AC1951" s="352"/>
      <c r="AD1951" s="352"/>
    </row>
    <row r="1952" spans="1:30" ht="76.900000000000006" hidden="1" x14ac:dyDescent="0.35">
      <c r="A1952" s="349">
        <v>1951</v>
      </c>
      <c r="B1952" s="352" t="s">
        <v>4027</v>
      </c>
      <c r="C1952" s="351" t="s">
        <v>4445</v>
      </c>
      <c r="D1952" s="352" t="s">
        <v>3082</v>
      </c>
      <c r="E1952" s="352" t="s">
        <v>762</v>
      </c>
      <c r="F1952" s="353">
        <v>0.66</v>
      </c>
      <c r="G1952" s="352" t="s">
        <v>1107</v>
      </c>
      <c r="H1952" s="176" t="s">
        <v>3983</v>
      </c>
      <c r="I1952" s="176" t="s">
        <v>4431</v>
      </c>
      <c r="J1952" s="352" t="s">
        <v>828</v>
      </c>
      <c r="K1952" s="352">
        <v>5.0000000000000001E-3</v>
      </c>
      <c r="L1952" s="352" t="s">
        <v>1116</v>
      </c>
      <c r="M1952" s="352">
        <v>2</v>
      </c>
      <c r="N1952" s="352" t="s">
        <v>1109</v>
      </c>
      <c r="O1952" s="351">
        <v>5.0000000000000001E-3</v>
      </c>
      <c r="P1952" s="349" t="s">
        <v>1836</v>
      </c>
      <c r="R1952" s="349">
        <f t="shared" si="30"/>
        <v>10</v>
      </c>
      <c r="S1952" s="352"/>
      <c r="T1952" s="352"/>
      <c r="U1952" s="352"/>
      <c r="V1952" s="353"/>
      <c r="W1952" s="352"/>
      <c r="X1952" s="176"/>
      <c r="Y1952" s="176"/>
      <c r="Z1952" s="352"/>
      <c r="AA1952" s="352"/>
      <c r="AB1952" s="352"/>
      <c r="AC1952" s="352"/>
      <c r="AD1952" s="352"/>
    </row>
    <row r="1953" spans="1:30" ht="76.900000000000006" hidden="1" x14ac:dyDescent="0.35">
      <c r="A1953" s="349">
        <v>1952</v>
      </c>
      <c r="B1953" s="352" t="s">
        <v>4027</v>
      </c>
      <c r="C1953" s="351" t="s">
        <v>4445</v>
      </c>
      <c r="D1953" s="352" t="s">
        <v>3082</v>
      </c>
      <c r="E1953" s="352" t="s">
        <v>108</v>
      </c>
      <c r="F1953" s="353">
        <v>3.94</v>
      </c>
      <c r="G1953" s="352" t="s">
        <v>1107</v>
      </c>
      <c r="H1953" s="176" t="s">
        <v>3983</v>
      </c>
      <c r="I1953" s="176" t="s">
        <v>4431</v>
      </c>
      <c r="J1953" s="352" t="s">
        <v>109</v>
      </c>
      <c r="K1953" s="352">
        <v>0.05</v>
      </c>
      <c r="L1953" s="352" t="s">
        <v>1116</v>
      </c>
      <c r="M1953" s="352">
        <v>1</v>
      </c>
      <c r="N1953" s="352" t="s">
        <v>1109</v>
      </c>
      <c r="O1953" s="351">
        <v>0.05</v>
      </c>
      <c r="P1953" s="349" t="s">
        <v>1836</v>
      </c>
      <c r="R1953" s="349">
        <f t="shared" si="30"/>
        <v>10</v>
      </c>
      <c r="S1953" s="352"/>
      <c r="T1953" s="352"/>
      <c r="U1953" s="352"/>
      <c r="V1953" s="353"/>
      <c r="W1953" s="352"/>
      <c r="X1953" s="176"/>
      <c r="Y1953" s="176"/>
      <c r="Z1953" s="352"/>
      <c r="AA1953" s="352"/>
      <c r="AB1953" s="352"/>
      <c r="AC1953" s="351"/>
      <c r="AD1953" s="351"/>
    </row>
    <row r="1954" spans="1:30" ht="76.900000000000006" hidden="1" x14ac:dyDescent="0.35">
      <c r="A1954" s="349">
        <v>1953</v>
      </c>
      <c r="B1954" s="352" t="s">
        <v>4027</v>
      </c>
      <c r="C1954" s="351" t="s">
        <v>4445</v>
      </c>
      <c r="D1954" s="352" t="s">
        <v>3082</v>
      </c>
      <c r="E1954" s="352" t="s">
        <v>110</v>
      </c>
      <c r="F1954" s="353">
        <v>18.510000000000002</v>
      </c>
      <c r="G1954" s="352" t="s">
        <v>1107</v>
      </c>
      <c r="H1954" s="176" t="s">
        <v>3983</v>
      </c>
      <c r="I1954" s="176" t="s">
        <v>4431</v>
      </c>
      <c r="J1954" s="352" t="s">
        <v>109</v>
      </c>
      <c r="K1954" s="352">
        <v>0.05</v>
      </c>
      <c r="L1954" s="352" t="s">
        <v>1116</v>
      </c>
      <c r="M1954" s="352">
        <v>5</v>
      </c>
      <c r="N1954" s="352" t="s">
        <v>1109</v>
      </c>
      <c r="O1954" s="351">
        <v>0.05</v>
      </c>
      <c r="P1954" s="349" t="s">
        <v>1836</v>
      </c>
      <c r="R1954" s="349">
        <f t="shared" si="30"/>
        <v>10</v>
      </c>
      <c r="S1954" s="352"/>
      <c r="T1954" s="352"/>
      <c r="U1954" s="352"/>
      <c r="V1954" s="353"/>
      <c r="W1954" s="352"/>
      <c r="X1954" s="176"/>
      <c r="Y1954" s="176"/>
      <c r="Z1954" s="352"/>
      <c r="AA1954" s="352"/>
      <c r="AB1954" s="352"/>
      <c r="AC1954" s="351"/>
      <c r="AD1954" s="351"/>
    </row>
    <row r="1955" spans="1:30" ht="76.900000000000006" hidden="1" x14ac:dyDescent="0.35">
      <c r="A1955" s="349">
        <v>1954</v>
      </c>
      <c r="B1955" s="352" t="s">
        <v>4027</v>
      </c>
      <c r="C1955" s="351" t="s">
        <v>3082</v>
      </c>
      <c r="D1955" s="352" t="s">
        <v>3082</v>
      </c>
      <c r="E1955" s="352" t="s">
        <v>2857</v>
      </c>
      <c r="F1955" s="353">
        <v>3.06</v>
      </c>
      <c r="G1955" s="352" t="s">
        <v>1107</v>
      </c>
      <c r="H1955" s="176" t="s">
        <v>3983</v>
      </c>
      <c r="I1955" s="176" t="s">
        <v>4431</v>
      </c>
      <c r="J1955" s="352" t="s">
        <v>828</v>
      </c>
      <c r="K1955" s="352">
        <v>5.0000000000000001E-3</v>
      </c>
      <c r="L1955" s="352" t="s">
        <v>1116</v>
      </c>
      <c r="M1955" s="351">
        <v>10</v>
      </c>
      <c r="N1955" s="351" t="s">
        <v>1109</v>
      </c>
      <c r="O1955" s="351">
        <v>5.0000000000000001E-3</v>
      </c>
      <c r="P1955" s="349" t="s">
        <v>1836</v>
      </c>
      <c r="R1955" s="349">
        <f t="shared" si="30"/>
        <v>10</v>
      </c>
      <c r="S1955" s="352"/>
      <c r="T1955" s="352"/>
      <c r="U1955" s="352"/>
      <c r="V1955" s="353"/>
      <c r="W1955" s="352"/>
      <c r="X1955" s="176"/>
      <c r="Y1955" s="176"/>
      <c r="Z1955" s="352"/>
      <c r="AA1955" s="352"/>
      <c r="AB1955" s="352"/>
      <c r="AC1955" s="351"/>
      <c r="AD1955" s="351"/>
    </row>
    <row r="1956" spans="1:30" ht="76.900000000000006" hidden="1" x14ac:dyDescent="0.35">
      <c r="A1956" s="349">
        <v>1955</v>
      </c>
      <c r="B1956" s="352" t="s">
        <v>4027</v>
      </c>
      <c r="C1956" s="351" t="s">
        <v>3082</v>
      </c>
      <c r="D1956" s="352" t="s">
        <v>3082</v>
      </c>
      <c r="E1956" s="352" t="s">
        <v>762</v>
      </c>
      <c r="F1956" s="353">
        <v>0.66</v>
      </c>
      <c r="G1956" s="352" t="s">
        <v>1107</v>
      </c>
      <c r="H1956" s="176" t="s">
        <v>3983</v>
      </c>
      <c r="I1956" s="176" t="s">
        <v>4431</v>
      </c>
      <c r="J1956" s="352" t="s">
        <v>828</v>
      </c>
      <c r="K1956" s="352">
        <v>5.0000000000000001E-3</v>
      </c>
      <c r="L1956" s="352" t="s">
        <v>1116</v>
      </c>
      <c r="M1956" s="351">
        <v>2</v>
      </c>
      <c r="N1956" s="351" t="s">
        <v>1109</v>
      </c>
      <c r="O1956" s="351">
        <v>5.0000000000000001E-3</v>
      </c>
      <c r="P1956" s="349" t="s">
        <v>1836</v>
      </c>
      <c r="R1956" s="349">
        <f t="shared" si="30"/>
        <v>10</v>
      </c>
      <c r="S1956" s="352"/>
      <c r="T1956" s="352"/>
      <c r="U1956" s="352"/>
      <c r="V1956" s="353"/>
      <c r="W1956" s="352"/>
      <c r="X1956" s="176"/>
      <c r="Y1956" s="176"/>
      <c r="Z1956" s="352"/>
      <c r="AA1956" s="352"/>
      <c r="AB1956" s="352"/>
      <c r="AC1956" s="351"/>
      <c r="AD1956" s="351"/>
    </row>
    <row r="1957" spans="1:30" ht="76.900000000000006" hidden="1" x14ac:dyDescent="0.35">
      <c r="A1957" s="349">
        <v>1956</v>
      </c>
      <c r="B1957" s="352" t="s">
        <v>4027</v>
      </c>
      <c r="C1957" s="351" t="s">
        <v>3082</v>
      </c>
      <c r="D1957" s="352" t="s">
        <v>3082</v>
      </c>
      <c r="E1957" s="352" t="s">
        <v>108</v>
      </c>
      <c r="F1957" s="353">
        <v>3.94</v>
      </c>
      <c r="G1957" s="352" t="s">
        <v>1107</v>
      </c>
      <c r="H1957" s="176" t="s">
        <v>3983</v>
      </c>
      <c r="I1957" s="176" t="s">
        <v>4431</v>
      </c>
      <c r="J1957" s="352" t="s">
        <v>109</v>
      </c>
      <c r="K1957" s="352">
        <v>0.05</v>
      </c>
      <c r="L1957" s="352" t="s">
        <v>1116</v>
      </c>
      <c r="M1957" s="351">
        <v>1</v>
      </c>
      <c r="N1957" s="351" t="s">
        <v>1109</v>
      </c>
      <c r="O1957" s="351">
        <v>0.05</v>
      </c>
      <c r="P1957" s="349" t="s">
        <v>1836</v>
      </c>
      <c r="R1957" s="349">
        <f t="shared" si="30"/>
        <v>10</v>
      </c>
      <c r="S1957" s="352"/>
      <c r="T1957" s="352"/>
      <c r="U1957" s="352"/>
      <c r="V1957" s="353"/>
      <c r="W1957" s="352"/>
      <c r="X1957" s="176"/>
      <c r="Y1957" s="176"/>
      <c r="Z1957" s="352"/>
      <c r="AA1957" s="352"/>
      <c r="AB1957" s="352"/>
      <c r="AC1957" s="351"/>
      <c r="AD1957" s="351"/>
    </row>
    <row r="1958" spans="1:30" ht="76.900000000000006" hidden="1" x14ac:dyDescent="0.35">
      <c r="A1958" s="349">
        <v>1957</v>
      </c>
      <c r="B1958" s="352" t="s">
        <v>4027</v>
      </c>
      <c r="C1958" s="351" t="s">
        <v>3082</v>
      </c>
      <c r="D1958" s="352" t="s">
        <v>3082</v>
      </c>
      <c r="E1958" s="352" t="s">
        <v>110</v>
      </c>
      <c r="F1958" s="353">
        <v>18.510000000000002</v>
      </c>
      <c r="G1958" s="352" t="s">
        <v>1107</v>
      </c>
      <c r="H1958" s="176" t="s">
        <v>3983</v>
      </c>
      <c r="I1958" s="176" t="s">
        <v>4431</v>
      </c>
      <c r="J1958" s="352" t="s">
        <v>109</v>
      </c>
      <c r="K1958" s="352">
        <v>0.05</v>
      </c>
      <c r="L1958" s="352" t="s">
        <v>1116</v>
      </c>
      <c r="M1958" s="351">
        <v>5</v>
      </c>
      <c r="N1958" s="351" t="s">
        <v>1109</v>
      </c>
      <c r="O1958" s="351">
        <v>0.05</v>
      </c>
      <c r="P1958" s="349" t="s">
        <v>1836</v>
      </c>
      <c r="R1958" s="349">
        <f t="shared" si="30"/>
        <v>10</v>
      </c>
      <c r="S1958" s="352"/>
      <c r="T1958" s="352"/>
      <c r="U1958" s="352"/>
      <c r="V1958" s="353"/>
      <c r="W1958" s="352"/>
      <c r="X1958" s="176"/>
      <c r="Y1958" s="176"/>
      <c r="Z1958" s="352"/>
      <c r="AA1958" s="352"/>
      <c r="AB1958" s="352"/>
      <c r="AC1958" s="351"/>
      <c r="AD1958" s="351"/>
    </row>
    <row r="1959" spans="1:30" ht="64.099999999999994" hidden="1" x14ac:dyDescent="0.35">
      <c r="A1959" s="349">
        <v>1958</v>
      </c>
      <c r="B1959" s="352" t="s">
        <v>2128</v>
      </c>
      <c r="C1959" s="351" t="s">
        <v>1241</v>
      </c>
      <c r="D1959" s="352" t="s">
        <v>1241</v>
      </c>
      <c r="E1959" s="352" t="s">
        <v>1995</v>
      </c>
      <c r="F1959" s="353">
        <v>0.15</v>
      </c>
      <c r="G1959" s="352" t="s">
        <v>2126</v>
      </c>
      <c r="H1959" s="176" t="s">
        <v>2258</v>
      </c>
      <c r="I1959" s="176" t="s">
        <v>2949</v>
      </c>
      <c r="J1959" s="352" t="s">
        <v>3580</v>
      </c>
      <c r="K1959" s="352">
        <v>500</v>
      </c>
      <c r="L1959" s="352" t="s">
        <v>3581</v>
      </c>
      <c r="M1959" s="351"/>
      <c r="N1959" s="351"/>
      <c r="O1959" s="351">
        <v>500</v>
      </c>
      <c r="P1959" s="349" t="s">
        <v>1836</v>
      </c>
      <c r="R1959" s="349">
        <f t="shared" si="30"/>
        <v>12</v>
      </c>
      <c r="S1959" s="352"/>
      <c r="T1959" s="352"/>
      <c r="U1959" s="352"/>
      <c r="V1959" s="353"/>
      <c r="W1959" s="352"/>
      <c r="X1959" s="176"/>
      <c r="Y1959" s="176"/>
      <c r="Z1959" s="352"/>
      <c r="AA1959" s="352"/>
      <c r="AB1959" s="352"/>
      <c r="AC1959" s="351"/>
      <c r="AD1959" s="351"/>
    </row>
    <row r="1960" spans="1:30" ht="64.099999999999994" hidden="1" x14ac:dyDescent="0.35">
      <c r="A1960" s="349">
        <v>1959</v>
      </c>
      <c r="B1960" s="352" t="s">
        <v>2128</v>
      </c>
      <c r="C1960" s="351" t="s">
        <v>1241</v>
      </c>
      <c r="D1960" s="352" t="s">
        <v>1241</v>
      </c>
      <c r="E1960" s="352" t="s">
        <v>1995</v>
      </c>
      <c r="F1960" s="353">
        <v>0.15</v>
      </c>
      <c r="G1960" s="352" t="s">
        <v>2126</v>
      </c>
      <c r="H1960" s="176" t="s">
        <v>2258</v>
      </c>
      <c r="I1960" s="176" t="s">
        <v>2949</v>
      </c>
      <c r="J1960" s="352" t="s">
        <v>3580</v>
      </c>
      <c r="K1960" s="352">
        <v>500</v>
      </c>
      <c r="L1960" s="352" t="s">
        <v>3581</v>
      </c>
      <c r="M1960" s="351"/>
      <c r="N1960" s="351"/>
      <c r="O1960" s="351">
        <v>500</v>
      </c>
      <c r="P1960" s="349" t="s">
        <v>1836</v>
      </c>
      <c r="R1960" s="349">
        <f t="shared" si="30"/>
        <v>12</v>
      </c>
      <c r="S1960" s="352"/>
      <c r="T1960" s="352"/>
      <c r="U1960" s="352"/>
      <c r="V1960" s="353"/>
      <c r="W1960" s="352"/>
      <c r="X1960" s="176"/>
      <c r="Y1960" s="176"/>
      <c r="Z1960" s="352"/>
      <c r="AA1960" s="351"/>
      <c r="AB1960" s="351"/>
      <c r="AC1960" s="352"/>
      <c r="AD1960" s="352"/>
    </row>
    <row r="1961" spans="1:30" ht="115.35" hidden="1" x14ac:dyDescent="0.35">
      <c r="A1961" s="349">
        <v>1960</v>
      </c>
      <c r="B1961" s="352" t="s">
        <v>1490</v>
      </c>
      <c r="C1961" s="351" t="s">
        <v>948</v>
      </c>
      <c r="D1961" s="352" t="s">
        <v>948</v>
      </c>
      <c r="E1961" s="352" t="s">
        <v>2003</v>
      </c>
      <c r="F1961" s="353">
        <v>0.4</v>
      </c>
      <c r="G1961" s="352" t="s">
        <v>2126</v>
      </c>
      <c r="H1961" s="176" t="s">
        <v>1091</v>
      </c>
      <c r="I1961" s="176" t="s">
        <v>4594</v>
      </c>
      <c r="J1961" s="352" t="s">
        <v>966</v>
      </c>
      <c r="K1961" s="352">
        <v>500</v>
      </c>
      <c r="L1961" s="352" t="s">
        <v>3581</v>
      </c>
      <c r="M1961" s="352"/>
      <c r="N1961" s="352"/>
      <c r="O1961" s="351">
        <v>500</v>
      </c>
      <c r="P1961" s="349" t="s">
        <v>1836</v>
      </c>
      <c r="R1961" s="349">
        <f t="shared" si="30"/>
        <v>13</v>
      </c>
      <c r="S1961" s="352"/>
      <c r="T1961" s="352"/>
      <c r="U1961" s="352"/>
      <c r="V1961" s="353"/>
      <c r="W1961" s="352"/>
      <c r="X1961" s="176"/>
      <c r="Y1961" s="176"/>
      <c r="Z1961" s="352"/>
      <c r="AA1961" s="351"/>
      <c r="AB1961" s="351"/>
      <c r="AC1961" s="351"/>
      <c r="AD1961" s="351"/>
    </row>
    <row r="1962" spans="1:30" ht="64.099999999999994" hidden="1" x14ac:dyDescent="0.35">
      <c r="A1962" s="349">
        <v>1961</v>
      </c>
      <c r="B1962" s="352" t="s">
        <v>1609</v>
      </c>
      <c r="C1962" s="351" t="s">
        <v>948</v>
      </c>
      <c r="D1962" s="352" t="s">
        <v>948</v>
      </c>
      <c r="E1962" s="352" t="s">
        <v>2003</v>
      </c>
      <c r="F1962" s="353">
        <v>0.4</v>
      </c>
      <c r="G1962" s="352" t="s">
        <v>2126</v>
      </c>
      <c r="H1962" s="176" t="s">
        <v>2066</v>
      </c>
      <c r="I1962" s="176" t="s">
        <v>1441</v>
      </c>
      <c r="J1962" s="352" t="s">
        <v>966</v>
      </c>
      <c r="K1962" s="352">
        <v>500</v>
      </c>
      <c r="L1962" s="352" t="s">
        <v>3581</v>
      </c>
      <c r="M1962" s="352"/>
      <c r="N1962" s="352"/>
      <c r="O1962" s="351">
        <v>500</v>
      </c>
      <c r="P1962" s="349" t="s">
        <v>1836</v>
      </c>
      <c r="R1962" s="349">
        <f t="shared" si="30"/>
        <v>13</v>
      </c>
      <c r="S1962" s="352"/>
      <c r="T1962" s="352"/>
      <c r="U1962" s="352"/>
      <c r="V1962" s="353"/>
      <c r="W1962" s="352"/>
      <c r="X1962" s="176"/>
      <c r="Y1962" s="176"/>
      <c r="Z1962" s="352"/>
      <c r="AA1962" s="351"/>
      <c r="AB1962" s="351"/>
      <c r="AC1962" s="352"/>
      <c r="AD1962" s="352"/>
    </row>
    <row r="1963" spans="1:30" ht="153.80000000000001" hidden="1" x14ac:dyDescent="0.35">
      <c r="A1963" s="349">
        <v>1962</v>
      </c>
      <c r="B1963" s="352" t="s">
        <v>1567</v>
      </c>
      <c r="C1963" s="351" t="s">
        <v>4446</v>
      </c>
      <c r="D1963" s="352" t="s">
        <v>3271</v>
      </c>
      <c r="E1963" s="352" t="s">
        <v>1997</v>
      </c>
      <c r="F1963" s="353">
        <v>9.3878000000000004</v>
      </c>
      <c r="G1963" s="352" t="s">
        <v>2384</v>
      </c>
      <c r="H1963" s="176" t="s">
        <v>4841</v>
      </c>
      <c r="I1963" s="176" t="s">
        <v>4219</v>
      </c>
      <c r="J1963" s="352" t="s">
        <v>1115</v>
      </c>
      <c r="K1963" s="352">
        <v>100</v>
      </c>
      <c r="L1963" s="352" t="s">
        <v>1464</v>
      </c>
      <c r="M1963" s="352"/>
      <c r="N1963" s="352"/>
      <c r="O1963" s="351">
        <v>100</v>
      </c>
      <c r="P1963" s="349" t="s">
        <v>1836</v>
      </c>
      <c r="R1963" s="349">
        <f t="shared" si="30"/>
        <v>11</v>
      </c>
      <c r="S1963" s="352"/>
      <c r="T1963" s="352"/>
      <c r="U1963" s="352"/>
      <c r="V1963" s="353"/>
      <c r="W1963" s="352"/>
      <c r="X1963" s="176"/>
      <c r="Y1963" s="176"/>
      <c r="Z1963" s="352"/>
      <c r="AA1963" s="351"/>
      <c r="AB1963" s="351"/>
      <c r="AC1963" s="351"/>
      <c r="AD1963" s="351"/>
    </row>
    <row r="1964" spans="1:30" ht="153.80000000000001" hidden="1" x14ac:dyDescent="0.35">
      <c r="A1964" s="349">
        <v>1963</v>
      </c>
      <c r="B1964" s="352" t="s">
        <v>1567</v>
      </c>
      <c r="C1964" s="351" t="s">
        <v>4446</v>
      </c>
      <c r="D1964" s="352" t="s">
        <v>3271</v>
      </c>
      <c r="E1964" s="352" t="s">
        <v>1997</v>
      </c>
      <c r="F1964" s="353">
        <v>19.040099999999999</v>
      </c>
      <c r="G1964" s="352" t="s">
        <v>2384</v>
      </c>
      <c r="H1964" s="176" t="s">
        <v>4841</v>
      </c>
      <c r="I1964" s="176" t="s">
        <v>4219</v>
      </c>
      <c r="J1964" s="352" t="s">
        <v>1115</v>
      </c>
      <c r="K1964" s="352">
        <v>250</v>
      </c>
      <c r="L1964" s="352" t="s">
        <v>1464</v>
      </c>
      <c r="M1964" s="352"/>
      <c r="N1964" s="352"/>
      <c r="O1964" s="351">
        <v>250</v>
      </c>
      <c r="P1964" s="349" t="s">
        <v>1836</v>
      </c>
      <c r="R1964" s="349">
        <f t="shared" si="30"/>
        <v>11</v>
      </c>
      <c r="S1964" s="352"/>
      <c r="T1964" s="352"/>
      <c r="U1964" s="352"/>
      <c r="V1964" s="353"/>
      <c r="W1964" s="352"/>
      <c r="X1964" s="176"/>
      <c r="Y1964" s="176"/>
      <c r="Z1964" s="352"/>
      <c r="AA1964" s="352"/>
      <c r="AB1964" s="352"/>
      <c r="AC1964" s="352"/>
      <c r="AD1964" s="352"/>
    </row>
    <row r="1965" spans="1:30" ht="115.35" hidden="1" x14ac:dyDescent="0.35">
      <c r="A1965" s="349">
        <v>1964</v>
      </c>
      <c r="B1965" s="352" t="s">
        <v>1567</v>
      </c>
      <c r="C1965" s="351" t="s">
        <v>4447</v>
      </c>
      <c r="D1965" s="352" t="s">
        <v>3271</v>
      </c>
      <c r="E1965" s="352" t="s">
        <v>111</v>
      </c>
      <c r="F1965" s="353">
        <v>28.538</v>
      </c>
      <c r="G1965" s="352" t="s">
        <v>34</v>
      </c>
      <c r="H1965" s="176" t="s">
        <v>3267</v>
      </c>
      <c r="I1965" s="176" t="s">
        <v>233</v>
      </c>
      <c r="J1965" s="352" t="s">
        <v>1115</v>
      </c>
      <c r="K1965" s="352">
        <v>100</v>
      </c>
      <c r="L1965" s="352" t="s">
        <v>1464</v>
      </c>
      <c r="M1965" s="351">
        <v>10</v>
      </c>
      <c r="N1965" s="351" t="s">
        <v>31</v>
      </c>
      <c r="O1965" s="351">
        <v>100</v>
      </c>
      <c r="P1965" s="349" t="s">
        <v>1836</v>
      </c>
      <c r="R1965" s="349">
        <f t="shared" si="30"/>
        <v>11</v>
      </c>
      <c r="S1965" s="352"/>
      <c r="T1965" s="352"/>
      <c r="U1965" s="352"/>
      <c r="V1965" s="353"/>
      <c r="W1965" s="352"/>
      <c r="X1965" s="176"/>
      <c r="Y1965" s="176"/>
      <c r="Z1965" s="352"/>
      <c r="AA1965" s="352"/>
      <c r="AB1965" s="352"/>
      <c r="AC1965" s="351"/>
      <c r="AD1965" s="351"/>
    </row>
    <row r="1966" spans="1:30" ht="64.099999999999994" hidden="1" x14ac:dyDescent="0.35">
      <c r="A1966" s="349">
        <v>1965</v>
      </c>
      <c r="B1966" s="352" t="s">
        <v>3587</v>
      </c>
      <c r="C1966" s="351" t="s">
        <v>2425</v>
      </c>
      <c r="D1966" s="352" t="s">
        <v>2425</v>
      </c>
      <c r="E1966" s="352" t="s">
        <v>827</v>
      </c>
      <c r="F1966" s="353">
        <v>4.7820999999999998</v>
      </c>
      <c r="G1966" s="352" t="s">
        <v>1107</v>
      </c>
      <c r="H1966" s="176" t="s">
        <v>2426</v>
      </c>
      <c r="I1966" s="176" t="s">
        <v>2729</v>
      </c>
      <c r="J1966" s="352" t="s">
        <v>828</v>
      </c>
      <c r="K1966" s="352">
        <v>20</v>
      </c>
      <c r="L1966" s="352" t="s">
        <v>1116</v>
      </c>
      <c r="M1966" s="352">
        <v>5</v>
      </c>
      <c r="N1966" s="352" t="s">
        <v>1109</v>
      </c>
      <c r="O1966" s="351">
        <v>20</v>
      </c>
      <c r="P1966" s="349" t="s">
        <v>1836</v>
      </c>
      <c r="R1966" s="349">
        <f t="shared" si="30"/>
        <v>13</v>
      </c>
      <c r="S1966" s="352"/>
      <c r="T1966" s="352"/>
      <c r="U1966" s="352"/>
      <c r="V1966" s="353"/>
      <c r="W1966" s="352"/>
      <c r="X1966" s="176"/>
      <c r="Y1966" s="176"/>
      <c r="Z1966" s="352"/>
      <c r="AA1966" s="352"/>
      <c r="AB1966" s="352"/>
      <c r="AC1966" s="352"/>
      <c r="AD1966" s="352"/>
    </row>
    <row r="1967" spans="1:30" ht="89.75" hidden="1" x14ac:dyDescent="0.35">
      <c r="A1967" s="349">
        <v>1966</v>
      </c>
      <c r="B1967" s="352" t="s">
        <v>1787</v>
      </c>
      <c r="C1967" s="351" t="s">
        <v>4448</v>
      </c>
      <c r="D1967" s="352" t="s">
        <v>3895</v>
      </c>
      <c r="E1967" s="352" t="s">
        <v>2855</v>
      </c>
      <c r="F1967" s="353">
        <v>9.08</v>
      </c>
      <c r="G1967" s="352" t="s">
        <v>2384</v>
      </c>
      <c r="H1967" s="176" t="s">
        <v>1517</v>
      </c>
      <c r="I1967" s="176" t="s">
        <v>4221</v>
      </c>
      <c r="J1967" s="352" t="s">
        <v>828</v>
      </c>
      <c r="K1967" s="352">
        <v>0.25</v>
      </c>
      <c r="L1967" s="352" t="s">
        <v>1116</v>
      </c>
      <c r="M1967" s="351">
        <v>1</v>
      </c>
      <c r="N1967" s="351" t="s">
        <v>1109</v>
      </c>
      <c r="O1967" s="351">
        <v>0.25</v>
      </c>
      <c r="P1967" s="349" t="s">
        <v>1836</v>
      </c>
      <c r="R1967" s="349">
        <f t="shared" si="30"/>
        <v>14</v>
      </c>
      <c r="S1967" s="352"/>
      <c r="T1967" s="352"/>
      <c r="U1967" s="352"/>
      <c r="V1967" s="353"/>
      <c r="W1967" s="352"/>
      <c r="X1967" s="176"/>
      <c r="Y1967" s="176"/>
      <c r="Z1967" s="352"/>
      <c r="AA1967" s="352"/>
      <c r="AB1967" s="352"/>
      <c r="AC1967" s="352"/>
      <c r="AD1967" s="352"/>
    </row>
    <row r="1968" spans="1:30" ht="38.450000000000003" hidden="1" x14ac:dyDescent="0.35">
      <c r="A1968" s="349">
        <v>1967</v>
      </c>
      <c r="B1968" s="352" t="s">
        <v>2891</v>
      </c>
      <c r="C1968" s="351" t="s">
        <v>4448</v>
      </c>
      <c r="D1968" s="352" t="s">
        <v>3895</v>
      </c>
      <c r="E1968" s="352" t="s">
        <v>2855</v>
      </c>
      <c r="F1968" s="353">
        <v>9.0792999999999999</v>
      </c>
      <c r="G1968" s="352" t="s">
        <v>1501</v>
      </c>
      <c r="H1968" s="176" t="s">
        <v>889</v>
      </c>
      <c r="I1968" s="176" t="s">
        <v>569</v>
      </c>
      <c r="J1968" s="352" t="s">
        <v>828</v>
      </c>
      <c r="K1968" s="352">
        <v>250</v>
      </c>
      <c r="L1968" s="352" t="s">
        <v>4022</v>
      </c>
      <c r="M1968" s="351">
        <v>1</v>
      </c>
      <c r="N1968" s="351" t="s">
        <v>1109</v>
      </c>
      <c r="O1968" s="351">
        <v>250</v>
      </c>
      <c r="P1968" s="349" t="s">
        <v>1850</v>
      </c>
      <c r="R1968" s="349">
        <f t="shared" si="30"/>
        <v>14</v>
      </c>
      <c r="S1968" s="352"/>
      <c r="T1968" s="352"/>
      <c r="U1968" s="352"/>
      <c r="V1968" s="353"/>
      <c r="W1968" s="352"/>
      <c r="X1968" s="176"/>
      <c r="Y1968" s="176"/>
      <c r="Z1968" s="352"/>
      <c r="AA1968" s="352"/>
      <c r="AB1968" s="352"/>
      <c r="AC1968" s="352"/>
      <c r="AD1968" s="352"/>
    </row>
    <row r="1969" spans="1:30" ht="115.35" hidden="1" x14ac:dyDescent="0.35">
      <c r="A1969" s="349">
        <v>1968</v>
      </c>
      <c r="B1969" s="352" t="s">
        <v>761</v>
      </c>
      <c r="C1969" s="351" t="s">
        <v>4449</v>
      </c>
      <c r="D1969" s="352" t="s">
        <v>771</v>
      </c>
      <c r="E1969" s="352" t="s">
        <v>772</v>
      </c>
      <c r="F1969" s="353">
        <v>13.22</v>
      </c>
      <c r="G1969" s="352" t="s">
        <v>1107</v>
      </c>
      <c r="H1969" s="176" t="s">
        <v>2293</v>
      </c>
      <c r="I1969" s="176" t="s">
        <v>4236</v>
      </c>
      <c r="J1969" s="352" t="s">
        <v>828</v>
      </c>
      <c r="K1969" s="352">
        <v>10</v>
      </c>
      <c r="L1969" s="352" t="s">
        <v>1116</v>
      </c>
      <c r="M1969" s="352">
        <v>15</v>
      </c>
      <c r="N1969" s="352" t="s">
        <v>1109</v>
      </c>
      <c r="O1969" s="351">
        <v>10</v>
      </c>
      <c r="P1969" s="349" t="s">
        <v>1836</v>
      </c>
      <c r="R1969" s="349">
        <f t="shared" si="30"/>
        <v>11</v>
      </c>
      <c r="S1969" s="352"/>
      <c r="T1969" s="352"/>
      <c r="U1969" s="352"/>
      <c r="V1969" s="353"/>
      <c r="W1969" s="352"/>
      <c r="X1969" s="176"/>
      <c r="Y1969" s="176"/>
      <c r="Z1969" s="352"/>
      <c r="AA1969" s="352"/>
      <c r="AB1969" s="352"/>
      <c r="AC1969" s="351"/>
      <c r="AD1969" s="351"/>
    </row>
    <row r="1970" spans="1:30" ht="115.35" hidden="1" x14ac:dyDescent="0.35">
      <c r="A1970" s="349">
        <v>1969</v>
      </c>
      <c r="B1970" s="352" t="s">
        <v>761</v>
      </c>
      <c r="C1970" s="351" t="s">
        <v>4449</v>
      </c>
      <c r="D1970" s="352" t="s">
        <v>771</v>
      </c>
      <c r="E1970" s="352" t="s">
        <v>1995</v>
      </c>
      <c r="F1970" s="353">
        <v>1.0578000000000001</v>
      </c>
      <c r="G1970" s="352" t="s">
        <v>2126</v>
      </c>
      <c r="H1970" s="176" t="s">
        <v>3109</v>
      </c>
      <c r="I1970" s="176" t="s">
        <v>4236</v>
      </c>
      <c r="J1970" s="352" t="s">
        <v>3580</v>
      </c>
      <c r="K1970" s="351">
        <v>100</v>
      </c>
      <c r="L1970" s="351" t="s">
        <v>3581</v>
      </c>
      <c r="M1970" s="351"/>
      <c r="N1970" s="351"/>
      <c r="O1970" s="351">
        <v>100</v>
      </c>
      <c r="P1970" s="349" t="s">
        <v>1836</v>
      </c>
      <c r="R1970" s="349">
        <f t="shared" si="30"/>
        <v>11</v>
      </c>
      <c r="S1970" s="352"/>
      <c r="T1970" s="352"/>
      <c r="U1970" s="352"/>
      <c r="V1970" s="353"/>
      <c r="W1970" s="352"/>
      <c r="X1970" s="176"/>
      <c r="Y1970" s="176"/>
      <c r="Z1970" s="352"/>
      <c r="AA1970" s="352"/>
      <c r="AB1970" s="352"/>
      <c r="AC1970" s="351"/>
      <c r="AD1970" s="351"/>
    </row>
    <row r="1971" spans="1:30" ht="51.3" hidden="1" x14ac:dyDescent="0.35">
      <c r="A1971" s="349">
        <v>1970</v>
      </c>
      <c r="B1971" s="352" t="s">
        <v>2077</v>
      </c>
      <c r="C1971" s="351" t="s">
        <v>4450</v>
      </c>
      <c r="D1971" s="352" t="s">
        <v>1242</v>
      </c>
      <c r="E1971" s="352" t="s">
        <v>1997</v>
      </c>
      <c r="F1971" s="353">
        <v>46.34</v>
      </c>
      <c r="G1971" s="352" t="s">
        <v>1107</v>
      </c>
      <c r="H1971" s="176" t="s">
        <v>2226</v>
      </c>
      <c r="I1971" s="176" t="s">
        <v>4615</v>
      </c>
      <c r="J1971" s="352" t="s">
        <v>1115</v>
      </c>
      <c r="K1971" s="352">
        <v>200</v>
      </c>
      <c r="L1971" s="352" t="s">
        <v>1464</v>
      </c>
      <c r="M1971" s="351"/>
      <c r="N1971" s="351"/>
      <c r="O1971" s="351">
        <v>200</v>
      </c>
      <c r="P1971" s="349" t="s">
        <v>1836</v>
      </c>
      <c r="R1971" s="349">
        <f t="shared" si="30"/>
        <v>12</v>
      </c>
      <c r="S1971" s="352"/>
      <c r="T1971" s="352"/>
      <c r="U1971" s="352"/>
      <c r="V1971" s="353"/>
      <c r="W1971" s="352"/>
      <c r="X1971" s="37"/>
      <c r="Y1971" s="176"/>
      <c r="Z1971" s="352"/>
      <c r="AA1971" s="352"/>
      <c r="AB1971" s="352"/>
      <c r="AC1971" s="352"/>
      <c r="AD1971" s="352"/>
    </row>
    <row r="1972" spans="1:30" ht="51.3" hidden="1" x14ac:dyDescent="0.35">
      <c r="A1972" s="349">
        <v>1971</v>
      </c>
      <c r="B1972" s="352" t="s">
        <v>4029</v>
      </c>
      <c r="C1972" s="351" t="s">
        <v>4451</v>
      </c>
      <c r="D1972" s="352" t="s">
        <v>1522</v>
      </c>
      <c r="E1972" s="352" t="s">
        <v>762</v>
      </c>
      <c r="F1972" s="353">
        <v>1.5206</v>
      </c>
      <c r="G1972" s="352" t="s">
        <v>1501</v>
      </c>
      <c r="H1972" s="176" t="s">
        <v>1524</v>
      </c>
      <c r="I1972" s="176" t="s">
        <v>2632</v>
      </c>
      <c r="J1972" s="352" t="s">
        <v>828</v>
      </c>
      <c r="K1972" s="352">
        <v>1</v>
      </c>
      <c r="L1972" s="352" t="s">
        <v>1116</v>
      </c>
      <c r="M1972" s="351">
        <v>2</v>
      </c>
      <c r="N1972" s="351" t="s">
        <v>1109</v>
      </c>
      <c r="O1972" s="351">
        <v>1</v>
      </c>
      <c r="P1972" s="349" t="s">
        <v>1836</v>
      </c>
      <c r="R1972" s="349">
        <f t="shared" si="30"/>
        <v>10</v>
      </c>
      <c r="S1972" s="352"/>
      <c r="T1972" s="352"/>
      <c r="U1972" s="352"/>
      <c r="V1972" s="353"/>
      <c r="W1972" s="352"/>
      <c r="X1972" s="176"/>
      <c r="Y1972" s="176"/>
      <c r="Z1972" s="352"/>
      <c r="AA1972" s="352"/>
      <c r="AB1972" s="352"/>
      <c r="AC1972" s="352"/>
      <c r="AD1972" s="352"/>
    </row>
    <row r="1973" spans="1:30" ht="51.3" hidden="1" x14ac:dyDescent="0.35">
      <c r="A1973" s="349">
        <v>1972</v>
      </c>
      <c r="B1973" s="352" t="s">
        <v>4029</v>
      </c>
      <c r="C1973" s="351" t="s">
        <v>4451</v>
      </c>
      <c r="D1973" s="352" t="s">
        <v>1522</v>
      </c>
      <c r="E1973" s="352" t="s">
        <v>1995</v>
      </c>
      <c r="F1973" s="353">
        <v>0.3306</v>
      </c>
      <c r="G1973" s="352" t="s">
        <v>2126</v>
      </c>
      <c r="H1973" s="176" t="s">
        <v>1523</v>
      </c>
      <c r="I1973" s="176" t="s">
        <v>2632</v>
      </c>
      <c r="J1973" s="352" t="s">
        <v>3580</v>
      </c>
      <c r="K1973" s="352">
        <v>1</v>
      </c>
      <c r="L1973" s="352" t="s">
        <v>3581</v>
      </c>
      <c r="M1973" s="351"/>
      <c r="N1973" s="351"/>
      <c r="O1973" s="351">
        <v>1</v>
      </c>
      <c r="P1973" s="349" t="s">
        <v>1836</v>
      </c>
      <c r="R1973" s="349">
        <f t="shared" si="30"/>
        <v>10</v>
      </c>
      <c r="S1973" s="352"/>
      <c r="T1973" s="352"/>
      <c r="U1973" s="352"/>
      <c r="V1973" s="353"/>
      <c r="W1973" s="352"/>
      <c r="X1973" s="176"/>
      <c r="Y1973" s="176"/>
      <c r="Z1973" s="352"/>
      <c r="AA1973" s="352"/>
      <c r="AB1973" s="352"/>
      <c r="AC1973" s="352"/>
      <c r="AD1973" s="352"/>
    </row>
    <row r="1974" spans="1:30" ht="76.900000000000006" hidden="1" x14ac:dyDescent="0.35">
      <c r="A1974" s="349">
        <v>1973</v>
      </c>
      <c r="B1974" s="352" t="s">
        <v>831</v>
      </c>
      <c r="C1974" s="351" t="s">
        <v>4452</v>
      </c>
      <c r="D1974" s="352" t="s">
        <v>5046</v>
      </c>
      <c r="E1974" s="352" t="s">
        <v>1997</v>
      </c>
      <c r="F1974" s="353">
        <v>44.01</v>
      </c>
      <c r="G1974" s="352" t="s">
        <v>1107</v>
      </c>
      <c r="H1974" s="176" t="s">
        <v>2935</v>
      </c>
      <c r="I1974" s="176" t="s">
        <v>3574</v>
      </c>
      <c r="J1974" s="352" t="s">
        <v>1115</v>
      </c>
      <c r="K1974" s="352"/>
      <c r="L1974" s="352"/>
      <c r="M1974" s="352"/>
      <c r="N1974" s="352"/>
      <c r="O1974" s="351">
        <v>0</v>
      </c>
      <c r="P1974" s="349" t="s">
        <v>2313</v>
      </c>
      <c r="R1974" s="349">
        <f t="shared" si="30"/>
        <v>24</v>
      </c>
      <c r="S1974" s="352"/>
      <c r="T1974" s="352"/>
      <c r="U1974" s="352"/>
      <c r="V1974" s="353"/>
      <c r="W1974" s="352"/>
      <c r="X1974" s="176"/>
      <c r="Y1974" s="176"/>
      <c r="Z1974" s="352"/>
      <c r="AA1974" s="352"/>
      <c r="AB1974" s="352"/>
      <c r="AC1974" s="352"/>
      <c r="AD1974" s="352"/>
    </row>
    <row r="1975" spans="1:30" ht="256.35000000000002" hidden="1" x14ac:dyDescent="0.35">
      <c r="A1975" s="349">
        <v>1974</v>
      </c>
      <c r="B1975" s="352" t="s">
        <v>1787</v>
      </c>
      <c r="C1975" s="351" t="s">
        <v>4453</v>
      </c>
      <c r="D1975" s="352" t="s">
        <v>542</v>
      </c>
      <c r="E1975" s="352" t="s">
        <v>1788</v>
      </c>
      <c r="F1975" s="353">
        <v>13</v>
      </c>
      <c r="G1975" s="352" t="s">
        <v>2126</v>
      </c>
      <c r="H1975" s="176" t="s">
        <v>2241</v>
      </c>
      <c r="I1975" s="176" t="s">
        <v>4950</v>
      </c>
      <c r="J1975" s="352" t="s">
        <v>3579</v>
      </c>
      <c r="K1975" s="352">
        <v>20</v>
      </c>
      <c r="L1975" s="352" t="s">
        <v>1116</v>
      </c>
      <c r="M1975" s="351">
        <v>250</v>
      </c>
      <c r="N1975" s="351" t="s">
        <v>1109</v>
      </c>
      <c r="O1975" s="351">
        <v>20</v>
      </c>
      <c r="P1975" s="349" t="s">
        <v>1836</v>
      </c>
      <c r="R1975" s="349">
        <f t="shared" si="30"/>
        <v>13</v>
      </c>
      <c r="S1975" s="352"/>
      <c r="T1975" s="352"/>
      <c r="U1975" s="352"/>
      <c r="V1975" s="353"/>
      <c r="W1975" s="352"/>
      <c r="X1975" s="176"/>
      <c r="Y1975" s="176"/>
      <c r="Z1975" s="352"/>
      <c r="AA1975" s="352"/>
      <c r="AB1975" s="352"/>
      <c r="AC1975" s="352"/>
      <c r="AD1975" s="352"/>
    </row>
    <row r="1976" spans="1:30" ht="256.35000000000002" hidden="1" x14ac:dyDescent="0.35">
      <c r="A1976" s="349">
        <v>1975</v>
      </c>
      <c r="B1976" s="352" t="s">
        <v>1787</v>
      </c>
      <c r="C1976" s="351" t="s">
        <v>4453</v>
      </c>
      <c r="D1976" s="352" t="s">
        <v>542</v>
      </c>
      <c r="E1976" s="352" t="s">
        <v>1995</v>
      </c>
      <c r="F1976" s="353">
        <v>0.2</v>
      </c>
      <c r="G1976" s="352" t="s">
        <v>2126</v>
      </c>
      <c r="H1976" s="176" t="s">
        <v>2241</v>
      </c>
      <c r="I1976" s="176" t="s">
        <v>4950</v>
      </c>
      <c r="J1976" s="352" t="s">
        <v>3580</v>
      </c>
      <c r="K1976" s="352">
        <v>100</v>
      </c>
      <c r="L1976" s="352" t="s">
        <v>3581</v>
      </c>
      <c r="M1976" s="351"/>
      <c r="N1976" s="351"/>
      <c r="O1976" s="351">
        <v>100</v>
      </c>
      <c r="P1976" s="349" t="s">
        <v>1836</v>
      </c>
      <c r="R1976" s="349">
        <f t="shared" si="30"/>
        <v>13</v>
      </c>
      <c r="S1976" s="352"/>
      <c r="T1976" s="352"/>
      <c r="U1976" s="352"/>
      <c r="V1976" s="353"/>
      <c r="W1976" s="352"/>
      <c r="X1976" s="37"/>
      <c r="Y1976" s="176"/>
      <c r="Z1976" s="352"/>
      <c r="AA1976" s="352"/>
      <c r="AB1976" s="352"/>
      <c r="AC1976" s="352"/>
      <c r="AD1976" s="352"/>
    </row>
    <row r="1977" spans="1:30" ht="256.35000000000002" hidden="1" x14ac:dyDescent="0.35">
      <c r="A1977" s="349">
        <v>1976</v>
      </c>
      <c r="B1977" s="352" t="s">
        <v>1787</v>
      </c>
      <c r="C1977" s="351" t="s">
        <v>4453</v>
      </c>
      <c r="D1977" s="352" t="s">
        <v>542</v>
      </c>
      <c r="E1977" s="352" t="s">
        <v>2011</v>
      </c>
      <c r="F1977" s="353">
        <v>0.4</v>
      </c>
      <c r="G1977" s="352" t="s">
        <v>2126</v>
      </c>
      <c r="H1977" s="176" t="s">
        <v>2241</v>
      </c>
      <c r="I1977" s="176" t="s">
        <v>4950</v>
      </c>
      <c r="J1977" s="352" t="s">
        <v>1789</v>
      </c>
      <c r="K1977" s="352">
        <v>200</v>
      </c>
      <c r="L1977" s="352" t="s">
        <v>3581</v>
      </c>
      <c r="M1977" s="351"/>
      <c r="N1977" s="351"/>
      <c r="O1977" s="351">
        <v>200</v>
      </c>
      <c r="P1977" s="349" t="s">
        <v>1836</v>
      </c>
      <c r="R1977" s="349">
        <f t="shared" si="30"/>
        <v>13</v>
      </c>
      <c r="S1977" s="352"/>
      <c r="T1977" s="352"/>
      <c r="U1977" s="352"/>
      <c r="V1977" s="353"/>
      <c r="W1977" s="352"/>
      <c r="X1977" s="176"/>
      <c r="Y1977" s="176"/>
      <c r="Z1977" s="352"/>
      <c r="AA1977" s="352"/>
      <c r="AB1977" s="352"/>
      <c r="AC1977" s="352"/>
      <c r="AD1977" s="352"/>
    </row>
    <row r="1978" spans="1:30" ht="128.19999999999999" hidden="1" x14ac:dyDescent="0.35">
      <c r="A1978" s="349">
        <v>1977</v>
      </c>
      <c r="B1978" s="352" t="s">
        <v>1787</v>
      </c>
      <c r="C1978" s="351" t="s">
        <v>4453</v>
      </c>
      <c r="D1978" s="352" t="s">
        <v>542</v>
      </c>
      <c r="E1978" s="352" t="s">
        <v>1999</v>
      </c>
      <c r="F1978" s="353">
        <v>0.55000000000000004</v>
      </c>
      <c r="G1978" s="352" t="s">
        <v>967</v>
      </c>
      <c r="H1978" s="176" t="s">
        <v>4222</v>
      </c>
      <c r="I1978" s="176" t="s">
        <v>4950</v>
      </c>
      <c r="J1978" s="352" t="s">
        <v>968</v>
      </c>
      <c r="K1978" s="352">
        <v>125</v>
      </c>
      <c r="L1978" s="352" t="s">
        <v>969</v>
      </c>
      <c r="M1978" s="352"/>
      <c r="N1978" s="352"/>
      <c r="O1978" s="351">
        <v>125</v>
      </c>
      <c r="P1978" s="349" t="s">
        <v>1836</v>
      </c>
      <c r="R1978" s="349">
        <f t="shared" si="30"/>
        <v>13</v>
      </c>
      <c r="S1978" s="352"/>
      <c r="T1978" s="352"/>
      <c r="U1978" s="352"/>
      <c r="V1978" s="353"/>
      <c r="W1978" s="352"/>
      <c r="X1978" s="176"/>
      <c r="Y1978" s="176"/>
      <c r="Z1978" s="352"/>
      <c r="AA1978" s="352"/>
      <c r="AB1978" s="352"/>
      <c r="AC1978" s="352"/>
      <c r="AD1978" s="352"/>
    </row>
    <row r="1979" spans="1:30" ht="128.19999999999999" hidden="1" x14ac:dyDescent="0.35">
      <c r="A1979" s="349">
        <v>1978</v>
      </c>
      <c r="B1979" s="352" t="s">
        <v>1787</v>
      </c>
      <c r="C1979" s="351" t="s">
        <v>4453</v>
      </c>
      <c r="D1979" s="352" t="s">
        <v>542</v>
      </c>
      <c r="E1979" s="352" t="s">
        <v>1999</v>
      </c>
      <c r="F1979" s="353">
        <v>0.7</v>
      </c>
      <c r="G1979" s="352" t="s">
        <v>967</v>
      </c>
      <c r="H1979" s="176" t="s">
        <v>4222</v>
      </c>
      <c r="I1979" s="176" t="s">
        <v>4950</v>
      </c>
      <c r="J1979" s="352" t="s">
        <v>968</v>
      </c>
      <c r="K1979" s="352">
        <v>250</v>
      </c>
      <c r="L1979" s="352" t="s">
        <v>969</v>
      </c>
      <c r="M1979" s="351"/>
      <c r="N1979" s="351"/>
      <c r="O1979" s="351">
        <v>250</v>
      </c>
      <c r="P1979" s="349" t="s">
        <v>1836</v>
      </c>
      <c r="R1979" s="349">
        <f t="shared" si="30"/>
        <v>13</v>
      </c>
      <c r="S1979" s="352"/>
      <c r="T1979" s="352"/>
      <c r="U1979" s="352"/>
      <c r="V1979" s="353"/>
      <c r="W1979" s="352"/>
      <c r="X1979" s="176"/>
      <c r="Y1979" s="176"/>
      <c r="Z1979" s="352"/>
      <c r="AA1979" s="352"/>
      <c r="AB1979" s="352"/>
      <c r="AC1979" s="352"/>
      <c r="AD1979" s="352"/>
    </row>
    <row r="1980" spans="1:30" ht="128.19999999999999" hidden="1" x14ac:dyDescent="0.35">
      <c r="A1980" s="349">
        <v>1979</v>
      </c>
      <c r="B1980" s="352" t="s">
        <v>1787</v>
      </c>
      <c r="C1980" s="351" t="s">
        <v>4453</v>
      </c>
      <c r="D1980" s="352" t="s">
        <v>542</v>
      </c>
      <c r="E1980" s="352" t="s">
        <v>1999</v>
      </c>
      <c r="F1980" s="353">
        <v>1</v>
      </c>
      <c r="G1980" s="352" t="s">
        <v>967</v>
      </c>
      <c r="H1980" s="176" t="s">
        <v>4222</v>
      </c>
      <c r="I1980" s="176" t="s">
        <v>4950</v>
      </c>
      <c r="J1980" s="352" t="s">
        <v>968</v>
      </c>
      <c r="K1980" s="352">
        <v>500</v>
      </c>
      <c r="L1980" s="352" t="s">
        <v>969</v>
      </c>
      <c r="M1980" s="351"/>
      <c r="N1980" s="351"/>
      <c r="O1980" s="351">
        <v>500</v>
      </c>
      <c r="P1980" s="349" t="s">
        <v>1836</v>
      </c>
      <c r="R1980" s="349">
        <f t="shared" si="30"/>
        <v>13</v>
      </c>
      <c r="S1980" s="352"/>
      <c r="T1980" s="352"/>
      <c r="U1980" s="352"/>
      <c r="V1980" s="353"/>
      <c r="W1980" s="352"/>
      <c r="X1980" s="176"/>
      <c r="Y1980" s="176"/>
      <c r="Z1980" s="352"/>
      <c r="AA1980" s="352"/>
      <c r="AB1980" s="352"/>
      <c r="AC1980" s="352"/>
      <c r="AD1980" s="352"/>
    </row>
    <row r="1981" spans="1:30" ht="51.3" hidden="1" x14ac:dyDescent="0.35">
      <c r="A1981" s="349">
        <v>1980</v>
      </c>
      <c r="B1981" s="352" t="s">
        <v>2077</v>
      </c>
      <c r="C1981" s="351" t="s">
        <v>1242</v>
      </c>
      <c r="D1981" s="352" t="s">
        <v>1242</v>
      </c>
      <c r="E1981" s="352" t="s">
        <v>1997</v>
      </c>
      <c r="F1981" s="353">
        <v>46.34</v>
      </c>
      <c r="G1981" s="352" t="s">
        <v>1107</v>
      </c>
      <c r="H1981" s="176" t="s">
        <v>2226</v>
      </c>
      <c r="I1981" s="176" t="s">
        <v>4615</v>
      </c>
      <c r="J1981" s="352" t="s">
        <v>1115</v>
      </c>
      <c r="K1981" s="352">
        <v>200</v>
      </c>
      <c r="L1981" s="352" t="s">
        <v>1464</v>
      </c>
      <c r="M1981" s="352"/>
      <c r="N1981" s="352"/>
      <c r="O1981" s="351">
        <v>200</v>
      </c>
      <c r="P1981" s="349" t="s">
        <v>1836</v>
      </c>
      <c r="R1981" s="349">
        <f t="shared" si="30"/>
        <v>12</v>
      </c>
      <c r="S1981" s="352"/>
      <c r="T1981" s="352"/>
      <c r="U1981" s="352"/>
      <c r="V1981" s="353"/>
      <c r="W1981" s="352"/>
      <c r="X1981" s="176"/>
      <c r="Y1981" s="176"/>
      <c r="Z1981" s="352"/>
      <c r="AA1981" s="352"/>
      <c r="AB1981" s="352"/>
      <c r="AC1981" s="351"/>
      <c r="AD1981" s="351"/>
    </row>
    <row r="1982" spans="1:30" ht="51.3" hidden="1" x14ac:dyDescent="0.35">
      <c r="A1982" s="349">
        <v>1981</v>
      </c>
      <c r="B1982" s="352" t="s">
        <v>746</v>
      </c>
      <c r="C1982" s="351" t="s">
        <v>4454</v>
      </c>
      <c r="D1982" s="352" t="s">
        <v>196</v>
      </c>
      <c r="E1982" s="352" t="s">
        <v>1323</v>
      </c>
      <c r="F1982" s="353">
        <v>21.68</v>
      </c>
      <c r="G1982" s="352" t="s">
        <v>2126</v>
      </c>
      <c r="H1982" s="176" t="s">
        <v>197</v>
      </c>
      <c r="I1982" s="176" t="s">
        <v>198</v>
      </c>
      <c r="J1982" s="352" t="s">
        <v>469</v>
      </c>
      <c r="K1982" s="352">
        <v>660</v>
      </c>
      <c r="L1982" s="352" t="s">
        <v>1116</v>
      </c>
      <c r="M1982" s="352">
        <v>100</v>
      </c>
      <c r="N1982" s="352" t="s">
        <v>1109</v>
      </c>
      <c r="O1982" s="351">
        <v>660</v>
      </c>
      <c r="P1982" s="349" t="s">
        <v>1836</v>
      </c>
      <c r="R1982" s="349">
        <f t="shared" si="30"/>
        <v>16</v>
      </c>
      <c r="S1982" s="352"/>
      <c r="T1982" s="352"/>
      <c r="U1982" s="352"/>
      <c r="V1982" s="353"/>
      <c r="W1982" s="352"/>
      <c r="X1982" s="176"/>
      <c r="Y1982" s="176"/>
      <c r="Z1982" s="352"/>
      <c r="AA1982" s="352"/>
      <c r="AB1982" s="352"/>
      <c r="AC1982" s="351"/>
      <c r="AD1982" s="351"/>
    </row>
    <row r="1983" spans="1:30" ht="25.65" hidden="1" x14ac:dyDescent="0.35">
      <c r="A1983" s="349">
        <v>1982</v>
      </c>
      <c r="B1983" s="352" t="s">
        <v>958</v>
      </c>
      <c r="C1983" s="351" t="s">
        <v>2227</v>
      </c>
      <c r="D1983" s="352" t="s">
        <v>2227</v>
      </c>
      <c r="E1983" s="352" t="s">
        <v>1998</v>
      </c>
      <c r="F1983" s="353">
        <v>0.1</v>
      </c>
      <c r="G1983" s="352" t="s">
        <v>2126</v>
      </c>
      <c r="H1983" s="176" t="s">
        <v>582</v>
      </c>
      <c r="I1983" s="176" t="s">
        <v>3012</v>
      </c>
      <c r="J1983" s="352" t="s">
        <v>22</v>
      </c>
      <c r="K1983" s="352">
        <v>10</v>
      </c>
      <c r="L1983" s="352" t="s">
        <v>23</v>
      </c>
      <c r="M1983" s="351"/>
      <c r="N1983" s="351"/>
      <c r="O1983" s="351">
        <v>10</v>
      </c>
      <c r="P1983" s="349" t="s">
        <v>1836</v>
      </c>
      <c r="R1983" s="349">
        <f t="shared" si="30"/>
        <v>9</v>
      </c>
      <c r="S1983" s="352"/>
      <c r="T1983" s="352"/>
      <c r="U1983" s="352"/>
      <c r="V1983" s="353"/>
      <c r="W1983" s="352"/>
      <c r="X1983" s="176"/>
      <c r="Y1983" s="176"/>
      <c r="Z1983" s="352"/>
      <c r="AA1983" s="352"/>
      <c r="AB1983" s="352"/>
      <c r="AC1983" s="351"/>
      <c r="AD1983" s="351"/>
    </row>
    <row r="1984" spans="1:30" ht="102.55" hidden="1" x14ac:dyDescent="0.35">
      <c r="A1984" s="349">
        <v>1983</v>
      </c>
      <c r="B1984" s="352" t="s">
        <v>958</v>
      </c>
      <c r="C1984" s="351" t="s">
        <v>4455</v>
      </c>
      <c r="D1984" s="352" t="s">
        <v>448</v>
      </c>
      <c r="E1984" s="352" t="s">
        <v>2855</v>
      </c>
      <c r="F1984" s="353">
        <v>5.9279999999999999</v>
      </c>
      <c r="G1984" s="352" t="s">
        <v>1107</v>
      </c>
      <c r="H1984" s="176" t="s">
        <v>2936</v>
      </c>
      <c r="I1984" s="176" t="s">
        <v>4197</v>
      </c>
      <c r="J1984" s="352" t="s">
        <v>828</v>
      </c>
      <c r="K1984" s="352">
        <v>4</v>
      </c>
      <c r="L1984" s="352" t="s">
        <v>1116</v>
      </c>
      <c r="M1984" s="352">
        <v>1</v>
      </c>
      <c r="N1984" s="352" t="s">
        <v>1109</v>
      </c>
      <c r="O1984" s="351">
        <v>4</v>
      </c>
      <c r="P1984" s="349" t="s">
        <v>1836</v>
      </c>
      <c r="R1984" s="349">
        <f t="shared" si="30"/>
        <v>9</v>
      </c>
      <c r="S1984" s="352"/>
      <c r="T1984" s="352"/>
      <c r="U1984" s="352"/>
      <c r="V1984" s="353"/>
      <c r="W1984" s="352"/>
      <c r="X1984" s="176"/>
      <c r="Y1984" s="176"/>
      <c r="Z1984" s="352"/>
      <c r="AA1984" s="352"/>
      <c r="AB1984" s="352"/>
      <c r="AC1984" s="351"/>
      <c r="AD1984" s="351"/>
    </row>
    <row r="1985" spans="1:30" ht="102.55" hidden="1" x14ac:dyDescent="0.35">
      <c r="A1985" s="349">
        <v>1984</v>
      </c>
      <c r="B1985" s="352" t="s">
        <v>958</v>
      </c>
      <c r="C1985" s="351" t="s">
        <v>4455</v>
      </c>
      <c r="D1985" s="352" t="s">
        <v>448</v>
      </c>
      <c r="E1985" s="352" t="s">
        <v>1995</v>
      </c>
      <c r="F1985" s="353">
        <v>7.0000000000000007E-2</v>
      </c>
      <c r="G1985" s="352" t="s">
        <v>2126</v>
      </c>
      <c r="H1985" s="176" t="s">
        <v>4198</v>
      </c>
      <c r="I1985" s="176" t="s">
        <v>4197</v>
      </c>
      <c r="J1985" s="352" t="s">
        <v>3580</v>
      </c>
      <c r="K1985" s="352">
        <v>1</v>
      </c>
      <c r="L1985" s="352" t="s">
        <v>3581</v>
      </c>
      <c r="M1985" s="352"/>
      <c r="N1985" s="352"/>
      <c r="O1985" s="351">
        <v>1</v>
      </c>
      <c r="P1985" s="349" t="s">
        <v>1836</v>
      </c>
      <c r="R1985" s="349">
        <f t="shared" si="30"/>
        <v>9</v>
      </c>
      <c r="S1985" s="352"/>
      <c r="T1985" s="352"/>
      <c r="U1985" s="352"/>
      <c r="V1985" s="353"/>
      <c r="W1985" s="352"/>
      <c r="X1985" s="176"/>
      <c r="Y1985" s="176"/>
      <c r="Z1985" s="352"/>
      <c r="AA1985" s="352"/>
      <c r="AB1985" s="352"/>
      <c r="AC1985" s="351"/>
      <c r="AD1985" s="351"/>
    </row>
    <row r="1986" spans="1:30" ht="25.65" hidden="1" x14ac:dyDescent="0.35">
      <c r="A1986" s="349">
        <v>1985</v>
      </c>
      <c r="B1986" s="352" t="s">
        <v>1080</v>
      </c>
      <c r="C1986" s="351" t="s">
        <v>3654</v>
      </c>
      <c r="D1986" s="352" t="s">
        <v>3654</v>
      </c>
      <c r="E1986" s="352" t="s">
        <v>827</v>
      </c>
      <c r="F1986" s="353">
        <v>22.5</v>
      </c>
      <c r="G1986" s="352" t="s">
        <v>1107</v>
      </c>
      <c r="H1986" s="176" t="s">
        <v>2218</v>
      </c>
      <c r="I1986" s="176" t="s">
        <v>3272</v>
      </c>
      <c r="J1986" s="352" t="s">
        <v>828</v>
      </c>
      <c r="K1986" s="352">
        <v>10</v>
      </c>
      <c r="L1986" s="352" t="s">
        <v>1116</v>
      </c>
      <c r="M1986" s="352">
        <v>5</v>
      </c>
      <c r="N1986" s="352" t="s">
        <v>1109</v>
      </c>
      <c r="O1986" s="351">
        <v>10</v>
      </c>
      <c r="P1986" s="349" t="s">
        <v>1836</v>
      </c>
      <c r="R1986" s="349">
        <f t="shared" si="30"/>
        <v>10</v>
      </c>
      <c r="S1986" s="352"/>
      <c r="T1986" s="352"/>
      <c r="U1986" s="352"/>
      <c r="V1986" s="353"/>
      <c r="W1986" s="352"/>
      <c r="X1986" s="176"/>
      <c r="Y1986" s="176"/>
      <c r="Z1986" s="352"/>
      <c r="AA1986" s="352"/>
      <c r="AB1986" s="352"/>
      <c r="AC1986" s="351"/>
      <c r="AD1986" s="351"/>
    </row>
    <row r="1987" spans="1:30" ht="38.450000000000003" hidden="1" x14ac:dyDescent="0.35">
      <c r="A1987" s="349">
        <v>1986</v>
      </c>
      <c r="B1987" s="352" t="s">
        <v>2070</v>
      </c>
      <c r="C1987" s="351" t="s">
        <v>4456</v>
      </c>
      <c r="D1987" s="352" t="s">
        <v>953</v>
      </c>
      <c r="E1987" s="352" t="s">
        <v>1995</v>
      </c>
      <c r="F1987" s="353">
        <v>0.35260000000000002</v>
      </c>
      <c r="G1987" s="352" t="s">
        <v>2126</v>
      </c>
      <c r="H1987" s="37" t="s">
        <v>3112</v>
      </c>
      <c r="I1987" s="176" t="s">
        <v>3113</v>
      </c>
      <c r="J1987" s="352" t="s">
        <v>3580</v>
      </c>
      <c r="K1987" s="352">
        <v>50</v>
      </c>
      <c r="L1987" s="352" t="s">
        <v>3581</v>
      </c>
      <c r="M1987" s="352"/>
      <c r="N1987" s="352"/>
      <c r="O1987" s="351">
        <v>50</v>
      </c>
      <c r="P1987" s="349" t="s">
        <v>1836</v>
      </c>
      <c r="R1987" s="349">
        <f t="shared" ref="R1987:R2050" si="31">LEN(D1987)</f>
        <v>8</v>
      </c>
      <c r="S1987" s="352"/>
      <c r="T1987" s="352"/>
      <c r="U1987" s="352"/>
      <c r="V1987" s="353"/>
      <c r="W1987" s="352"/>
      <c r="X1987" s="176"/>
      <c r="Y1987" s="176"/>
      <c r="Z1987" s="352"/>
      <c r="AA1987" s="352"/>
      <c r="AB1987" s="352"/>
      <c r="AC1987" s="352"/>
      <c r="AD1987" s="352"/>
    </row>
    <row r="1988" spans="1:30" ht="51.3" hidden="1" x14ac:dyDescent="0.35">
      <c r="A1988" s="349">
        <v>1987</v>
      </c>
      <c r="B1988" s="352" t="s">
        <v>2132</v>
      </c>
      <c r="C1988" s="351" t="s">
        <v>3514</v>
      </c>
      <c r="D1988" s="352" t="s">
        <v>3514</v>
      </c>
      <c r="E1988" s="352" t="s">
        <v>758</v>
      </c>
      <c r="F1988" s="353">
        <v>11.71</v>
      </c>
      <c r="G1988" s="352" t="s">
        <v>34</v>
      </c>
      <c r="H1988" s="37" t="s">
        <v>3515</v>
      </c>
      <c r="I1988" s="176" t="s">
        <v>4828</v>
      </c>
      <c r="J1988" s="352" t="s">
        <v>29</v>
      </c>
      <c r="K1988" s="352">
        <v>1</v>
      </c>
      <c r="L1988" s="352" t="s">
        <v>470</v>
      </c>
      <c r="M1988" s="352">
        <v>15</v>
      </c>
      <c r="N1988" s="352" t="s">
        <v>31</v>
      </c>
      <c r="O1988" s="351">
        <v>1</v>
      </c>
      <c r="P1988" s="349" t="s">
        <v>1838</v>
      </c>
      <c r="R1988" s="349">
        <f t="shared" si="31"/>
        <v>11</v>
      </c>
      <c r="S1988" s="352"/>
      <c r="T1988" s="352"/>
      <c r="U1988" s="352"/>
      <c r="V1988" s="353"/>
      <c r="W1988" s="352"/>
      <c r="X1988" s="176"/>
      <c r="Y1988" s="176"/>
      <c r="Z1988" s="352"/>
      <c r="AA1988" s="352"/>
      <c r="AB1988" s="352"/>
      <c r="AC1988" s="352"/>
      <c r="AD1988" s="352"/>
    </row>
    <row r="1989" spans="1:30" ht="25.65" hidden="1" x14ac:dyDescent="0.35">
      <c r="A1989" s="349">
        <v>1988</v>
      </c>
      <c r="B1989" s="352" t="s">
        <v>316</v>
      </c>
      <c r="C1989" s="351" t="s">
        <v>540</v>
      </c>
      <c r="D1989" s="352" t="s">
        <v>540</v>
      </c>
      <c r="E1989" s="352" t="s">
        <v>824</v>
      </c>
      <c r="F1989" s="353">
        <v>5.5974000000000004</v>
      </c>
      <c r="G1989" s="352" t="s">
        <v>3034</v>
      </c>
      <c r="H1989" s="176" t="s">
        <v>436</v>
      </c>
      <c r="I1989" s="176" t="s">
        <v>437</v>
      </c>
      <c r="J1989" s="352" t="s">
        <v>825</v>
      </c>
      <c r="K1989" s="352">
        <v>250</v>
      </c>
      <c r="L1989" s="352" t="s">
        <v>2376</v>
      </c>
      <c r="M1989" s="352">
        <v>200</v>
      </c>
      <c r="N1989" s="352" t="s">
        <v>1656</v>
      </c>
      <c r="O1989" s="351">
        <v>250</v>
      </c>
      <c r="P1989" s="349" t="s">
        <v>1850</v>
      </c>
      <c r="R1989" s="349">
        <f t="shared" si="31"/>
        <v>11</v>
      </c>
      <c r="S1989" s="352"/>
      <c r="T1989" s="352"/>
      <c r="U1989" s="352"/>
      <c r="V1989" s="353"/>
      <c r="W1989" s="352"/>
      <c r="X1989" s="176"/>
      <c r="Y1989" s="176"/>
      <c r="Z1989" s="352"/>
      <c r="AA1989" s="352"/>
      <c r="AB1989" s="352"/>
      <c r="AC1989" s="352"/>
      <c r="AD1989" s="352"/>
    </row>
    <row r="1990" spans="1:30" ht="51.3" hidden="1" x14ac:dyDescent="0.35">
      <c r="A1990" s="349">
        <v>1989</v>
      </c>
      <c r="B1990" s="352" t="s">
        <v>316</v>
      </c>
      <c r="C1990" s="351" t="s">
        <v>540</v>
      </c>
      <c r="D1990" s="352" t="s">
        <v>540</v>
      </c>
      <c r="E1990" s="352" t="s">
        <v>2455</v>
      </c>
      <c r="F1990" s="353">
        <v>10.029999999999999</v>
      </c>
      <c r="G1990" s="352" t="s">
        <v>3034</v>
      </c>
      <c r="H1990" s="176"/>
      <c r="I1990" s="176" t="s">
        <v>438</v>
      </c>
      <c r="J1990" s="352" t="s">
        <v>3215</v>
      </c>
      <c r="K1990" s="351">
        <v>250</v>
      </c>
      <c r="L1990" s="351" t="s">
        <v>3216</v>
      </c>
      <c r="M1990" s="352">
        <v>400</v>
      </c>
      <c r="N1990" s="352" t="s">
        <v>1656</v>
      </c>
      <c r="O1990" s="351">
        <v>250</v>
      </c>
      <c r="P1990" s="349" t="s">
        <v>1850</v>
      </c>
      <c r="R1990" s="349">
        <f t="shared" si="31"/>
        <v>11</v>
      </c>
      <c r="S1990" s="352"/>
      <c r="T1990" s="352"/>
      <c r="U1990" s="352"/>
      <c r="V1990" s="353"/>
      <c r="W1990" s="352"/>
      <c r="X1990" s="176"/>
      <c r="Y1990" s="176"/>
      <c r="Z1990" s="352"/>
      <c r="AA1990" s="352"/>
      <c r="AB1990" s="352"/>
      <c r="AC1990" s="352"/>
      <c r="AD1990" s="352"/>
    </row>
    <row r="1991" spans="1:30" ht="51.3" hidden="1" x14ac:dyDescent="0.35">
      <c r="A1991" s="349">
        <v>1990</v>
      </c>
      <c r="B1991" s="352" t="s">
        <v>316</v>
      </c>
      <c r="C1991" s="351" t="s">
        <v>540</v>
      </c>
      <c r="D1991" s="352" t="s">
        <v>540</v>
      </c>
      <c r="E1991" s="352" t="s">
        <v>2455</v>
      </c>
      <c r="F1991" s="353">
        <v>10.029999999999999</v>
      </c>
      <c r="G1991" s="352" t="s">
        <v>3034</v>
      </c>
      <c r="H1991" s="176" t="s">
        <v>3655</v>
      </c>
      <c r="I1991" s="176" t="s">
        <v>438</v>
      </c>
      <c r="J1991" s="352" t="s">
        <v>3215</v>
      </c>
      <c r="K1991" s="351">
        <v>250</v>
      </c>
      <c r="L1991" s="351" t="s">
        <v>3216</v>
      </c>
      <c r="M1991" s="352">
        <v>400</v>
      </c>
      <c r="N1991" s="352" t="s">
        <v>1656</v>
      </c>
      <c r="O1991" s="351">
        <v>250</v>
      </c>
      <c r="P1991" s="349" t="s">
        <v>1850</v>
      </c>
      <c r="R1991" s="349">
        <f t="shared" si="31"/>
        <v>11</v>
      </c>
      <c r="S1991" s="352"/>
      <c r="T1991" s="352"/>
      <c r="U1991" s="352"/>
      <c r="V1991" s="353"/>
      <c r="W1991" s="352"/>
      <c r="X1991" s="176"/>
      <c r="Y1991" s="176"/>
      <c r="Z1991" s="352"/>
      <c r="AA1991" s="352"/>
      <c r="AB1991" s="352"/>
      <c r="AC1991" s="351"/>
      <c r="AD1991" s="351"/>
    </row>
    <row r="1992" spans="1:30" ht="51.3" hidden="1" x14ac:dyDescent="0.35">
      <c r="A1992" s="349">
        <v>1991</v>
      </c>
      <c r="B1992" s="352" t="s">
        <v>316</v>
      </c>
      <c r="C1992" s="351" t="s">
        <v>540</v>
      </c>
      <c r="D1992" s="352" t="s">
        <v>540</v>
      </c>
      <c r="E1992" s="352" t="s">
        <v>2456</v>
      </c>
      <c r="F1992" s="353">
        <v>1.76</v>
      </c>
      <c r="G1992" s="352" t="s">
        <v>3034</v>
      </c>
      <c r="H1992" s="176"/>
      <c r="I1992" s="176" t="s">
        <v>438</v>
      </c>
      <c r="J1992" s="352" t="s">
        <v>3215</v>
      </c>
      <c r="K1992" s="352">
        <v>500</v>
      </c>
      <c r="L1992" s="352" t="s">
        <v>3216</v>
      </c>
      <c r="M1992" s="351">
        <v>50</v>
      </c>
      <c r="N1992" s="351" t="s">
        <v>1656</v>
      </c>
      <c r="O1992" s="351">
        <v>500</v>
      </c>
      <c r="P1992" s="349" t="s">
        <v>1850</v>
      </c>
      <c r="R1992" s="349">
        <f t="shared" si="31"/>
        <v>11</v>
      </c>
      <c r="S1992" s="352"/>
      <c r="T1992" s="352"/>
      <c r="U1992" s="352"/>
      <c r="V1992" s="353"/>
      <c r="W1992" s="352"/>
      <c r="X1992" s="176"/>
      <c r="Y1992" s="176"/>
      <c r="Z1992" s="352"/>
      <c r="AA1992" s="352"/>
      <c r="AB1992" s="352"/>
      <c r="AC1992" s="351"/>
      <c r="AD1992" s="351"/>
    </row>
    <row r="1993" spans="1:30" ht="51.3" hidden="1" x14ac:dyDescent="0.35">
      <c r="A1993" s="349">
        <v>1992</v>
      </c>
      <c r="B1993" s="352" t="s">
        <v>316</v>
      </c>
      <c r="C1993" s="351" t="s">
        <v>540</v>
      </c>
      <c r="D1993" s="352" t="s">
        <v>540</v>
      </c>
      <c r="E1993" s="352" t="s">
        <v>2456</v>
      </c>
      <c r="F1993" s="353">
        <v>1.76</v>
      </c>
      <c r="G1993" s="352" t="s">
        <v>3034</v>
      </c>
      <c r="H1993" s="176" t="s">
        <v>3655</v>
      </c>
      <c r="I1993" s="176" t="s">
        <v>438</v>
      </c>
      <c r="J1993" s="352" t="s">
        <v>3215</v>
      </c>
      <c r="K1993" s="352">
        <v>500</v>
      </c>
      <c r="L1993" s="352" t="s">
        <v>3216</v>
      </c>
      <c r="M1993" s="352">
        <v>50</v>
      </c>
      <c r="N1993" s="352" t="s">
        <v>1656</v>
      </c>
      <c r="O1993" s="351">
        <v>500</v>
      </c>
      <c r="P1993" s="349" t="s">
        <v>1850</v>
      </c>
      <c r="R1993" s="349">
        <f t="shared" si="31"/>
        <v>11</v>
      </c>
      <c r="S1993" s="352"/>
      <c r="T1993" s="352"/>
      <c r="U1993" s="352"/>
      <c r="V1993" s="353"/>
      <c r="W1993" s="352"/>
      <c r="X1993" s="176"/>
      <c r="Y1993" s="176"/>
      <c r="Z1993" s="352"/>
      <c r="AA1993" s="352"/>
      <c r="AB1993" s="352"/>
      <c r="AC1993" s="351"/>
      <c r="AD1993" s="351"/>
    </row>
    <row r="1994" spans="1:30" ht="51.3" hidden="1" x14ac:dyDescent="0.35">
      <c r="A1994" s="349">
        <v>1993</v>
      </c>
      <c r="B1994" s="352" t="s">
        <v>694</v>
      </c>
      <c r="C1994" s="351" t="s">
        <v>4457</v>
      </c>
      <c r="D1994" s="352" t="s">
        <v>5040</v>
      </c>
      <c r="E1994" s="352" t="s">
        <v>3209</v>
      </c>
      <c r="F1994" s="353">
        <v>8.77</v>
      </c>
      <c r="G1994" s="352" t="s">
        <v>34</v>
      </c>
      <c r="H1994" s="176" t="s">
        <v>250</v>
      </c>
      <c r="I1994" s="176" t="s">
        <v>3333</v>
      </c>
      <c r="J1994" s="352" t="s">
        <v>4025</v>
      </c>
      <c r="K1994" s="352"/>
      <c r="L1994" s="352"/>
      <c r="M1994" s="351">
        <v>5</v>
      </c>
      <c r="N1994" s="351" t="s">
        <v>1109</v>
      </c>
      <c r="O1994" s="351">
        <v>0</v>
      </c>
      <c r="P1994" s="349" t="s">
        <v>1837</v>
      </c>
      <c r="R1994" s="349">
        <f t="shared" si="31"/>
        <v>29</v>
      </c>
      <c r="S1994" s="352"/>
      <c r="T1994" s="352"/>
      <c r="U1994" s="352"/>
      <c r="V1994" s="353"/>
      <c r="W1994" s="352"/>
      <c r="X1994" s="176"/>
      <c r="Y1994" s="176"/>
      <c r="Z1994" s="352"/>
      <c r="AA1994" s="352"/>
      <c r="AB1994" s="352"/>
      <c r="AC1994" s="351"/>
      <c r="AD1994" s="351"/>
    </row>
    <row r="1995" spans="1:30" ht="102.55" hidden="1" x14ac:dyDescent="0.35">
      <c r="A1995" s="349">
        <v>1994</v>
      </c>
      <c r="B1995" s="352" t="s">
        <v>32</v>
      </c>
      <c r="C1995" s="351" t="s">
        <v>4457</v>
      </c>
      <c r="D1995" s="352" t="s">
        <v>5040</v>
      </c>
      <c r="E1995" s="352" t="s">
        <v>3209</v>
      </c>
      <c r="F1995" s="353">
        <v>8.77</v>
      </c>
      <c r="G1995" s="352" t="s">
        <v>34</v>
      </c>
      <c r="H1995" s="176" t="s">
        <v>609</v>
      </c>
      <c r="I1995" s="176" t="s">
        <v>4754</v>
      </c>
      <c r="J1995" s="352" t="s">
        <v>4025</v>
      </c>
      <c r="K1995" s="352"/>
      <c r="L1995" s="352"/>
      <c r="M1995" s="351">
        <v>5</v>
      </c>
      <c r="N1995" s="351" t="s">
        <v>1109</v>
      </c>
      <c r="O1995" s="351">
        <v>0</v>
      </c>
      <c r="P1995" s="349" t="s">
        <v>1837</v>
      </c>
      <c r="R1995" s="349">
        <f t="shared" si="31"/>
        <v>29</v>
      </c>
      <c r="S1995" s="352"/>
      <c r="T1995" s="352"/>
      <c r="U1995" s="352"/>
      <c r="V1995" s="353"/>
      <c r="W1995" s="352"/>
      <c r="X1995" s="176"/>
      <c r="Y1995" s="176"/>
      <c r="Z1995" s="352"/>
      <c r="AA1995" s="352"/>
      <c r="AB1995" s="352"/>
      <c r="AC1995" s="352"/>
      <c r="AD1995" s="352"/>
    </row>
    <row r="1996" spans="1:30" ht="153.80000000000001" hidden="1" x14ac:dyDescent="0.35">
      <c r="A1996" s="349">
        <v>1995</v>
      </c>
      <c r="B1996" s="352" t="s">
        <v>1567</v>
      </c>
      <c r="C1996" s="351" t="s">
        <v>3271</v>
      </c>
      <c r="D1996" s="352" t="s">
        <v>3271</v>
      </c>
      <c r="E1996" s="352" t="s">
        <v>1997</v>
      </c>
      <c r="F1996" s="353">
        <v>9.3878000000000004</v>
      </c>
      <c r="G1996" s="352" t="s">
        <v>2384</v>
      </c>
      <c r="H1996" s="176" t="s">
        <v>4841</v>
      </c>
      <c r="I1996" s="176" t="s">
        <v>4219</v>
      </c>
      <c r="J1996" s="352" t="s">
        <v>1115</v>
      </c>
      <c r="K1996" s="352">
        <v>100</v>
      </c>
      <c r="L1996" s="352" t="s">
        <v>1464</v>
      </c>
      <c r="M1996" s="352"/>
      <c r="N1996" s="352"/>
      <c r="O1996" s="351">
        <v>100</v>
      </c>
      <c r="P1996" s="349" t="s">
        <v>1836</v>
      </c>
      <c r="R1996" s="349">
        <f t="shared" si="31"/>
        <v>11</v>
      </c>
      <c r="S1996" s="352"/>
      <c r="T1996" s="352"/>
      <c r="U1996" s="352"/>
      <c r="V1996" s="353"/>
      <c r="W1996" s="352"/>
      <c r="X1996" s="176"/>
      <c r="Y1996" s="176"/>
      <c r="Z1996" s="352"/>
      <c r="AA1996" s="352"/>
      <c r="AB1996" s="352"/>
      <c r="AC1996" s="351"/>
      <c r="AD1996" s="351"/>
    </row>
    <row r="1997" spans="1:30" ht="153.80000000000001" hidden="1" x14ac:dyDescent="0.35">
      <c r="A1997" s="349">
        <v>1996</v>
      </c>
      <c r="B1997" s="352" t="s">
        <v>1567</v>
      </c>
      <c r="C1997" s="351" t="s">
        <v>3271</v>
      </c>
      <c r="D1997" s="352" t="s">
        <v>3271</v>
      </c>
      <c r="E1997" s="352" t="s">
        <v>1997</v>
      </c>
      <c r="F1997" s="353">
        <v>19.040099999999999</v>
      </c>
      <c r="G1997" s="352" t="s">
        <v>2384</v>
      </c>
      <c r="H1997" s="176" t="s">
        <v>4841</v>
      </c>
      <c r="I1997" s="176" t="s">
        <v>4219</v>
      </c>
      <c r="J1997" s="352" t="s">
        <v>1115</v>
      </c>
      <c r="K1997" s="352">
        <v>250</v>
      </c>
      <c r="L1997" s="352" t="s">
        <v>1464</v>
      </c>
      <c r="M1997" s="352"/>
      <c r="N1997" s="352"/>
      <c r="O1997" s="351">
        <v>250</v>
      </c>
      <c r="P1997" s="349" t="s">
        <v>1836</v>
      </c>
      <c r="R1997" s="349">
        <f t="shared" si="31"/>
        <v>11</v>
      </c>
      <c r="S1997" s="352"/>
      <c r="T1997" s="352"/>
      <c r="U1997" s="352"/>
      <c r="V1997" s="353"/>
      <c r="W1997" s="352"/>
      <c r="X1997" s="176"/>
      <c r="Y1997" s="176"/>
      <c r="Z1997" s="352"/>
      <c r="AA1997" s="352"/>
      <c r="AB1997" s="352"/>
      <c r="AC1997" s="352"/>
      <c r="AD1997" s="352"/>
    </row>
    <row r="1998" spans="1:30" ht="115.35" hidden="1" x14ac:dyDescent="0.35">
      <c r="A1998" s="349">
        <v>1997</v>
      </c>
      <c r="B1998" s="352" t="s">
        <v>1567</v>
      </c>
      <c r="C1998" s="351" t="s">
        <v>3271</v>
      </c>
      <c r="D1998" s="352" t="s">
        <v>3271</v>
      </c>
      <c r="E1998" s="352" t="s">
        <v>111</v>
      </c>
      <c r="F1998" s="353">
        <v>28.538</v>
      </c>
      <c r="G1998" s="352" t="s">
        <v>34</v>
      </c>
      <c r="H1998" s="176" t="s">
        <v>3267</v>
      </c>
      <c r="I1998" s="176" t="s">
        <v>233</v>
      </c>
      <c r="J1998" s="352" t="s">
        <v>1115</v>
      </c>
      <c r="K1998" s="352">
        <v>100</v>
      </c>
      <c r="L1998" s="352" t="s">
        <v>1464</v>
      </c>
      <c r="M1998" s="352">
        <v>10</v>
      </c>
      <c r="N1998" s="352" t="s">
        <v>31</v>
      </c>
      <c r="O1998" s="351">
        <v>100</v>
      </c>
      <c r="P1998" s="349" t="s">
        <v>1836</v>
      </c>
      <c r="R1998" s="349">
        <f t="shared" si="31"/>
        <v>11</v>
      </c>
      <c r="S1998" s="352"/>
      <c r="T1998" s="352"/>
      <c r="U1998" s="352"/>
      <c r="V1998" s="353"/>
      <c r="W1998" s="352"/>
      <c r="X1998" s="37"/>
      <c r="Y1998" s="176"/>
      <c r="Z1998" s="352"/>
      <c r="AA1998" s="352"/>
      <c r="AB1998" s="352"/>
      <c r="AC1998" s="352"/>
      <c r="AD1998" s="352"/>
    </row>
    <row r="1999" spans="1:30" ht="38.450000000000003" hidden="1" x14ac:dyDescent="0.35">
      <c r="A1999" s="349">
        <v>1998</v>
      </c>
      <c r="B1999" s="352" t="s">
        <v>1567</v>
      </c>
      <c r="C1999" s="351" t="s">
        <v>3271</v>
      </c>
      <c r="D1999" s="352" t="s">
        <v>3271</v>
      </c>
      <c r="E1999" s="352" t="s">
        <v>1998</v>
      </c>
      <c r="F1999" s="353">
        <v>0.83740000000000003</v>
      </c>
      <c r="G1999" s="352" t="s">
        <v>2126</v>
      </c>
      <c r="H1999" s="176" t="s">
        <v>3596</v>
      </c>
      <c r="I1999" s="176" t="s">
        <v>1026</v>
      </c>
      <c r="J1999" s="352" t="s">
        <v>22</v>
      </c>
      <c r="K1999" s="352">
        <v>40</v>
      </c>
      <c r="L1999" s="352" t="s">
        <v>23</v>
      </c>
      <c r="M1999" s="352"/>
      <c r="N1999" s="352"/>
      <c r="O1999" s="351">
        <v>40</v>
      </c>
      <c r="P1999" s="349" t="s">
        <v>1836</v>
      </c>
      <c r="R1999" s="349">
        <f t="shared" si="31"/>
        <v>11</v>
      </c>
      <c r="S1999" s="352"/>
      <c r="T1999" s="352"/>
      <c r="U1999" s="352"/>
      <c r="V1999" s="353"/>
      <c r="W1999" s="352"/>
      <c r="X1999" s="176"/>
      <c r="Y1999" s="176"/>
      <c r="Z1999" s="352"/>
      <c r="AA1999" s="352"/>
      <c r="AB1999" s="352"/>
      <c r="AC1999" s="352"/>
      <c r="AD1999" s="352"/>
    </row>
    <row r="2000" spans="1:30" ht="115.35" hidden="1" x14ac:dyDescent="0.35">
      <c r="A2000" s="349">
        <v>1999</v>
      </c>
      <c r="B2000" s="352" t="s">
        <v>314</v>
      </c>
      <c r="C2000" s="351" t="s">
        <v>2693</v>
      </c>
      <c r="D2000" s="352" t="s">
        <v>1402</v>
      </c>
      <c r="E2000" s="352" t="s">
        <v>3250</v>
      </c>
      <c r="F2000" s="353">
        <v>31.38</v>
      </c>
      <c r="G2000" s="352" t="s">
        <v>2384</v>
      </c>
      <c r="H2000" s="176" t="s">
        <v>1758</v>
      </c>
      <c r="I2000" s="176"/>
      <c r="J2000" s="352" t="s">
        <v>1115</v>
      </c>
      <c r="K2000" s="352">
        <v>125</v>
      </c>
      <c r="L2000" s="352" t="s">
        <v>732</v>
      </c>
      <c r="M2000" s="352">
        <v>2</v>
      </c>
      <c r="N2000" s="352" t="s">
        <v>1109</v>
      </c>
      <c r="O2000" s="351">
        <v>125</v>
      </c>
      <c r="P2000" s="349" t="s">
        <v>2030</v>
      </c>
      <c r="R2000" s="349">
        <f t="shared" si="31"/>
        <v>23</v>
      </c>
      <c r="S2000" s="352"/>
      <c r="T2000" s="352"/>
      <c r="U2000" s="352"/>
      <c r="V2000" s="353"/>
      <c r="W2000" s="352"/>
      <c r="X2000" s="37"/>
      <c r="Y2000" s="176"/>
      <c r="Z2000" s="352"/>
      <c r="AA2000" s="352"/>
      <c r="AB2000" s="352"/>
      <c r="AC2000" s="352"/>
      <c r="AD2000" s="352"/>
    </row>
    <row r="2001" spans="1:30" ht="115.35" hidden="1" x14ac:dyDescent="0.35">
      <c r="A2001" s="349">
        <v>2000</v>
      </c>
      <c r="B2001" s="352" t="s">
        <v>314</v>
      </c>
      <c r="C2001" s="351" t="s">
        <v>2693</v>
      </c>
      <c r="D2001" s="352" t="s">
        <v>1402</v>
      </c>
      <c r="E2001" s="352" t="s">
        <v>3250</v>
      </c>
      <c r="F2001" s="353">
        <v>31.38</v>
      </c>
      <c r="G2001" s="352" t="s">
        <v>2384</v>
      </c>
      <c r="H2001" s="176" t="s">
        <v>1758</v>
      </c>
      <c r="I2001" s="176"/>
      <c r="J2001" s="352" t="s">
        <v>1115</v>
      </c>
      <c r="K2001" s="352">
        <v>125</v>
      </c>
      <c r="L2001" s="352" t="s">
        <v>732</v>
      </c>
      <c r="M2001" s="352">
        <v>2</v>
      </c>
      <c r="N2001" s="352" t="s">
        <v>1109</v>
      </c>
      <c r="O2001" s="351">
        <v>125</v>
      </c>
      <c r="P2001" s="349" t="s">
        <v>2030</v>
      </c>
      <c r="R2001" s="349">
        <f t="shared" si="31"/>
        <v>23</v>
      </c>
      <c r="S2001" s="352"/>
      <c r="T2001" s="352"/>
      <c r="U2001" s="352"/>
      <c r="V2001" s="353"/>
      <c r="W2001" s="352"/>
      <c r="X2001" s="176"/>
      <c r="Y2001" s="176"/>
      <c r="Z2001" s="352"/>
      <c r="AA2001" s="352"/>
      <c r="AB2001" s="352"/>
      <c r="AC2001" s="352"/>
      <c r="AD2001" s="352"/>
    </row>
    <row r="2002" spans="1:30" hidden="1" x14ac:dyDescent="0.35">
      <c r="A2002" s="349">
        <v>2001</v>
      </c>
      <c r="B2002" s="352" t="s">
        <v>314</v>
      </c>
      <c r="C2002" s="351" t="s">
        <v>951</v>
      </c>
      <c r="D2002" s="352" t="s">
        <v>951</v>
      </c>
      <c r="E2002" s="352" t="s">
        <v>406</v>
      </c>
      <c r="F2002" s="353">
        <v>4.5617000000000001</v>
      </c>
      <c r="G2002" s="352" t="s">
        <v>2384</v>
      </c>
      <c r="H2002" s="176" t="s">
        <v>952</v>
      </c>
      <c r="I2002" s="176" t="s">
        <v>377</v>
      </c>
      <c r="J2002" s="352" t="s">
        <v>1115</v>
      </c>
      <c r="K2002" s="352">
        <v>40</v>
      </c>
      <c r="L2002" s="352" t="s">
        <v>2078</v>
      </c>
      <c r="M2002" s="352">
        <v>0.5</v>
      </c>
      <c r="N2002" s="352" t="s">
        <v>1109</v>
      </c>
      <c r="O2002" s="351">
        <v>40</v>
      </c>
      <c r="P2002" s="349" t="s">
        <v>2030</v>
      </c>
      <c r="R2002" s="349">
        <f t="shared" si="31"/>
        <v>13</v>
      </c>
      <c r="S2002" s="352"/>
      <c r="T2002" s="352"/>
      <c r="U2002" s="352"/>
      <c r="V2002" s="353"/>
      <c r="W2002" s="352"/>
      <c r="X2002" s="176"/>
      <c r="Y2002" s="176"/>
      <c r="Z2002" s="352"/>
      <c r="AA2002" s="352"/>
      <c r="AB2002" s="352"/>
      <c r="AC2002" s="352"/>
      <c r="AD2002" s="352"/>
    </row>
    <row r="2003" spans="1:30" hidden="1" x14ac:dyDescent="0.35">
      <c r="A2003" s="349">
        <v>2002</v>
      </c>
      <c r="B2003" s="352" t="s">
        <v>314</v>
      </c>
      <c r="C2003" s="351" t="s">
        <v>4458</v>
      </c>
      <c r="D2003" s="352" t="s">
        <v>951</v>
      </c>
      <c r="E2003" s="352" t="s">
        <v>406</v>
      </c>
      <c r="F2003" s="353">
        <v>4.5617000000000001</v>
      </c>
      <c r="G2003" s="352" t="s">
        <v>2384</v>
      </c>
      <c r="H2003" s="176" t="s">
        <v>952</v>
      </c>
      <c r="I2003" s="176" t="s">
        <v>377</v>
      </c>
      <c r="J2003" s="352" t="s">
        <v>1115</v>
      </c>
      <c r="K2003" s="352">
        <v>40</v>
      </c>
      <c r="L2003" s="352" t="s">
        <v>2078</v>
      </c>
      <c r="M2003" s="352">
        <v>0.5</v>
      </c>
      <c r="N2003" s="352" t="s">
        <v>1109</v>
      </c>
      <c r="O2003" s="351">
        <v>40</v>
      </c>
      <c r="P2003" s="349" t="s">
        <v>2030</v>
      </c>
      <c r="R2003" s="349">
        <f t="shared" si="31"/>
        <v>13</v>
      </c>
      <c r="S2003" s="352"/>
      <c r="T2003" s="352"/>
      <c r="U2003" s="352"/>
      <c r="V2003" s="353"/>
      <c r="W2003" s="352"/>
      <c r="X2003" s="37"/>
      <c r="Y2003" s="176"/>
      <c r="Z2003" s="352"/>
      <c r="AA2003" s="352"/>
      <c r="AB2003" s="352"/>
      <c r="AC2003" s="352"/>
      <c r="AD2003" s="352"/>
    </row>
    <row r="2004" spans="1:30" ht="38.450000000000003" hidden="1" x14ac:dyDescent="0.35">
      <c r="A2004" s="349">
        <v>2003</v>
      </c>
      <c r="B2004" s="352" t="s">
        <v>2089</v>
      </c>
      <c r="C2004" s="351" t="s">
        <v>378</v>
      </c>
      <c r="D2004" s="352" t="s">
        <v>378</v>
      </c>
      <c r="E2004" s="352" t="s">
        <v>3104</v>
      </c>
      <c r="F2004" s="353">
        <v>1.0578000000000001</v>
      </c>
      <c r="G2004" s="352" t="s">
        <v>34</v>
      </c>
      <c r="H2004" s="176" t="s">
        <v>1220</v>
      </c>
      <c r="I2004" s="176" t="s">
        <v>3823</v>
      </c>
      <c r="J2004" s="352" t="s">
        <v>3105</v>
      </c>
      <c r="K2004" s="352">
        <v>10</v>
      </c>
      <c r="L2004" s="352" t="s">
        <v>1116</v>
      </c>
      <c r="M2004" s="351">
        <v>0.5</v>
      </c>
      <c r="N2004" s="351" t="s">
        <v>1109</v>
      </c>
      <c r="O2004" s="351">
        <v>10</v>
      </c>
      <c r="P2004" s="349" t="s">
        <v>1836</v>
      </c>
      <c r="R2004" s="349">
        <f t="shared" si="31"/>
        <v>10</v>
      </c>
      <c r="S2004" s="352"/>
      <c r="T2004" s="352"/>
      <c r="U2004" s="352"/>
      <c r="V2004" s="353"/>
      <c r="W2004" s="352"/>
      <c r="X2004" s="176"/>
      <c r="Y2004" s="176"/>
      <c r="Z2004" s="352"/>
      <c r="AA2004" s="352"/>
      <c r="AB2004" s="352"/>
      <c r="AC2004" s="352"/>
      <c r="AD2004" s="352"/>
    </row>
    <row r="2005" spans="1:30" ht="38.450000000000003" hidden="1" x14ac:dyDescent="0.35">
      <c r="A2005" s="349">
        <v>2004</v>
      </c>
      <c r="B2005" s="352" t="s">
        <v>2089</v>
      </c>
      <c r="C2005" s="351" t="s">
        <v>4555</v>
      </c>
      <c r="D2005" s="352" t="s">
        <v>378</v>
      </c>
      <c r="E2005" s="352" t="s">
        <v>3104</v>
      </c>
      <c r="F2005" s="353">
        <v>1.0578000000000001</v>
      </c>
      <c r="G2005" s="352" t="s">
        <v>34</v>
      </c>
      <c r="H2005" s="176" t="s">
        <v>1220</v>
      </c>
      <c r="I2005" s="176" t="s">
        <v>3823</v>
      </c>
      <c r="J2005" s="352" t="s">
        <v>3105</v>
      </c>
      <c r="K2005" s="352">
        <v>10</v>
      </c>
      <c r="L2005" s="352" t="s">
        <v>1116</v>
      </c>
      <c r="M2005" s="351">
        <v>0.5</v>
      </c>
      <c r="N2005" s="351" t="s">
        <v>1109</v>
      </c>
      <c r="O2005" s="351">
        <v>10</v>
      </c>
      <c r="P2005" s="349" t="s">
        <v>1836</v>
      </c>
      <c r="R2005" s="349">
        <f t="shared" si="31"/>
        <v>10</v>
      </c>
      <c r="S2005" s="352"/>
      <c r="T2005" s="352"/>
      <c r="U2005" s="352"/>
      <c r="V2005" s="353"/>
      <c r="W2005" s="352"/>
      <c r="X2005" s="176"/>
      <c r="Y2005" s="176"/>
      <c r="Z2005" s="352"/>
      <c r="AA2005" s="352"/>
      <c r="AB2005" s="352"/>
      <c r="AC2005" s="352"/>
      <c r="AD2005" s="352"/>
    </row>
    <row r="2006" spans="1:30" ht="89.75" hidden="1" x14ac:dyDescent="0.35">
      <c r="A2006" s="349">
        <v>2005</v>
      </c>
      <c r="B2006" s="352" t="s">
        <v>1787</v>
      </c>
      <c r="C2006" s="351" t="s">
        <v>3895</v>
      </c>
      <c r="D2006" s="352" t="s">
        <v>3895</v>
      </c>
      <c r="E2006" s="352" t="s">
        <v>2855</v>
      </c>
      <c r="F2006" s="353">
        <v>9.08</v>
      </c>
      <c r="G2006" s="352" t="s">
        <v>2384</v>
      </c>
      <c r="H2006" s="176" t="s">
        <v>1517</v>
      </c>
      <c r="I2006" s="37" t="s">
        <v>4221</v>
      </c>
      <c r="J2006" s="352" t="s">
        <v>828</v>
      </c>
      <c r="K2006" s="352">
        <v>0.25</v>
      </c>
      <c r="L2006" s="352" t="s">
        <v>1116</v>
      </c>
      <c r="M2006" s="351">
        <v>1</v>
      </c>
      <c r="N2006" s="351" t="s">
        <v>1109</v>
      </c>
      <c r="O2006" s="351">
        <v>0.25</v>
      </c>
      <c r="P2006" s="349" t="s">
        <v>1836</v>
      </c>
      <c r="R2006" s="349">
        <f t="shared" si="31"/>
        <v>14</v>
      </c>
      <c r="S2006" s="352"/>
      <c r="T2006" s="352"/>
      <c r="U2006" s="352"/>
      <c r="V2006" s="353"/>
      <c r="W2006" s="352"/>
      <c r="X2006" s="176"/>
      <c r="Y2006" s="176"/>
      <c r="Z2006" s="352"/>
      <c r="AA2006" s="352"/>
      <c r="AB2006" s="352"/>
      <c r="AC2006" s="352"/>
      <c r="AD2006" s="352"/>
    </row>
    <row r="2007" spans="1:30" ht="38.450000000000003" hidden="1" x14ac:dyDescent="0.35">
      <c r="A2007" s="349">
        <v>2006</v>
      </c>
      <c r="B2007" s="352" t="s">
        <v>2891</v>
      </c>
      <c r="C2007" s="351" t="s">
        <v>3895</v>
      </c>
      <c r="D2007" s="352" t="s">
        <v>3895</v>
      </c>
      <c r="E2007" s="352" t="s">
        <v>2855</v>
      </c>
      <c r="F2007" s="353">
        <v>9.0792999999999999</v>
      </c>
      <c r="G2007" s="352" t="s">
        <v>1501</v>
      </c>
      <c r="H2007" s="176" t="s">
        <v>889</v>
      </c>
      <c r="I2007" s="176" t="s">
        <v>569</v>
      </c>
      <c r="J2007" s="352" t="s">
        <v>828</v>
      </c>
      <c r="K2007" s="352">
        <v>250</v>
      </c>
      <c r="L2007" s="352" t="s">
        <v>4022</v>
      </c>
      <c r="M2007" s="352">
        <v>1</v>
      </c>
      <c r="N2007" s="352" t="s">
        <v>1109</v>
      </c>
      <c r="O2007" s="351">
        <v>250</v>
      </c>
      <c r="P2007" s="349" t="s">
        <v>1850</v>
      </c>
      <c r="R2007" s="349">
        <f t="shared" si="31"/>
        <v>14</v>
      </c>
      <c r="S2007" s="352"/>
      <c r="T2007" s="352"/>
      <c r="U2007" s="352"/>
      <c r="V2007" s="353"/>
      <c r="W2007" s="352"/>
      <c r="X2007" s="176"/>
      <c r="Y2007" s="176"/>
      <c r="Z2007" s="352"/>
      <c r="AA2007" s="352"/>
      <c r="AB2007" s="352"/>
      <c r="AC2007" s="352"/>
      <c r="AD2007" s="352"/>
    </row>
    <row r="2008" spans="1:30" ht="25.65" hidden="1" x14ac:dyDescent="0.35">
      <c r="A2008" s="349">
        <v>2007</v>
      </c>
      <c r="B2008" s="352" t="s">
        <v>1512</v>
      </c>
      <c r="C2008" s="351" t="s">
        <v>4556</v>
      </c>
      <c r="D2008" s="352" t="s">
        <v>3437</v>
      </c>
      <c r="E2008" s="352" t="s">
        <v>1995</v>
      </c>
      <c r="F2008" s="353">
        <v>4.165</v>
      </c>
      <c r="G2008" s="352" t="s">
        <v>2126</v>
      </c>
      <c r="H2008" s="176" t="s">
        <v>3438</v>
      </c>
      <c r="I2008" s="176" t="s">
        <v>2552</v>
      </c>
      <c r="J2008" s="352" t="s">
        <v>3580</v>
      </c>
      <c r="K2008" s="352">
        <v>10</v>
      </c>
      <c r="L2008" s="352" t="s">
        <v>3581</v>
      </c>
      <c r="M2008" s="352"/>
      <c r="N2008" s="352"/>
      <c r="O2008" s="351">
        <v>10</v>
      </c>
      <c r="P2008" s="349" t="s">
        <v>1836</v>
      </c>
      <c r="R2008" s="349">
        <f t="shared" si="31"/>
        <v>3</v>
      </c>
      <c r="S2008" s="352"/>
      <c r="T2008" s="352"/>
      <c r="U2008" s="352"/>
      <c r="V2008" s="353"/>
      <c r="W2008" s="352"/>
      <c r="X2008" s="176"/>
      <c r="Y2008" s="176"/>
      <c r="Z2008" s="352"/>
      <c r="AA2008" s="352"/>
      <c r="AB2008" s="352"/>
      <c r="AC2008" s="352"/>
      <c r="AD2008" s="352"/>
    </row>
    <row r="2009" spans="1:30" ht="25.65" hidden="1" x14ac:dyDescent="0.35">
      <c r="A2009" s="349">
        <v>2008</v>
      </c>
      <c r="B2009" s="352" t="s">
        <v>1512</v>
      </c>
      <c r="C2009" s="351" t="s">
        <v>4556</v>
      </c>
      <c r="D2009" s="352" t="s">
        <v>3437</v>
      </c>
      <c r="E2009" s="352" t="s">
        <v>1995</v>
      </c>
      <c r="F2009" s="353">
        <v>18.092500000000001</v>
      </c>
      <c r="G2009" s="352" t="s">
        <v>2126</v>
      </c>
      <c r="H2009" s="176" t="s">
        <v>3438</v>
      </c>
      <c r="I2009" s="37" t="s">
        <v>2552</v>
      </c>
      <c r="J2009" s="352" t="s">
        <v>3580</v>
      </c>
      <c r="K2009" s="352">
        <v>50</v>
      </c>
      <c r="L2009" s="352" t="s">
        <v>3581</v>
      </c>
      <c r="M2009" s="351"/>
      <c r="N2009" s="351"/>
      <c r="O2009" s="351">
        <v>50</v>
      </c>
      <c r="P2009" s="349" t="s">
        <v>1836</v>
      </c>
      <c r="R2009" s="349">
        <f t="shared" si="31"/>
        <v>3</v>
      </c>
      <c r="S2009" s="352"/>
      <c r="T2009" s="352"/>
      <c r="U2009" s="352"/>
      <c r="V2009" s="353"/>
      <c r="W2009" s="352"/>
      <c r="X2009" s="176"/>
      <c r="Y2009" s="176"/>
      <c r="Z2009" s="352"/>
      <c r="AA2009" s="352"/>
      <c r="AB2009" s="352"/>
      <c r="AC2009" s="352"/>
      <c r="AD2009" s="352"/>
    </row>
    <row r="2010" spans="1:30" ht="192.25" hidden="1" x14ac:dyDescent="0.35">
      <c r="A2010" s="349">
        <v>2009</v>
      </c>
      <c r="B2010" s="352" t="s">
        <v>2492</v>
      </c>
      <c r="C2010" s="351" t="s">
        <v>1243</v>
      </c>
      <c r="D2010" s="352" t="s">
        <v>1243</v>
      </c>
      <c r="E2010" s="352" t="s">
        <v>2857</v>
      </c>
      <c r="F2010" s="353">
        <v>0.8</v>
      </c>
      <c r="G2010" s="352" t="s">
        <v>1107</v>
      </c>
      <c r="H2010" s="176" t="s">
        <v>4935</v>
      </c>
      <c r="I2010" s="176" t="s">
        <v>5088</v>
      </c>
      <c r="J2010" s="352" t="s">
        <v>828</v>
      </c>
      <c r="K2010" s="352">
        <v>20</v>
      </c>
      <c r="L2010" s="352" t="s">
        <v>1116</v>
      </c>
      <c r="M2010" s="352">
        <v>10</v>
      </c>
      <c r="N2010" s="352" t="s">
        <v>1109</v>
      </c>
      <c r="O2010" s="351">
        <v>20</v>
      </c>
      <c r="P2010" s="349" t="s">
        <v>1836</v>
      </c>
      <c r="R2010" s="349">
        <f t="shared" si="31"/>
        <v>11</v>
      </c>
      <c r="S2010" s="352"/>
      <c r="T2010" s="352"/>
      <c r="U2010" s="352"/>
      <c r="V2010" s="353"/>
      <c r="W2010" s="352"/>
      <c r="X2010" s="176"/>
      <c r="Y2010" s="176"/>
      <c r="Z2010" s="352"/>
      <c r="AA2010" s="352"/>
      <c r="AB2010" s="352"/>
      <c r="AC2010" s="352"/>
      <c r="AD2010" s="352"/>
    </row>
    <row r="2011" spans="1:30" hidden="1" x14ac:dyDescent="0.35">
      <c r="A2011" s="349">
        <v>2010</v>
      </c>
      <c r="B2011" s="352" t="s">
        <v>2492</v>
      </c>
      <c r="C2011" s="351" t="s">
        <v>1243</v>
      </c>
      <c r="D2011" s="352" t="s">
        <v>1243</v>
      </c>
      <c r="E2011" s="352" t="s">
        <v>1996</v>
      </c>
      <c r="F2011" s="353">
        <v>0.05</v>
      </c>
      <c r="G2011" s="352" t="s">
        <v>2126</v>
      </c>
      <c r="H2011" s="176" t="s">
        <v>2074</v>
      </c>
      <c r="I2011" s="176" t="s">
        <v>2313</v>
      </c>
      <c r="J2011" s="352" t="s">
        <v>3579</v>
      </c>
      <c r="K2011" s="352">
        <v>5</v>
      </c>
      <c r="L2011" s="352" t="s">
        <v>1116</v>
      </c>
      <c r="M2011" s="351"/>
      <c r="N2011" s="351"/>
      <c r="O2011" s="351">
        <v>5</v>
      </c>
      <c r="P2011" s="349" t="s">
        <v>1836</v>
      </c>
      <c r="R2011" s="349">
        <f t="shared" si="31"/>
        <v>11</v>
      </c>
      <c r="S2011" s="352"/>
      <c r="T2011" s="352"/>
      <c r="U2011" s="352"/>
      <c r="V2011" s="353"/>
      <c r="W2011" s="352"/>
      <c r="X2011" s="176"/>
      <c r="Y2011" s="176"/>
      <c r="Z2011" s="352"/>
      <c r="AA2011" s="352"/>
      <c r="AB2011" s="352"/>
      <c r="AC2011" s="352"/>
      <c r="AD2011" s="352"/>
    </row>
    <row r="2012" spans="1:30" ht="192.25" hidden="1" x14ac:dyDescent="0.35">
      <c r="A2012" s="349">
        <v>2011</v>
      </c>
      <c r="B2012" s="352" t="s">
        <v>2492</v>
      </c>
      <c r="C2012" s="351" t="s">
        <v>1243</v>
      </c>
      <c r="D2012" s="352" t="s">
        <v>1243</v>
      </c>
      <c r="E2012" s="352" t="s">
        <v>2857</v>
      </c>
      <c r="F2012" s="353">
        <v>0.8</v>
      </c>
      <c r="G2012" s="352" t="s">
        <v>1107</v>
      </c>
      <c r="H2012" s="176" t="s">
        <v>4935</v>
      </c>
      <c r="I2012" s="176" t="s">
        <v>5088</v>
      </c>
      <c r="J2012" s="352" t="s">
        <v>828</v>
      </c>
      <c r="K2012" s="352">
        <v>20</v>
      </c>
      <c r="L2012" s="352" t="s">
        <v>1116</v>
      </c>
      <c r="M2012" s="351">
        <v>10</v>
      </c>
      <c r="N2012" s="351" t="s">
        <v>1109</v>
      </c>
      <c r="O2012" s="351">
        <v>20</v>
      </c>
      <c r="P2012" s="349" t="s">
        <v>1836</v>
      </c>
      <c r="R2012" s="349">
        <f t="shared" si="31"/>
        <v>11</v>
      </c>
      <c r="S2012" s="352"/>
      <c r="T2012" s="352"/>
      <c r="U2012" s="352"/>
      <c r="V2012" s="353"/>
      <c r="W2012" s="352"/>
      <c r="X2012" s="37"/>
      <c r="Y2012" s="176"/>
      <c r="Z2012" s="352"/>
      <c r="AA2012" s="352"/>
      <c r="AB2012" s="352"/>
      <c r="AC2012" s="352"/>
      <c r="AD2012" s="352"/>
    </row>
    <row r="2013" spans="1:30" hidden="1" x14ac:dyDescent="0.35">
      <c r="A2013" s="349">
        <v>2012</v>
      </c>
      <c r="B2013" s="352" t="s">
        <v>2492</v>
      </c>
      <c r="C2013" s="351" t="s">
        <v>4557</v>
      </c>
      <c r="D2013" s="352" t="s">
        <v>1243</v>
      </c>
      <c r="E2013" s="352" t="s">
        <v>1996</v>
      </c>
      <c r="F2013" s="353">
        <v>0.05</v>
      </c>
      <c r="G2013" s="352" t="s">
        <v>2126</v>
      </c>
      <c r="H2013" s="176" t="s">
        <v>2074</v>
      </c>
      <c r="I2013" s="176" t="s">
        <v>2313</v>
      </c>
      <c r="J2013" s="352" t="s">
        <v>3579</v>
      </c>
      <c r="K2013" s="352">
        <v>5</v>
      </c>
      <c r="L2013" s="352" t="s">
        <v>1116</v>
      </c>
      <c r="M2013" s="351"/>
      <c r="N2013" s="351"/>
      <c r="O2013" s="351">
        <v>5</v>
      </c>
      <c r="P2013" s="349" t="s">
        <v>1836</v>
      </c>
      <c r="R2013" s="349">
        <f t="shared" si="31"/>
        <v>11</v>
      </c>
      <c r="S2013" s="352"/>
      <c r="T2013" s="352"/>
      <c r="U2013" s="352"/>
      <c r="V2013" s="353"/>
      <c r="W2013" s="352"/>
      <c r="X2013" s="176"/>
      <c r="Y2013" s="176"/>
      <c r="Z2013" s="352"/>
      <c r="AA2013" s="352"/>
      <c r="AB2013" s="352"/>
      <c r="AC2013" s="352"/>
      <c r="AD2013" s="352"/>
    </row>
    <row r="2014" spans="1:30" ht="102.55" hidden="1" x14ac:dyDescent="0.35">
      <c r="A2014" s="349">
        <v>2013</v>
      </c>
      <c r="B2014" s="352" t="s">
        <v>4029</v>
      </c>
      <c r="C2014" s="351" t="s">
        <v>4558</v>
      </c>
      <c r="D2014" s="352" t="s">
        <v>1910</v>
      </c>
      <c r="E2014" s="352" t="s">
        <v>4030</v>
      </c>
      <c r="F2014" s="353">
        <v>8.5283999999999995</v>
      </c>
      <c r="G2014" s="352" t="s">
        <v>2126</v>
      </c>
      <c r="H2014" s="176" t="s">
        <v>1118</v>
      </c>
      <c r="I2014" s="176" t="s">
        <v>5087</v>
      </c>
      <c r="J2014" s="352" t="s">
        <v>4031</v>
      </c>
      <c r="K2014" s="352">
        <v>1</v>
      </c>
      <c r="L2014" s="352" t="s">
        <v>4032</v>
      </c>
      <c r="M2014" s="351">
        <v>30</v>
      </c>
      <c r="N2014" s="351" t="s">
        <v>1109</v>
      </c>
      <c r="O2014" s="351">
        <v>1</v>
      </c>
      <c r="P2014" s="349" t="s">
        <v>1836</v>
      </c>
      <c r="R2014" s="349">
        <f t="shared" si="31"/>
        <v>11</v>
      </c>
      <c r="S2014" s="352"/>
      <c r="T2014" s="352"/>
      <c r="U2014" s="352"/>
      <c r="V2014" s="353"/>
      <c r="W2014" s="352"/>
      <c r="X2014" s="176"/>
      <c r="Y2014" s="176"/>
      <c r="Z2014" s="352"/>
      <c r="AA2014" s="352"/>
      <c r="AB2014" s="352"/>
      <c r="AC2014" s="352"/>
      <c r="AD2014" s="352"/>
    </row>
    <row r="2015" spans="1:30" ht="102.55" hidden="1" x14ac:dyDescent="0.35">
      <c r="A2015" s="349">
        <v>2014</v>
      </c>
      <c r="B2015" s="352" t="s">
        <v>1799</v>
      </c>
      <c r="C2015" s="351" t="s">
        <v>720</v>
      </c>
      <c r="D2015" s="352" t="s">
        <v>720</v>
      </c>
      <c r="E2015" s="352" t="s">
        <v>1995</v>
      </c>
      <c r="F2015" s="353">
        <v>0.2</v>
      </c>
      <c r="G2015" s="352" t="s">
        <v>2126</v>
      </c>
      <c r="H2015" s="176" t="s">
        <v>2833</v>
      </c>
      <c r="I2015" s="176" t="s">
        <v>1568</v>
      </c>
      <c r="J2015" s="352" t="s">
        <v>3580</v>
      </c>
      <c r="K2015" s="352">
        <v>10</v>
      </c>
      <c r="L2015" s="352" t="s">
        <v>3581</v>
      </c>
      <c r="M2015" s="352"/>
      <c r="N2015" s="352"/>
      <c r="O2015" s="351">
        <v>10</v>
      </c>
      <c r="P2015" s="349" t="s">
        <v>1836</v>
      </c>
      <c r="R2015" s="349">
        <f t="shared" si="31"/>
        <v>9</v>
      </c>
      <c r="S2015" s="352"/>
      <c r="T2015" s="352"/>
      <c r="U2015" s="352"/>
      <c r="V2015" s="353"/>
      <c r="W2015" s="352"/>
      <c r="X2015" s="37"/>
      <c r="Y2015" s="176"/>
      <c r="Z2015" s="352"/>
      <c r="AA2015" s="352"/>
      <c r="AB2015" s="352"/>
      <c r="AC2015" s="352"/>
      <c r="AD2015" s="352"/>
    </row>
    <row r="2016" spans="1:30" ht="102.55" hidden="1" x14ac:dyDescent="0.35">
      <c r="A2016" s="349">
        <v>2015</v>
      </c>
      <c r="B2016" s="352" t="s">
        <v>1799</v>
      </c>
      <c r="C2016" s="351" t="s">
        <v>720</v>
      </c>
      <c r="D2016" s="352" t="s">
        <v>720</v>
      </c>
      <c r="E2016" s="352" t="s">
        <v>1995</v>
      </c>
      <c r="F2016" s="353">
        <v>0.48480000000000001</v>
      </c>
      <c r="G2016" s="352" t="s">
        <v>2126</v>
      </c>
      <c r="H2016" s="176" t="s">
        <v>2833</v>
      </c>
      <c r="I2016" s="176" t="s">
        <v>1568</v>
      </c>
      <c r="J2016" s="352" t="s">
        <v>3580</v>
      </c>
      <c r="K2016" s="352">
        <v>30</v>
      </c>
      <c r="L2016" s="352" t="s">
        <v>3581</v>
      </c>
      <c r="M2016" s="351"/>
      <c r="N2016" s="351"/>
      <c r="O2016" s="351">
        <v>30</v>
      </c>
      <c r="P2016" s="349" t="s">
        <v>1836</v>
      </c>
      <c r="R2016" s="349">
        <f t="shared" si="31"/>
        <v>9</v>
      </c>
      <c r="S2016" s="352"/>
      <c r="T2016" s="352"/>
      <c r="U2016" s="352"/>
      <c r="V2016" s="353"/>
      <c r="W2016" s="352"/>
      <c r="X2016" s="176"/>
      <c r="Y2016" s="176"/>
      <c r="Z2016" s="352"/>
      <c r="AA2016" s="352"/>
      <c r="AB2016" s="352"/>
      <c r="AC2016" s="352"/>
      <c r="AD2016" s="352"/>
    </row>
    <row r="2017" spans="1:30" ht="38.450000000000003" hidden="1" x14ac:dyDescent="0.35">
      <c r="A2017" s="349">
        <v>2016</v>
      </c>
      <c r="B2017" s="352" t="s">
        <v>830</v>
      </c>
      <c r="C2017" s="351" t="s">
        <v>2459</v>
      </c>
      <c r="D2017" s="352" t="s">
        <v>2459</v>
      </c>
      <c r="E2017" s="352" t="s">
        <v>2855</v>
      </c>
      <c r="F2017" s="353">
        <v>2.2256999999999998</v>
      </c>
      <c r="G2017" s="352" t="s">
        <v>4181</v>
      </c>
      <c r="H2017" s="176" t="s">
        <v>3323</v>
      </c>
      <c r="I2017" s="176" t="s">
        <v>3324</v>
      </c>
      <c r="J2017" s="352" t="s">
        <v>828</v>
      </c>
      <c r="K2017" s="352">
        <v>100</v>
      </c>
      <c r="L2017" s="352" t="s">
        <v>1116</v>
      </c>
      <c r="M2017" s="351">
        <v>1</v>
      </c>
      <c r="N2017" s="351" t="s">
        <v>1109</v>
      </c>
      <c r="O2017" s="351">
        <v>100</v>
      </c>
      <c r="P2017" s="349" t="s">
        <v>1836</v>
      </c>
      <c r="R2017" s="349">
        <f t="shared" si="31"/>
        <v>8</v>
      </c>
      <c r="S2017" s="352"/>
      <c r="T2017" s="352"/>
      <c r="U2017" s="352"/>
      <c r="V2017" s="353"/>
      <c r="W2017" s="352"/>
      <c r="X2017" s="176"/>
      <c r="Y2017" s="176"/>
      <c r="Z2017" s="352"/>
      <c r="AA2017" s="352"/>
      <c r="AB2017" s="352"/>
      <c r="AC2017" s="352"/>
      <c r="AD2017" s="352"/>
    </row>
    <row r="2018" spans="1:30" ht="38.450000000000003" hidden="1" x14ac:dyDescent="0.35">
      <c r="A2018" s="349">
        <v>2017</v>
      </c>
      <c r="B2018" s="352" t="s">
        <v>830</v>
      </c>
      <c r="C2018" s="351" t="s">
        <v>2459</v>
      </c>
      <c r="D2018" s="352" t="s">
        <v>2459</v>
      </c>
      <c r="E2018" s="352" t="s">
        <v>1995</v>
      </c>
      <c r="F2018" s="353">
        <v>0.1</v>
      </c>
      <c r="G2018" s="352" t="s">
        <v>2126</v>
      </c>
      <c r="H2018" s="176" t="s">
        <v>2460</v>
      </c>
      <c r="I2018" s="176" t="s">
        <v>3324</v>
      </c>
      <c r="J2018" s="352" t="s">
        <v>3580</v>
      </c>
      <c r="K2018" s="352">
        <v>25</v>
      </c>
      <c r="L2018" s="352" t="s">
        <v>3581</v>
      </c>
      <c r="M2018" s="352"/>
      <c r="N2018" s="352"/>
      <c r="O2018" s="351">
        <v>25</v>
      </c>
      <c r="P2018" s="349" t="s">
        <v>1836</v>
      </c>
      <c r="R2018" s="349">
        <f t="shared" si="31"/>
        <v>8</v>
      </c>
      <c r="S2018" s="352"/>
      <c r="T2018" s="352"/>
      <c r="U2018" s="352"/>
      <c r="V2018" s="353"/>
      <c r="W2018" s="352"/>
      <c r="X2018" s="176"/>
      <c r="Y2018" s="176"/>
      <c r="Z2018" s="352"/>
      <c r="AA2018" s="352"/>
      <c r="AB2018" s="352"/>
      <c r="AC2018" s="352"/>
      <c r="AD2018" s="352"/>
    </row>
    <row r="2019" spans="1:30" ht="38.450000000000003" hidden="1" x14ac:dyDescent="0.35">
      <c r="A2019" s="349">
        <v>2018</v>
      </c>
      <c r="B2019" s="352" t="s">
        <v>830</v>
      </c>
      <c r="C2019" s="351" t="s">
        <v>2459</v>
      </c>
      <c r="D2019" s="352" t="s">
        <v>2459</v>
      </c>
      <c r="E2019" s="352" t="s">
        <v>1995</v>
      </c>
      <c r="F2019" s="353">
        <v>0.22040000000000001</v>
      </c>
      <c r="G2019" s="352" t="s">
        <v>2126</v>
      </c>
      <c r="H2019" s="176" t="s">
        <v>2460</v>
      </c>
      <c r="I2019" s="176" t="s">
        <v>3324</v>
      </c>
      <c r="J2019" s="352" t="s">
        <v>3580</v>
      </c>
      <c r="K2019" s="352">
        <v>100</v>
      </c>
      <c r="L2019" s="352" t="s">
        <v>3581</v>
      </c>
      <c r="M2019" s="351"/>
      <c r="N2019" s="351"/>
      <c r="O2019" s="351">
        <v>100</v>
      </c>
      <c r="P2019" s="349" t="s">
        <v>1836</v>
      </c>
      <c r="R2019" s="349">
        <f t="shared" si="31"/>
        <v>8</v>
      </c>
      <c r="S2019" s="352"/>
      <c r="T2019" s="352"/>
      <c r="U2019" s="352"/>
      <c r="V2019" s="353"/>
      <c r="W2019" s="352"/>
      <c r="X2019" s="176"/>
      <c r="Y2019" s="176"/>
      <c r="Z2019" s="352"/>
      <c r="AA2019" s="352"/>
      <c r="AB2019" s="352"/>
      <c r="AC2019" s="352"/>
      <c r="AD2019" s="352"/>
    </row>
    <row r="2020" spans="1:30" ht="38.450000000000003" hidden="1" x14ac:dyDescent="0.35">
      <c r="A2020" s="349">
        <v>2019</v>
      </c>
      <c r="B2020" s="352" t="s">
        <v>830</v>
      </c>
      <c r="C2020" s="351" t="s">
        <v>4559</v>
      </c>
      <c r="D2020" s="352" t="s">
        <v>2459</v>
      </c>
      <c r="E2020" s="352" t="s">
        <v>2855</v>
      </c>
      <c r="F2020" s="353">
        <v>2.2256999999999998</v>
      </c>
      <c r="G2020" s="352" t="s">
        <v>4181</v>
      </c>
      <c r="H2020" s="176" t="s">
        <v>3323</v>
      </c>
      <c r="I2020" s="176" t="s">
        <v>3324</v>
      </c>
      <c r="J2020" s="352" t="s">
        <v>828</v>
      </c>
      <c r="K2020" s="352">
        <v>100</v>
      </c>
      <c r="L2020" s="352" t="s">
        <v>1116</v>
      </c>
      <c r="M2020" s="352">
        <v>1</v>
      </c>
      <c r="N2020" s="352" t="s">
        <v>1109</v>
      </c>
      <c r="O2020" s="351">
        <v>100</v>
      </c>
      <c r="P2020" s="349" t="s">
        <v>1836</v>
      </c>
      <c r="R2020" s="349">
        <f t="shared" si="31"/>
        <v>8</v>
      </c>
      <c r="S2020" s="352"/>
      <c r="T2020" s="352"/>
      <c r="U2020" s="352"/>
      <c r="V2020" s="353"/>
      <c r="W2020" s="352"/>
      <c r="X2020" s="176"/>
      <c r="Y2020" s="176"/>
      <c r="Z2020" s="352"/>
      <c r="AA2020" s="352"/>
      <c r="AB2020" s="352"/>
      <c r="AC2020" s="352"/>
      <c r="AD2020" s="352"/>
    </row>
    <row r="2021" spans="1:30" ht="38.450000000000003" hidden="1" x14ac:dyDescent="0.35">
      <c r="A2021" s="349">
        <v>2020</v>
      </c>
      <c r="B2021" s="352" t="s">
        <v>830</v>
      </c>
      <c r="C2021" s="351" t="s">
        <v>4559</v>
      </c>
      <c r="D2021" s="352" t="s">
        <v>2459</v>
      </c>
      <c r="E2021" s="352" t="s">
        <v>1995</v>
      </c>
      <c r="F2021" s="353">
        <v>0.1</v>
      </c>
      <c r="G2021" s="352" t="s">
        <v>2126</v>
      </c>
      <c r="H2021" s="176" t="s">
        <v>2460</v>
      </c>
      <c r="I2021" s="176" t="s">
        <v>3324</v>
      </c>
      <c r="J2021" s="352" t="s">
        <v>3580</v>
      </c>
      <c r="K2021" s="352">
        <v>25</v>
      </c>
      <c r="L2021" s="352" t="s">
        <v>3581</v>
      </c>
      <c r="M2021" s="352"/>
      <c r="N2021" s="352"/>
      <c r="O2021" s="351">
        <v>25</v>
      </c>
      <c r="P2021" s="349" t="s">
        <v>1836</v>
      </c>
      <c r="R2021" s="349">
        <f t="shared" si="31"/>
        <v>8</v>
      </c>
      <c r="S2021" s="352"/>
      <c r="T2021" s="352"/>
      <c r="U2021" s="352"/>
      <c r="V2021" s="353"/>
      <c r="W2021" s="352"/>
      <c r="X2021" s="176"/>
      <c r="Y2021" s="176"/>
      <c r="Z2021" s="352"/>
      <c r="AA2021" s="352"/>
      <c r="AB2021" s="352"/>
      <c r="AC2021" s="352"/>
      <c r="AD2021" s="352"/>
    </row>
    <row r="2022" spans="1:30" ht="38.450000000000003" hidden="1" x14ac:dyDescent="0.35">
      <c r="A2022" s="349">
        <v>2021</v>
      </c>
      <c r="B2022" s="352" t="s">
        <v>830</v>
      </c>
      <c r="C2022" s="351" t="s">
        <v>4559</v>
      </c>
      <c r="D2022" s="352" t="s">
        <v>2459</v>
      </c>
      <c r="E2022" s="352" t="s">
        <v>1995</v>
      </c>
      <c r="F2022" s="353">
        <v>0.22040000000000001</v>
      </c>
      <c r="G2022" s="352" t="s">
        <v>2126</v>
      </c>
      <c r="H2022" s="176" t="s">
        <v>2460</v>
      </c>
      <c r="I2022" s="176" t="s">
        <v>3324</v>
      </c>
      <c r="J2022" s="352" t="s">
        <v>3580</v>
      </c>
      <c r="K2022" s="352">
        <v>100</v>
      </c>
      <c r="L2022" s="352" t="s">
        <v>3581</v>
      </c>
      <c r="M2022" s="352"/>
      <c r="N2022" s="352"/>
      <c r="O2022" s="351">
        <v>100</v>
      </c>
      <c r="P2022" s="349" t="s">
        <v>1836</v>
      </c>
      <c r="R2022" s="349">
        <f t="shared" si="31"/>
        <v>8</v>
      </c>
      <c r="S2022" s="352"/>
      <c r="T2022" s="352"/>
      <c r="U2022" s="352"/>
      <c r="V2022" s="353"/>
      <c r="W2022" s="352"/>
      <c r="X2022" s="176"/>
      <c r="Y2022" s="176"/>
      <c r="Z2022" s="352"/>
      <c r="AA2022" s="352"/>
      <c r="AB2022" s="352"/>
      <c r="AC2022" s="352"/>
      <c r="AD2022" s="352"/>
    </row>
    <row r="2023" spans="1:30" ht="192.25" hidden="1" x14ac:dyDescent="0.35">
      <c r="A2023" s="349">
        <v>2022</v>
      </c>
      <c r="B2023" s="352" t="s">
        <v>1073</v>
      </c>
      <c r="C2023" s="351" t="s">
        <v>3482</v>
      </c>
      <c r="D2023" s="352" t="s">
        <v>3482</v>
      </c>
      <c r="E2023" s="352" t="s">
        <v>1997</v>
      </c>
      <c r="F2023" s="353">
        <v>6.9</v>
      </c>
      <c r="G2023" s="352" t="s">
        <v>1107</v>
      </c>
      <c r="H2023" s="176" t="s">
        <v>4135</v>
      </c>
      <c r="I2023" s="176" t="s">
        <v>4743</v>
      </c>
      <c r="J2023" s="352" t="s">
        <v>1115</v>
      </c>
      <c r="K2023" s="352">
        <v>500</v>
      </c>
      <c r="L2023" s="352" t="s">
        <v>1464</v>
      </c>
      <c r="M2023" s="351"/>
      <c r="N2023" s="351"/>
      <c r="O2023" s="351">
        <v>500</v>
      </c>
      <c r="P2023" s="349" t="s">
        <v>1836</v>
      </c>
      <c r="R2023" s="349">
        <f t="shared" si="31"/>
        <v>10</v>
      </c>
      <c r="S2023" s="352"/>
      <c r="T2023" s="352"/>
      <c r="U2023" s="352"/>
      <c r="V2023" s="353"/>
      <c r="W2023" s="352"/>
      <c r="X2023" s="176"/>
      <c r="Y2023" s="176"/>
      <c r="Z2023" s="352"/>
      <c r="AA2023" s="352"/>
      <c r="AB2023" s="352"/>
      <c r="AC2023" s="352"/>
      <c r="AD2023" s="352"/>
    </row>
    <row r="2024" spans="1:30" ht="89.75" hidden="1" x14ac:dyDescent="0.35">
      <c r="A2024" s="349">
        <v>2023</v>
      </c>
      <c r="B2024" s="352" t="s">
        <v>3204</v>
      </c>
      <c r="C2024" s="351" t="s">
        <v>3042</v>
      </c>
      <c r="D2024" s="352" t="s">
        <v>5039</v>
      </c>
      <c r="E2024" s="352" t="s">
        <v>1997</v>
      </c>
      <c r="F2024" s="353">
        <v>247.7852</v>
      </c>
      <c r="G2024" s="352" t="s">
        <v>1107</v>
      </c>
      <c r="H2024" s="176" t="s">
        <v>691</v>
      </c>
      <c r="I2024" s="176" t="s">
        <v>317</v>
      </c>
      <c r="J2024" s="352" t="s">
        <v>1115</v>
      </c>
      <c r="K2024" s="352">
        <v>25</v>
      </c>
      <c r="L2024" s="352" t="s">
        <v>1464</v>
      </c>
      <c r="M2024" s="351"/>
      <c r="N2024" s="351"/>
      <c r="O2024" s="351">
        <v>25</v>
      </c>
      <c r="P2024" s="349" t="s">
        <v>1836</v>
      </c>
      <c r="R2024" s="349">
        <f t="shared" si="31"/>
        <v>27</v>
      </c>
      <c r="S2024" s="352"/>
      <c r="T2024" s="352"/>
      <c r="U2024" s="352"/>
      <c r="V2024" s="353"/>
      <c r="W2024" s="352"/>
      <c r="X2024" s="176"/>
      <c r="Y2024" s="176"/>
      <c r="Z2024" s="352"/>
      <c r="AA2024" s="352"/>
      <c r="AB2024" s="352"/>
      <c r="AC2024" s="352"/>
      <c r="AD2024" s="352"/>
    </row>
    <row r="2025" spans="1:30" ht="38.450000000000003" hidden="1" x14ac:dyDescent="0.35">
      <c r="A2025" s="349">
        <v>2024</v>
      </c>
      <c r="B2025" s="352" t="s">
        <v>3204</v>
      </c>
      <c r="C2025" s="351" t="s">
        <v>3042</v>
      </c>
      <c r="D2025" s="352" t="s">
        <v>5039</v>
      </c>
      <c r="E2025" s="352" t="s">
        <v>1114</v>
      </c>
      <c r="F2025" s="353">
        <v>556.50289999999995</v>
      </c>
      <c r="G2025" s="352" t="s">
        <v>1107</v>
      </c>
      <c r="H2025" s="176" t="s">
        <v>1569</v>
      </c>
      <c r="I2025" s="176" t="s">
        <v>1570</v>
      </c>
      <c r="J2025" s="352" t="s">
        <v>1115</v>
      </c>
      <c r="K2025" s="351">
        <v>20</v>
      </c>
      <c r="L2025" s="351" t="s">
        <v>1116</v>
      </c>
      <c r="M2025" s="351">
        <v>5</v>
      </c>
      <c r="N2025" s="351" t="s">
        <v>1109</v>
      </c>
      <c r="O2025" s="351">
        <v>20</v>
      </c>
      <c r="P2025" s="349" t="s">
        <v>1836</v>
      </c>
      <c r="R2025" s="349">
        <f t="shared" si="31"/>
        <v>27</v>
      </c>
      <c r="S2025" s="352"/>
      <c r="T2025" s="352"/>
      <c r="U2025" s="352"/>
      <c r="V2025" s="353"/>
      <c r="W2025" s="352"/>
      <c r="X2025" s="176"/>
      <c r="Y2025" s="176"/>
      <c r="Z2025" s="352"/>
      <c r="AA2025" s="352"/>
      <c r="AB2025" s="352"/>
      <c r="AC2025" s="352"/>
      <c r="AD2025" s="352"/>
    </row>
    <row r="2026" spans="1:30" hidden="1" x14ac:dyDescent="0.35">
      <c r="A2026" s="349">
        <v>2025</v>
      </c>
      <c r="B2026" s="352" t="s">
        <v>3204</v>
      </c>
      <c r="C2026" s="351" t="s">
        <v>3042</v>
      </c>
      <c r="D2026" s="352" t="s">
        <v>5039</v>
      </c>
      <c r="E2026" s="352" t="s">
        <v>1114</v>
      </c>
      <c r="F2026" s="353">
        <v>221.91</v>
      </c>
      <c r="G2026" s="352" t="s">
        <v>1107</v>
      </c>
      <c r="H2026" s="176" t="s">
        <v>3975</v>
      </c>
      <c r="I2026" s="176" t="s">
        <v>2071</v>
      </c>
      <c r="J2026" s="352" t="s">
        <v>1115</v>
      </c>
      <c r="K2026" s="351">
        <v>20</v>
      </c>
      <c r="L2026" s="351" t="s">
        <v>1116</v>
      </c>
      <c r="M2026" s="352">
        <v>5</v>
      </c>
      <c r="N2026" s="352" t="s">
        <v>1109</v>
      </c>
      <c r="O2026" s="351">
        <v>20</v>
      </c>
      <c r="P2026" s="349" t="s">
        <v>1836</v>
      </c>
      <c r="R2026" s="349">
        <f t="shared" si="31"/>
        <v>27</v>
      </c>
      <c r="S2026" s="352"/>
      <c r="T2026" s="352"/>
      <c r="U2026" s="352"/>
      <c r="V2026" s="353"/>
      <c r="W2026" s="352"/>
      <c r="X2026" s="176"/>
      <c r="Y2026" s="176"/>
      <c r="Z2026" s="352"/>
      <c r="AA2026" s="352"/>
      <c r="AB2026" s="352"/>
      <c r="AC2026" s="352"/>
      <c r="AD2026" s="352"/>
    </row>
    <row r="2027" spans="1:30" hidden="1" x14ac:dyDescent="0.35">
      <c r="A2027" s="349">
        <v>2026</v>
      </c>
      <c r="B2027" s="352" t="s">
        <v>3204</v>
      </c>
      <c r="C2027" s="351" t="s">
        <v>3042</v>
      </c>
      <c r="D2027" s="352" t="s">
        <v>5039</v>
      </c>
      <c r="E2027" s="352" t="s">
        <v>1114</v>
      </c>
      <c r="F2027" s="353">
        <v>221.91</v>
      </c>
      <c r="G2027" s="352" t="s">
        <v>1107</v>
      </c>
      <c r="H2027" s="176" t="s">
        <v>3975</v>
      </c>
      <c r="I2027" s="176" t="s">
        <v>2071</v>
      </c>
      <c r="J2027" s="352" t="s">
        <v>1115</v>
      </c>
      <c r="K2027" s="351">
        <v>20</v>
      </c>
      <c r="L2027" s="351" t="s">
        <v>1116</v>
      </c>
      <c r="M2027" s="352">
        <v>5</v>
      </c>
      <c r="N2027" s="352" t="s">
        <v>1109</v>
      </c>
      <c r="O2027" s="351">
        <v>20</v>
      </c>
      <c r="P2027" s="349" t="s">
        <v>1836</v>
      </c>
      <c r="R2027" s="349">
        <f t="shared" si="31"/>
        <v>27</v>
      </c>
      <c r="S2027" s="352"/>
      <c r="T2027" s="352"/>
      <c r="U2027" s="352"/>
      <c r="V2027" s="353"/>
      <c r="W2027" s="352"/>
      <c r="X2027" s="176"/>
      <c r="Y2027" s="176"/>
      <c r="Z2027" s="352"/>
      <c r="AA2027" s="352"/>
      <c r="AB2027" s="352"/>
      <c r="AC2027" s="352"/>
      <c r="AD2027" s="352"/>
    </row>
    <row r="2028" spans="1:30" ht="89.75" hidden="1" x14ac:dyDescent="0.35">
      <c r="A2028" s="349">
        <v>2027</v>
      </c>
      <c r="B2028" s="352" t="s">
        <v>3204</v>
      </c>
      <c r="C2028" s="351" t="s">
        <v>4560</v>
      </c>
      <c r="D2028" s="352" t="s">
        <v>5039</v>
      </c>
      <c r="E2028" s="352" t="s">
        <v>1997</v>
      </c>
      <c r="F2028" s="353">
        <v>247.7852</v>
      </c>
      <c r="G2028" s="352" t="s">
        <v>1107</v>
      </c>
      <c r="H2028" s="176" t="s">
        <v>691</v>
      </c>
      <c r="I2028" s="176" t="s">
        <v>317</v>
      </c>
      <c r="J2028" s="352" t="s">
        <v>1115</v>
      </c>
      <c r="K2028" s="352">
        <v>25</v>
      </c>
      <c r="L2028" s="352" t="s">
        <v>1464</v>
      </c>
      <c r="M2028" s="351"/>
      <c r="N2028" s="351"/>
      <c r="O2028" s="351">
        <v>25</v>
      </c>
      <c r="P2028" s="349" t="s">
        <v>1836</v>
      </c>
      <c r="R2028" s="349">
        <f t="shared" si="31"/>
        <v>27</v>
      </c>
      <c r="S2028" s="352"/>
      <c r="T2028" s="352"/>
      <c r="U2028" s="352"/>
      <c r="V2028" s="353"/>
      <c r="W2028" s="352"/>
      <c r="X2028" s="37"/>
      <c r="Y2028" s="176"/>
      <c r="Z2028" s="352"/>
      <c r="AA2028" s="352"/>
      <c r="AB2028" s="352"/>
      <c r="AC2028" s="352"/>
      <c r="AD2028" s="352"/>
    </row>
    <row r="2029" spans="1:30" ht="64.099999999999994" hidden="1" x14ac:dyDescent="0.35">
      <c r="A2029" s="349">
        <v>2028</v>
      </c>
      <c r="B2029" s="352" t="s">
        <v>3090</v>
      </c>
      <c r="C2029" s="351" t="s">
        <v>4561</v>
      </c>
      <c r="D2029" s="352" t="s">
        <v>5043</v>
      </c>
      <c r="E2029" s="352" t="s">
        <v>1997</v>
      </c>
      <c r="F2029" s="353">
        <v>26.73</v>
      </c>
      <c r="G2029" s="352" t="s">
        <v>1107</v>
      </c>
      <c r="H2029" s="176" t="s">
        <v>4016</v>
      </c>
      <c r="I2029" s="176" t="s">
        <v>4017</v>
      </c>
      <c r="J2029" s="352" t="s">
        <v>1115</v>
      </c>
      <c r="K2029" s="352"/>
      <c r="L2029" s="352"/>
      <c r="M2029" s="352"/>
      <c r="N2029" s="352"/>
      <c r="O2029" s="351">
        <v>0</v>
      </c>
      <c r="P2029" s="349" t="s">
        <v>2313</v>
      </c>
      <c r="R2029" s="349">
        <f t="shared" si="31"/>
        <v>20</v>
      </c>
      <c r="S2029" s="352"/>
      <c r="T2029" s="352"/>
      <c r="U2029" s="352"/>
      <c r="V2029" s="353"/>
      <c r="W2029" s="352"/>
      <c r="X2029" s="176"/>
      <c r="Y2029" s="176"/>
      <c r="Z2029" s="352"/>
      <c r="AA2029" s="352"/>
      <c r="AB2029" s="352"/>
      <c r="AC2029" s="352"/>
      <c r="AD2029" s="352"/>
    </row>
    <row r="2030" spans="1:30" ht="25.65" hidden="1" x14ac:dyDescent="0.35">
      <c r="A2030" s="349">
        <v>2029</v>
      </c>
      <c r="B2030" s="352" t="s">
        <v>3032</v>
      </c>
      <c r="C2030" s="351" t="s">
        <v>3927</v>
      </c>
      <c r="D2030" s="352" t="s">
        <v>3927</v>
      </c>
      <c r="E2030" s="352" t="s">
        <v>553</v>
      </c>
      <c r="F2030" s="353">
        <v>5.7295999999999996</v>
      </c>
      <c r="G2030" s="352" t="s">
        <v>2126</v>
      </c>
      <c r="H2030" s="176" t="s">
        <v>351</v>
      </c>
      <c r="I2030" s="176" t="s">
        <v>3928</v>
      </c>
      <c r="J2030" s="352" t="s">
        <v>3579</v>
      </c>
      <c r="K2030" s="352"/>
      <c r="L2030" s="352"/>
      <c r="M2030" s="352">
        <v>200</v>
      </c>
      <c r="N2030" s="352" t="s">
        <v>1109</v>
      </c>
      <c r="O2030" s="351">
        <v>0</v>
      </c>
      <c r="P2030" s="349" t="s">
        <v>1837</v>
      </c>
      <c r="R2030" s="349">
        <f t="shared" si="31"/>
        <v>10</v>
      </c>
      <c r="S2030" s="352"/>
      <c r="T2030" s="352"/>
      <c r="U2030" s="352"/>
      <c r="V2030" s="353"/>
      <c r="W2030" s="352"/>
      <c r="X2030" s="176"/>
      <c r="Y2030" s="176"/>
      <c r="Z2030" s="352"/>
      <c r="AA2030" s="352"/>
      <c r="AB2030" s="352"/>
      <c r="AC2030" s="352"/>
      <c r="AD2030" s="352"/>
    </row>
    <row r="2031" spans="1:30" ht="25.65" hidden="1" x14ac:dyDescent="0.35">
      <c r="A2031" s="349">
        <v>2030</v>
      </c>
      <c r="B2031" s="352" t="s">
        <v>3032</v>
      </c>
      <c r="C2031" s="351" t="s">
        <v>3927</v>
      </c>
      <c r="D2031" s="352" t="s">
        <v>3927</v>
      </c>
      <c r="E2031" s="352" t="s">
        <v>553</v>
      </c>
      <c r="F2031" s="353">
        <v>5.7295999999999996</v>
      </c>
      <c r="G2031" s="352" t="s">
        <v>2126</v>
      </c>
      <c r="H2031" s="176" t="s">
        <v>351</v>
      </c>
      <c r="I2031" s="176" t="s">
        <v>3928</v>
      </c>
      <c r="J2031" s="352" t="s">
        <v>3579</v>
      </c>
      <c r="K2031" s="352"/>
      <c r="L2031" s="352"/>
      <c r="M2031" s="352">
        <v>200</v>
      </c>
      <c r="N2031" s="352" t="s">
        <v>1109</v>
      </c>
      <c r="O2031" s="351">
        <v>0</v>
      </c>
      <c r="P2031" s="349" t="s">
        <v>1837</v>
      </c>
      <c r="R2031" s="349">
        <f t="shared" si="31"/>
        <v>10</v>
      </c>
      <c r="S2031" s="352"/>
      <c r="T2031" s="352"/>
      <c r="U2031" s="352"/>
      <c r="V2031" s="353"/>
      <c r="W2031" s="352"/>
      <c r="X2031" s="37"/>
      <c r="Y2031" s="176"/>
      <c r="Z2031" s="352"/>
      <c r="AA2031" s="352"/>
      <c r="AB2031" s="352"/>
      <c r="AC2031" s="352"/>
      <c r="AD2031" s="352"/>
    </row>
    <row r="2032" spans="1:30" ht="38.450000000000003" hidden="1" x14ac:dyDescent="0.35">
      <c r="A2032" s="349">
        <v>2031</v>
      </c>
      <c r="B2032" s="352" t="s">
        <v>2285</v>
      </c>
      <c r="C2032" s="351" t="s">
        <v>4231</v>
      </c>
      <c r="D2032" s="352" t="s">
        <v>4231</v>
      </c>
      <c r="E2032" s="352" t="s">
        <v>2022</v>
      </c>
      <c r="F2032" s="353">
        <v>20.7149</v>
      </c>
      <c r="G2032" s="352" t="s">
        <v>2126</v>
      </c>
      <c r="H2032" s="176" t="s">
        <v>2953</v>
      </c>
      <c r="I2032" s="176" t="s">
        <v>2954</v>
      </c>
      <c r="J2032" s="352" t="s">
        <v>4025</v>
      </c>
      <c r="K2032" s="352">
        <v>4000</v>
      </c>
      <c r="L2032" s="352" t="s">
        <v>2698</v>
      </c>
      <c r="M2032" s="352"/>
      <c r="N2032" s="352"/>
      <c r="O2032" s="351">
        <v>4000</v>
      </c>
      <c r="P2032" s="349" t="s">
        <v>2313</v>
      </c>
      <c r="R2032" s="349">
        <f t="shared" si="31"/>
        <v>9</v>
      </c>
      <c r="S2032" s="352"/>
      <c r="T2032" s="352"/>
      <c r="U2032" s="352"/>
      <c r="V2032" s="353"/>
      <c r="W2032" s="352"/>
      <c r="X2032" s="176"/>
      <c r="Y2032" s="176"/>
      <c r="Z2032" s="352"/>
      <c r="AA2032" s="352"/>
      <c r="AB2032" s="352"/>
      <c r="AC2032" s="352"/>
      <c r="AD2032" s="352"/>
    </row>
    <row r="2033" spans="1:30" ht="38.450000000000003" hidden="1" x14ac:dyDescent="0.35">
      <c r="A2033" s="349">
        <v>2032</v>
      </c>
      <c r="B2033" s="352" t="s">
        <v>405</v>
      </c>
      <c r="C2033" s="351" t="s">
        <v>3099</v>
      </c>
      <c r="D2033" s="352" t="s">
        <v>3099</v>
      </c>
      <c r="E2033" s="352" t="s">
        <v>3209</v>
      </c>
      <c r="F2033" s="353">
        <v>4.41</v>
      </c>
      <c r="G2033" s="352" t="s">
        <v>34</v>
      </c>
      <c r="H2033" s="176" t="s">
        <v>3100</v>
      </c>
      <c r="I2033" s="37" t="s">
        <v>3818</v>
      </c>
      <c r="J2033" s="352" t="s">
        <v>4025</v>
      </c>
      <c r="K2033" s="352">
        <v>1</v>
      </c>
      <c r="L2033" s="352" t="s">
        <v>1116</v>
      </c>
      <c r="M2033" s="351">
        <v>5</v>
      </c>
      <c r="N2033" s="351" t="s">
        <v>1109</v>
      </c>
      <c r="O2033" s="351">
        <v>1</v>
      </c>
      <c r="P2033" s="349" t="s">
        <v>1836</v>
      </c>
      <c r="R2033" s="349">
        <f t="shared" si="31"/>
        <v>7</v>
      </c>
      <c r="S2033" s="352"/>
      <c r="T2033" s="352"/>
      <c r="U2033" s="352"/>
      <c r="V2033" s="353"/>
      <c r="W2033" s="352"/>
      <c r="X2033" s="176"/>
      <c r="Y2033" s="176"/>
      <c r="Z2033" s="352"/>
      <c r="AA2033" s="352"/>
      <c r="AB2033" s="352"/>
      <c r="AC2033" s="352"/>
      <c r="AD2033" s="352"/>
    </row>
    <row r="2034" spans="1:30" ht="38.450000000000003" hidden="1" x14ac:dyDescent="0.35">
      <c r="A2034" s="349">
        <v>2033</v>
      </c>
      <c r="B2034" s="352" t="s">
        <v>405</v>
      </c>
      <c r="C2034" s="351" t="s">
        <v>3099</v>
      </c>
      <c r="D2034" s="352" t="s">
        <v>3099</v>
      </c>
      <c r="E2034" s="352" t="s">
        <v>2079</v>
      </c>
      <c r="F2034" s="353">
        <v>0.22</v>
      </c>
      <c r="G2034" s="352" t="s">
        <v>34</v>
      </c>
      <c r="H2034" s="37" t="s">
        <v>3100</v>
      </c>
      <c r="I2034" s="37" t="s">
        <v>3818</v>
      </c>
      <c r="J2034" s="352" t="s">
        <v>3105</v>
      </c>
      <c r="K2034" s="352">
        <v>2.5</v>
      </c>
      <c r="L2034" s="352" t="s">
        <v>1116</v>
      </c>
      <c r="M2034" s="351">
        <v>0.2</v>
      </c>
      <c r="N2034" s="351" t="s">
        <v>1109</v>
      </c>
      <c r="O2034" s="351">
        <v>2.5</v>
      </c>
      <c r="P2034" s="349" t="s">
        <v>1836</v>
      </c>
      <c r="R2034" s="349">
        <f t="shared" si="31"/>
        <v>7</v>
      </c>
      <c r="S2034" s="352"/>
      <c r="T2034" s="352"/>
      <c r="U2034" s="352"/>
      <c r="V2034" s="353"/>
      <c r="W2034" s="352"/>
      <c r="X2034" s="176"/>
      <c r="Y2034" s="176"/>
      <c r="Z2034" s="352"/>
      <c r="AA2034" s="352"/>
      <c r="AB2034" s="352"/>
      <c r="AC2034" s="352"/>
      <c r="AD2034" s="352"/>
    </row>
    <row r="2035" spans="1:30" ht="38.450000000000003" hidden="1" x14ac:dyDescent="0.35">
      <c r="A2035" s="349">
        <v>2034</v>
      </c>
      <c r="B2035" s="352" t="s">
        <v>405</v>
      </c>
      <c r="C2035" s="351" t="s">
        <v>4562</v>
      </c>
      <c r="D2035" s="352" t="s">
        <v>3099</v>
      </c>
      <c r="E2035" s="352" t="s">
        <v>3209</v>
      </c>
      <c r="F2035" s="351">
        <v>4.41</v>
      </c>
      <c r="G2035" s="352" t="s">
        <v>34</v>
      </c>
      <c r="H2035" s="176" t="s">
        <v>3100</v>
      </c>
      <c r="I2035" s="176" t="s">
        <v>3818</v>
      </c>
      <c r="J2035" s="352" t="s">
        <v>4025</v>
      </c>
      <c r="K2035" s="352">
        <v>1</v>
      </c>
      <c r="L2035" s="352" t="s">
        <v>1116</v>
      </c>
      <c r="M2035" s="351">
        <v>5</v>
      </c>
      <c r="N2035" s="351" t="s">
        <v>1109</v>
      </c>
      <c r="O2035" s="351">
        <v>1</v>
      </c>
      <c r="P2035" s="349" t="s">
        <v>1836</v>
      </c>
      <c r="R2035" s="349">
        <f t="shared" si="31"/>
        <v>7</v>
      </c>
      <c r="S2035" s="352"/>
      <c r="T2035" s="352"/>
      <c r="U2035" s="352"/>
      <c r="V2035" s="353"/>
      <c r="W2035" s="352"/>
      <c r="X2035" s="176"/>
      <c r="Y2035" s="176"/>
      <c r="Z2035" s="352"/>
      <c r="AA2035" s="352"/>
      <c r="AB2035" s="352"/>
      <c r="AC2035" s="352"/>
      <c r="AD2035" s="352"/>
    </row>
    <row r="2036" spans="1:30" ht="38.450000000000003" hidden="1" x14ac:dyDescent="0.35">
      <c r="A2036" s="349">
        <v>2035</v>
      </c>
      <c r="B2036" s="352" t="s">
        <v>405</v>
      </c>
      <c r="C2036" s="351" t="s">
        <v>4562</v>
      </c>
      <c r="D2036" s="352" t="s">
        <v>3099</v>
      </c>
      <c r="E2036" s="352" t="s">
        <v>2079</v>
      </c>
      <c r="F2036" s="351">
        <v>0.22</v>
      </c>
      <c r="G2036" s="352" t="s">
        <v>34</v>
      </c>
      <c r="H2036" s="176" t="s">
        <v>3100</v>
      </c>
      <c r="I2036" s="176" t="s">
        <v>3818</v>
      </c>
      <c r="J2036" s="352" t="s">
        <v>3105</v>
      </c>
      <c r="K2036" s="352">
        <v>2.5</v>
      </c>
      <c r="L2036" s="352" t="s">
        <v>1116</v>
      </c>
      <c r="M2036" s="351">
        <v>0.2</v>
      </c>
      <c r="N2036" s="351" t="s">
        <v>1109</v>
      </c>
      <c r="O2036" s="351">
        <v>2.5</v>
      </c>
      <c r="P2036" s="349" t="s">
        <v>1836</v>
      </c>
      <c r="R2036" s="349">
        <f t="shared" si="31"/>
        <v>7</v>
      </c>
      <c r="S2036" s="352"/>
      <c r="T2036" s="352"/>
      <c r="U2036" s="352"/>
      <c r="V2036" s="353"/>
      <c r="W2036" s="352"/>
      <c r="X2036" s="176"/>
      <c r="Y2036" s="176"/>
      <c r="Z2036" s="352"/>
      <c r="AA2036" s="352"/>
      <c r="AB2036" s="352"/>
      <c r="AC2036" s="352"/>
      <c r="AD2036" s="352"/>
    </row>
    <row r="2037" spans="1:30" ht="25.65" hidden="1" x14ac:dyDescent="0.35">
      <c r="A2037" s="349">
        <v>2036</v>
      </c>
      <c r="B2037" s="352" t="s">
        <v>3205</v>
      </c>
      <c r="C2037" s="351" t="s">
        <v>3929</v>
      </c>
      <c r="D2037" s="352" t="s">
        <v>3929</v>
      </c>
      <c r="E2037" s="352" t="s">
        <v>1995</v>
      </c>
      <c r="F2037" s="353">
        <v>1.8511</v>
      </c>
      <c r="G2037" s="352" t="s">
        <v>2126</v>
      </c>
      <c r="H2037" s="176" t="s">
        <v>926</v>
      </c>
      <c r="I2037" s="176"/>
      <c r="J2037" s="352" t="s">
        <v>3580</v>
      </c>
      <c r="K2037" s="351">
        <v>500</v>
      </c>
      <c r="L2037" s="351" t="s">
        <v>3581</v>
      </c>
      <c r="M2037" s="352"/>
      <c r="N2037" s="352"/>
      <c r="O2037" s="351">
        <v>500</v>
      </c>
      <c r="P2037" s="349" t="s">
        <v>1836</v>
      </c>
      <c r="R2037" s="349">
        <f t="shared" si="31"/>
        <v>9</v>
      </c>
      <c r="S2037" s="352"/>
      <c r="T2037" s="352"/>
      <c r="U2037" s="352"/>
      <c r="V2037" s="353"/>
      <c r="W2037" s="352"/>
      <c r="X2037" s="176"/>
      <c r="Y2037" s="176"/>
      <c r="Z2037" s="352"/>
      <c r="AA2037" s="352"/>
      <c r="AB2037" s="352"/>
      <c r="AC2037" s="352"/>
      <c r="AD2037" s="352"/>
    </row>
    <row r="2038" spans="1:30" hidden="1" x14ac:dyDescent="0.35">
      <c r="A2038" s="349">
        <v>2037</v>
      </c>
      <c r="B2038" s="352" t="s">
        <v>1080</v>
      </c>
      <c r="C2038" s="351" t="s">
        <v>839</v>
      </c>
      <c r="D2038" s="352" t="s">
        <v>839</v>
      </c>
      <c r="E2038" s="352" t="s">
        <v>1995</v>
      </c>
      <c r="F2038" s="353">
        <v>5.8178000000000001</v>
      </c>
      <c r="G2038" s="352" t="s">
        <v>2126</v>
      </c>
      <c r="H2038" s="176"/>
      <c r="I2038" s="176"/>
      <c r="J2038" s="352" t="s">
        <v>3580</v>
      </c>
      <c r="K2038" s="351">
        <v>40</v>
      </c>
      <c r="L2038" s="351" t="s">
        <v>3581</v>
      </c>
      <c r="M2038" s="352"/>
      <c r="N2038" s="352"/>
      <c r="O2038" s="351">
        <v>40</v>
      </c>
      <c r="P2038" s="349" t="s">
        <v>1836</v>
      </c>
      <c r="R2038" s="349">
        <f t="shared" si="31"/>
        <v>10</v>
      </c>
      <c r="S2038" s="352"/>
      <c r="T2038" s="352"/>
      <c r="U2038" s="352"/>
      <c r="V2038" s="353"/>
      <c r="W2038" s="352"/>
      <c r="X2038" s="37"/>
      <c r="Y2038" s="176"/>
      <c r="Z2038" s="352"/>
      <c r="AA2038" s="352"/>
      <c r="AB2038" s="352"/>
      <c r="AC2038" s="352"/>
      <c r="AD2038" s="352"/>
    </row>
    <row r="2039" spans="1:30" ht="38.450000000000003" hidden="1" x14ac:dyDescent="0.35">
      <c r="A2039" s="349">
        <v>2038</v>
      </c>
      <c r="B2039" s="352" t="s">
        <v>19</v>
      </c>
      <c r="C2039" s="351" t="s">
        <v>840</v>
      </c>
      <c r="D2039" s="352" t="s">
        <v>840</v>
      </c>
      <c r="E2039" s="352" t="s">
        <v>2002</v>
      </c>
      <c r="F2039" s="353"/>
      <c r="G2039" s="352" t="s">
        <v>2126</v>
      </c>
      <c r="H2039" s="176" t="s">
        <v>3448</v>
      </c>
      <c r="I2039" s="176" t="s">
        <v>781</v>
      </c>
      <c r="J2039" s="352" t="s">
        <v>1502</v>
      </c>
      <c r="K2039" s="352">
        <v>100</v>
      </c>
      <c r="L2039" s="352" t="s">
        <v>1503</v>
      </c>
      <c r="M2039" s="352"/>
      <c r="N2039" s="352"/>
      <c r="O2039" s="351">
        <v>100</v>
      </c>
      <c r="P2039" s="349" t="s">
        <v>1836</v>
      </c>
      <c r="R2039" s="349">
        <f t="shared" si="31"/>
        <v>10</v>
      </c>
      <c r="S2039" s="352"/>
      <c r="T2039" s="352"/>
      <c r="U2039" s="352"/>
      <c r="V2039" s="353"/>
      <c r="W2039" s="352"/>
      <c r="X2039" s="176"/>
      <c r="Y2039" s="176"/>
      <c r="Z2039" s="352"/>
      <c r="AA2039" s="352"/>
      <c r="AB2039" s="352"/>
      <c r="AC2039" s="352"/>
      <c r="AD2039" s="352"/>
    </row>
    <row r="2040" spans="1:30" ht="38.450000000000003" hidden="1" x14ac:dyDescent="0.35">
      <c r="A2040" s="349">
        <v>2039</v>
      </c>
      <c r="B2040" s="352" t="s">
        <v>19</v>
      </c>
      <c r="C2040" s="351" t="s">
        <v>840</v>
      </c>
      <c r="D2040" s="352" t="s">
        <v>840</v>
      </c>
      <c r="E2040" s="352" t="s">
        <v>2002</v>
      </c>
      <c r="F2040" s="351"/>
      <c r="G2040" s="352" t="s">
        <v>2126</v>
      </c>
      <c r="H2040" s="176" t="s">
        <v>3448</v>
      </c>
      <c r="I2040" s="176" t="s">
        <v>781</v>
      </c>
      <c r="J2040" s="352" t="s">
        <v>1502</v>
      </c>
      <c r="K2040" s="351">
        <v>250</v>
      </c>
      <c r="L2040" s="351" t="s">
        <v>1503</v>
      </c>
      <c r="M2040" s="351"/>
      <c r="N2040" s="351"/>
      <c r="O2040" s="351">
        <v>250</v>
      </c>
      <c r="P2040" s="349" t="s">
        <v>1836</v>
      </c>
      <c r="R2040" s="349">
        <f t="shared" si="31"/>
        <v>10</v>
      </c>
      <c r="S2040" s="352"/>
      <c r="T2040" s="352"/>
      <c r="U2040" s="352"/>
      <c r="V2040" s="353"/>
      <c r="W2040" s="352"/>
      <c r="X2040" s="37"/>
      <c r="Y2040" s="176"/>
      <c r="Z2040" s="352"/>
      <c r="AA2040" s="352"/>
      <c r="AB2040" s="352"/>
      <c r="AC2040" s="352"/>
      <c r="AD2040" s="352"/>
    </row>
    <row r="2041" spans="1:30" ht="38.450000000000003" hidden="1" x14ac:dyDescent="0.35">
      <c r="A2041" s="349">
        <v>2040</v>
      </c>
      <c r="B2041" s="352" t="s">
        <v>4044</v>
      </c>
      <c r="C2041" s="351" t="s">
        <v>4563</v>
      </c>
      <c r="D2041" s="352" t="s">
        <v>3096</v>
      </c>
      <c r="E2041" s="352" t="s">
        <v>765</v>
      </c>
      <c r="F2041" s="353">
        <v>257.56959999999998</v>
      </c>
      <c r="G2041" s="352" t="s">
        <v>34</v>
      </c>
      <c r="H2041" s="176" t="s">
        <v>3896</v>
      </c>
      <c r="I2041" s="176" t="s">
        <v>3190</v>
      </c>
      <c r="J2041" s="352" t="s">
        <v>766</v>
      </c>
      <c r="K2041" s="352"/>
      <c r="L2041" s="352"/>
      <c r="M2041" s="352">
        <v>1</v>
      </c>
      <c r="N2041" s="352" t="s">
        <v>1109</v>
      </c>
      <c r="O2041" s="351">
        <v>0</v>
      </c>
      <c r="P2041" s="349" t="s">
        <v>1837</v>
      </c>
      <c r="R2041" s="349">
        <f t="shared" si="31"/>
        <v>11</v>
      </c>
      <c r="S2041" s="352"/>
      <c r="T2041" s="352"/>
      <c r="U2041" s="352"/>
      <c r="V2041" s="353"/>
      <c r="W2041" s="352"/>
      <c r="X2041" s="176"/>
      <c r="Y2041" s="176"/>
      <c r="Z2041" s="352"/>
      <c r="AA2041" s="352"/>
      <c r="AB2041" s="352"/>
      <c r="AC2041" s="352"/>
      <c r="AD2041" s="352"/>
    </row>
    <row r="2042" spans="1:30" ht="38.450000000000003" hidden="1" x14ac:dyDescent="0.35">
      <c r="A2042" s="349">
        <v>2041</v>
      </c>
      <c r="B2042" s="352" t="s">
        <v>4044</v>
      </c>
      <c r="C2042" s="351" t="s">
        <v>4563</v>
      </c>
      <c r="D2042" s="352" t="s">
        <v>3096</v>
      </c>
      <c r="E2042" s="352" t="s">
        <v>765</v>
      </c>
      <c r="F2042" s="353">
        <v>257.56959999999998</v>
      </c>
      <c r="G2042" s="352" t="s">
        <v>34</v>
      </c>
      <c r="H2042" s="176" t="s">
        <v>3896</v>
      </c>
      <c r="I2042" s="176" t="s">
        <v>3190</v>
      </c>
      <c r="J2042" s="352" t="s">
        <v>766</v>
      </c>
      <c r="K2042" s="352"/>
      <c r="L2042" s="352"/>
      <c r="M2042" s="352">
        <v>1</v>
      </c>
      <c r="N2042" s="352" t="s">
        <v>1109</v>
      </c>
      <c r="O2042" s="351">
        <v>0</v>
      </c>
      <c r="P2042" s="349" t="s">
        <v>1837</v>
      </c>
      <c r="R2042" s="349">
        <f t="shared" si="31"/>
        <v>11</v>
      </c>
      <c r="S2042" s="352"/>
      <c r="T2042" s="352"/>
      <c r="U2042" s="352"/>
      <c r="V2042" s="353"/>
      <c r="W2042" s="352"/>
      <c r="X2042" s="176"/>
      <c r="Y2042" s="176"/>
      <c r="Z2042" s="352"/>
      <c r="AA2042" s="352"/>
      <c r="AB2042" s="352"/>
      <c r="AC2042" s="352"/>
      <c r="AD2042" s="352"/>
    </row>
    <row r="2043" spans="1:30" ht="64.099999999999994" hidden="1" x14ac:dyDescent="0.35">
      <c r="A2043" s="349">
        <v>2042</v>
      </c>
      <c r="B2043" s="352" t="s">
        <v>3248</v>
      </c>
      <c r="C2043" s="351" t="s">
        <v>4564</v>
      </c>
      <c r="D2043" s="352" t="s">
        <v>782</v>
      </c>
      <c r="E2043" s="352" t="s">
        <v>1114</v>
      </c>
      <c r="F2043" s="353">
        <v>105.78</v>
      </c>
      <c r="G2043" s="352" t="s">
        <v>3034</v>
      </c>
      <c r="H2043" s="176" t="s">
        <v>336</v>
      </c>
      <c r="I2043" s="176"/>
      <c r="J2043" s="352" t="s">
        <v>1115</v>
      </c>
      <c r="K2043" s="352">
        <v>60</v>
      </c>
      <c r="L2043" s="352" t="s">
        <v>1116</v>
      </c>
      <c r="M2043" s="352">
        <v>5</v>
      </c>
      <c r="N2043" s="352" t="s">
        <v>1109</v>
      </c>
      <c r="O2043" s="351">
        <v>60</v>
      </c>
      <c r="P2043" s="349" t="s">
        <v>1836</v>
      </c>
      <c r="R2043" s="349">
        <f t="shared" si="31"/>
        <v>11</v>
      </c>
      <c r="S2043" s="352"/>
      <c r="T2043" s="352"/>
      <c r="U2043" s="352"/>
      <c r="V2043" s="353"/>
      <c r="W2043" s="352"/>
      <c r="X2043" s="37"/>
      <c r="Y2043" s="176"/>
      <c r="Z2043" s="352"/>
      <c r="AA2043" s="352"/>
      <c r="AB2043" s="352"/>
      <c r="AC2043" s="352"/>
      <c r="AD2043" s="352"/>
    </row>
    <row r="2044" spans="1:30" ht="64.099999999999994" hidden="1" x14ac:dyDescent="0.35">
      <c r="A2044" s="349">
        <v>2043</v>
      </c>
      <c r="B2044" s="352" t="s">
        <v>3248</v>
      </c>
      <c r="C2044" s="351" t="s">
        <v>782</v>
      </c>
      <c r="D2044" s="352" t="s">
        <v>782</v>
      </c>
      <c r="E2044" s="352" t="s">
        <v>1114</v>
      </c>
      <c r="F2044" s="353">
        <v>105.78</v>
      </c>
      <c r="G2044" s="352" t="s">
        <v>3034</v>
      </c>
      <c r="H2044" s="176" t="s">
        <v>336</v>
      </c>
      <c r="I2044" s="176"/>
      <c r="J2044" s="352" t="s">
        <v>1115</v>
      </c>
      <c r="K2044" s="352">
        <v>60</v>
      </c>
      <c r="L2044" s="352" t="s">
        <v>1116</v>
      </c>
      <c r="M2044" s="352">
        <v>5</v>
      </c>
      <c r="N2044" s="352" t="s">
        <v>1109</v>
      </c>
      <c r="O2044" s="351">
        <v>60</v>
      </c>
      <c r="P2044" s="349" t="s">
        <v>1836</v>
      </c>
      <c r="R2044" s="349">
        <f t="shared" si="31"/>
        <v>11</v>
      </c>
      <c r="S2044" s="352"/>
      <c r="T2044" s="352"/>
      <c r="U2044" s="352"/>
      <c r="V2044" s="353"/>
      <c r="W2044" s="352"/>
      <c r="X2044" s="176"/>
      <c r="Y2044" s="176"/>
      <c r="Z2044" s="352"/>
      <c r="AA2044" s="352"/>
      <c r="AB2044" s="352"/>
      <c r="AC2044" s="352"/>
      <c r="AD2044" s="352"/>
    </row>
    <row r="2045" spans="1:30" ht="205.1" hidden="1" x14ac:dyDescent="0.35">
      <c r="A2045" s="349">
        <v>2044</v>
      </c>
      <c r="B2045" s="352" t="s">
        <v>3248</v>
      </c>
      <c r="C2045" s="351" t="s">
        <v>782</v>
      </c>
      <c r="D2045" s="352" t="s">
        <v>782</v>
      </c>
      <c r="E2045" s="352" t="s">
        <v>762</v>
      </c>
      <c r="F2045" s="353">
        <v>2.14</v>
      </c>
      <c r="G2045" s="352" t="s">
        <v>1107</v>
      </c>
      <c r="H2045" s="176" t="s">
        <v>1801</v>
      </c>
      <c r="I2045" s="176" t="s">
        <v>4731</v>
      </c>
      <c r="J2045" s="352" t="s">
        <v>828</v>
      </c>
      <c r="K2045" s="352">
        <v>40</v>
      </c>
      <c r="L2045" s="352" t="s">
        <v>1116</v>
      </c>
      <c r="M2045" s="352">
        <v>2</v>
      </c>
      <c r="N2045" s="352" t="s">
        <v>1109</v>
      </c>
      <c r="O2045" s="351">
        <v>40</v>
      </c>
      <c r="P2045" s="349" t="s">
        <v>1836</v>
      </c>
      <c r="R2045" s="349">
        <f t="shared" si="31"/>
        <v>11</v>
      </c>
      <c r="S2045" s="352"/>
      <c r="T2045" s="352"/>
      <c r="U2045" s="352"/>
      <c r="V2045" s="353"/>
      <c r="W2045" s="352"/>
      <c r="X2045" s="176"/>
      <c r="Y2045" s="176"/>
      <c r="Z2045" s="352"/>
      <c r="AA2045" s="352"/>
      <c r="AB2045" s="352"/>
      <c r="AC2045" s="352"/>
      <c r="AD2045" s="352"/>
    </row>
    <row r="2046" spans="1:30" ht="205.1" hidden="1" x14ac:dyDescent="0.35">
      <c r="A2046" s="349">
        <v>2045</v>
      </c>
      <c r="B2046" s="352" t="s">
        <v>3248</v>
      </c>
      <c r="C2046" s="351" t="s">
        <v>782</v>
      </c>
      <c r="D2046" s="352" t="s">
        <v>782</v>
      </c>
      <c r="E2046" s="352" t="s">
        <v>1619</v>
      </c>
      <c r="F2046" s="353">
        <v>2.2999999999999998</v>
      </c>
      <c r="G2046" s="352" t="s">
        <v>1107</v>
      </c>
      <c r="H2046" s="176" t="s">
        <v>1801</v>
      </c>
      <c r="I2046" s="176" t="s">
        <v>4731</v>
      </c>
      <c r="J2046" s="352" t="s">
        <v>1620</v>
      </c>
      <c r="K2046" s="352">
        <v>10</v>
      </c>
      <c r="L2046" s="352" t="s">
        <v>1116</v>
      </c>
      <c r="M2046" s="352">
        <v>2</v>
      </c>
      <c r="N2046" s="352" t="s">
        <v>1109</v>
      </c>
      <c r="O2046" s="351">
        <v>10</v>
      </c>
      <c r="P2046" s="349" t="s">
        <v>1836</v>
      </c>
      <c r="R2046" s="349">
        <f t="shared" si="31"/>
        <v>11</v>
      </c>
      <c r="S2046" s="352"/>
      <c r="T2046" s="352"/>
      <c r="U2046" s="352"/>
      <c r="V2046" s="353"/>
      <c r="W2046" s="352"/>
      <c r="X2046" s="176"/>
      <c r="Y2046" s="176"/>
      <c r="Z2046" s="352"/>
      <c r="AA2046" s="352"/>
      <c r="AB2046" s="352"/>
      <c r="AC2046" s="352"/>
      <c r="AD2046" s="352"/>
    </row>
    <row r="2047" spans="1:30" ht="76.900000000000006" hidden="1" x14ac:dyDescent="0.35">
      <c r="A2047" s="349">
        <v>2046</v>
      </c>
      <c r="B2047" s="352" t="s">
        <v>32</v>
      </c>
      <c r="C2047" s="351" t="s">
        <v>782</v>
      </c>
      <c r="D2047" s="352" t="s">
        <v>782</v>
      </c>
      <c r="E2047" s="352" t="s">
        <v>3209</v>
      </c>
      <c r="F2047" s="351">
        <v>7.3384</v>
      </c>
      <c r="G2047" s="352" t="s">
        <v>34</v>
      </c>
      <c r="H2047" s="176" t="s">
        <v>1004</v>
      </c>
      <c r="I2047" s="176" t="s">
        <v>2561</v>
      </c>
      <c r="J2047" s="352" t="s">
        <v>4025</v>
      </c>
      <c r="K2047" s="351">
        <v>3</v>
      </c>
      <c r="L2047" s="351" t="s">
        <v>1116</v>
      </c>
      <c r="M2047" s="351">
        <v>5</v>
      </c>
      <c r="N2047" s="351" t="s">
        <v>1109</v>
      </c>
      <c r="O2047" s="351">
        <v>3</v>
      </c>
      <c r="P2047" s="349" t="s">
        <v>1836</v>
      </c>
      <c r="R2047" s="349">
        <f t="shared" si="31"/>
        <v>11</v>
      </c>
      <c r="S2047" s="352"/>
      <c r="T2047" s="352"/>
      <c r="U2047" s="352"/>
      <c r="V2047" s="353"/>
      <c r="W2047" s="352"/>
      <c r="X2047" s="176"/>
      <c r="Y2047" s="176"/>
      <c r="Z2047" s="352"/>
      <c r="AA2047" s="352"/>
      <c r="AB2047" s="352"/>
      <c r="AC2047" s="352"/>
      <c r="AD2047" s="352"/>
    </row>
    <row r="2048" spans="1:30" ht="76.900000000000006" hidden="1" x14ac:dyDescent="0.35">
      <c r="A2048" s="349">
        <v>2047</v>
      </c>
      <c r="B2048" s="352" t="s">
        <v>3248</v>
      </c>
      <c r="C2048" s="351" t="s">
        <v>782</v>
      </c>
      <c r="D2048" s="352" t="s">
        <v>782</v>
      </c>
      <c r="E2048" s="352" t="s">
        <v>1998</v>
      </c>
      <c r="F2048" s="353"/>
      <c r="G2048" s="352" t="s">
        <v>2126</v>
      </c>
      <c r="H2048" s="176" t="s">
        <v>337</v>
      </c>
      <c r="I2048" s="176" t="s">
        <v>2136</v>
      </c>
      <c r="J2048" s="352" t="s">
        <v>22</v>
      </c>
      <c r="K2048" s="352"/>
      <c r="L2048" s="352"/>
      <c r="M2048" s="352"/>
      <c r="N2048" s="352"/>
      <c r="O2048" s="351">
        <v>0</v>
      </c>
      <c r="P2048" s="349" t="s">
        <v>2313</v>
      </c>
      <c r="R2048" s="349">
        <f t="shared" si="31"/>
        <v>11</v>
      </c>
      <c r="S2048" s="352"/>
      <c r="T2048" s="352"/>
      <c r="U2048" s="352"/>
      <c r="V2048" s="353"/>
      <c r="W2048" s="352"/>
      <c r="X2048" s="176"/>
      <c r="Y2048" s="176"/>
      <c r="Z2048" s="352"/>
      <c r="AA2048" s="352"/>
      <c r="AB2048" s="352"/>
      <c r="AC2048" s="352"/>
      <c r="AD2048" s="352"/>
    </row>
    <row r="2049" spans="1:30" ht="205.1" hidden="1" x14ac:dyDescent="0.35">
      <c r="A2049" s="349">
        <v>2048</v>
      </c>
      <c r="B2049" s="352" t="s">
        <v>3248</v>
      </c>
      <c r="C2049" s="351" t="s">
        <v>782</v>
      </c>
      <c r="D2049" s="352" t="s">
        <v>782</v>
      </c>
      <c r="E2049" s="352" t="s">
        <v>762</v>
      </c>
      <c r="F2049" s="353">
        <v>2.14</v>
      </c>
      <c r="G2049" s="352" t="s">
        <v>1107</v>
      </c>
      <c r="H2049" s="176" t="s">
        <v>1801</v>
      </c>
      <c r="I2049" s="176" t="s">
        <v>4731</v>
      </c>
      <c r="J2049" s="352" t="s">
        <v>828</v>
      </c>
      <c r="K2049" s="352">
        <v>40</v>
      </c>
      <c r="L2049" s="352" t="s">
        <v>1116</v>
      </c>
      <c r="M2049" s="352">
        <v>2</v>
      </c>
      <c r="N2049" s="352" t="s">
        <v>1109</v>
      </c>
      <c r="O2049" s="351">
        <v>40</v>
      </c>
      <c r="P2049" s="349" t="s">
        <v>1836</v>
      </c>
      <c r="R2049" s="349">
        <f t="shared" si="31"/>
        <v>11</v>
      </c>
      <c r="S2049" s="352"/>
      <c r="T2049" s="352"/>
      <c r="U2049" s="352"/>
      <c r="V2049" s="353"/>
      <c r="W2049" s="352"/>
      <c r="X2049" s="176"/>
      <c r="Y2049" s="176"/>
      <c r="Z2049" s="352"/>
      <c r="AA2049" s="352"/>
      <c r="AB2049" s="352"/>
      <c r="AC2049" s="352"/>
      <c r="AD2049" s="352"/>
    </row>
    <row r="2050" spans="1:30" ht="205.1" hidden="1" x14ac:dyDescent="0.35">
      <c r="A2050" s="349">
        <v>2049</v>
      </c>
      <c r="B2050" s="352" t="s">
        <v>3248</v>
      </c>
      <c r="C2050" s="351" t="s">
        <v>782</v>
      </c>
      <c r="D2050" s="352" t="s">
        <v>782</v>
      </c>
      <c r="E2050" s="352" t="s">
        <v>1619</v>
      </c>
      <c r="F2050" s="353">
        <v>2.2999999999999998</v>
      </c>
      <c r="G2050" s="352" t="s">
        <v>1107</v>
      </c>
      <c r="H2050" s="176" t="s">
        <v>1801</v>
      </c>
      <c r="I2050" s="176" t="s">
        <v>4731</v>
      </c>
      <c r="J2050" s="352" t="s">
        <v>1620</v>
      </c>
      <c r="K2050" s="352">
        <v>10</v>
      </c>
      <c r="L2050" s="352" t="s">
        <v>1116</v>
      </c>
      <c r="M2050" s="351">
        <v>2</v>
      </c>
      <c r="N2050" s="351" t="s">
        <v>1109</v>
      </c>
      <c r="O2050" s="351">
        <v>10</v>
      </c>
      <c r="P2050" s="349" t="s">
        <v>1836</v>
      </c>
      <c r="R2050" s="349">
        <f t="shared" si="31"/>
        <v>11</v>
      </c>
      <c r="S2050" s="352"/>
      <c r="T2050" s="352"/>
      <c r="U2050" s="352"/>
      <c r="V2050" s="353"/>
      <c r="W2050" s="352"/>
      <c r="X2050" s="176"/>
      <c r="Y2050" s="176"/>
      <c r="Z2050" s="352"/>
      <c r="AA2050" s="352"/>
      <c r="AB2050" s="352"/>
      <c r="AC2050" s="352"/>
      <c r="AD2050" s="352"/>
    </row>
    <row r="2051" spans="1:30" ht="76.900000000000006" hidden="1" x14ac:dyDescent="0.35">
      <c r="A2051" s="349">
        <v>2050</v>
      </c>
      <c r="B2051" s="352" t="s">
        <v>3248</v>
      </c>
      <c r="C2051" s="351" t="s">
        <v>4565</v>
      </c>
      <c r="D2051" s="352" t="s">
        <v>782</v>
      </c>
      <c r="E2051" s="352" t="s">
        <v>1998</v>
      </c>
      <c r="F2051" s="353"/>
      <c r="G2051" s="352" t="s">
        <v>2126</v>
      </c>
      <c r="H2051" s="176" t="s">
        <v>337</v>
      </c>
      <c r="I2051" s="176" t="s">
        <v>2136</v>
      </c>
      <c r="J2051" s="352" t="s">
        <v>22</v>
      </c>
      <c r="K2051" s="352"/>
      <c r="L2051" s="352"/>
      <c r="M2051" s="351"/>
      <c r="N2051" s="351"/>
      <c r="O2051" s="351">
        <v>0</v>
      </c>
      <c r="P2051" s="349" t="s">
        <v>2313</v>
      </c>
      <c r="R2051" s="349">
        <f t="shared" ref="R2051:R2114" si="32">LEN(D2051)</f>
        <v>11</v>
      </c>
      <c r="S2051" s="352"/>
      <c r="T2051" s="352"/>
      <c r="U2051" s="352"/>
      <c r="V2051" s="353"/>
      <c r="W2051" s="352"/>
      <c r="X2051" s="176"/>
      <c r="Y2051" s="176"/>
      <c r="Z2051" s="352"/>
      <c r="AA2051" s="352"/>
      <c r="AB2051" s="352"/>
      <c r="AC2051" s="352"/>
      <c r="AD2051" s="352"/>
    </row>
    <row r="2052" spans="1:30" ht="76.900000000000006" hidden="1" x14ac:dyDescent="0.35">
      <c r="A2052" s="349">
        <v>2051</v>
      </c>
      <c r="B2052" s="352" t="s">
        <v>32</v>
      </c>
      <c r="C2052" s="351" t="s">
        <v>4566</v>
      </c>
      <c r="D2052" s="352" t="s">
        <v>782</v>
      </c>
      <c r="E2052" s="352" t="s">
        <v>3209</v>
      </c>
      <c r="F2052" s="353">
        <v>7.3384</v>
      </c>
      <c r="G2052" s="352" t="s">
        <v>34</v>
      </c>
      <c r="H2052" s="176" t="s">
        <v>1004</v>
      </c>
      <c r="I2052" s="176" t="s">
        <v>2561</v>
      </c>
      <c r="J2052" s="352" t="s">
        <v>4025</v>
      </c>
      <c r="K2052" s="352">
        <v>3</v>
      </c>
      <c r="L2052" s="352" t="s">
        <v>1116</v>
      </c>
      <c r="M2052" s="351">
        <v>5</v>
      </c>
      <c r="N2052" s="351" t="s">
        <v>1109</v>
      </c>
      <c r="O2052" s="351">
        <v>3</v>
      </c>
      <c r="P2052" s="349" t="s">
        <v>1836</v>
      </c>
      <c r="R2052" s="349">
        <f t="shared" si="32"/>
        <v>11</v>
      </c>
      <c r="S2052" s="352"/>
      <c r="T2052" s="352"/>
      <c r="U2052" s="352"/>
      <c r="V2052" s="353"/>
      <c r="W2052" s="352"/>
      <c r="X2052" s="176"/>
      <c r="Y2052" s="176"/>
      <c r="Z2052" s="352"/>
      <c r="AA2052" s="352"/>
      <c r="AB2052" s="352"/>
      <c r="AC2052" s="352"/>
      <c r="AD2052" s="352"/>
    </row>
    <row r="2053" spans="1:30" ht="102.55" hidden="1" x14ac:dyDescent="0.35">
      <c r="A2053" s="349">
        <v>2052</v>
      </c>
      <c r="B2053" s="352" t="s">
        <v>703</v>
      </c>
      <c r="C2053" s="351" t="s">
        <v>1253</v>
      </c>
      <c r="D2053" s="352" t="s">
        <v>5038</v>
      </c>
      <c r="E2053" s="352" t="s">
        <v>2151</v>
      </c>
      <c r="F2053" s="353">
        <v>27.4</v>
      </c>
      <c r="G2053" s="352" t="s">
        <v>2126</v>
      </c>
      <c r="H2053" s="176" t="s">
        <v>1745</v>
      </c>
      <c r="I2053" s="176" t="s">
        <v>4590</v>
      </c>
      <c r="J2053" s="352" t="s">
        <v>3579</v>
      </c>
      <c r="K2053" s="352">
        <v>75</v>
      </c>
      <c r="L2053" s="352" t="s">
        <v>732</v>
      </c>
      <c r="M2053" s="351">
        <v>30</v>
      </c>
      <c r="N2053" s="351" t="s">
        <v>1109</v>
      </c>
      <c r="O2053" s="351">
        <v>75</v>
      </c>
      <c r="P2053" s="349" t="s">
        <v>2030</v>
      </c>
      <c r="R2053" s="349">
        <f t="shared" si="32"/>
        <v>26</v>
      </c>
      <c r="S2053" s="352"/>
      <c r="T2053" s="352"/>
      <c r="U2053" s="352"/>
      <c r="V2053" s="353"/>
      <c r="W2053" s="352"/>
      <c r="X2053" s="176"/>
      <c r="Y2053" s="176"/>
      <c r="Z2053" s="352"/>
      <c r="AA2053" s="352"/>
      <c r="AB2053" s="352"/>
      <c r="AC2053" s="352"/>
      <c r="AD2053" s="352"/>
    </row>
    <row r="2054" spans="1:30" ht="102.55" hidden="1" x14ac:dyDescent="0.35">
      <c r="A2054" s="349">
        <v>2053</v>
      </c>
      <c r="B2054" s="352" t="s">
        <v>703</v>
      </c>
      <c r="C2054" s="351" t="s">
        <v>1253</v>
      </c>
      <c r="D2054" s="352" t="s">
        <v>5038</v>
      </c>
      <c r="E2054" s="352" t="s">
        <v>1995</v>
      </c>
      <c r="F2054" s="353">
        <v>0.17630000000000001</v>
      </c>
      <c r="G2054" s="352" t="s">
        <v>2126</v>
      </c>
      <c r="H2054" s="176" t="s">
        <v>808</v>
      </c>
      <c r="I2054" s="176" t="s">
        <v>1785</v>
      </c>
      <c r="J2054" s="352" t="s">
        <v>3580</v>
      </c>
      <c r="K2054" s="352">
        <v>50</v>
      </c>
      <c r="L2054" s="352" t="s">
        <v>3581</v>
      </c>
      <c r="M2054" s="351"/>
      <c r="N2054" s="351"/>
      <c r="O2054" s="351">
        <v>50</v>
      </c>
      <c r="P2054" s="349" t="s">
        <v>1836</v>
      </c>
      <c r="R2054" s="349">
        <f t="shared" si="32"/>
        <v>26</v>
      </c>
      <c r="S2054" s="352"/>
      <c r="T2054" s="352"/>
      <c r="U2054" s="352"/>
      <c r="V2054" s="353"/>
      <c r="W2054" s="352"/>
      <c r="X2054" s="176"/>
      <c r="Y2054" s="176"/>
      <c r="Z2054" s="352"/>
      <c r="AA2054" s="352"/>
      <c r="AB2054" s="352"/>
      <c r="AC2054" s="352"/>
      <c r="AD2054" s="352"/>
    </row>
    <row r="2055" spans="1:30" ht="25.65" hidden="1" x14ac:dyDescent="0.35">
      <c r="A2055" s="349">
        <v>2054</v>
      </c>
      <c r="B2055" s="352" t="s">
        <v>1500</v>
      </c>
      <c r="C2055" s="351" t="s">
        <v>509</v>
      </c>
      <c r="D2055" s="352" t="s">
        <v>509</v>
      </c>
      <c r="E2055" s="352" t="s">
        <v>1995</v>
      </c>
      <c r="F2055" s="353">
        <v>1.54</v>
      </c>
      <c r="G2055" s="352" t="s">
        <v>2126</v>
      </c>
      <c r="H2055" s="176" t="s">
        <v>510</v>
      </c>
      <c r="I2055" s="176" t="s">
        <v>511</v>
      </c>
      <c r="J2055" s="352" t="s">
        <v>3580</v>
      </c>
      <c r="K2055" s="352">
        <v>1</v>
      </c>
      <c r="L2055" s="352" t="s">
        <v>3581</v>
      </c>
      <c r="M2055" s="351"/>
      <c r="N2055" s="351"/>
      <c r="O2055" s="351">
        <v>1</v>
      </c>
      <c r="P2055" s="349" t="s">
        <v>1836</v>
      </c>
      <c r="R2055" s="349">
        <f t="shared" si="32"/>
        <v>11</v>
      </c>
      <c r="S2055" s="352"/>
      <c r="T2055" s="352"/>
      <c r="U2055" s="352"/>
      <c r="V2055" s="353"/>
      <c r="W2055" s="352"/>
      <c r="X2055" s="176"/>
      <c r="Y2055" s="176"/>
      <c r="Z2055" s="352"/>
      <c r="AA2055" s="352"/>
      <c r="AB2055" s="352"/>
      <c r="AC2055" s="352"/>
      <c r="AD2055" s="352"/>
    </row>
    <row r="2056" spans="1:30" ht="243.55" hidden="1" x14ac:dyDescent="0.35">
      <c r="A2056" s="349">
        <v>2055</v>
      </c>
      <c r="B2056" s="352" t="s">
        <v>1787</v>
      </c>
      <c r="C2056" s="351" t="s">
        <v>4567</v>
      </c>
      <c r="D2056" s="352" t="s">
        <v>4223</v>
      </c>
      <c r="E2056" s="352" t="s">
        <v>2010</v>
      </c>
      <c r="F2056" s="353">
        <v>0.84</v>
      </c>
      <c r="G2056" s="352" t="s">
        <v>2126</v>
      </c>
      <c r="H2056" s="176" t="s">
        <v>2242</v>
      </c>
      <c r="I2056" s="176" t="s">
        <v>4951</v>
      </c>
      <c r="J2056" s="352" t="s">
        <v>2080</v>
      </c>
      <c r="K2056" s="352">
        <v>15</v>
      </c>
      <c r="L2056" s="352" t="s">
        <v>23</v>
      </c>
      <c r="M2056" s="352"/>
      <c r="N2056" s="352"/>
      <c r="O2056" s="351">
        <v>15</v>
      </c>
      <c r="P2056" s="349" t="s">
        <v>1836</v>
      </c>
      <c r="R2056" s="349">
        <f t="shared" si="32"/>
        <v>10</v>
      </c>
      <c r="S2056" s="352"/>
      <c r="T2056" s="352"/>
      <c r="U2056" s="352"/>
      <c r="V2056" s="353"/>
      <c r="W2056" s="352"/>
      <c r="X2056" s="176"/>
      <c r="Y2056" s="176"/>
      <c r="Z2056" s="352"/>
      <c r="AA2056" s="352"/>
      <c r="AB2056" s="352"/>
      <c r="AC2056" s="352"/>
      <c r="AD2056" s="352"/>
    </row>
    <row r="2057" spans="1:30" ht="243.55" hidden="1" x14ac:dyDescent="0.35">
      <c r="A2057" s="349">
        <v>2056</v>
      </c>
      <c r="B2057" s="352" t="s">
        <v>1787</v>
      </c>
      <c r="C2057" s="351" t="s">
        <v>4567</v>
      </c>
      <c r="D2057" s="352" t="s">
        <v>4223</v>
      </c>
      <c r="E2057" s="352" t="s">
        <v>2010</v>
      </c>
      <c r="F2057" s="353">
        <v>1.96</v>
      </c>
      <c r="G2057" s="352" t="s">
        <v>2126</v>
      </c>
      <c r="H2057" s="176" t="s">
        <v>2242</v>
      </c>
      <c r="I2057" s="176" t="s">
        <v>4951</v>
      </c>
      <c r="J2057" s="352" t="s">
        <v>2080</v>
      </c>
      <c r="K2057" s="352">
        <v>50</v>
      </c>
      <c r="L2057" s="352" t="s">
        <v>23</v>
      </c>
      <c r="M2057" s="351"/>
      <c r="N2057" s="351"/>
      <c r="O2057" s="351">
        <v>50</v>
      </c>
      <c r="P2057" s="349" t="s">
        <v>1836</v>
      </c>
      <c r="R2057" s="349">
        <f t="shared" si="32"/>
        <v>10</v>
      </c>
      <c r="S2057" s="352"/>
      <c r="T2057" s="352"/>
      <c r="U2057" s="352"/>
      <c r="V2057" s="353"/>
      <c r="W2057" s="352"/>
      <c r="X2057" s="176"/>
      <c r="Y2057" s="176"/>
      <c r="Z2057" s="352"/>
      <c r="AA2057" s="352"/>
      <c r="AB2057" s="352"/>
      <c r="AC2057" s="352"/>
      <c r="AD2057" s="352"/>
    </row>
    <row r="2058" spans="1:30" ht="243.55" hidden="1" x14ac:dyDescent="0.35">
      <c r="A2058" s="349">
        <v>2057</v>
      </c>
      <c r="B2058" s="352" t="s">
        <v>1787</v>
      </c>
      <c r="C2058" s="351" t="s">
        <v>4567</v>
      </c>
      <c r="D2058" s="352" t="s">
        <v>4223</v>
      </c>
      <c r="E2058" s="352" t="s">
        <v>2002</v>
      </c>
      <c r="F2058" s="353">
        <v>1.1679999999999999</v>
      </c>
      <c r="G2058" s="352" t="s">
        <v>2126</v>
      </c>
      <c r="H2058" s="176" t="s">
        <v>2242</v>
      </c>
      <c r="I2058" s="176" t="s">
        <v>4951</v>
      </c>
      <c r="J2058" s="352" t="s">
        <v>1502</v>
      </c>
      <c r="K2058" s="352">
        <v>25</v>
      </c>
      <c r="L2058" s="352" t="s">
        <v>1503</v>
      </c>
      <c r="M2058" s="351"/>
      <c r="N2058" s="351"/>
      <c r="O2058" s="351">
        <v>25</v>
      </c>
      <c r="P2058" s="349" t="s">
        <v>1836</v>
      </c>
      <c r="R2058" s="349">
        <f t="shared" si="32"/>
        <v>10</v>
      </c>
      <c r="S2058" s="352"/>
      <c r="T2058" s="352"/>
      <c r="U2058" s="352"/>
      <c r="V2058" s="353"/>
      <c r="W2058" s="352"/>
      <c r="X2058" s="176"/>
      <c r="Y2058" s="176"/>
      <c r="Z2058" s="352"/>
      <c r="AA2058" s="352"/>
      <c r="AB2058" s="352"/>
      <c r="AC2058" s="352"/>
      <c r="AD2058" s="352"/>
    </row>
    <row r="2059" spans="1:30" ht="243.55" hidden="1" x14ac:dyDescent="0.35">
      <c r="A2059" s="349">
        <v>2058</v>
      </c>
      <c r="B2059" s="352" t="s">
        <v>1787</v>
      </c>
      <c r="C2059" s="351" t="s">
        <v>4567</v>
      </c>
      <c r="D2059" s="352" t="s">
        <v>4223</v>
      </c>
      <c r="E2059" s="352" t="s">
        <v>2002</v>
      </c>
      <c r="F2059" s="353">
        <v>3.2</v>
      </c>
      <c r="G2059" s="352" t="s">
        <v>2126</v>
      </c>
      <c r="H2059" s="176" t="s">
        <v>2242</v>
      </c>
      <c r="I2059" s="176" t="s">
        <v>4951</v>
      </c>
      <c r="J2059" s="352" t="s">
        <v>1502</v>
      </c>
      <c r="K2059" s="352">
        <v>100</v>
      </c>
      <c r="L2059" s="352" t="s">
        <v>1503</v>
      </c>
      <c r="M2059" s="351"/>
      <c r="N2059" s="351"/>
      <c r="O2059" s="351">
        <v>100</v>
      </c>
      <c r="P2059" s="349" t="s">
        <v>1836</v>
      </c>
      <c r="R2059" s="349">
        <f t="shared" si="32"/>
        <v>10</v>
      </c>
      <c r="S2059" s="352"/>
      <c r="T2059" s="352"/>
      <c r="U2059" s="352"/>
      <c r="V2059" s="353"/>
      <c r="W2059" s="352"/>
      <c r="X2059" s="176"/>
      <c r="Y2059" s="176"/>
      <c r="Z2059" s="352"/>
      <c r="AA2059" s="352"/>
      <c r="AB2059" s="352"/>
      <c r="AC2059" s="352"/>
      <c r="AD2059" s="352"/>
    </row>
    <row r="2060" spans="1:30" ht="25.65" hidden="1" x14ac:dyDescent="0.35">
      <c r="A2060" s="349">
        <v>2059</v>
      </c>
      <c r="B2060" s="352" t="s">
        <v>1792</v>
      </c>
      <c r="C2060" s="351" t="s">
        <v>4568</v>
      </c>
      <c r="D2060" s="352" t="s">
        <v>2407</v>
      </c>
      <c r="E2060" s="352" t="s">
        <v>2894</v>
      </c>
      <c r="F2060" s="353">
        <v>44.735300000000002</v>
      </c>
      <c r="G2060" s="352" t="s">
        <v>34</v>
      </c>
      <c r="H2060" s="176" t="s">
        <v>2408</v>
      </c>
      <c r="I2060" s="176" t="s">
        <v>4734</v>
      </c>
      <c r="J2060" s="352" t="s">
        <v>2895</v>
      </c>
      <c r="K2060" s="352">
        <v>2.5</v>
      </c>
      <c r="L2060" s="352" t="s">
        <v>1311</v>
      </c>
      <c r="M2060" s="351">
        <v>120</v>
      </c>
      <c r="N2060" s="351" t="s">
        <v>31</v>
      </c>
      <c r="O2060" s="351">
        <v>2.5</v>
      </c>
      <c r="P2060" s="349" t="s">
        <v>1836</v>
      </c>
      <c r="R2060" s="349">
        <f t="shared" si="32"/>
        <v>13</v>
      </c>
      <c r="S2060" s="352"/>
      <c r="T2060" s="352"/>
      <c r="U2060" s="352"/>
      <c r="V2060" s="353"/>
      <c r="W2060" s="352"/>
      <c r="X2060" s="176"/>
      <c r="Y2060" s="176"/>
      <c r="Z2060" s="352"/>
      <c r="AA2060" s="352"/>
      <c r="AB2060" s="352"/>
      <c r="AC2060" s="352"/>
      <c r="AD2060" s="352"/>
    </row>
    <row r="2061" spans="1:30" ht="243.55" hidden="1" x14ac:dyDescent="0.35">
      <c r="A2061" s="349">
        <v>2060</v>
      </c>
      <c r="B2061" s="352" t="s">
        <v>1787</v>
      </c>
      <c r="C2061" s="351" t="s">
        <v>4223</v>
      </c>
      <c r="D2061" s="352" t="s">
        <v>4223</v>
      </c>
      <c r="E2061" s="352" t="s">
        <v>2010</v>
      </c>
      <c r="F2061" s="353">
        <v>0.84</v>
      </c>
      <c r="G2061" s="352" t="s">
        <v>2126</v>
      </c>
      <c r="H2061" s="176" t="s">
        <v>2242</v>
      </c>
      <c r="I2061" s="176" t="s">
        <v>4951</v>
      </c>
      <c r="J2061" s="352" t="s">
        <v>2080</v>
      </c>
      <c r="K2061" s="352">
        <v>15</v>
      </c>
      <c r="L2061" s="352" t="s">
        <v>23</v>
      </c>
      <c r="M2061" s="352"/>
      <c r="N2061" s="352"/>
      <c r="O2061" s="351">
        <v>15</v>
      </c>
      <c r="P2061" s="349" t="s">
        <v>1836</v>
      </c>
      <c r="R2061" s="349">
        <f t="shared" si="32"/>
        <v>10</v>
      </c>
      <c r="S2061" s="352"/>
      <c r="T2061" s="352"/>
      <c r="U2061" s="352"/>
      <c r="V2061" s="353"/>
      <c r="W2061" s="352"/>
      <c r="X2061" s="176"/>
      <c r="Y2061" s="176"/>
      <c r="Z2061" s="352"/>
      <c r="AA2061" s="352"/>
      <c r="AB2061" s="352"/>
      <c r="AC2061" s="352"/>
      <c r="AD2061" s="352"/>
    </row>
    <row r="2062" spans="1:30" ht="243.55" hidden="1" x14ac:dyDescent="0.35">
      <c r="A2062" s="349">
        <v>2061</v>
      </c>
      <c r="B2062" s="352" t="s">
        <v>1787</v>
      </c>
      <c r="C2062" s="351" t="s">
        <v>4223</v>
      </c>
      <c r="D2062" s="352" t="s">
        <v>4223</v>
      </c>
      <c r="E2062" s="352" t="s">
        <v>2010</v>
      </c>
      <c r="F2062" s="353">
        <v>1.96</v>
      </c>
      <c r="G2062" s="352" t="s">
        <v>2126</v>
      </c>
      <c r="H2062" s="176" t="s">
        <v>2242</v>
      </c>
      <c r="I2062" s="176" t="s">
        <v>4951</v>
      </c>
      <c r="J2062" s="352" t="s">
        <v>2080</v>
      </c>
      <c r="K2062" s="352">
        <v>50</v>
      </c>
      <c r="L2062" s="352" t="s">
        <v>23</v>
      </c>
      <c r="M2062" s="352"/>
      <c r="N2062" s="352"/>
      <c r="O2062" s="351">
        <v>50</v>
      </c>
      <c r="P2062" s="349" t="s">
        <v>1836</v>
      </c>
      <c r="R2062" s="349">
        <f t="shared" si="32"/>
        <v>10</v>
      </c>
      <c r="S2062" s="352"/>
      <c r="T2062" s="352"/>
      <c r="U2062" s="352"/>
      <c r="V2062" s="353"/>
      <c r="W2062" s="352"/>
      <c r="X2062" s="176"/>
      <c r="Y2062" s="176"/>
      <c r="Z2062" s="352"/>
      <c r="AA2062" s="352"/>
      <c r="AB2062" s="352"/>
      <c r="AC2062" s="352"/>
      <c r="AD2062" s="352"/>
    </row>
    <row r="2063" spans="1:30" ht="243.55" hidden="1" x14ac:dyDescent="0.35">
      <c r="A2063" s="349">
        <v>2062</v>
      </c>
      <c r="B2063" s="352" t="s">
        <v>1787</v>
      </c>
      <c r="C2063" s="351" t="s">
        <v>4223</v>
      </c>
      <c r="D2063" s="352" t="s">
        <v>4223</v>
      </c>
      <c r="E2063" s="352" t="s">
        <v>2002</v>
      </c>
      <c r="F2063" s="353">
        <v>1.1679999999999999</v>
      </c>
      <c r="G2063" s="352" t="s">
        <v>2126</v>
      </c>
      <c r="H2063" s="176" t="s">
        <v>2242</v>
      </c>
      <c r="I2063" s="176" t="s">
        <v>4951</v>
      </c>
      <c r="J2063" s="352" t="s">
        <v>1502</v>
      </c>
      <c r="K2063" s="352">
        <v>25</v>
      </c>
      <c r="L2063" s="352" t="s">
        <v>1503</v>
      </c>
      <c r="M2063" s="352"/>
      <c r="N2063" s="352"/>
      <c r="O2063" s="351">
        <v>25</v>
      </c>
      <c r="P2063" s="349" t="s">
        <v>1836</v>
      </c>
      <c r="R2063" s="349">
        <f t="shared" si="32"/>
        <v>10</v>
      </c>
      <c r="S2063" s="352"/>
      <c r="T2063" s="352"/>
      <c r="U2063" s="352"/>
      <c r="V2063" s="353"/>
      <c r="W2063" s="352"/>
      <c r="X2063" s="176"/>
      <c r="Y2063" s="176"/>
      <c r="Z2063" s="352"/>
      <c r="AA2063" s="352"/>
      <c r="AB2063" s="352"/>
      <c r="AC2063" s="352"/>
      <c r="AD2063" s="352"/>
    </row>
    <row r="2064" spans="1:30" ht="243.55" hidden="1" x14ac:dyDescent="0.35">
      <c r="A2064" s="349">
        <v>2063</v>
      </c>
      <c r="B2064" s="352" t="s">
        <v>1787</v>
      </c>
      <c r="C2064" s="351" t="s">
        <v>4223</v>
      </c>
      <c r="D2064" s="352" t="s">
        <v>4223</v>
      </c>
      <c r="E2064" s="352" t="s">
        <v>2002</v>
      </c>
      <c r="F2064" s="353">
        <v>3.2</v>
      </c>
      <c r="G2064" s="352" t="s">
        <v>2126</v>
      </c>
      <c r="H2064" s="176" t="s">
        <v>2242</v>
      </c>
      <c r="I2064" s="176" t="s">
        <v>4951</v>
      </c>
      <c r="J2064" s="352" t="s">
        <v>1502</v>
      </c>
      <c r="K2064" s="352">
        <v>100</v>
      </c>
      <c r="L2064" s="352" t="s">
        <v>1503</v>
      </c>
      <c r="M2064" s="352"/>
      <c r="N2064" s="352"/>
      <c r="O2064" s="351">
        <v>100</v>
      </c>
      <c r="P2064" s="349" t="s">
        <v>1836</v>
      </c>
      <c r="R2064" s="349">
        <f t="shared" si="32"/>
        <v>10</v>
      </c>
      <c r="S2064" s="352"/>
      <c r="T2064" s="352"/>
      <c r="U2064" s="352"/>
      <c r="V2064" s="353"/>
      <c r="W2064" s="352"/>
      <c r="X2064" s="176"/>
      <c r="Y2064" s="176"/>
      <c r="Z2064" s="352"/>
      <c r="AA2064" s="352"/>
      <c r="AB2064" s="352"/>
      <c r="AC2064" s="352"/>
      <c r="AD2064" s="352"/>
    </row>
    <row r="2065" spans="1:30" ht="38.450000000000003" hidden="1" x14ac:dyDescent="0.35">
      <c r="A2065" s="349">
        <v>2064</v>
      </c>
      <c r="B2065" s="352" t="s">
        <v>1113</v>
      </c>
      <c r="C2065" s="351" t="s">
        <v>4569</v>
      </c>
      <c r="D2065" s="352" t="s">
        <v>3690</v>
      </c>
      <c r="E2065" s="352" t="s">
        <v>2855</v>
      </c>
      <c r="F2065" s="353">
        <v>3.99</v>
      </c>
      <c r="G2065" s="352" t="s">
        <v>1107</v>
      </c>
      <c r="H2065" s="176" t="s">
        <v>658</v>
      </c>
      <c r="I2065" s="176" t="s">
        <v>4273</v>
      </c>
      <c r="J2065" s="352" t="s">
        <v>828</v>
      </c>
      <c r="K2065" s="352">
        <v>250</v>
      </c>
      <c r="L2065" s="352" t="s">
        <v>1116</v>
      </c>
      <c r="M2065" s="352">
        <v>1</v>
      </c>
      <c r="N2065" s="352" t="s">
        <v>1109</v>
      </c>
      <c r="O2065" s="351">
        <v>250</v>
      </c>
      <c r="P2065" s="349" t="s">
        <v>1836</v>
      </c>
      <c r="R2065" s="349">
        <f t="shared" si="32"/>
        <v>8</v>
      </c>
      <c r="S2065" s="352"/>
      <c r="T2065" s="352"/>
      <c r="U2065" s="352"/>
      <c r="V2065" s="353"/>
      <c r="W2065" s="352"/>
      <c r="X2065" s="176"/>
      <c r="Y2065" s="176"/>
      <c r="Z2065" s="352"/>
      <c r="AA2065" s="352"/>
      <c r="AB2065" s="352"/>
      <c r="AC2065" s="352"/>
      <c r="AD2065" s="352"/>
    </row>
    <row r="2066" spans="1:30" ht="64.099999999999994" hidden="1" x14ac:dyDescent="0.35">
      <c r="A2066" s="349">
        <v>2065</v>
      </c>
      <c r="B2066" s="352" t="s">
        <v>3253</v>
      </c>
      <c r="C2066" s="351" t="s">
        <v>2213</v>
      </c>
      <c r="D2066" s="352" t="s">
        <v>2213</v>
      </c>
      <c r="E2066" s="352" t="s">
        <v>1110</v>
      </c>
      <c r="F2066" s="353">
        <v>62.5413</v>
      </c>
      <c r="G2066" s="352" t="s">
        <v>1107</v>
      </c>
      <c r="H2066" s="176" t="s">
        <v>3571</v>
      </c>
      <c r="I2066" s="176" t="s">
        <v>3572</v>
      </c>
      <c r="J2066" s="352" t="s">
        <v>1108</v>
      </c>
      <c r="K2066" s="352">
        <v>10</v>
      </c>
      <c r="L2066" s="352" t="s">
        <v>470</v>
      </c>
      <c r="M2066" s="352">
        <v>1000</v>
      </c>
      <c r="N2066" s="352" t="s">
        <v>1109</v>
      </c>
      <c r="O2066" s="351">
        <v>10</v>
      </c>
      <c r="P2066" s="349" t="s">
        <v>1838</v>
      </c>
      <c r="R2066" s="349">
        <f t="shared" si="32"/>
        <v>3</v>
      </c>
      <c r="S2066" s="352"/>
      <c r="T2066" s="352"/>
      <c r="U2066" s="352"/>
      <c r="V2066" s="353"/>
      <c r="W2066" s="352"/>
      <c r="X2066" s="176"/>
      <c r="Y2066" s="176"/>
      <c r="Z2066" s="352"/>
      <c r="AA2066" s="352"/>
      <c r="AB2066" s="352"/>
      <c r="AC2066" s="352"/>
      <c r="AD2066" s="352"/>
    </row>
    <row r="2067" spans="1:30" ht="38.450000000000003" hidden="1" x14ac:dyDescent="0.35">
      <c r="A2067" s="349">
        <v>2066</v>
      </c>
      <c r="B2067" s="352" t="s">
        <v>3253</v>
      </c>
      <c r="C2067" s="351" t="s">
        <v>2213</v>
      </c>
      <c r="D2067" s="352" t="s">
        <v>2213</v>
      </c>
      <c r="E2067" s="352" t="s">
        <v>1111</v>
      </c>
      <c r="F2067" s="353">
        <v>31.799499999999998</v>
      </c>
      <c r="G2067" s="352" t="s">
        <v>1107</v>
      </c>
      <c r="H2067" s="176" t="s">
        <v>3573</v>
      </c>
      <c r="I2067" s="176" t="s">
        <v>4204</v>
      </c>
      <c r="J2067" s="352" t="s">
        <v>1108</v>
      </c>
      <c r="K2067" s="352">
        <v>10</v>
      </c>
      <c r="L2067" s="352" t="s">
        <v>470</v>
      </c>
      <c r="M2067" s="352">
        <v>250</v>
      </c>
      <c r="N2067" s="352" t="s">
        <v>1109</v>
      </c>
      <c r="O2067" s="351">
        <v>10</v>
      </c>
      <c r="P2067" s="349" t="s">
        <v>1838</v>
      </c>
      <c r="R2067" s="349">
        <f t="shared" si="32"/>
        <v>3</v>
      </c>
      <c r="S2067" s="352"/>
      <c r="T2067" s="352"/>
      <c r="U2067" s="352"/>
      <c r="V2067" s="353"/>
      <c r="W2067" s="352"/>
      <c r="X2067" s="176"/>
      <c r="Y2067" s="176"/>
      <c r="Z2067" s="352"/>
      <c r="AA2067" s="352"/>
      <c r="AB2067" s="352"/>
      <c r="AC2067" s="352"/>
      <c r="AD2067" s="352"/>
    </row>
    <row r="2068" spans="1:30" ht="76.900000000000006" hidden="1" x14ac:dyDescent="0.35">
      <c r="A2068" s="349">
        <v>2067</v>
      </c>
      <c r="B2068" s="352" t="s">
        <v>3587</v>
      </c>
      <c r="C2068" s="351" t="s">
        <v>4570</v>
      </c>
      <c r="D2068" s="352" t="s">
        <v>3588</v>
      </c>
      <c r="E2068" s="352" t="s">
        <v>3207</v>
      </c>
      <c r="F2068" s="353">
        <v>4.9583000000000004</v>
      </c>
      <c r="G2068" s="352" t="s">
        <v>1107</v>
      </c>
      <c r="H2068" s="176" t="s">
        <v>364</v>
      </c>
      <c r="I2068" s="176" t="s">
        <v>3842</v>
      </c>
      <c r="J2068" s="352" t="s">
        <v>828</v>
      </c>
      <c r="K2068" s="352">
        <v>10</v>
      </c>
      <c r="L2068" s="352" t="s">
        <v>1116</v>
      </c>
      <c r="M2068" s="351">
        <v>2.5</v>
      </c>
      <c r="N2068" s="351" t="s">
        <v>1109</v>
      </c>
      <c r="O2068" s="351">
        <v>10</v>
      </c>
      <c r="P2068" s="349" t="s">
        <v>1836</v>
      </c>
      <c r="R2068" s="349">
        <f t="shared" si="32"/>
        <v>10</v>
      </c>
      <c r="S2068" s="352"/>
      <c r="T2068" s="352"/>
      <c r="U2068" s="352"/>
      <c r="V2068" s="353"/>
      <c r="W2068" s="352"/>
      <c r="X2068" s="176"/>
      <c r="Y2068" s="176"/>
      <c r="Z2068" s="352"/>
      <c r="AA2068" s="352"/>
      <c r="AB2068" s="352"/>
      <c r="AC2068" s="352"/>
      <c r="AD2068" s="352"/>
    </row>
    <row r="2069" spans="1:30" ht="76.900000000000006" hidden="1" x14ac:dyDescent="0.35">
      <c r="A2069" s="349">
        <v>2068</v>
      </c>
      <c r="B2069" s="352" t="s">
        <v>3587</v>
      </c>
      <c r="C2069" s="351" t="s">
        <v>4570</v>
      </c>
      <c r="D2069" s="352" t="s">
        <v>3588</v>
      </c>
      <c r="E2069" s="352" t="s">
        <v>827</v>
      </c>
      <c r="F2069" s="353">
        <v>7.15</v>
      </c>
      <c r="G2069" s="352" t="s">
        <v>1107</v>
      </c>
      <c r="H2069" s="176" t="s">
        <v>364</v>
      </c>
      <c r="I2069" s="176" t="s">
        <v>3842</v>
      </c>
      <c r="J2069" s="352" t="s">
        <v>828</v>
      </c>
      <c r="K2069" s="352">
        <v>10</v>
      </c>
      <c r="L2069" s="352" t="s">
        <v>1116</v>
      </c>
      <c r="M2069" s="351">
        <v>5</v>
      </c>
      <c r="N2069" s="351" t="s">
        <v>1109</v>
      </c>
      <c r="O2069" s="351">
        <v>10</v>
      </c>
      <c r="P2069" s="349" t="s">
        <v>1836</v>
      </c>
      <c r="R2069" s="349">
        <f t="shared" si="32"/>
        <v>10</v>
      </c>
      <c r="S2069" s="352"/>
      <c r="T2069" s="352"/>
      <c r="U2069" s="352"/>
      <c r="V2069" s="353"/>
      <c r="W2069" s="352"/>
      <c r="X2069" s="176"/>
      <c r="Y2069" s="176"/>
      <c r="Z2069" s="352"/>
      <c r="AA2069" s="352"/>
      <c r="AB2069" s="352"/>
      <c r="AC2069" s="352"/>
      <c r="AD2069" s="352"/>
    </row>
    <row r="2070" spans="1:30" ht="64.099999999999994" hidden="1" x14ac:dyDescent="0.35">
      <c r="A2070" s="349">
        <v>2069</v>
      </c>
      <c r="B2070" s="352" t="s">
        <v>694</v>
      </c>
      <c r="C2070" s="351" t="s">
        <v>4571</v>
      </c>
      <c r="D2070" s="352" t="s">
        <v>3071</v>
      </c>
      <c r="E2070" s="352" t="s">
        <v>3209</v>
      </c>
      <c r="F2070" s="353">
        <v>6.0602</v>
      </c>
      <c r="G2070" s="352" t="s">
        <v>34</v>
      </c>
      <c r="H2070" s="176" t="s">
        <v>3334</v>
      </c>
      <c r="I2070" s="176" t="s">
        <v>3335</v>
      </c>
      <c r="J2070" s="352" t="s">
        <v>4025</v>
      </c>
      <c r="K2070" s="352">
        <v>3</v>
      </c>
      <c r="L2070" s="352" t="s">
        <v>1116</v>
      </c>
      <c r="M2070" s="352">
        <v>5</v>
      </c>
      <c r="N2070" s="352" t="s">
        <v>1109</v>
      </c>
      <c r="O2070" s="351">
        <v>3</v>
      </c>
      <c r="P2070" s="349" t="s">
        <v>1836</v>
      </c>
      <c r="R2070" s="349">
        <f t="shared" si="32"/>
        <v>10</v>
      </c>
      <c r="S2070" s="352"/>
      <c r="T2070" s="352"/>
      <c r="U2070" s="352"/>
      <c r="V2070" s="353"/>
      <c r="W2070" s="352"/>
      <c r="X2070" s="176"/>
      <c r="Y2070" s="176"/>
      <c r="Z2070" s="352"/>
      <c r="AA2070" s="352"/>
      <c r="AB2070" s="352"/>
      <c r="AC2070" s="352"/>
      <c r="AD2070" s="352"/>
    </row>
    <row r="2071" spans="1:30" ht="38.450000000000003" hidden="1" x14ac:dyDescent="0.35">
      <c r="A2071" s="349">
        <v>2070</v>
      </c>
      <c r="B2071" s="352" t="s">
        <v>32</v>
      </c>
      <c r="C2071" s="351" t="s">
        <v>4571</v>
      </c>
      <c r="D2071" s="352" t="s">
        <v>3071</v>
      </c>
      <c r="E2071" s="352" t="s">
        <v>3209</v>
      </c>
      <c r="F2071" s="353">
        <v>6.0602</v>
      </c>
      <c r="G2071" s="352" t="s">
        <v>34</v>
      </c>
      <c r="H2071" s="176" t="s">
        <v>3059</v>
      </c>
      <c r="I2071" s="176" t="s">
        <v>1720</v>
      </c>
      <c r="J2071" s="352" t="s">
        <v>4025</v>
      </c>
      <c r="K2071" s="352">
        <v>3</v>
      </c>
      <c r="L2071" s="352" t="s">
        <v>1116</v>
      </c>
      <c r="M2071" s="352">
        <v>5</v>
      </c>
      <c r="N2071" s="352" t="s">
        <v>1109</v>
      </c>
      <c r="O2071" s="351">
        <v>3</v>
      </c>
      <c r="P2071" s="349" t="s">
        <v>1836</v>
      </c>
      <c r="R2071" s="349">
        <f t="shared" si="32"/>
        <v>10</v>
      </c>
      <c r="S2071" s="352"/>
      <c r="T2071" s="352"/>
      <c r="U2071" s="352"/>
      <c r="V2071" s="353"/>
      <c r="W2071" s="352"/>
      <c r="X2071" s="176"/>
      <c r="Y2071" s="176"/>
      <c r="Z2071" s="352"/>
      <c r="AA2071" s="352"/>
      <c r="AB2071" s="352"/>
      <c r="AC2071" s="352"/>
      <c r="AD2071" s="352"/>
    </row>
    <row r="2072" spans="1:30" ht="64.099999999999994" hidden="1" x14ac:dyDescent="0.35">
      <c r="A2072" s="349">
        <v>2071</v>
      </c>
      <c r="B2072" s="352" t="s">
        <v>4027</v>
      </c>
      <c r="C2072" s="351" t="s">
        <v>3691</v>
      </c>
      <c r="D2072" s="352" t="s">
        <v>3691</v>
      </c>
      <c r="E2072" s="352" t="s">
        <v>762</v>
      </c>
      <c r="F2072" s="353">
        <v>1.3</v>
      </c>
      <c r="G2072" s="352" t="s">
        <v>1107</v>
      </c>
      <c r="H2072" s="176" t="s">
        <v>4189</v>
      </c>
      <c r="I2072" s="176" t="s">
        <v>4554</v>
      </c>
      <c r="J2072" s="352" t="s">
        <v>828</v>
      </c>
      <c r="K2072" s="352">
        <v>50</v>
      </c>
      <c r="L2072" s="352" t="s">
        <v>1116</v>
      </c>
      <c r="M2072" s="352">
        <v>2</v>
      </c>
      <c r="N2072" s="352" t="s">
        <v>1109</v>
      </c>
      <c r="O2072" s="351">
        <v>50</v>
      </c>
      <c r="P2072" s="349" t="s">
        <v>1836</v>
      </c>
      <c r="R2072" s="349">
        <f t="shared" si="32"/>
        <v>8</v>
      </c>
      <c r="S2072" s="352"/>
      <c r="T2072" s="352"/>
      <c r="U2072" s="352"/>
      <c r="V2072" s="353"/>
      <c r="W2072" s="352"/>
      <c r="X2072" s="37"/>
      <c r="Y2072" s="176"/>
      <c r="Z2072" s="352"/>
      <c r="AA2072" s="352"/>
      <c r="AB2072" s="352"/>
      <c r="AC2072" s="352"/>
      <c r="AD2072" s="352"/>
    </row>
    <row r="2073" spans="1:30" ht="64.099999999999994" hidden="1" x14ac:dyDescent="0.35">
      <c r="A2073" s="349">
        <v>2072</v>
      </c>
      <c r="B2073" s="352" t="s">
        <v>4027</v>
      </c>
      <c r="C2073" s="351" t="s">
        <v>3691</v>
      </c>
      <c r="D2073" s="352" t="s">
        <v>3691</v>
      </c>
      <c r="E2073" s="352" t="s">
        <v>1998</v>
      </c>
      <c r="F2073" s="353">
        <v>0.18</v>
      </c>
      <c r="G2073" s="352" t="s">
        <v>2126</v>
      </c>
      <c r="H2073" s="176" t="s">
        <v>3268</v>
      </c>
      <c r="I2073" s="176" t="s">
        <v>4554</v>
      </c>
      <c r="J2073" s="352" t="s">
        <v>22</v>
      </c>
      <c r="K2073" s="352">
        <v>50</v>
      </c>
      <c r="L2073" s="352" t="s">
        <v>23</v>
      </c>
      <c r="M2073" s="351"/>
      <c r="N2073" s="351"/>
      <c r="O2073" s="351">
        <v>50</v>
      </c>
      <c r="P2073" s="349" t="s">
        <v>1836</v>
      </c>
      <c r="R2073" s="349">
        <f t="shared" si="32"/>
        <v>8</v>
      </c>
      <c r="S2073" s="352"/>
      <c r="T2073" s="352"/>
      <c r="U2073" s="352"/>
      <c r="V2073" s="353"/>
      <c r="W2073" s="352"/>
      <c r="X2073" s="37"/>
      <c r="Y2073" s="176"/>
      <c r="Z2073" s="352"/>
      <c r="AA2073" s="352"/>
      <c r="AB2073" s="352"/>
      <c r="AC2073" s="352"/>
      <c r="AD2073" s="352"/>
    </row>
    <row r="2074" spans="1:30" ht="64.099999999999994" hidden="1" x14ac:dyDescent="0.35">
      <c r="A2074" s="349">
        <v>2073</v>
      </c>
      <c r="B2074" s="352" t="s">
        <v>4027</v>
      </c>
      <c r="C2074" s="351" t="s">
        <v>3691</v>
      </c>
      <c r="D2074" s="352" t="s">
        <v>3691</v>
      </c>
      <c r="E2074" s="352" t="s">
        <v>1756</v>
      </c>
      <c r="F2074" s="353">
        <v>4.01</v>
      </c>
      <c r="G2074" s="352" t="s">
        <v>2126</v>
      </c>
      <c r="H2074" s="176" t="s">
        <v>3268</v>
      </c>
      <c r="I2074" s="176" t="s">
        <v>2040</v>
      </c>
      <c r="J2074" s="352" t="s">
        <v>4025</v>
      </c>
      <c r="K2074" s="352">
        <v>2.5</v>
      </c>
      <c r="L2074" s="352" t="s">
        <v>4032</v>
      </c>
      <c r="M2074" s="351">
        <v>10</v>
      </c>
      <c r="N2074" s="351" t="s">
        <v>1109</v>
      </c>
      <c r="O2074" s="351">
        <v>2.5</v>
      </c>
      <c r="P2074" s="349" t="s">
        <v>1836</v>
      </c>
      <c r="R2074" s="349">
        <f t="shared" si="32"/>
        <v>8</v>
      </c>
      <c r="S2074" s="352"/>
      <c r="T2074" s="352"/>
      <c r="U2074" s="352"/>
      <c r="V2074" s="353"/>
      <c r="W2074" s="352"/>
      <c r="X2074" s="176"/>
      <c r="Y2074" s="176"/>
      <c r="Z2074" s="352"/>
      <c r="AA2074" s="352"/>
      <c r="AB2074" s="352"/>
      <c r="AC2074" s="352"/>
      <c r="AD2074" s="352"/>
    </row>
    <row r="2075" spans="1:30" ht="64.099999999999994" hidden="1" x14ac:dyDescent="0.35">
      <c r="A2075" s="349">
        <v>2074</v>
      </c>
      <c r="B2075" s="352" t="s">
        <v>4027</v>
      </c>
      <c r="C2075" s="351" t="s">
        <v>3691</v>
      </c>
      <c r="D2075" s="352" t="s">
        <v>3691</v>
      </c>
      <c r="E2075" s="352" t="s">
        <v>1999</v>
      </c>
      <c r="F2075" s="353">
        <v>0.71</v>
      </c>
      <c r="G2075" s="352" t="s">
        <v>967</v>
      </c>
      <c r="H2075" s="176" t="s">
        <v>2044</v>
      </c>
      <c r="I2075" s="176" t="s">
        <v>4554</v>
      </c>
      <c r="J2075" s="352" t="s">
        <v>968</v>
      </c>
      <c r="K2075" s="352">
        <v>100</v>
      </c>
      <c r="L2075" s="352" t="s">
        <v>969</v>
      </c>
      <c r="M2075" s="352"/>
      <c r="N2075" s="352"/>
      <c r="O2075" s="351">
        <v>100</v>
      </c>
      <c r="P2075" s="349" t="s">
        <v>1836</v>
      </c>
      <c r="R2075" s="349">
        <f t="shared" si="32"/>
        <v>8</v>
      </c>
      <c r="S2075" s="352"/>
      <c r="T2075" s="352"/>
      <c r="U2075" s="352"/>
      <c r="V2075" s="353"/>
      <c r="W2075" s="352"/>
      <c r="X2075" s="176"/>
      <c r="Y2075" s="176"/>
      <c r="Z2075" s="352"/>
      <c r="AA2075" s="352"/>
      <c r="AB2075" s="352"/>
      <c r="AC2075" s="352"/>
      <c r="AD2075" s="352"/>
    </row>
    <row r="2076" spans="1:30" ht="64.099999999999994" hidden="1" x14ac:dyDescent="0.35">
      <c r="A2076" s="349">
        <v>2075</v>
      </c>
      <c r="B2076" s="352" t="s">
        <v>4027</v>
      </c>
      <c r="C2076" s="351" t="s">
        <v>4572</v>
      </c>
      <c r="D2076" s="352" t="s">
        <v>3691</v>
      </c>
      <c r="E2076" s="352" t="s">
        <v>1756</v>
      </c>
      <c r="F2076" s="353">
        <v>4.01</v>
      </c>
      <c r="G2076" s="352" t="s">
        <v>2126</v>
      </c>
      <c r="H2076" s="176" t="s">
        <v>3268</v>
      </c>
      <c r="I2076" s="176" t="s">
        <v>2040</v>
      </c>
      <c r="J2076" s="352" t="s">
        <v>4025</v>
      </c>
      <c r="K2076" s="352">
        <v>2.5</v>
      </c>
      <c r="L2076" s="352" t="s">
        <v>4032</v>
      </c>
      <c r="M2076" s="351">
        <v>10</v>
      </c>
      <c r="N2076" s="351" t="s">
        <v>1109</v>
      </c>
      <c r="O2076" s="351">
        <v>2.5</v>
      </c>
      <c r="P2076" s="349" t="s">
        <v>1836</v>
      </c>
      <c r="R2076" s="349">
        <f t="shared" si="32"/>
        <v>8</v>
      </c>
      <c r="S2076" s="352"/>
      <c r="T2076" s="352"/>
      <c r="U2076" s="352"/>
      <c r="V2076" s="353"/>
      <c r="W2076" s="352"/>
      <c r="X2076" s="176"/>
      <c r="Y2076" s="176"/>
      <c r="Z2076" s="352"/>
      <c r="AA2076" s="352"/>
      <c r="AB2076" s="352"/>
      <c r="AC2076" s="352"/>
      <c r="AD2076" s="352"/>
    </row>
    <row r="2077" spans="1:30" ht="64.099999999999994" hidden="1" x14ac:dyDescent="0.35">
      <c r="A2077" s="349">
        <v>2076</v>
      </c>
      <c r="B2077" s="352" t="s">
        <v>4027</v>
      </c>
      <c r="C2077" s="351" t="s">
        <v>4573</v>
      </c>
      <c r="D2077" s="352" t="s">
        <v>3691</v>
      </c>
      <c r="E2077" s="352" t="s">
        <v>762</v>
      </c>
      <c r="F2077" s="353">
        <v>1.3</v>
      </c>
      <c r="G2077" s="352" t="s">
        <v>1107</v>
      </c>
      <c r="H2077" s="176" t="s">
        <v>4189</v>
      </c>
      <c r="I2077" s="176" t="s">
        <v>4554</v>
      </c>
      <c r="J2077" s="352" t="s">
        <v>828</v>
      </c>
      <c r="K2077" s="352">
        <v>50</v>
      </c>
      <c r="L2077" s="352" t="s">
        <v>1116</v>
      </c>
      <c r="M2077" s="351">
        <v>2</v>
      </c>
      <c r="N2077" s="351" t="s">
        <v>1109</v>
      </c>
      <c r="O2077" s="351">
        <v>50</v>
      </c>
      <c r="P2077" s="349" t="s">
        <v>1836</v>
      </c>
      <c r="R2077" s="349">
        <f t="shared" si="32"/>
        <v>8</v>
      </c>
      <c r="S2077" s="352"/>
      <c r="T2077" s="352"/>
      <c r="U2077" s="352"/>
      <c r="V2077" s="353"/>
      <c r="W2077" s="352"/>
      <c r="X2077" s="176"/>
      <c r="Y2077" s="176"/>
      <c r="Z2077" s="352"/>
      <c r="AA2077" s="352"/>
      <c r="AB2077" s="352"/>
      <c r="AC2077" s="352"/>
      <c r="AD2077" s="352"/>
    </row>
    <row r="2078" spans="1:30" ht="64.099999999999994" hidden="1" x14ac:dyDescent="0.35">
      <c r="A2078" s="349">
        <v>2077</v>
      </c>
      <c r="B2078" s="352" t="s">
        <v>4027</v>
      </c>
      <c r="C2078" s="351" t="s">
        <v>4573</v>
      </c>
      <c r="D2078" s="352" t="s">
        <v>3691</v>
      </c>
      <c r="E2078" s="352" t="s">
        <v>1998</v>
      </c>
      <c r="F2078" s="353">
        <v>0.18</v>
      </c>
      <c r="G2078" s="352" t="s">
        <v>2126</v>
      </c>
      <c r="H2078" s="176" t="s">
        <v>3268</v>
      </c>
      <c r="I2078" s="176" t="s">
        <v>4554</v>
      </c>
      <c r="J2078" s="352" t="s">
        <v>22</v>
      </c>
      <c r="K2078" s="352">
        <v>50</v>
      </c>
      <c r="L2078" s="352" t="s">
        <v>23</v>
      </c>
      <c r="M2078" s="352"/>
      <c r="N2078" s="352"/>
      <c r="O2078" s="351">
        <v>50</v>
      </c>
      <c r="P2078" s="349" t="s">
        <v>1836</v>
      </c>
      <c r="R2078" s="349">
        <f t="shared" si="32"/>
        <v>8</v>
      </c>
      <c r="S2078" s="352"/>
      <c r="T2078" s="352"/>
      <c r="U2078" s="352"/>
      <c r="V2078" s="353"/>
      <c r="W2078" s="352"/>
      <c r="X2078" s="176"/>
      <c r="Y2078" s="176"/>
      <c r="Z2078" s="352"/>
      <c r="AA2078" s="352"/>
      <c r="AB2078" s="352"/>
      <c r="AC2078" s="352"/>
      <c r="AD2078" s="352"/>
    </row>
    <row r="2079" spans="1:30" ht="64.099999999999994" hidden="1" x14ac:dyDescent="0.35">
      <c r="A2079" s="349">
        <v>2078</v>
      </c>
      <c r="B2079" s="352" t="s">
        <v>4027</v>
      </c>
      <c r="C2079" s="351" t="s">
        <v>4573</v>
      </c>
      <c r="D2079" s="352" t="s">
        <v>3691</v>
      </c>
      <c r="E2079" s="352" t="s">
        <v>1999</v>
      </c>
      <c r="F2079" s="353">
        <v>0.71</v>
      </c>
      <c r="G2079" s="352" t="s">
        <v>967</v>
      </c>
      <c r="H2079" s="176" t="s">
        <v>2044</v>
      </c>
      <c r="I2079" s="176" t="s">
        <v>4554</v>
      </c>
      <c r="J2079" s="352" t="s">
        <v>968</v>
      </c>
      <c r="K2079" s="352">
        <v>100</v>
      </c>
      <c r="L2079" s="352" t="s">
        <v>969</v>
      </c>
      <c r="M2079" s="351"/>
      <c r="N2079" s="351"/>
      <c r="O2079" s="351">
        <v>100</v>
      </c>
      <c r="P2079" s="349" t="s">
        <v>1836</v>
      </c>
      <c r="R2079" s="349">
        <f t="shared" si="32"/>
        <v>8</v>
      </c>
      <c r="S2079" s="352"/>
      <c r="T2079" s="352"/>
      <c r="U2079" s="352"/>
      <c r="V2079" s="353"/>
      <c r="W2079" s="352"/>
      <c r="X2079" s="176"/>
      <c r="Y2079" s="176"/>
      <c r="Z2079" s="352"/>
      <c r="AA2079" s="352"/>
      <c r="AB2079" s="352"/>
      <c r="AC2079" s="352"/>
      <c r="AD2079" s="352"/>
    </row>
    <row r="2080" spans="1:30" ht="115.35" hidden="1" x14ac:dyDescent="0.35">
      <c r="A2080" s="349">
        <v>2079</v>
      </c>
      <c r="B2080" s="352" t="s">
        <v>2070</v>
      </c>
      <c r="C2080" s="351" t="s">
        <v>4574</v>
      </c>
      <c r="D2080" s="352" t="s">
        <v>580</v>
      </c>
      <c r="E2080" s="352" t="s">
        <v>780</v>
      </c>
      <c r="F2080" s="353">
        <v>6.5891000000000002</v>
      </c>
      <c r="G2080" s="352" t="s">
        <v>1107</v>
      </c>
      <c r="H2080" s="176" t="s">
        <v>3114</v>
      </c>
      <c r="I2080" s="176" t="s">
        <v>4270</v>
      </c>
      <c r="J2080" s="352" t="s">
        <v>828</v>
      </c>
      <c r="K2080" s="352">
        <v>5</v>
      </c>
      <c r="L2080" s="352" t="s">
        <v>1116</v>
      </c>
      <c r="M2080" s="352">
        <v>20</v>
      </c>
      <c r="N2080" s="352" t="s">
        <v>1109</v>
      </c>
      <c r="O2080" s="351">
        <v>5</v>
      </c>
      <c r="P2080" s="349" t="s">
        <v>1836</v>
      </c>
      <c r="R2080" s="349">
        <f t="shared" si="32"/>
        <v>9</v>
      </c>
      <c r="S2080" s="352"/>
      <c r="T2080" s="352"/>
      <c r="U2080" s="352"/>
      <c r="V2080" s="353"/>
      <c r="W2080" s="352"/>
      <c r="X2080" s="176"/>
      <c r="Y2080" s="176"/>
      <c r="Z2080" s="352"/>
      <c r="AA2080" s="352"/>
      <c r="AB2080" s="352"/>
      <c r="AC2080" s="352"/>
      <c r="AD2080" s="352"/>
    </row>
    <row r="2081" spans="1:30" ht="115.35" hidden="1" x14ac:dyDescent="0.35">
      <c r="A2081" s="349">
        <v>2080</v>
      </c>
      <c r="B2081" s="352" t="s">
        <v>2070</v>
      </c>
      <c r="C2081" s="351" t="s">
        <v>4574</v>
      </c>
      <c r="D2081" s="352" t="s">
        <v>580</v>
      </c>
      <c r="E2081" s="352" t="s">
        <v>1995</v>
      </c>
      <c r="F2081" s="353">
        <v>0.3967</v>
      </c>
      <c r="G2081" s="352" t="s">
        <v>2126</v>
      </c>
      <c r="H2081" s="176" t="s">
        <v>1895</v>
      </c>
      <c r="I2081" s="176" t="s">
        <v>4270</v>
      </c>
      <c r="J2081" s="352" t="s">
        <v>3580</v>
      </c>
      <c r="K2081" s="352">
        <v>100</v>
      </c>
      <c r="L2081" s="352" t="s">
        <v>3581</v>
      </c>
      <c r="M2081" s="351"/>
      <c r="N2081" s="351"/>
      <c r="O2081" s="351">
        <v>100</v>
      </c>
      <c r="P2081" s="349" t="s">
        <v>1836</v>
      </c>
      <c r="R2081" s="349">
        <f t="shared" si="32"/>
        <v>9</v>
      </c>
      <c r="S2081" s="352"/>
      <c r="T2081" s="352"/>
      <c r="U2081" s="352"/>
      <c r="V2081" s="353"/>
      <c r="W2081" s="352"/>
      <c r="X2081" s="176"/>
      <c r="Y2081" s="176"/>
      <c r="Z2081" s="352"/>
      <c r="AA2081" s="352"/>
      <c r="AB2081" s="352"/>
      <c r="AC2081" s="352"/>
      <c r="AD2081" s="352"/>
    </row>
    <row r="2082" spans="1:30" ht="115.35" hidden="1" x14ac:dyDescent="0.35">
      <c r="A2082" s="349">
        <v>2081</v>
      </c>
      <c r="B2082" s="352" t="s">
        <v>2070</v>
      </c>
      <c r="C2082" s="351" t="s">
        <v>4574</v>
      </c>
      <c r="D2082" s="352" t="s">
        <v>580</v>
      </c>
      <c r="E2082" s="352" t="s">
        <v>1995</v>
      </c>
      <c r="F2082" s="353">
        <v>0.55089999999999995</v>
      </c>
      <c r="G2082" s="352" t="s">
        <v>2126</v>
      </c>
      <c r="H2082" s="176" t="s">
        <v>1895</v>
      </c>
      <c r="I2082" s="176" t="s">
        <v>4270</v>
      </c>
      <c r="J2082" s="352" t="s">
        <v>3580</v>
      </c>
      <c r="K2082" s="352">
        <v>200</v>
      </c>
      <c r="L2082" s="352" t="s">
        <v>3581</v>
      </c>
      <c r="M2082" s="351"/>
      <c r="N2082" s="351"/>
      <c r="O2082" s="351">
        <v>200</v>
      </c>
      <c r="P2082" s="349" t="s">
        <v>1836</v>
      </c>
      <c r="R2082" s="349">
        <f t="shared" si="32"/>
        <v>9</v>
      </c>
      <c r="S2082" s="352"/>
      <c r="T2082" s="352"/>
      <c r="U2082" s="352"/>
      <c r="V2082" s="353"/>
      <c r="W2082" s="352"/>
      <c r="X2082" s="176"/>
      <c r="Y2082" s="176"/>
      <c r="Z2082" s="352"/>
      <c r="AA2082" s="352"/>
      <c r="AB2082" s="352"/>
      <c r="AC2082" s="352"/>
      <c r="AD2082" s="352"/>
    </row>
    <row r="2083" spans="1:30" ht="102.55" hidden="1" x14ac:dyDescent="0.35">
      <c r="A2083" s="349">
        <v>2082</v>
      </c>
      <c r="B2083" s="352" t="s">
        <v>4044</v>
      </c>
      <c r="C2083" s="351" t="s">
        <v>946</v>
      </c>
      <c r="D2083" s="352" t="s">
        <v>946</v>
      </c>
      <c r="E2083" s="352" t="s">
        <v>827</v>
      </c>
      <c r="F2083" s="353">
        <v>8.0434999999999999</v>
      </c>
      <c r="G2083" s="352" t="s">
        <v>1107</v>
      </c>
      <c r="H2083" s="176" t="s">
        <v>1863</v>
      </c>
      <c r="I2083" s="176" t="s">
        <v>4600</v>
      </c>
      <c r="J2083" s="352" t="s">
        <v>828</v>
      </c>
      <c r="K2083" s="352">
        <v>100</v>
      </c>
      <c r="L2083" s="352" t="s">
        <v>1116</v>
      </c>
      <c r="M2083" s="351">
        <v>5</v>
      </c>
      <c r="N2083" s="351" t="s">
        <v>1109</v>
      </c>
      <c r="O2083" s="351">
        <v>100</v>
      </c>
      <c r="P2083" s="349" t="s">
        <v>1836</v>
      </c>
      <c r="R2083" s="349">
        <f t="shared" si="32"/>
        <v>15</v>
      </c>
      <c r="S2083" s="352"/>
      <c r="T2083" s="352"/>
      <c r="U2083" s="352"/>
      <c r="V2083" s="353"/>
      <c r="W2083" s="352"/>
      <c r="X2083" s="176"/>
      <c r="Y2083" s="176"/>
      <c r="Z2083" s="352"/>
      <c r="AA2083" s="352"/>
      <c r="AB2083" s="352"/>
      <c r="AC2083" s="352"/>
      <c r="AD2083" s="352"/>
    </row>
    <row r="2084" spans="1:30" ht="102.55" hidden="1" x14ac:dyDescent="0.35">
      <c r="A2084" s="349">
        <v>2083</v>
      </c>
      <c r="B2084" s="352" t="s">
        <v>4044</v>
      </c>
      <c r="C2084" s="351" t="s">
        <v>946</v>
      </c>
      <c r="D2084" s="352" t="s">
        <v>946</v>
      </c>
      <c r="E2084" s="352" t="s">
        <v>1995</v>
      </c>
      <c r="F2084" s="353">
        <v>0.9476</v>
      </c>
      <c r="G2084" s="352" t="s">
        <v>2126</v>
      </c>
      <c r="H2084" s="176" t="s">
        <v>1864</v>
      </c>
      <c r="I2084" s="176" t="s">
        <v>4600</v>
      </c>
      <c r="J2084" s="352" t="s">
        <v>3580</v>
      </c>
      <c r="K2084" s="352">
        <v>500</v>
      </c>
      <c r="L2084" s="352" t="s">
        <v>3581</v>
      </c>
      <c r="M2084" s="352"/>
      <c r="N2084" s="352"/>
      <c r="O2084" s="351">
        <v>500</v>
      </c>
      <c r="P2084" s="349" t="s">
        <v>1836</v>
      </c>
      <c r="R2084" s="349">
        <f t="shared" si="32"/>
        <v>15</v>
      </c>
      <c r="S2084" s="352"/>
      <c r="T2084" s="352"/>
      <c r="U2084" s="352"/>
      <c r="V2084" s="353"/>
      <c r="W2084" s="352"/>
      <c r="X2084" s="176"/>
      <c r="Y2084" s="176"/>
      <c r="Z2084" s="352"/>
      <c r="AA2084" s="352"/>
      <c r="AB2084" s="352"/>
      <c r="AC2084" s="352"/>
      <c r="AD2084" s="352"/>
    </row>
    <row r="2085" spans="1:30" ht="89.75" hidden="1" x14ac:dyDescent="0.35">
      <c r="A2085" s="349">
        <v>2084</v>
      </c>
      <c r="B2085" s="352" t="s">
        <v>965</v>
      </c>
      <c r="C2085" s="351" t="s">
        <v>4575</v>
      </c>
      <c r="D2085" s="352" t="s">
        <v>1390</v>
      </c>
      <c r="E2085" s="352" t="s">
        <v>2008</v>
      </c>
      <c r="F2085" s="353">
        <v>0.46279999999999999</v>
      </c>
      <c r="G2085" s="352" t="s">
        <v>2126</v>
      </c>
      <c r="H2085" s="176" t="s">
        <v>1350</v>
      </c>
      <c r="I2085" s="176" t="s">
        <v>90</v>
      </c>
      <c r="J2085" s="352" t="s">
        <v>2056</v>
      </c>
      <c r="K2085" s="352">
        <v>3.45</v>
      </c>
      <c r="L2085" s="352" t="s">
        <v>2057</v>
      </c>
      <c r="M2085" s="352"/>
      <c r="N2085" s="352"/>
      <c r="O2085" s="351">
        <v>3.45</v>
      </c>
      <c r="P2085" s="349" t="s">
        <v>818</v>
      </c>
      <c r="R2085" s="349">
        <f t="shared" si="32"/>
        <v>21</v>
      </c>
      <c r="S2085" s="352"/>
      <c r="T2085" s="352"/>
      <c r="U2085" s="352"/>
      <c r="V2085" s="353"/>
      <c r="W2085" s="352"/>
      <c r="X2085" s="176"/>
      <c r="Y2085" s="176"/>
      <c r="Z2085" s="352"/>
      <c r="AA2085" s="352"/>
      <c r="AB2085" s="352"/>
      <c r="AC2085" s="352"/>
      <c r="AD2085" s="352"/>
    </row>
    <row r="2086" spans="1:30" ht="89.75" hidden="1" x14ac:dyDescent="0.35">
      <c r="A2086" s="349">
        <v>2085</v>
      </c>
      <c r="B2086" s="352" t="s">
        <v>965</v>
      </c>
      <c r="C2086" s="351" t="s">
        <v>2393</v>
      </c>
      <c r="D2086" s="352" t="s">
        <v>1390</v>
      </c>
      <c r="E2086" s="352" t="s">
        <v>2008</v>
      </c>
      <c r="F2086" s="353">
        <v>0.46279999999999999</v>
      </c>
      <c r="G2086" s="352" t="s">
        <v>2126</v>
      </c>
      <c r="H2086" s="176" t="s">
        <v>1350</v>
      </c>
      <c r="I2086" s="176" t="s">
        <v>90</v>
      </c>
      <c r="J2086" s="352" t="s">
        <v>2056</v>
      </c>
      <c r="K2086" s="352">
        <v>3.45</v>
      </c>
      <c r="L2086" s="352" t="s">
        <v>2057</v>
      </c>
      <c r="M2086" s="352"/>
      <c r="N2086" s="352"/>
      <c r="O2086" s="351">
        <v>3.45</v>
      </c>
      <c r="P2086" s="349" t="s">
        <v>818</v>
      </c>
      <c r="R2086" s="349">
        <f t="shared" si="32"/>
        <v>21</v>
      </c>
      <c r="S2086" s="352"/>
      <c r="T2086" s="352"/>
      <c r="U2086" s="352"/>
      <c r="V2086" s="353"/>
      <c r="W2086" s="352"/>
      <c r="X2086" s="176"/>
      <c r="Y2086" s="176"/>
      <c r="Z2086" s="352"/>
      <c r="AA2086" s="352"/>
      <c r="AB2086" s="352"/>
      <c r="AC2086" s="352"/>
      <c r="AD2086" s="352"/>
    </row>
    <row r="2087" spans="1:30" ht="64.099999999999994" hidden="1" x14ac:dyDescent="0.35">
      <c r="A2087" s="349">
        <v>2086</v>
      </c>
      <c r="B2087" s="352" t="s">
        <v>958</v>
      </c>
      <c r="C2087" s="351" t="s">
        <v>4576</v>
      </c>
      <c r="D2087" s="352" t="s">
        <v>2465</v>
      </c>
      <c r="E2087" s="352" t="s">
        <v>1997</v>
      </c>
      <c r="F2087" s="353">
        <v>3.3056000000000001</v>
      </c>
      <c r="G2087" s="352" t="s">
        <v>1501</v>
      </c>
      <c r="H2087" s="176" t="s">
        <v>1847</v>
      </c>
      <c r="I2087" s="176" t="s">
        <v>1061</v>
      </c>
      <c r="J2087" s="352" t="s">
        <v>1115</v>
      </c>
      <c r="K2087" s="352">
        <v>50</v>
      </c>
      <c r="L2087" s="352" t="s">
        <v>1464</v>
      </c>
      <c r="M2087" s="352"/>
      <c r="N2087" s="352"/>
      <c r="O2087" s="351">
        <v>50</v>
      </c>
      <c r="P2087" s="349" t="s">
        <v>1836</v>
      </c>
      <c r="R2087" s="349">
        <f t="shared" si="32"/>
        <v>11</v>
      </c>
      <c r="S2087" s="352"/>
      <c r="T2087" s="352"/>
      <c r="U2087" s="352"/>
      <c r="V2087" s="353"/>
      <c r="W2087" s="352"/>
      <c r="X2087" s="176"/>
      <c r="Y2087" s="176"/>
      <c r="Z2087" s="352"/>
      <c r="AA2087" s="352"/>
      <c r="AB2087" s="352"/>
      <c r="AC2087" s="352"/>
      <c r="AD2087" s="352"/>
    </row>
    <row r="2088" spans="1:30" ht="102.55" hidden="1" x14ac:dyDescent="0.35">
      <c r="A2088" s="349">
        <v>2087</v>
      </c>
      <c r="B2088" s="352" t="s">
        <v>159</v>
      </c>
      <c r="C2088" s="351" t="s">
        <v>2365</v>
      </c>
      <c r="D2088" s="352" t="s">
        <v>2365</v>
      </c>
      <c r="E2088" s="352" t="s">
        <v>160</v>
      </c>
      <c r="F2088" s="353">
        <v>10.25</v>
      </c>
      <c r="G2088" s="352" t="s">
        <v>34</v>
      </c>
      <c r="H2088" s="176" t="s">
        <v>2366</v>
      </c>
      <c r="I2088" s="176" t="s">
        <v>4353</v>
      </c>
      <c r="J2088" s="352" t="s">
        <v>29</v>
      </c>
      <c r="K2088" s="352">
        <v>0.05</v>
      </c>
      <c r="L2088" s="352" t="s">
        <v>470</v>
      </c>
      <c r="M2088" s="352">
        <v>20</v>
      </c>
      <c r="N2088" s="352" t="s">
        <v>31</v>
      </c>
      <c r="O2088" s="351">
        <v>0.05</v>
      </c>
      <c r="P2088" s="349" t="s">
        <v>1838</v>
      </c>
      <c r="R2088" s="349">
        <f t="shared" si="32"/>
        <v>10</v>
      </c>
      <c r="S2088" s="352"/>
      <c r="T2088" s="352"/>
      <c r="U2088" s="352"/>
      <c r="V2088" s="353"/>
      <c r="W2088" s="352"/>
      <c r="X2088" s="176"/>
      <c r="Y2088" s="176"/>
      <c r="Z2088" s="352"/>
      <c r="AA2088" s="352"/>
      <c r="AB2088" s="352"/>
      <c r="AC2088" s="352"/>
      <c r="AD2088" s="352"/>
    </row>
    <row r="2089" spans="1:30" ht="25.65" hidden="1" x14ac:dyDescent="0.35">
      <c r="A2089" s="349">
        <v>2088</v>
      </c>
      <c r="B2089" s="352" t="s">
        <v>1792</v>
      </c>
      <c r="C2089" s="351" t="s">
        <v>4577</v>
      </c>
      <c r="D2089" s="352" t="s">
        <v>2406</v>
      </c>
      <c r="E2089" s="352" t="s">
        <v>1793</v>
      </c>
      <c r="F2089" s="353">
        <v>11.9</v>
      </c>
      <c r="G2089" s="352" t="s">
        <v>34</v>
      </c>
      <c r="H2089" s="176" t="s">
        <v>255</v>
      </c>
      <c r="I2089" s="176" t="s">
        <v>2409</v>
      </c>
      <c r="J2089" s="352" t="s">
        <v>29</v>
      </c>
      <c r="K2089" s="352">
        <v>0.1</v>
      </c>
      <c r="L2089" s="352" t="s">
        <v>470</v>
      </c>
      <c r="M2089" s="352">
        <v>30</v>
      </c>
      <c r="N2089" s="352" t="s">
        <v>31</v>
      </c>
      <c r="O2089" s="351">
        <v>0.1</v>
      </c>
      <c r="P2089" s="349" t="s">
        <v>1838</v>
      </c>
      <c r="R2089" s="349">
        <f t="shared" si="32"/>
        <v>21</v>
      </c>
      <c r="S2089" s="352"/>
      <c r="T2089" s="352"/>
      <c r="U2089" s="352"/>
      <c r="V2089" s="353"/>
      <c r="W2089" s="352"/>
      <c r="X2089" s="176"/>
      <c r="Y2089" s="176"/>
      <c r="Z2089" s="352"/>
      <c r="AA2089" s="352"/>
      <c r="AB2089" s="352"/>
      <c r="AC2089" s="352"/>
      <c r="AD2089" s="352"/>
    </row>
    <row r="2090" spans="1:30" ht="25.65" hidden="1" x14ac:dyDescent="0.35">
      <c r="A2090" s="349">
        <v>2089</v>
      </c>
      <c r="B2090" s="352" t="s">
        <v>1792</v>
      </c>
      <c r="C2090" s="351" t="s">
        <v>4577</v>
      </c>
      <c r="D2090" s="352" t="s">
        <v>2406</v>
      </c>
      <c r="E2090" s="352" t="s">
        <v>2389</v>
      </c>
      <c r="F2090" s="353">
        <v>11.018599999999999</v>
      </c>
      <c r="G2090" s="352" t="s">
        <v>34</v>
      </c>
      <c r="H2090" s="176" t="s">
        <v>255</v>
      </c>
      <c r="I2090" s="176" t="s">
        <v>2409</v>
      </c>
      <c r="J2090" s="352" t="s">
        <v>2131</v>
      </c>
      <c r="K2090" s="352">
        <v>0.1</v>
      </c>
      <c r="L2090" s="352" t="s">
        <v>470</v>
      </c>
      <c r="M2090" s="352">
        <v>30</v>
      </c>
      <c r="N2090" s="352" t="s">
        <v>31</v>
      </c>
      <c r="O2090" s="351">
        <v>0.1</v>
      </c>
      <c r="P2090" s="349" t="s">
        <v>1838</v>
      </c>
      <c r="R2090" s="349">
        <f t="shared" si="32"/>
        <v>21</v>
      </c>
      <c r="S2090" s="352"/>
      <c r="T2090" s="352"/>
      <c r="U2090" s="352"/>
      <c r="V2090" s="353"/>
      <c r="W2090" s="352"/>
      <c r="X2090" s="176"/>
      <c r="Y2090" s="176"/>
      <c r="Z2090" s="352"/>
      <c r="AA2090" s="352"/>
      <c r="AB2090" s="352"/>
      <c r="AC2090" s="352"/>
      <c r="AD2090" s="352"/>
    </row>
    <row r="2091" spans="1:30" ht="25.65" hidden="1" x14ac:dyDescent="0.35">
      <c r="A2091" s="349">
        <v>2090</v>
      </c>
      <c r="B2091" s="352" t="s">
        <v>1792</v>
      </c>
      <c r="C2091" s="351" t="s">
        <v>2406</v>
      </c>
      <c r="D2091" s="352" t="s">
        <v>2406</v>
      </c>
      <c r="E2091" s="352" t="s">
        <v>1793</v>
      </c>
      <c r="F2091" s="353">
        <v>11.9</v>
      </c>
      <c r="G2091" s="352" t="s">
        <v>34</v>
      </c>
      <c r="H2091" s="176" t="s">
        <v>255</v>
      </c>
      <c r="I2091" s="176" t="s">
        <v>2409</v>
      </c>
      <c r="J2091" s="352" t="s">
        <v>29</v>
      </c>
      <c r="K2091" s="352">
        <v>0.1</v>
      </c>
      <c r="L2091" s="352" t="s">
        <v>470</v>
      </c>
      <c r="M2091" s="352">
        <v>30</v>
      </c>
      <c r="N2091" s="352" t="s">
        <v>31</v>
      </c>
      <c r="O2091" s="351">
        <v>0.1</v>
      </c>
      <c r="P2091" s="349" t="s">
        <v>1838</v>
      </c>
      <c r="R2091" s="349">
        <f t="shared" si="32"/>
        <v>21</v>
      </c>
      <c r="S2091" s="352"/>
      <c r="T2091" s="352"/>
      <c r="U2091" s="352"/>
      <c r="V2091" s="353"/>
      <c r="W2091" s="352"/>
      <c r="X2091" s="176"/>
      <c r="Y2091" s="176"/>
      <c r="Z2091" s="352"/>
      <c r="AA2091" s="352"/>
      <c r="AB2091" s="352"/>
      <c r="AC2091" s="352"/>
      <c r="AD2091" s="352"/>
    </row>
    <row r="2092" spans="1:30" hidden="1" x14ac:dyDescent="0.35">
      <c r="A2092" s="349">
        <v>2091</v>
      </c>
      <c r="B2092" s="352" t="s">
        <v>1792</v>
      </c>
      <c r="C2092" s="351" t="s">
        <v>2406</v>
      </c>
      <c r="D2092" s="352" t="s">
        <v>2406</v>
      </c>
      <c r="E2092" s="352" t="s">
        <v>1793</v>
      </c>
      <c r="F2092" s="353">
        <v>9.6963000000000008</v>
      </c>
      <c r="G2092" s="352" t="s">
        <v>34</v>
      </c>
      <c r="H2092" s="176" t="s">
        <v>1336</v>
      </c>
      <c r="I2092" s="176" t="s">
        <v>2410</v>
      </c>
      <c r="J2092" s="352" t="s">
        <v>29</v>
      </c>
      <c r="K2092" s="352">
        <v>0.1</v>
      </c>
      <c r="L2092" s="352" t="s">
        <v>470</v>
      </c>
      <c r="M2092" s="352">
        <v>30</v>
      </c>
      <c r="N2092" s="352" t="s">
        <v>31</v>
      </c>
      <c r="O2092" s="351">
        <v>0.1</v>
      </c>
      <c r="P2092" s="349" t="s">
        <v>1838</v>
      </c>
      <c r="R2092" s="349">
        <f t="shared" si="32"/>
        <v>21</v>
      </c>
      <c r="S2092" s="352"/>
      <c r="T2092" s="352"/>
      <c r="U2092" s="352"/>
      <c r="V2092" s="353"/>
      <c r="W2092" s="352"/>
      <c r="X2092" s="176"/>
      <c r="Y2092" s="176"/>
      <c r="Z2092" s="352"/>
      <c r="AA2092" s="352"/>
      <c r="AB2092" s="352"/>
      <c r="AC2092" s="352"/>
      <c r="AD2092" s="352"/>
    </row>
    <row r="2093" spans="1:30" ht="25.65" hidden="1" x14ac:dyDescent="0.35">
      <c r="A2093" s="349">
        <v>2092</v>
      </c>
      <c r="B2093" s="352" t="s">
        <v>1792</v>
      </c>
      <c r="C2093" s="351" t="s">
        <v>2406</v>
      </c>
      <c r="D2093" s="352" t="s">
        <v>2406</v>
      </c>
      <c r="E2093" s="352" t="s">
        <v>2697</v>
      </c>
      <c r="F2093" s="353">
        <v>17.6297</v>
      </c>
      <c r="G2093" s="352" t="s">
        <v>34</v>
      </c>
      <c r="H2093" s="176" t="s">
        <v>1349</v>
      </c>
      <c r="I2093" s="176" t="s">
        <v>4934</v>
      </c>
      <c r="J2093" s="352" t="s">
        <v>2131</v>
      </c>
      <c r="K2093" s="352">
        <v>0.1</v>
      </c>
      <c r="L2093" s="352" t="s">
        <v>470</v>
      </c>
      <c r="M2093" s="352">
        <v>10</v>
      </c>
      <c r="N2093" s="352" t="s">
        <v>31</v>
      </c>
      <c r="O2093" s="351">
        <v>0.1</v>
      </c>
      <c r="P2093" s="349" t="s">
        <v>1838</v>
      </c>
      <c r="R2093" s="349">
        <f t="shared" si="32"/>
        <v>21</v>
      </c>
      <c r="S2093" s="352"/>
      <c r="T2093" s="352"/>
      <c r="U2093" s="352"/>
      <c r="V2093" s="353"/>
      <c r="W2093" s="352"/>
      <c r="X2093" s="176"/>
      <c r="Y2093" s="176"/>
      <c r="Z2093" s="352"/>
      <c r="AA2093" s="352"/>
      <c r="AB2093" s="352"/>
      <c r="AC2093" s="352"/>
      <c r="AD2093" s="352"/>
    </row>
    <row r="2094" spans="1:30" ht="25.65" hidden="1" x14ac:dyDescent="0.35">
      <c r="A2094" s="349">
        <v>2093</v>
      </c>
      <c r="B2094" s="352" t="s">
        <v>1792</v>
      </c>
      <c r="C2094" s="351" t="s">
        <v>2406</v>
      </c>
      <c r="D2094" s="352" t="s">
        <v>2406</v>
      </c>
      <c r="E2094" s="352" t="s">
        <v>2389</v>
      </c>
      <c r="F2094" s="353">
        <v>11.018599999999999</v>
      </c>
      <c r="G2094" s="352" t="s">
        <v>34</v>
      </c>
      <c r="H2094" s="176" t="s">
        <v>255</v>
      </c>
      <c r="I2094" s="176" t="s">
        <v>2409</v>
      </c>
      <c r="J2094" s="352" t="s">
        <v>2131</v>
      </c>
      <c r="K2094" s="352">
        <v>0.1</v>
      </c>
      <c r="L2094" s="352" t="s">
        <v>470</v>
      </c>
      <c r="M2094" s="352">
        <v>30</v>
      </c>
      <c r="N2094" s="352" t="s">
        <v>31</v>
      </c>
      <c r="O2094" s="351">
        <v>0.1</v>
      </c>
      <c r="P2094" s="349" t="s">
        <v>1838</v>
      </c>
      <c r="R2094" s="349">
        <f t="shared" si="32"/>
        <v>21</v>
      </c>
      <c r="S2094" s="352"/>
      <c r="T2094" s="352"/>
      <c r="U2094" s="352"/>
      <c r="V2094" s="353"/>
      <c r="W2094" s="352"/>
      <c r="X2094" s="37"/>
      <c r="Y2094" s="176"/>
      <c r="Z2094" s="352"/>
      <c r="AA2094" s="352"/>
      <c r="AB2094" s="352"/>
      <c r="AC2094" s="352"/>
      <c r="AD2094" s="352"/>
    </row>
    <row r="2095" spans="1:30" hidden="1" x14ac:dyDescent="0.35">
      <c r="A2095" s="349">
        <v>2094</v>
      </c>
      <c r="B2095" s="352" t="s">
        <v>1792</v>
      </c>
      <c r="C2095" s="351" t="s">
        <v>2406</v>
      </c>
      <c r="D2095" s="352" t="s">
        <v>2406</v>
      </c>
      <c r="E2095" s="352" t="s">
        <v>2389</v>
      </c>
      <c r="F2095" s="353">
        <v>8.81</v>
      </c>
      <c r="G2095" s="352" t="s">
        <v>34</v>
      </c>
      <c r="H2095" s="176" t="s">
        <v>1336</v>
      </c>
      <c r="I2095" s="176" t="s">
        <v>2410</v>
      </c>
      <c r="J2095" s="352" t="s">
        <v>2131</v>
      </c>
      <c r="K2095" s="352">
        <v>0.1</v>
      </c>
      <c r="L2095" s="352" t="s">
        <v>470</v>
      </c>
      <c r="M2095" s="352">
        <v>30</v>
      </c>
      <c r="N2095" s="352" t="s">
        <v>31</v>
      </c>
      <c r="O2095" s="351">
        <v>0.1</v>
      </c>
      <c r="P2095" s="349" t="s">
        <v>1838</v>
      </c>
      <c r="R2095" s="349">
        <f t="shared" si="32"/>
        <v>21</v>
      </c>
      <c r="S2095" s="352"/>
      <c r="T2095" s="352"/>
      <c r="U2095" s="352"/>
      <c r="V2095" s="353"/>
      <c r="W2095" s="352"/>
      <c r="X2095" s="37"/>
      <c r="Y2095" s="176"/>
      <c r="Z2095" s="352"/>
      <c r="AA2095" s="352"/>
      <c r="AB2095" s="352"/>
      <c r="AC2095" s="352"/>
      <c r="AD2095" s="352"/>
    </row>
    <row r="2096" spans="1:30" ht="76.900000000000006" hidden="1" x14ac:dyDescent="0.35">
      <c r="A2096" s="349">
        <v>2095</v>
      </c>
      <c r="B2096" s="352" t="s">
        <v>778</v>
      </c>
      <c r="C2096" s="351" t="s">
        <v>235</v>
      </c>
      <c r="D2096" s="352" t="s">
        <v>235</v>
      </c>
      <c r="E2096" s="352" t="s">
        <v>2855</v>
      </c>
      <c r="F2096" s="353">
        <v>2.5783</v>
      </c>
      <c r="G2096" s="352" t="s">
        <v>1665</v>
      </c>
      <c r="H2096" s="176" t="s">
        <v>1651</v>
      </c>
      <c r="I2096" s="176" t="s">
        <v>1652</v>
      </c>
      <c r="J2096" s="352" t="s">
        <v>828</v>
      </c>
      <c r="K2096" s="352">
        <v>10</v>
      </c>
      <c r="L2096" s="352" t="s">
        <v>1116</v>
      </c>
      <c r="M2096" s="351">
        <v>1</v>
      </c>
      <c r="N2096" s="351" t="s">
        <v>1109</v>
      </c>
      <c r="O2096" s="351">
        <v>10</v>
      </c>
      <c r="P2096" s="349" t="s">
        <v>1836</v>
      </c>
      <c r="R2096" s="349">
        <f t="shared" si="32"/>
        <v>22</v>
      </c>
      <c r="S2096" s="352"/>
      <c r="T2096" s="352"/>
      <c r="U2096" s="352"/>
      <c r="V2096" s="353"/>
      <c r="W2096" s="352"/>
      <c r="X2096" s="176"/>
      <c r="Y2096" s="176"/>
      <c r="Z2096" s="352"/>
      <c r="AA2096" s="352"/>
      <c r="AB2096" s="352"/>
      <c r="AC2096" s="352"/>
      <c r="AD2096" s="352"/>
    </row>
    <row r="2097" spans="1:30" ht="76.900000000000006" hidden="1" x14ac:dyDescent="0.35">
      <c r="A2097" s="349">
        <v>2096</v>
      </c>
      <c r="B2097" s="352" t="s">
        <v>778</v>
      </c>
      <c r="C2097" s="351" t="s">
        <v>235</v>
      </c>
      <c r="D2097" s="352" t="s">
        <v>235</v>
      </c>
      <c r="E2097" s="352" t="s">
        <v>2855</v>
      </c>
      <c r="F2097" s="353">
        <v>8.81</v>
      </c>
      <c r="G2097" s="352" t="s">
        <v>1665</v>
      </c>
      <c r="H2097" s="176" t="s">
        <v>1651</v>
      </c>
      <c r="I2097" s="176" t="s">
        <v>1652</v>
      </c>
      <c r="J2097" s="352" t="s">
        <v>828</v>
      </c>
      <c r="K2097" s="352">
        <v>40</v>
      </c>
      <c r="L2097" s="352" t="s">
        <v>1116</v>
      </c>
      <c r="M2097" s="351">
        <v>1</v>
      </c>
      <c r="N2097" s="351" t="s">
        <v>1109</v>
      </c>
      <c r="O2097" s="351">
        <v>40</v>
      </c>
      <c r="P2097" s="349" t="s">
        <v>1836</v>
      </c>
      <c r="R2097" s="349">
        <f t="shared" si="32"/>
        <v>22</v>
      </c>
      <c r="S2097" s="352"/>
      <c r="T2097" s="352"/>
      <c r="U2097" s="352"/>
      <c r="V2097" s="353"/>
      <c r="W2097" s="352"/>
      <c r="X2097" s="176"/>
      <c r="Y2097" s="176"/>
      <c r="Z2097" s="352"/>
      <c r="AA2097" s="352"/>
      <c r="AB2097" s="352"/>
      <c r="AC2097" s="352"/>
      <c r="AD2097" s="352"/>
    </row>
    <row r="2098" spans="1:30" hidden="1" x14ac:dyDescent="0.35">
      <c r="A2098" s="349">
        <v>2097</v>
      </c>
      <c r="B2098" s="352" t="s">
        <v>1792</v>
      </c>
      <c r="C2098" s="351" t="s">
        <v>2406</v>
      </c>
      <c r="D2098" s="352" t="s">
        <v>2406</v>
      </c>
      <c r="E2098" s="352" t="s">
        <v>1793</v>
      </c>
      <c r="F2098" s="353">
        <v>9.6963000000000008</v>
      </c>
      <c r="G2098" s="352" t="s">
        <v>34</v>
      </c>
      <c r="H2098" s="176" t="s">
        <v>1336</v>
      </c>
      <c r="I2098" s="176" t="s">
        <v>2410</v>
      </c>
      <c r="J2098" s="352" t="s">
        <v>29</v>
      </c>
      <c r="K2098" s="352">
        <v>0.1</v>
      </c>
      <c r="L2098" s="352" t="s">
        <v>470</v>
      </c>
      <c r="M2098" s="351">
        <v>30</v>
      </c>
      <c r="N2098" s="351" t="s">
        <v>31</v>
      </c>
      <c r="O2098" s="351">
        <v>0.1</v>
      </c>
      <c r="P2098" s="349" t="s">
        <v>1838</v>
      </c>
      <c r="R2098" s="349">
        <f t="shared" si="32"/>
        <v>21</v>
      </c>
      <c r="S2098" s="352"/>
      <c r="T2098" s="352"/>
      <c r="U2098" s="352"/>
      <c r="V2098" s="353"/>
      <c r="W2098" s="352"/>
      <c r="X2098" s="176"/>
      <c r="Y2098" s="176"/>
      <c r="Z2098" s="352"/>
      <c r="AA2098" s="352"/>
      <c r="AB2098" s="352"/>
      <c r="AC2098" s="352"/>
      <c r="AD2098" s="352"/>
    </row>
    <row r="2099" spans="1:30" hidden="1" x14ac:dyDescent="0.35">
      <c r="A2099" s="349">
        <v>2098</v>
      </c>
      <c r="B2099" s="352" t="s">
        <v>1792</v>
      </c>
      <c r="C2099" s="351" t="s">
        <v>2406</v>
      </c>
      <c r="D2099" s="352" t="s">
        <v>2406</v>
      </c>
      <c r="E2099" s="352" t="s">
        <v>2389</v>
      </c>
      <c r="F2099" s="353">
        <v>8.81</v>
      </c>
      <c r="G2099" s="352" t="s">
        <v>34</v>
      </c>
      <c r="H2099" s="176" t="s">
        <v>1336</v>
      </c>
      <c r="I2099" s="176" t="s">
        <v>2410</v>
      </c>
      <c r="J2099" s="352" t="s">
        <v>2131</v>
      </c>
      <c r="K2099" s="352">
        <v>0.1</v>
      </c>
      <c r="L2099" s="352" t="s">
        <v>470</v>
      </c>
      <c r="M2099" s="352">
        <v>30</v>
      </c>
      <c r="N2099" s="352" t="s">
        <v>31</v>
      </c>
      <c r="O2099" s="351">
        <v>0.1</v>
      </c>
      <c r="P2099" s="349" t="s">
        <v>1838</v>
      </c>
      <c r="R2099" s="349">
        <f t="shared" si="32"/>
        <v>21</v>
      </c>
      <c r="S2099" s="352"/>
      <c r="T2099" s="352"/>
      <c r="U2099" s="352"/>
      <c r="V2099" s="353"/>
      <c r="W2099" s="352"/>
      <c r="X2099" s="176"/>
      <c r="Y2099" s="176"/>
      <c r="Z2099" s="352"/>
      <c r="AA2099" s="352"/>
      <c r="AB2099" s="352"/>
      <c r="AC2099" s="352"/>
      <c r="AD2099" s="352"/>
    </row>
    <row r="2100" spans="1:30" ht="64.099999999999994" hidden="1" x14ac:dyDescent="0.35">
      <c r="A2100" s="349">
        <v>2099</v>
      </c>
      <c r="B2100" s="352" t="s">
        <v>1463</v>
      </c>
      <c r="C2100" s="351" t="s">
        <v>647</v>
      </c>
      <c r="D2100" s="352" t="s">
        <v>647</v>
      </c>
      <c r="E2100" s="352" t="s">
        <v>1995</v>
      </c>
      <c r="F2100" s="353">
        <v>0.3</v>
      </c>
      <c r="G2100" s="352" t="s">
        <v>2126</v>
      </c>
      <c r="H2100" s="176" t="s">
        <v>2145</v>
      </c>
      <c r="I2100" s="176" t="s">
        <v>204</v>
      </c>
      <c r="J2100" s="352" t="s">
        <v>3580</v>
      </c>
      <c r="K2100" s="352">
        <v>50</v>
      </c>
      <c r="L2100" s="352" t="s">
        <v>3581</v>
      </c>
      <c r="M2100" s="351"/>
      <c r="N2100" s="351"/>
      <c r="O2100" s="351">
        <v>50</v>
      </c>
      <c r="P2100" s="349" t="s">
        <v>1836</v>
      </c>
      <c r="R2100" s="349">
        <f t="shared" si="32"/>
        <v>11</v>
      </c>
      <c r="S2100" s="352"/>
      <c r="T2100" s="352"/>
      <c r="U2100" s="352"/>
      <c r="V2100" s="353"/>
      <c r="W2100" s="352"/>
      <c r="X2100" s="176"/>
      <c r="Y2100" s="176"/>
      <c r="Z2100" s="352"/>
      <c r="AA2100" s="352"/>
      <c r="AB2100" s="352"/>
      <c r="AC2100" s="352"/>
      <c r="AD2100" s="352"/>
    </row>
    <row r="2101" spans="1:30" ht="115.35" hidden="1" x14ac:dyDescent="0.35">
      <c r="A2101" s="349">
        <v>2100</v>
      </c>
      <c r="B2101" s="352" t="s">
        <v>1787</v>
      </c>
      <c r="C2101" s="351" t="s">
        <v>4578</v>
      </c>
      <c r="D2101" s="352" t="s">
        <v>3473</v>
      </c>
      <c r="E2101" s="352" t="s">
        <v>1995</v>
      </c>
      <c r="F2101" s="353">
        <v>0.8</v>
      </c>
      <c r="G2101" s="352" t="s">
        <v>2126</v>
      </c>
      <c r="H2101" s="176" t="s">
        <v>602</v>
      </c>
      <c r="I2101" s="176" t="s">
        <v>4707</v>
      </c>
      <c r="J2101" s="352" t="s">
        <v>3580</v>
      </c>
      <c r="K2101" s="352">
        <v>300</v>
      </c>
      <c r="L2101" s="352" t="s">
        <v>3581</v>
      </c>
      <c r="M2101" s="352"/>
      <c r="N2101" s="352"/>
      <c r="O2101" s="351">
        <v>300</v>
      </c>
      <c r="P2101" s="349" t="s">
        <v>1836</v>
      </c>
      <c r="R2101" s="349">
        <f t="shared" si="32"/>
        <v>13</v>
      </c>
      <c r="S2101" s="352"/>
      <c r="T2101" s="352"/>
      <c r="U2101" s="352"/>
      <c r="V2101" s="353"/>
      <c r="W2101" s="352"/>
      <c r="X2101" s="176"/>
      <c r="Y2101" s="176"/>
      <c r="Z2101" s="352"/>
      <c r="AA2101" s="352"/>
      <c r="AB2101" s="352"/>
      <c r="AC2101" s="352"/>
      <c r="AD2101" s="352"/>
    </row>
    <row r="2102" spans="1:30" ht="115.35" hidden="1" x14ac:dyDescent="0.35">
      <c r="A2102" s="349">
        <v>2101</v>
      </c>
      <c r="B2102" s="352" t="s">
        <v>1787</v>
      </c>
      <c r="C2102" s="351" t="s">
        <v>4578</v>
      </c>
      <c r="D2102" s="352" t="s">
        <v>3473</v>
      </c>
      <c r="E2102" s="352" t="s">
        <v>1995</v>
      </c>
      <c r="F2102" s="353">
        <v>1.67</v>
      </c>
      <c r="G2102" s="352" t="s">
        <v>2126</v>
      </c>
      <c r="H2102" s="176" t="s">
        <v>602</v>
      </c>
      <c r="I2102" s="176" t="s">
        <v>4707</v>
      </c>
      <c r="J2102" s="352" t="s">
        <v>3580</v>
      </c>
      <c r="K2102" s="352">
        <v>600</v>
      </c>
      <c r="L2102" s="352" t="s">
        <v>3581</v>
      </c>
      <c r="M2102" s="352"/>
      <c r="N2102" s="352"/>
      <c r="O2102" s="351">
        <v>600</v>
      </c>
      <c r="P2102" s="349" t="s">
        <v>1836</v>
      </c>
      <c r="R2102" s="349">
        <f t="shared" si="32"/>
        <v>13</v>
      </c>
      <c r="S2102" s="352"/>
      <c r="T2102" s="352"/>
      <c r="U2102" s="352"/>
      <c r="V2102" s="353"/>
      <c r="W2102" s="352"/>
      <c r="X2102" s="176"/>
      <c r="Y2102" s="37"/>
      <c r="Z2102" s="352"/>
      <c r="AA2102" s="352"/>
      <c r="AB2102" s="352"/>
      <c r="AC2102" s="351"/>
      <c r="AD2102" s="351"/>
    </row>
    <row r="2103" spans="1:30" ht="153.80000000000001" hidden="1" x14ac:dyDescent="0.35">
      <c r="A2103" s="349">
        <v>2102</v>
      </c>
      <c r="B2103" s="352" t="s">
        <v>3090</v>
      </c>
      <c r="C2103" s="351" t="s">
        <v>1821</v>
      </c>
      <c r="D2103" s="352" t="s">
        <v>1821</v>
      </c>
      <c r="E2103" s="352" t="s">
        <v>2129</v>
      </c>
      <c r="F2103" s="353">
        <v>7.8</v>
      </c>
      <c r="G2103" s="352" t="s">
        <v>2126</v>
      </c>
      <c r="H2103" s="176" t="s">
        <v>4013</v>
      </c>
      <c r="I2103" s="176" t="s">
        <v>4014</v>
      </c>
      <c r="J2103" s="352" t="s">
        <v>3579</v>
      </c>
      <c r="K2103" s="352">
        <v>10</v>
      </c>
      <c r="L2103" s="352" t="s">
        <v>1116</v>
      </c>
      <c r="M2103" s="352">
        <v>100</v>
      </c>
      <c r="N2103" s="352" t="s">
        <v>1109</v>
      </c>
      <c r="O2103" s="351">
        <v>10</v>
      </c>
      <c r="P2103" s="349" t="s">
        <v>1836</v>
      </c>
      <c r="R2103" s="349">
        <f t="shared" si="32"/>
        <v>12</v>
      </c>
      <c r="S2103" s="352"/>
      <c r="T2103" s="352"/>
      <c r="U2103" s="352"/>
      <c r="V2103" s="353"/>
      <c r="W2103" s="352"/>
      <c r="X2103" s="176"/>
      <c r="Y2103" s="37"/>
      <c r="Z2103" s="352"/>
      <c r="AA2103" s="352"/>
      <c r="AB2103" s="352"/>
      <c r="AC2103" s="351"/>
      <c r="AD2103" s="351"/>
    </row>
    <row r="2104" spans="1:30" ht="153.80000000000001" hidden="1" x14ac:dyDescent="0.35">
      <c r="A2104" s="349">
        <v>2103</v>
      </c>
      <c r="B2104" s="352" t="s">
        <v>3090</v>
      </c>
      <c r="C2104" s="351" t="s">
        <v>1821</v>
      </c>
      <c r="D2104" s="352" t="s">
        <v>1821</v>
      </c>
      <c r="E2104" s="352" t="s">
        <v>1995</v>
      </c>
      <c r="F2104" s="353">
        <v>0.18</v>
      </c>
      <c r="G2104" s="352" t="s">
        <v>2126</v>
      </c>
      <c r="H2104" s="37" t="s">
        <v>4013</v>
      </c>
      <c r="I2104" s="176" t="s">
        <v>4014</v>
      </c>
      <c r="J2104" s="352" t="s">
        <v>3580</v>
      </c>
      <c r="K2104" s="352">
        <v>100</v>
      </c>
      <c r="L2104" s="352" t="s">
        <v>3581</v>
      </c>
      <c r="M2104" s="352"/>
      <c r="N2104" s="352"/>
      <c r="O2104" s="351">
        <v>100</v>
      </c>
      <c r="P2104" s="349" t="s">
        <v>1836</v>
      </c>
      <c r="R2104" s="349">
        <f t="shared" si="32"/>
        <v>12</v>
      </c>
      <c r="S2104" s="352"/>
      <c r="T2104" s="352"/>
      <c r="U2104" s="352"/>
      <c r="V2104" s="353"/>
      <c r="W2104" s="352"/>
      <c r="X2104" s="176"/>
      <c r="Y2104" s="176"/>
      <c r="Z2104" s="352"/>
      <c r="AA2104" s="352"/>
      <c r="AB2104" s="352"/>
      <c r="AC2104" s="352"/>
      <c r="AD2104" s="352"/>
    </row>
    <row r="2105" spans="1:30" ht="141" hidden="1" x14ac:dyDescent="0.35">
      <c r="A2105" s="349">
        <v>2104</v>
      </c>
      <c r="B2105" s="352" t="s">
        <v>3582</v>
      </c>
      <c r="C2105" s="351" t="s">
        <v>4579</v>
      </c>
      <c r="D2105" s="352" t="s">
        <v>991</v>
      </c>
      <c r="E2105" s="352" t="s">
        <v>1450</v>
      </c>
      <c r="F2105" s="353">
        <v>289.85000000000002</v>
      </c>
      <c r="G2105" s="352" t="s">
        <v>1107</v>
      </c>
      <c r="H2105" s="37" t="s">
        <v>70</v>
      </c>
      <c r="I2105" s="176" t="s">
        <v>4472</v>
      </c>
      <c r="J2105" s="352" t="s">
        <v>828</v>
      </c>
      <c r="K2105" s="352">
        <v>10</v>
      </c>
      <c r="L2105" s="352" t="s">
        <v>1116</v>
      </c>
      <c r="M2105" s="352">
        <v>25</v>
      </c>
      <c r="N2105" s="352" t="s">
        <v>1109</v>
      </c>
      <c r="O2105" s="351">
        <v>10</v>
      </c>
      <c r="P2105" s="349" t="s">
        <v>1836</v>
      </c>
      <c r="R2105" s="349">
        <f t="shared" si="32"/>
        <v>11</v>
      </c>
      <c r="S2105" s="352"/>
      <c r="T2105" s="352"/>
      <c r="U2105" s="352"/>
      <c r="V2105" s="353"/>
      <c r="W2105" s="352"/>
      <c r="X2105" s="176"/>
      <c r="Y2105" s="176"/>
      <c r="Z2105" s="352"/>
      <c r="AA2105" s="352"/>
      <c r="AB2105" s="352"/>
      <c r="AC2105" s="352"/>
      <c r="AD2105" s="352"/>
    </row>
    <row r="2106" spans="1:30" ht="141" hidden="1" x14ac:dyDescent="0.35">
      <c r="A2106" s="349">
        <v>2105</v>
      </c>
      <c r="B2106" s="352" t="s">
        <v>3582</v>
      </c>
      <c r="C2106" s="351" t="s">
        <v>4579</v>
      </c>
      <c r="D2106" s="352" t="s">
        <v>991</v>
      </c>
      <c r="E2106" s="352" t="s">
        <v>1998</v>
      </c>
      <c r="F2106" s="353">
        <v>5.29</v>
      </c>
      <c r="G2106" s="352" t="s">
        <v>2126</v>
      </c>
      <c r="H2106" s="176" t="s">
        <v>71</v>
      </c>
      <c r="I2106" s="176" t="s">
        <v>4472</v>
      </c>
      <c r="J2106" s="352" t="s">
        <v>22</v>
      </c>
      <c r="K2106" s="352">
        <v>100</v>
      </c>
      <c r="L2106" s="352" t="s">
        <v>23</v>
      </c>
      <c r="M2106" s="352"/>
      <c r="N2106" s="352"/>
      <c r="O2106" s="351">
        <v>100</v>
      </c>
      <c r="P2106" s="349" t="s">
        <v>1836</v>
      </c>
      <c r="R2106" s="349">
        <f t="shared" si="32"/>
        <v>11</v>
      </c>
      <c r="S2106" s="352"/>
      <c r="T2106" s="352"/>
      <c r="U2106" s="352"/>
      <c r="V2106" s="353"/>
      <c r="W2106" s="352"/>
      <c r="X2106" s="176"/>
      <c r="Y2106" s="176"/>
      <c r="Z2106" s="352"/>
      <c r="AA2106" s="352"/>
      <c r="AB2106" s="352"/>
      <c r="AC2106" s="352"/>
      <c r="AD2106" s="352"/>
    </row>
    <row r="2107" spans="1:30" ht="141" hidden="1" x14ac:dyDescent="0.35">
      <c r="A2107" s="349">
        <v>2106</v>
      </c>
      <c r="B2107" s="352" t="s">
        <v>3582</v>
      </c>
      <c r="C2107" s="351" t="s">
        <v>4579</v>
      </c>
      <c r="D2107" s="352" t="s">
        <v>991</v>
      </c>
      <c r="E2107" s="352" t="s">
        <v>2129</v>
      </c>
      <c r="F2107" s="353">
        <v>163.52000000000001</v>
      </c>
      <c r="G2107" s="352" t="s">
        <v>2126</v>
      </c>
      <c r="H2107" s="176" t="s">
        <v>71</v>
      </c>
      <c r="I2107" s="176" t="s">
        <v>4472</v>
      </c>
      <c r="J2107" s="352" t="s">
        <v>3579</v>
      </c>
      <c r="K2107" s="352">
        <v>10</v>
      </c>
      <c r="L2107" s="352" t="s">
        <v>1116</v>
      </c>
      <c r="M2107" s="352">
        <v>100</v>
      </c>
      <c r="N2107" s="352" t="s">
        <v>1109</v>
      </c>
      <c r="O2107" s="351">
        <v>10</v>
      </c>
      <c r="P2107" s="349" t="s">
        <v>1836</v>
      </c>
      <c r="R2107" s="349">
        <f t="shared" si="32"/>
        <v>11</v>
      </c>
      <c r="S2107" s="352"/>
      <c r="T2107" s="352"/>
      <c r="U2107" s="352"/>
      <c r="V2107" s="353"/>
      <c r="W2107" s="352"/>
      <c r="X2107" s="176"/>
      <c r="Y2107" s="176"/>
      <c r="Z2107" s="352"/>
      <c r="AA2107" s="352"/>
      <c r="AB2107" s="352"/>
      <c r="AC2107" s="352"/>
      <c r="AD2107" s="352"/>
    </row>
    <row r="2108" spans="1:30" ht="25.65" hidden="1" x14ac:dyDescent="0.35">
      <c r="A2108" s="349">
        <v>2107</v>
      </c>
      <c r="B2108" s="352" t="s">
        <v>1442</v>
      </c>
      <c r="C2108" s="351" t="s">
        <v>4173</v>
      </c>
      <c r="D2108" s="352" t="s">
        <v>4173</v>
      </c>
      <c r="E2108" s="352" t="s">
        <v>1443</v>
      </c>
      <c r="F2108" s="353">
        <v>3</v>
      </c>
      <c r="G2108" s="352" t="s">
        <v>1107</v>
      </c>
      <c r="H2108" s="176"/>
      <c r="I2108" s="176" t="s">
        <v>3570</v>
      </c>
      <c r="J2108" s="352" t="s">
        <v>1108</v>
      </c>
      <c r="K2108" s="351">
        <v>3.6</v>
      </c>
      <c r="L2108" s="351" t="s">
        <v>470</v>
      </c>
      <c r="M2108" s="352">
        <v>100</v>
      </c>
      <c r="N2108" s="352" t="s">
        <v>1109</v>
      </c>
      <c r="O2108" s="351">
        <v>3.6</v>
      </c>
      <c r="P2108" s="349" t="s">
        <v>1838</v>
      </c>
      <c r="R2108" s="349">
        <f t="shared" si="32"/>
        <v>10</v>
      </c>
      <c r="S2108" s="352"/>
      <c r="T2108" s="352"/>
      <c r="U2108" s="352"/>
      <c r="V2108" s="353"/>
      <c r="W2108" s="352"/>
      <c r="X2108" s="176"/>
      <c r="Y2108" s="37"/>
      <c r="Z2108" s="352"/>
      <c r="AA2108" s="352"/>
      <c r="AB2108" s="352"/>
      <c r="AC2108" s="351"/>
      <c r="AD2108" s="351"/>
    </row>
    <row r="2109" spans="1:30" ht="25.65" hidden="1" x14ac:dyDescent="0.35">
      <c r="A2109" s="349">
        <v>2108</v>
      </c>
      <c r="B2109" s="352" t="s">
        <v>1442</v>
      </c>
      <c r="C2109" s="351" t="s">
        <v>4580</v>
      </c>
      <c r="D2109" s="352" t="s">
        <v>4173</v>
      </c>
      <c r="E2109" s="352" t="s">
        <v>1443</v>
      </c>
      <c r="F2109" s="353">
        <v>3</v>
      </c>
      <c r="G2109" s="352" t="s">
        <v>1107</v>
      </c>
      <c r="H2109" s="176"/>
      <c r="I2109" s="176" t="s">
        <v>3570</v>
      </c>
      <c r="J2109" s="352" t="s">
        <v>1108</v>
      </c>
      <c r="K2109" s="351">
        <v>3.6</v>
      </c>
      <c r="L2109" s="351" t="s">
        <v>470</v>
      </c>
      <c r="M2109" s="352">
        <v>100</v>
      </c>
      <c r="N2109" s="352" t="s">
        <v>1109</v>
      </c>
      <c r="O2109" s="351">
        <v>3.6</v>
      </c>
      <c r="P2109" s="349" t="s">
        <v>1838</v>
      </c>
      <c r="R2109" s="349">
        <f t="shared" si="32"/>
        <v>10</v>
      </c>
      <c r="S2109" s="352"/>
      <c r="T2109" s="352"/>
      <c r="U2109" s="352"/>
      <c r="V2109" s="353"/>
      <c r="W2109" s="352"/>
      <c r="X2109" s="176"/>
      <c r="Y2109" s="176"/>
      <c r="Z2109" s="352"/>
      <c r="AA2109" s="352"/>
      <c r="AB2109" s="352"/>
      <c r="AC2109" s="352"/>
      <c r="AD2109" s="352"/>
    </row>
    <row r="2110" spans="1:30" ht="38.450000000000003" hidden="1" x14ac:dyDescent="0.35">
      <c r="A2110" s="349">
        <v>2109</v>
      </c>
      <c r="B2110" s="352" t="s">
        <v>3208</v>
      </c>
      <c r="C2110" s="351" t="s">
        <v>4174</v>
      </c>
      <c r="D2110" s="352" t="s">
        <v>4174</v>
      </c>
      <c r="E2110" s="352" t="s">
        <v>3104</v>
      </c>
      <c r="F2110" s="353">
        <v>1.0578000000000001</v>
      </c>
      <c r="G2110" s="352" t="s">
        <v>34</v>
      </c>
      <c r="H2110" s="176" t="s">
        <v>2919</v>
      </c>
      <c r="I2110" s="176" t="s">
        <v>3262</v>
      </c>
      <c r="J2110" s="352" t="s">
        <v>3105</v>
      </c>
      <c r="K2110" s="352">
        <v>5</v>
      </c>
      <c r="L2110" s="352" t="s">
        <v>1116</v>
      </c>
      <c r="M2110" s="352">
        <v>0.5</v>
      </c>
      <c r="N2110" s="352" t="s">
        <v>1109</v>
      </c>
      <c r="O2110" s="351">
        <v>5</v>
      </c>
      <c r="P2110" s="349" t="s">
        <v>1836</v>
      </c>
      <c r="R2110" s="349">
        <f t="shared" si="32"/>
        <v>11</v>
      </c>
      <c r="S2110" s="352"/>
      <c r="T2110" s="352"/>
      <c r="U2110" s="352"/>
      <c r="V2110" s="353"/>
      <c r="W2110" s="352"/>
      <c r="X2110" s="176"/>
      <c r="Y2110" s="176"/>
      <c r="Z2110" s="352"/>
      <c r="AA2110" s="352"/>
      <c r="AB2110" s="352"/>
      <c r="AC2110" s="352"/>
      <c r="AD2110" s="352"/>
    </row>
    <row r="2111" spans="1:30" ht="38.450000000000003" hidden="1" x14ac:dyDescent="0.35">
      <c r="A2111" s="349">
        <v>2110</v>
      </c>
      <c r="B2111" s="352" t="s">
        <v>3208</v>
      </c>
      <c r="C2111" s="351" t="s">
        <v>4581</v>
      </c>
      <c r="D2111" s="352" t="s">
        <v>4174</v>
      </c>
      <c r="E2111" s="352" t="s">
        <v>3104</v>
      </c>
      <c r="F2111" s="353">
        <v>1.0578000000000001</v>
      </c>
      <c r="G2111" s="352" t="s">
        <v>34</v>
      </c>
      <c r="H2111" s="176" t="s">
        <v>2919</v>
      </c>
      <c r="I2111" s="176" t="s">
        <v>3262</v>
      </c>
      <c r="J2111" s="352" t="s">
        <v>3105</v>
      </c>
      <c r="K2111" s="352">
        <v>5</v>
      </c>
      <c r="L2111" s="352" t="s">
        <v>1116</v>
      </c>
      <c r="M2111" s="352">
        <v>0.5</v>
      </c>
      <c r="N2111" s="352" t="s">
        <v>1109</v>
      </c>
      <c r="O2111" s="351">
        <v>5</v>
      </c>
      <c r="P2111" s="349" t="s">
        <v>1836</v>
      </c>
      <c r="R2111" s="349">
        <f t="shared" si="32"/>
        <v>11</v>
      </c>
      <c r="S2111" s="352"/>
      <c r="T2111" s="352"/>
      <c r="U2111" s="352"/>
      <c r="V2111" s="353"/>
      <c r="W2111" s="352"/>
      <c r="X2111" s="176"/>
      <c r="Y2111" s="37"/>
      <c r="Z2111" s="352"/>
      <c r="AA2111" s="352"/>
      <c r="AB2111" s="352"/>
      <c r="AC2111" s="351"/>
      <c r="AD2111" s="351"/>
    </row>
    <row r="2112" spans="1:30" hidden="1" x14ac:dyDescent="0.35">
      <c r="A2112" s="349">
        <v>2111</v>
      </c>
      <c r="B2112" s="352" t="s">
        <v>4175</v>
      </c>
      <c r="C2112" s="351" t="s">
        <v>4176</v>
      </c>
      <c r="D2112" s="352" t="s">
        <v>4176</v>
      </c>
      <c r="E2112" s="352" t="s">
        <v>767</v>
      </c>
      <c r="F2112" s="353">
        <v>24.6816</v>
      </c>
      <c r="G2112" s="352" t="s">
        <v>603</v>
      </c>
      <c r="H2112" s="176" t="s">
        <v>1965</v>
      </c>
      <c r="I2112" s="176" t="s">
        <v>2553</v>
      </c>
      <c r="J2112" s="352" t="s">
        <v>1115</v>
      </c>
      <c r="K2112" s="352"/>
      <c r="L2112" s="352"/>
      <c r="M2112" s="351">
        <v>1</v>
      </c>
      <c r="N2112" s="351" t="s">
        <v>1109</v>
      </c>
      <c r="O2112" s="351">
        <v>0</v>
      </c>
      <c r="P2112" s="349" t="s">
        <v>1837</v>
      </c>
      <c r="R2112" s="349">
        <f t="shared" si="32"/>
        <v>11</v>
      </c>
      <c r="S2112" s="352"/>
      <c r="T2112" s="352"/>
      <c r="U2112" s="352"/>
      <c r="V2112" s="353"/>
      <c r="W2112" s="352"/>
      <c r="X2112" s="176"/>
      <c r="Y2112" s="176"/>
      <c r="Z2112" s="352"/>
      <c r="AA2112" s="352"/>
      <c r="AB2112" s="352"/>
      <c r="AC2112" s="352"/>
      <c r="AD2112" s="352"/>
    </row>
    <row r="2113" spans="1:30" hidden="1" x14ac:dyDescent="0.35">
      <c r="A2113" s="349">
        <v>2112</v>
      </c>
      <c r="B2113" s="352" t="s">
        <v>4175</v>
      </c>
      <c r="C2113" s="351" t="s">
        <v>4582</v>
      </c>
      <c r="D2113" s="352" t="s">
        <v>4176</v>
      </c>
      <c r="E2113" s="352" t="s">
        <v>767</v>
      </c>
      <c r="F2113" s="353">
        <v>24.6816</v>
      </c>
      <c r="G2113" s="352" t="s">
        <v>603</v>
      </c>
      <c r="H2113" s="176" t="s">
        <v>1965</v>
      </c>
      <c r="I2113" s="176" t="s">
        <v>2553</v>
      </c>
      <c r="J2113" s="352" t="s">
        <v>1115</v>
      </c>
      <c r="K2113" s="352"/>
      <c r="L2113" s="352"/>
      <c r="M2113" s="351">
        <v>1</v>
      </c>
      <c r="N2113" s="351" t="s">
        <v>1109</v>
      </c>
      <c r="O2113" s="351">
        <v>0</v>
      </c>
      <c r="P2113" s="349" t="s">
        <v>1837</v>
      </c>
      <c r="R2113" s="349">
        <f t="shared" si="32"/>
        <v>11</v>
      </c>
      <c r="S2113" s="352"/>
      <c r="T2113" s="352"/>
      <c r="U2113" s="352"/>
      <c r="V2113" s="353"/>
      <c r="W2113" s="352"/>
      <c r="X2113" s="176"/>
      <c r="Y2113" s="176"/>
      <c r="Z2113" s="352"/>
      <c r="AA2113" s="352"/>
      <c r="AB2113" s="352"/>
      <c r="AC2113" s="352"/>
      <c r="AD2113" s="352"/>
    </row>
    <row r="2114" spans="1:30" ht="102.55" hidden="1" x14ac:dyDescent="0.35">
      <c r="A2114" s="349">
        <v>2113</v>
      </c>
      <c r="B2114" s="352" t="s">
        <v>1610</v>
      </c>
      <c r="C2114" s="351" t="s">
        <v>4583</v>
      </c>
      <c r="D2114" s="352" t="s">
        <v>983</v>
      </c>
      <c r="E2114" s="352" t="s">
        <v>2027</v>
      </c>
      <c r="F2114" s="353">
        <v>0.51</v>
      </c>
      <c r="G2114" s="352" t="s">
        <v>2126</v>
      </c>
      <c r="H2114" s="176" t="s">
        <v>3816</v>
      </c>
      <c r="I2114" s="176" t="s">
        <v>5086</v>
      </c>
      <c r="J2114" s="352" t="s">
        <v>3329</v>
      </c>
      <c r="K2114" s="352">
        <v>1</v>
      </c>
      <c r="L2114" s="352" t="s">
        <v>2057</v>
      </c>
      <c r="M2114" s="352"/>
      <c r="N2114" s="352"/>
      <c r="O2114" s="351">
        <v>1</v>
      </c>
      <c r="P2114" s="349" t="s">
        <v>818</v>
      </c>
      <c r="R2114" s="349">
        <f t="shared" si="32"/>
        <v>10</v>
      </c>
      <c r="S2114" s="352"/>
      <c r="T2114" s="352"/>
      <c r="U2114" s="352"/>
      <c r="V2114" s="353"/>
      <c r="W2114" s="352"/>
      <c r="X2114" s="176"/>
      <c r="Y2114" s="176"/>
      <c r="Z2114" s="352"/>
      <c r="AA2114" s="352"/>
      <c r="AB2114" s="352"/>
      <c r="AC2114" s="352"/>
      <c r="AD2114" s="352"/>
    </row>
    <row r="2115" spans="1:30" ht="102.55" hidden="1" x14ac:dyDescent="0.35">
      <c r="A2115" s="349">
        <v>2114</v>
      </c>
      <c r="B2115" s="352" t="s">
        <v>1610</v>
      </c>
      <c r="C2115" s="351" t="s">
        <v>4583</v>
      </c>
      <c r="D2115" s="352" t="s">
        <v>983</v>
      </c>
      <c r="E2115" s="352" t="s">
        <v>107</v>
      </c>
      <c r="F2115" s="353">
        <v>25.7393</v>
      </c>
      <c r="G2115" s="352" t="s">
        <v>2126</v>
      </c>
      <c r="H2115" s="176" t="s">
        <v>3816</v>
      </c>
      <c r="I2115" s="176" t="s">
        <v>5086</v>
      </c>
      <c r="J2115" s="352" t="s">
        <v>3329</v>
      </c>
      <c r="K2115" s="352">
        <v>200</v>
      </c>
      <c r="L2115" s="352" t="s">
        <v>1116</v>
      </c>
      <c r="M2115" s="352">
        <v>250</v>
      </c>
      <c r="N2115" s="352" t="s">
        <v>1109</v>
      </c>
      <c r="O2115" s="351">
        <v>200</v>
      </c>
      <c r="P2115" s="349" t="s">
        <v>1836</v>
      </c>
      <c r="R2115" s="349">
        <f t="shared" ref="R2115:R2178" si="33">LEN(D2115)</f>
        <v>10</v>
      </c>
      <c r="S2115" s="352"/>
      <c r="T2115" s="352"/>
      <c r="U2115" s="352"/>
      <c r="V2115" s="353"/>
      <c r="W2115" s="352"/>
      <c r="X2115" s="176"/>
      <c r="Y2115" s="176"/>
      <c r="Z2115" s="352"/>
      <c r="AA2115" s="352"/>
      <c r="AB2115" s="352"/>
      <c r="AC2115" s="352"/>
      <c r="AD2115" s="352"/>
    </row>
    <row r="2116" spans="1:30" ht="102.55" hidden="1" x14ac:dyDescent="0.35">
      <c r="A2116" s="349">
        <v>2115</v>
      </c>
      <c r="B2116" s="352" t="s">
        <v>1610</v>
      </c>
      <c r="C2116" s="351" t="s">
        <v>4583</v>
      </c>
      <c r="D2116" s="352" t="s">
        <v>983</v>
      </c>
      <c r="E2116" s="352" t="s">
        <v>1995</v>
      </c>
      <c r="F2116" s="353">
        <v>0.73</v>
      </c>
      <c r="G2116" s="352" t="s">
        <v>2126</v>
      </c>
      <c r="H2116" s="176" t="s">
        <v>3816</v>
      </c>
      <c r="I2116" s="176" t="s">
        <v>5086</v>
      </c>
      <c r="J2116" s="352" t="s">
        <v>3580</v>
      </c>
      <c r="K2116" s="352">
        <v>1</v>
      </c>
      <c r="L2116" s="352" t="s">
        <v>2039</v>
      </c>
      <c r="M2116" s="352"/>
      <c r="N2116" s="352"/>
      <c r="O2116" s="351">
        <v>1</v>
      </c>
      <c r="P2116" s="349" t="s">
        <v>818</v>
      </c>
      <c r="R2116" s="349">
        <f t="shared" si="33"/>
        <v>10</v>
      </c>
      <c r="S2116" s="352"/>
      <c r="T2116" s="352"/>
      <c r="U2116" s="352"/>
      <c r="V2116" s="353"/>
      <c r="W2116" s="352"/>
      <c r="X2116" s="176"/>
      <c r="Y2116" s="176"/>
      <c r="Z2116" s="352"/>
      <c r="AA2116" s="351"/>
      <c r="AB2116" s="351"/>
      <c r="AC2116" s="352"/>
      <c r="AD2116" s="352"/>
    </row>
    <row r="2117" spans="1:30" ht="38.450000000000003" hidden="1" x14ac:dyDescent="0.35">
      <c r="A2117" s="349">
        <v>2116</v>
      </c>
      <c r="B2117" s="352" t="s">
        <v>4027</v>
      </c>
      <c r="C2117" s="351" t="s">
        <v>4584</v>
      </c>
      <c r="D2117" s="352" t="s">
        <v>4129</v>
      </c>
      <c r="E2117" s="352" t="s">
        <v>1997</v>
      </c>
      <c r="F2117" s="353">
        <v>24.3</v>
      </c>
      <c r="G2117" s="352" t="s">
        <v>1107</v>
      </c>
      <c r="H2117" s="176" t="s">
        <v>2045</v>
      </c>
      <c r="I2117" s="176" t="s">
        <v>4332</v>
      </c>
      <c r="J2117" s="352" t="s">
        <v>1115</v>
      </c>
      <c r="K2117" s="352">
        <v>2</v>
      </c>
      <c r="L2117" s="352" t="s">
        <v>1464</v>
      </c>
      <c r="M2117" s="352"/>
      <c r="N2117" s="352"/>
      <c r="O2117" s="351">
        <v>2</v>
      </c>
      <c r="P2117" s="349" t="s">
        <v>1836</v>
      </c>
      <c r="R2117" s="349">
        <f t="shared" si="33"/>
        <v>12</v>
      </c>
      <c r="S2117" s="352"/>
      <c r="T2117" s="352"/>
      <c r="U2117" s="352"/>
      <c r="V2117" s="353"/>
      <c r="W2117" s="352"/>
      <c r="X2117" s="176"/>
      <c r="Y2117" s="176"/>
      <c r="Z2117" s="352"/>
      <c r="AA2117" s="351"/>
      <c r="AB2117" s="351"/>
      <c r="AC2117" s="352"/>
      <c r="AD2117" s="352"/>
    </row>
    <row r="2118" spans="1:30" ht="25.65" hidden="1" x14ac:dyDescent="0.35">
      <c r="A2118" s="349">
        <v>2117</v>
      </c>
      <c r="B2118" s="352" t="s">
        <v>760</v>
      </c>
      <c r="C2118" s="351" t="s">
        <v>4585</v>
      </c>
      <c r="D2118" s="352" t="s">
        <v>4099</v>
      </c>
      <c r="E2118" s="352" t="s">
        <v>1069</v>
      </c>
      <c r="F2118" s="353">
        <v>8.7486999999999995</v>
      </c>
      <c r="G2118" s="352" t="s">
        <v>34</v>
      </c>
      <c r="H2118" s="176" t="s">
        <v>3821</v>
      </c>
      <c r="I2118" s="176"/>
      <c r="J2118" s="352" t="s">
        <v>35</v>
      </c>
      <c r="K2118" s="352">
        <v>5</v>
      </c>
      <c r="L2118" s="352" t="s">
        <v>30</v>
      </c>
      <c r="M2118" s="352">
        <v>5</v>
      </c>
      <c r="N2118" s="352" t="s">
        <v>31</v>
      </c>
      <c r="O2118" s="351">
        <v>5</v>
      </c>
      <c r="P2118" s="349" t="s">
        <v>1836</v>
      </c>
      <c r="R2118" s="349">
        <f t="shared" si="33"/>
        <v>11</v>
      </c>
      <c r="S2118" s="352"/>
      <c r="T2118" s="352"/>
      <c r="U2118" s="352"/>
      <c r="V2118" s="353"/>
      <c r="W2118" s="352"/>
      <c r="X2118" s="176"/>
      <c r="Y2118" s="176"/>
      <c r="Z2118" s="352"/>
      <c r="AA2118" s="352"/>
      <c r="AB2118" s="352"/>
      <c r="AC2118" s="352"/>
      <c r="AD2118" s="352"/>
    </row>
    <row r="2119" spans="1:30" ht="230.7" hidden="1" x14ac:dyDescent="0.35">
      <c r="A2119" s="349">
        <v>2118</v>
      </c>
      <c r="B2119" s="352" t="s">
        <v>746</v>
      </c>
      <c r="C2119" s="351" t="s">
        <v>4364</v>
      </c>
      <c r="D2119" s="352" t="s">
        <v>3345</v>
      </c>
      <c r="E2119" s="352" t="s">
        <v>2857</v>
      </c>
      <c r="F2119" s="353">
        <v>6.77</v>
      </c>
      <c r="G2119" s="352" t="s">
        <v>3119</v>
      </c>
      <c r="H2119" s="176" t="s">
        <v>3362</v>
      </c>
      <c r="I2119" s="176" t="s">
        <v>3346</v>
      </c>
      <c r="J2119" s="352" t="s">
        <v>828</v>
      </c>
      <c r="K2119" s="352">
        <v>623</v>
      </c>
      <c r="L2119" s="352" t="s">
        <v>1116</v>
      </c>
      <c r="M2119" s="352">
        <v>10</v>
      </c>
      <c r="N2119" s="352" t="s">
        <v>1109</v>
      </c>
      <c r="O2119" s="351">
        <v>623</v>
      </c>
      <c r="P2119" s="349" t="s">
        <v>1836</v>
      </c>
      <c r="R2119" s="349">
        <f t="shared" si="33"/>
        <v>9</v>
      </c>
      <c r="S2119" s="352"/>
      <c r="T2119" s="352"/>
      <c r="U2119" s="352"/>
      <c r="V2119" s="353"/>
      <c r="W2119" s="352"/>
      <c r="X2119" s="176"/>
      <c r="Y2119" s="176"/>
      <c r="Z2119" s="352"/>
      <c r="AA2119" s="352"/>
      <c r="AB2119" s="352"/>
      <c r="AC2119" s="352"/>
      <c r="AD2119" s="352"/>
    </row>
    <row r="2120" spans="1:30" ht="230.7" hidden="1" x14ac:dyDescent="0.35">
      <c r="A2120" s="349">
        <v>2119</v>
      </c>
      <c r="B2120" s="352" t="s">
        <v>746</v>
      </c>
      <c r="C2120" s="351" t="s">
        <v>4364</v>
      </c>
      <c r="D2120" s="352" t="s">
        <v>3345</v>
      </c>
      <c r="E2120" s="352" t="s">
        <v>1800</v>
      </c>
      <c r="F2120" s="353">
        <v>41.25</v>
      </c>
      <c r="G2120" s="352" t="s">
        <v>3119</v>
      </c>
      <c r="H2120" s="176" t="s">
        <v>3362</v>
      </c>
      <c r="I2120" s="176" t="s">
        <v>3346</v>
      </c>
      <c r="J2120" s="352" t="s">
        <v>828</v>
      </c>
      <c r="K2120" s="352">
        <v>623</v>
      </c>
      <c r="L2120" s="352" t="s">
        <v>1116</v>
      </c>
      <c r="M2120" s="351">
        <v>100</v>
      </c>
      <c r="N2120" s="351" t="s">
        <v>1109</v>
      </c>
      <c r="O2120" s="351">
        <v>623</v>
      </c>
      <c r="P2120" s="349" t="s">
        <v>1836</v>
      </c>
      <c r="R2120" s="349">
        <f t="shared" si="33"/>
        <v>9</v>
      </c>
      <c r="S2120" s="352"/>
      <c r="T2120" s="352"/>
      <c r="U2120" s="352"/>
      <c r="V2120" s="353"/>
      <c r="W2120" s="352"/>
      <c r="X2120" s="176"/>
      <c r="Y2120" s="176"/>
      <c r="Z2120" s="352"/>
      <c r="AA2120" s="352"/>
      <c r="AB2120" s="352"/>
      <c r="AC2120" s="352"/>
      <c r="AD2120" s="352"/>
    </row>
    <row r="2121" spans="1:30" ht="230.7" hidden="1" x14ac:dyDescent="0.35">
      <c r="A2121" s="349">
        <v>2120</v>
      </c>
      <c r="B2121" s="352" t="s">
        <v>746</v>
      </c>
      <c r="C2121" s="351" t="s">
        <v>4364</v>
      </c>
      <c r="D2121" s="352" t="s">
        <v>3345</v>
      </c>
      <c r="E2121" s="352" t="s">
        <v>780</v>
      </c>
      <c r="F2121" s="353">
        <v>8.8369</v>
      </c>
      <c r="G2121" s="352" t="s">
        <v>3119</v>
      </c>
      <c r="H2121" s="176" t="s">
        <v>3362</v>
      </c>
      <c r="I2121" s="176" t="s">
        <v>3346</v>
      </c>
      <c r="J2121" s="352" t="s">
        <v>828</v>
      </c>
      <c r="K2121" s="352">
        <v>623</v>
      </c>
      <c r="L2121" s="352" t="s">
        <v>1116</v>
      </c>
      <c r="M2121" s="351">
        <v>20</v>
      </c>
      <c r="N2121" s="351" t="s">
        <v>1109</v>
      </c>
      <c r="O2121" s="351">
        <v>623</v>
      </c>
      <c r="P2121" s="349" t="s">
        <v>1836</v>
      </c>
      <c r="R2121" s="349">
        <f t="shared" si="33"/>
        <v>9</v>
      </c>
      <c r="S2121" s="352"/>
      <c r="T2121" s="352"/>
      <c r="U2121" s="352"/>
      <c r="V2121" s="353"/>
      <c r="W2121" s="352"/>
      <c r="X2121" s="176"/>
      <c r="Y2121" s="176"/>
      <c r="Z2121" s="352"/>
      <c r="AA2121" s="352"/>
      <c r="AB2121" s="352"/>
      <c r="AC2121" s="352"/>
      <c r="AD2121" s="352"/>
    </row>
    <row r="2122" spans="1:30" ht="230.7" hidden="1" x14ac:dyDescent="0.35">
      <c r="A2122" s="349">
        <v>2121</v>
      </c>
      <c r="B2122" s="352" t="s">
        <v>746</v>
      </c>
      <c r="C2122" s="351" t="s">
        <v>4364</v>
      </c>
      <c r="D2122" s="352" t="s">
        <v>3345</v>
      </c>
      <c r="E2122" s="352" t="s">
        <v>3120</v>
      </c>
      <c r="F2122" s="353">
        <v>21.13</v>
      </c>
      <c r="G2122" s="352" t="s">
        <v>3119</v>
      </c>
      <c r="H2122" s="176" t="s">
        <v>3362</v>
      </c>
      <c r="I2122" s="176" t="s">
        <v>3346</v>
      </c>
      <c r="J2122" s="352" t="s">
        <v>828</v>
      </c>
      <c r="K2122" s="352">
        <v>623</v>
      </c>
      <c r="L2122" s="352" t="s">
        <v>1116</v>
      </c>
      <c r="M2122" s="351">
        <v>50</v>
      </c>
      <c r="N2122" s="351" t="s">
        <v>1109</v>
      </c>
      <c r="O2122" s="351">
        <v>623</v>
      </c>
      <c r="P2122" s="349" t="s">
        <v>1836</v>
      </c>
      <c r="R2122" s="349">
        <f t="shared" si="33"/>
        <v>9</v>
      </c>
      <c r="S2122" s="352"/>
      <c r="T2122" s="352"/>
      <c r="U2122" s="352"/>
      <c r="V2122" s="353"/>
      <c r="W2122" s="352"/>
      <c r="X2122" s="176"/>
      <c r="Y2122" s="176"/>
      <c r="Z2122" s="352"/>
      <c r="AA2122" s="352"/>
      <c r="AB2122" s="352"/>
      <c r="AC2122" s="351"/>
      <c r="AD2122" s="351"/>
    </row>
    <row r="2123" spans="1:30" ht="25.65" hidden="1" x14ac:dyDescent="0.35">
      <c r="A2123" s="349">
        <v>2122</v>
      </c>
      <c r="B2123" s="352" t="s">
        <v>746</v>
      </c>
      <c r="C2123" s="351" t="s">
        <v>4365</v>
      </c>
      <c r="D2123" s="352" t="s">
        <v>2924</v>
      </c>
      <c r="E2123" s="352" t="s">
        <v>747</v>
      </c>
      <c r="F2123" s="353">
        <v>30.543399999999998</v>
      </c>
      <c r="G2123" s="352" t="s">
        <v>748</v>
      </c>
      <c r="H2123" s="176" t="s">
        <v>3005</v>
      </c>
      <c r="I2123" s="176" t="s">
        <v>1794</v>
      </c>
      <c r="J2123" s="352" t="s">
        <v>1115</v>
      </c>
      <c r="K2123" s="352">
        <v>30</v>
      </c>
      <c r="L2123" s="352" t="s">
        <v>470</v>
      </c>
      <c r="M2123" s="351">
        <v>250</v>
      </c>
      <c r="N2123" s="351" t="s">
        <v>1109</v>
      </c>
      <c r="O2123" s="351">
        <v>30</v>
      </c>
      <c r="P2123" s="349" t="s">
        <v>1838</v>
      </c>
      <c r="R2123" s="349">
        <f t="shared" si="33"/>
        <v>17</v>
      </c>
      <c r="S2123" s="352"/>
      <c r="T2123" s="352"/>
      <c r="U2123" s="352"/>
      <c r="V2123" s="353"/>
      <c r="W2123" s="352"/>
      <c r="X2123" s="176"/>
      <c r="Y2123" s="176"/>
      <c r="Z2123" s="352"/>
      <c r="AA2123" s="352"/>
      <c r="AB2123" s="352"/>
      <c r="AC2123" s="351"/>
      <c r="AD2123" s="351"/>
    </row>
    <row r="2124" spans="1:30" ht="179.45" hidden="1" x14ac:dyDescent="0.35">
      <c r="A2124" s="349">
        <v>2123</v>
      </c>
      <c r="B2124" s="352" t="s">
        <v>604</v>
      </c>
      <c r="C2124" s="351" t="s">
        <v>936</v>
      </c>
      <c r="D2124" s="352" t="s">
        <v>936</v>
      </c>
      <c r="E2124" s="352" t="s">
        <v>1997</v>
      </c>
      <c r="F2124" s="353">
        <v>44.56</v>
      </c>
      <c r="G2124" s="352" t="s">
        <v>1107</v>
      </c>
      <c r="H2124" s="176" t="s">
        <v>3022</v>
      </c>
      <c r="I2124" s="176" t="s">
        <v>4597</v>
      </c>
      <c r="J2124" s="352" t="s">
        <v>1115</v>
      </c>
      <c r="K2124" s="352">
        <v>50000</v>
      </c>
      <c r="L2124" s="352" t="s">
        <v>2069</v>
      </c>
      <c r="M2124" s="352"/>
      <c r="N2124" s="352"/>
      <c r="O2124" s="351">
        <v>50000</v>
      </c>
      <c r="P2124" s="349" t="s">
        <v>2030</v>
      </c>
      <c r="R2124" s="349">
        <f t="shared" si="33"/>
        <v>9</v>
      </c>
      <c r="S2124" s="352"/>
      <c r="T2124" s="352"/>
      <c r="U2124" s="352"/>
      <c r="V2124" s="353"/>
      <c r="W2124" s="352"/>
      <c r="X2124" s="176"/>
      <c r="Y2124" s="176"/>
      <c r="Z2124" s="352"/>
      <c r="AA2124" s="352"/>
      <c r="AB2124" s="352"/>
      <c r="AC2124" s="351"/>
      <c r="AD2124" s="351"/>
    </row>
    <row r="2125" spans="1:30" ht="179.45" hidden="1" x14ac:dyDescent="0.35">
      <c r="A2125" s="349">
        <v>2124</v>
      </c>
      <c r="B2125" s="352" t="s">
        <v>604</v>
      </c>
      <c r="C2125" s="351" t="s">
        <v>936</v>
      </c>
      <c r="D2125" s="352" t="s">
        <v>936</v>
      </c>
      <c r="E2125" s="352" t="s">
        <v>1997</v>
      </c>
      <c r="F2125" s="353">
        <v>179.977</v>
      </c>
      <c r="G2125" s="352" t="s">
        <v>1107</v>
      </c>
      <c r="H2125" s="176" t="s">
        <v>3022</v>
      </c>
      <c r="I2125" s="37" t="s">
        <v>4597</v>
      </c>
      <c r="J2125" s="352" t="s">
        <v>1115</v>
      </c>
      <c r="K2125" s="352">
        <v>250000</v>
      </c>
      <c r="L2125" s="352" t="s">
        <v>2069</v>
      </c>
      <c r="M2125" s="352"/>
      <c r="N2125" s="352"/>
      <c r="O2125" s="351">
        <v>250000</v>
      </c>
      <c r="P2125" s="349" t="s">
        <v>2030</v>
      </c>
      <c r="R2125" s="349">
        <f t="shared" si="33"/>
        <v>9</v>
      </c>
      <c r="S2125" s="352"/>
      <c r="T2125" s="352"/>
      <c r="U2125" s="352"/>
      <c r="V2125" s="353"/>
      <c r="W2125" s="352"/>
      <c r="X2125" s="176"/>
      <c r="Y2125" s="176"/>
      <c r="Z2125" s="352"/>
      <c r="AA2125" s="352"/>
      <c r="AB2125" s="352"/>
      <c r="AC2125" s="352"/>
      <c r="AD2125" s="352"/>
    </row>
    <row r="2126" spans="1:30" ht="179.45" hidden="1" x14ac:dyDescent="0.35">
      <c r="A2126" s="349">
        <v>2125</v>
      </c>
      <c r="B2126" s="352" t="s">
        <v>604</v>
      </c>
      <c r="C2126" s="351" t="s">
        <v>936</v>
      </c>
      <c r="D2126" s="352" t="s">
        <v>936</v>
      </c>
      <c r="E2126" s="352" t="s">
        <v>1997</v>
      </c>
      <c r="F2126" s="353">
        <v>44.56</v>
      </c>
      <c r="G2126" s="352" t="s">
        <v>1107</v>
      </c>
      <c r="H2126" s="176" t="s">
        <v>3022</v>
      </c>
      <c r="I2126" s="37" t="s">
        <v>4597</v>
      </c>
      <c r="J2126" s="352" t="s">
        <v>1115</v>
      </c>
      <c r="K2126" s="352">
        <v>50000</v>
      </c>
      <c r="L2126" s="352" t="s">
        <v>2069</v>
      </c>
      <c r="M2126" s="352"/>
      <c r="N2126" s="352"/>
      <c r="O2126" s="351">
        <v>50000</v>
      </c>
      <c r="P2126" s="349" t="s">
        <v>2030</v>
      </c>
      <c r="R2126" s="349">
        <f t="shared" si="33"/>
        <v>9</v>
      </c>
      <c r="S2126" s="352"/>
      <c r="T2126" s="352"/>
      <c r="U2126" s="352"/>
      <c r="V2126" s="353"/>
      <c r="W2126" s="352"/>
      <c r="X2126" s="176"/>
      <c r="Y2126" s="176"/>
      <c r="Z2126" s="352"/>
      <c r="AA2126" s="352"/>
      <c r="AB2126" s="352"/>
      <c r="AC2126" s="352"/>
      <c r="AD2126" s="352"/>
    </row>
    <row r="2127" spans="1:30" ht="179.45" hidden="1" x14ac:dyDescent="0.35">
      <c r="A2127" s="349">
        <v>2126</v>
      </c>
      <c r="B2127" s="352" t="s">
        <v>604</v>
      </c>
      <c r="C2127" s="351" t="s">
        <v>936</v>
      </c>
      <c r="D2127" s="352" t="s">
        <v>936</v>
      </c>
      <c r="E2127" s="352" t="s">
        <v>1997</v>
      </c>
      <c r="F2127" s="353">
        <v>179.977</v>
      </c>
      <c r="G2127" s="352" t="s">
        <v>1107</v>
      </c>
      <c r="H2127" s="176" t="s">
        <v>3022</v>
      </c>
      <c r="I2127" s="37" t="s">
        <v>4597</v>
      </c>
      <c r="J2127" s="352" t="s">
        <v>1115</v>
      </c>
      <c r="K2127" s="352">
        <v>250000</v>
      </c>
      <c r="L2127" s="352" t="s">
        <v>2069</v>
      </c>
      <c r="M2127" s="352"/>
      <c r="N2127" s="352"/>
      <c r="O2127" s="351">
        <v>250000</v>
      </c>
      <c r="P2127" s="349" t="s">
        <v>2030</v>
      </c>
      <c r="R2127" s="349">
        <f t="shared" si="33"/>
        <v>9</v>
      </c>
      <c r="S2127" s="352"/>
      <c r="T2127" s="352"/>
      <c r="U2127" s="352"/>
      <c r="V2127" s="353"/>
      <c r="W2127" s="352"/>
      <c r="X2127" s="176"/>
      <c r="Y2127" s="176"/>
      <c r="Z2127" s="352"/>
      <c r="AA2127" s="352"/>
      <c r="AB2127" s="352"/>
      <c r="AC2127" s="352"/>
      <c r="AD2127" s="352"/>
    </row>
    <row r="2128" spans="1:30" ht="102.55" hidden="1" x14ac:dyDescent="0.35">
      <c r="A2128" s="349">
        <v>2127</v>
      </c>
      <c r="B2128" s="352" t="s">
        <v>1113</v>
      </c>
      <c r="C2128" s="351" t="s">
        <v>4366</v>
      </c>
      <c r="D2128" s="352" t="s">
        <v>614</v>
      </c>
      <c r="E2128" s="352" t="s">
        <v>2738</v>
      </c>
      <c r="F2128" s="353">
        <v>1.87</v>
      </c>
      <c r="G2128" s="352" t="s">
        <v>1107</v>
      </c>
      <c r="H2128" s="176" t="s">
        <v>3218</v>
      </c>
      <c r="I2128" s="37" t="s">
        <v>4136</v>
      </c>
      <c r="J2128" s="352" t="s">
        <v>828</v>
      </c>
      <c r="K2128" s="352">
        <v>100</v>
      </c>
      <c r="L2128" s="352" t="s">
        <v>1116</v>
      </c>
      <c r="M2128" s="352">
        <v>4</v>
      </c>
      <c r="N2128" s="352" t="s">
        <v>1109</v>
      </c>
      <c r="O2128" s="351">
        <v>100</v>
      </c>
      <c r="P2128" s="349" t="s">
        <v>1836</v>
      </c>
      <c r="R2128" s="349">
        <f t="shared" si="33"/>
        <v>25</v>
      </c>
      <c r="S2128" s="352"/>
      <c r="T2128" s="352"/>
      <c r="U2128" s="352"/>
      <c r="V2128" s="353"/>
      <c r="W2128" s="352"/>
      <c r="X2128" s="176"/>
      <c r="Y2128" s="176"/>
      <c r="Z2128" s="352"/>
      <c r="AA2128" s="352"/>
      <c r="AB2128" s="352"/>
      <c r="AC2128" s="352"/>
      <c r="AD2128" s="352"/>
    </row>
    <row r="2129" spans="1:30" hidden="1" x14ac:dyDescent="0.35">
      <c r="A2129" s="349">
        <v>2128</v>
      </c>
      <c r="B2129" s="352" t="s">
        <v>466</v>
      </c>
      <c r="C2129" s="351" t="s">
        <v>4367</v>
      </c>
      <c r="D2129" s="352" t="s">
        <v>1403</v>
      </c>
      <c r="E2129" s="352" t="s">
        <v>105</v>
      </c>
      <c r="F2129" s="353">
        <v>3.13</v>
      </c>
      <c r="G2129" s="352" t="s">
        <v>151</v>
      </c>
      <c r="H2129" s="176" t="s">
        <v>937</v>
      </c>
      <c r="I2129" s="176" t="s">
        <v>2313</v>
      </c>
      <c r="J2129" s="352" t="s">
        <v>106</v>
      </c>
      <c r="K2129" s="352">
        <v>0.9</v>
      </c>
      <c r="L2129" s="352" t="s">
        <v>470</v>
      </c>
      <c r="M2129" s="351">
        <v>100</v>
      </c>
      <c r="N2129" s="351" t="s">
        <v>1109</v>
      </c>
      <c r="O2129" s="351">
        <v>0.9</v>
      </c>
      <c r="P2129" s="349" t="s">
        <v>1838</v>
      </c>
      <c r="R2129" s="349">
        <f t="shared" si="33"/>
        <v>20</v>
      </c>
      <c r="S2129" s="352"/>
      <c r="T2129" s="352"/>
      <c r="U2129" s="352"/>
      <c r="V2129" s="353"/>
      <c r="W2129" s="352"/>
      <c r="X2129" s="176"/>
      <c r="Y2129" s="176"/>
      <c r="Z2129" s="352"/>
      <c r="AA2129" s="352"/>
      <c r="AB2129" s="352"/>
      <c r="AC2129" s="352"/>
      <c r="AD2129" s="352"/>
    </row>
    <row r="2130" spans="1:30" hidden="1" x14ac:dyDescent="0.35">
      <c r="A2130" s="349">
        <v>2129</v>
      </c>
      <c r="B2130" s="352" t="s">
        <v>466</v>
      </c>
      <c r="C2130" s="351" t="s">
        <v>4367</v>
      </c>
      <c r="D2130" s="352" t="s">
        <v>1403</v>
      </c>
      <c r="E2130" s="352" t="s">
        <v>1487</v>
      </c>
      <c r="F2130" s="353">
        <v>3.31</v>
      </c>
      <c r="G2130" s="352" t="s">
        <v>151</v>
      </c>
      <c r="H2130" s="176" t="s">
        <v>937</v>
      </c>
      <c r="I2130" s="176" t="s">
        <v>2313</v>
      </c>
      <c r="J2130" s="352" t="s">
        <v>106</v>
      </c>
      <c r="K2130" s="352">
        <v>0.9</v>
      </c>
      <c r="L2130" s="352" t="s">
        <v>470</v>
      </c>
      <c r="M2130" s="351">
        <v>50</v>
      </c>
      <c r="N2130" s="351" t="s">
        <v>1109</v>
      </c>
      <c r="O2130" s="351">
        <v>0.9</v>
      </c>
      <c r="P2130" s="349" t="s">
        <v>1838</v>
      </c>
      <c r="R2130" s="349">
        <f t="shared" si="33"/>
        <v>20</v>
      </c>
      <c r="S2130" s="352"/>
      <c r="T2130" s="352"/>
      <c r="U2130" s="352"/>
      <c r="V2130" s="353"/>
      <c r="W2130" s="352"/>
      <c r="X2130" s="176"/>
      <c r="Y2130" s="176"/>
      <c r="Z2130" s="352"/>
      <c r="AA2130" s="352"/>
      <c r="AB2130" s="352"/>
      <c r="AC2130" s="352"/>
      <c r="AD2130" s="352"/>
    </row>
    <row r="2131" spans="1:30" hidden="1" x14ac:dyDescent="0.35">
      <c r="A2131" s="349">
        <v>2130</v>
      </c>
      <c r="B2131" s="352" t="s">
        <v>466</v>
      </c>
      <c r="C2131" s="351" t="s">
        <v>4367</v>
      </c>
      <c r="D2131" s="352" t="s">
        <v>1403</v>
      </c>
      <c r="E2131" s="352" t="s">
        <v>105</v>
      </c>
      <c r="F2131" s="353">
        <v>3.13</v>
      </c>
      <c r="G2131" s="352" t="s">
        <v>151</v>
      </c>
      <c r="H2131" s="176" t="s">
        <v>937</v>
      </c>
      <c r="I2131" s="176" t="s">
        <v>2313</v>
      </c>
      <c r="J2131" s="352" t="s">
        <v>106</v>
      </c>
      <c r="K2131" s="352">
        <v>0.9</v>
      </c>
      <c r="L2131" s="352" t="s">
        <v>470</v>
      </c>
      <c r="M2131" s="351">
        <v>100</v>
      </c>
      <c r="N2131" s="351" t="s">
        <v>1109</v>
      </c>
      <c r="O2131" s="351">
        <v>0.9</v>
      </c>
      <c r="P2131" s="349" t="s">
        <v>1838</v>
      </c>
      <c r="R2131" s="349">
        <f t="shared" si="33"/>
        <v>20</v>
      </c>
      <c r="S2131" s="352"/>
      <c r="T2131" s="352"/>
      <c r="U2131" s="352"/>
      <c r="V2131" s="353"/>
      <c r="W2131" s="352"/>
      <c r="X2131" s="176"/>
      <c r="Y2131" s="176"/>
      <c r="Z2131" s="352"/>
      <c r="AA2131" s="352"/>
      <c r="AB2131" s="352"/>
      <c r="AC2131" s="352"/>
      <c r="AD2131" s="352"/>
    </row>
    <row r="2132" spans="1:30" hidden="1" x14ac:dyDescent="0.35">
      <c r="A2132" s="349">
        <v>2131</v>
      </c>
      <c r="B2132" s="352" t="s">
        <v>466</v>
      </c>
      <c r="C2132" s="351" t="s">
        <v>4367</v>
      </c>
      <c r="D2132" s="352" t="s">
        <v>1403</v>
      </c>
      <c r="E2132" s="352" t="s">
        <v>1487</v>
      </c>
      <c r="F2132" s="353">
        <v>3.31</v>
      </c>
      <c r="G2132" s="352" t="s">
        <v>151</v>
      </c>
      <c r="H2132" s="176" t="s">
        <v>937</v>
      </c>
      <c r="I2132" s="176" t="s">
        <v>2313</v>
      </c>
      <c r="J2132" s="352" t="s">
        <v>106</v>
      </c>
      <c r="K2132" s="352">
        <v>0.9</v>
      </c>
      <c r="L2132" s="352" t="s">
        <v>470</v>
      </c>
      <c r="M2132" s="351">
        <v>50</v>
      </c>
      <c r="N2132" s="351" t="s">
        <v>1109</v>
      </c>
      <c r="O2132" s="351">
        <v>0.9</v>
      </c>
      <c r="P2132" s="349" t="s">
        <v>1838</v>
      </c>
      <c r="R2132" s="349">
        <f t="shared" si="33"/>
        <v>20</v>
      </c>
      <c r="S2132" s="352"/>
      <c r="T2132" s="352"/>
      <c r="U2132" s="352"/>
      <c r="V2132" s="353"/>
      <c r="W2132" s="352"/>
      <c r="X2132" s="176"/>
      <c r="Y2132" s="176"/>
      <c r="Z2132" s="352"/>
      <c r="AA2132" s="352"/>
      <c r="AB2132" s="352"/>
      <c r="AC2132" s="352"/>
      <c r="AD2132" s="352"/>
    </row>
    <row r="2133" spans="1:30" ht="141" hidden="1" x14ac:dyDescent="0.35">
      <c r="A2133" s="349">
        <v>2132</v>
      </c>
      <c r="B2133" s="352" t="s">
        <v>788</v>
      </c>
      <c r="C2133" s="351" t="s">
        <v>4368</v>
      </c>
      <c r="D2133" s="352" t="s">
        <v>1641</v>
      </c>
      <c r="E2133" s="352" t="s">
        <v>1995</v>
      </c>
      <c r="F2133" s="353">
        <v>0.66</v>
      </c>
      <c r="G2133" s="352" t="s">
        <v>2126</v>
      </c>
      <c r="H2133" s="176" t="s">
        <v>2826</v>
      </c>
      <c r="I2133" s="176" t="s">
        <v>5083</v>
      </c>
      <c r="J2133" s="352" t="s">
        <v>3580</v>
      </c>
      <c r="K2133" s="352">
        <v>50</v>
      </c>
      <c r="L2133" s="352" t="s">
        <v>3581</v>
      </c>
      <c r="M2133" s="351"/>
      <c r="N2133" s="351"/>
      <c r="O2133" s="351">
        <v>50</v>
      </c>
      <c r="P2133" s="349" t="s">
        <v>1836</v>
      </c>
      <c r="R2133" s="349">
        <f t="shared" si="33"/>
        <v>17</v>
      </c>
      <c r="S2133" s="352"/>
      <c r="T2133" s="352"/>
      <c r="U2133" s="352"/>
      <c r="V2133" s="353"/>
      <c r="W2133" s="352"/>
      <c r="X2133" s="176"/>
      <c r="Y2133" s="176"/>
      <c r="Z2133" s="352"/>
      <c r="AA2133" s="352"/>
      <c r="AB2133" s="352"/>
      <c r="AC2133" s="352"/>
      <c r="AD2133" s="352"/>
    </row>
    <row r="2134" spans="1:30" ht="141" hidden="1" x14ac:dyDescent="0.35">
      <c r="A2134" s="349">
        <v>2133</v>
      </c>
      <c r="B2134" s="352" t="s">
        <v>788</v>
      </c>
      <c r="C2134" s="351" t="s">
        <v>4368</v>
      </c>
      <c r="D2134" s="352" t="s">
        <v>1641</v>
      </c>
      <c r="E2134" s="352" t="s">
        <v>1995</v>
      </c>
      <c r="F2134" s="353">
        <v>2</v>
      </c>
      <c r="G2134" s="352" t="s">
        <v>2126</v>
      </c>
      <c r="H2134" s="176" t="s">
        <v>2826</v>
      </c>
      <c r="I2134" s="176" t="s">
        <v>5083</v>
      </c>
      <c r="J2134" s="352" t="s">
        <v>3580</v>
      </c>
      <c r="K2134" s="352">
        <v>300</v>
      </c>
      <c r="L2134" s="352" t="s">
        <v>3581</v>
      </c>
      <c r="M2134" s="351"/>
      <c r="N2134" s="351"/>
      <c r="O2134" s="351">
        <v>300</v>
      </c>
      <c r="P2134" s="349" t="s">
        <v>1836</v>
      </c>
      <c r="R2134" s="349">
        <f t="shared" si="33"/>
        <v>17</v>
      </c>
      <c r="S2134" s="352"/>
      <c r="T2134" s="352"/>
      <c r="U2134" s="352"/>
      <c r="V2134" s="353"/>
      <c r="W2134" s="352"/>
      <c r="X2134" s="176"/>
      <c r="Y2134" s="176"/>
      <c r="Z2134" s="352"/>
      <c r="AA2134" s="352"/>
      <c r="AB2134" s="352"/>
      <c r="AC2134" s="352"/>
      <c r="AD2134" s="352"/>
    </row>
    <row r="2135" spans="1:30" ht="141" hidden="1" x14ac:dyDescent="0.35">
      <c r="A2135" s="349">
        <v>2134</v>
      </c>
      <c r="B2135" s="352" t="s">
        <v>788</v>
      </c>
      <c r="C2135" s="351" t="s">
        <v>1641</v>
      </c>
      <c r="D2135" s="352" t="s">
        <v>1641</v>
      </c>
      <c r="E2135" s="352" t="s">
        <v>1995</v>
      </c>
      <c r="F2135" s="353">
        <v>0.66</v>
      </c>
      <c r="G2135" s="352" t="s">
        <v>2126</v>
      </c>
      <c r="H2135" s="176" t="s">
        <v>2826</v>
      </c>
      <c r="I2135" s="176" t="s">
        <v>5083</v>
      </c>
      <c r="J2135" s="352" t="s">
        <v>3580</v>
      </c>
      <c r="K2135" s="352">
        <v>50</v>
      </c>
      <c r="L2135" s="352" t="s">
        <v>3581</v>
      </c>
      <c r="M2135" s="351"/>
      <c r="N2135" s="351"/>
      <c r="O2135" s="351">
        <v>50</v>
      </c>
      <c r="P2135" s="349" t="s">
        <v>1836</v>
      </c>
      <c r="R2135" s="349">
        <f t="shared" si="33"/>
        <v>17</v>
      </c>
      <c r="S2135" s="352"/>
      <c r="T2135" s="352"/>
      <c r="U2135" s="352"/>
      <c r="V2135" s="353"/>
      <c r="W2135" s="352"/>
      <c r="X2135" s="176"/>
      <c r="Y2135" s="176"/>
      <c r="Z2135" s="352"/>
      <c r="AA2135" s="352"/>
      <c r="AB2135" s="352"/>
      <c r="AC2135" s="351"/>
      <c r="AD2135" s="351"/>
    </row>
    <row r="2136" spans="1:30" ht="141" hidden="1" x14ac:dyDescent="0.35">
      <c r="A2136" s="349">
        <v>2135</v>
      </c>
      <c r="B2136" s="352" t="s">
        <v>788</v>
      </c>
      <c r="C2136" s="351" t="s">
        <v>1641</v>
      </c>
      <c r="D2136" s="352" t="s">
        <v>1641</v>
      </c>
      <c r="E2136" s="352" t="s">
        <v>1995</v>
      </c>
      <c r="F2136" s="353">
        <v>2</v>
      </c>
      <c r="G2136" s="352" t="s">
        <v>2126</v>
      </c>
      <c r="H2136" s="176" t="s">
        <v>2826</v>
      </c>
      <c r="I2136" s="176" t="s">
        <v>5083</v>
      </c>
      <c r="J2136" s="352" t="s">
        <v>3580</v>
      </c>
      <c r="K2136" s="352">
        <v>300</v>
      </c>
      <c r="L2136" s="352" t="s">
        <v>3581</v>
      </c>
      <c r="M2136" s="351"/>
      <c r="N2136" s="351"/>
      <c r="O2136" s="351">
        <v>300</v>
      </c>
      <c r="P2136" s="349" t="s">
        <v>1836</v>
      </c>
      <c r="R2136" s="349">
        <f t="shared" si="33"/>
        <v>17</v>
      </c>
      <c r="S2136" s="352"/>
      <c r="T2136" s="352"/>
      <c r="U2136" s="352"/>
      <c r="V2136" s="353"/>
      <c r="W2136" s="352"/>
      <c r="X2136" s="176"/>
      <c r="Y2136" s="176"/>
      <c r="Z2136" s="352"/>
      <c r="AA2136" s="352"/>
      <c r="AB2136" s="352"/>
      <c r="AC2136" s="351"/>
      <c r="AD2136" s="351"/>
    </row>
    <row r="2137" spans="1:30" ht="115.35" hidden="1" x14ac:dyDescent="0.35">
      <c r="A2137" s="349">
        <v>2136</v>
      </c>
      <c r="B2137" s="352" t="s">
        <v>4100</v>
      </c>
      <c r="C2137" s="351" t="s">
        <v>841</v>
      </c>
      <c r="D2137" s="352" t="s">
        <v>841</v>
      </c>
      <c r="E2137" s="352" t="s">
        <v>1995</v>
      </c>
      <c r="F2137" s="353">
        <v>3.5</v>
      </c>
      <c r="G2137" s="352" t="s">
        <v>2126</v>
      </c>
      <c r="H2137" s="176" t="s">
        <v>3767</v>
      </c>
      <c r="I2137" s="176" t="s">
        <v>3768</v>
      </c>
      <c r="J2137" s="352" t="s">
        <v>3580</v>
      </c>
      <c r="K2137" s="352">
        <v>250</v>
      </c>
      <c r="L2137" s="352" t="s">
        <v>3581</v>
      </c>
      <c r="M2137" s="351"/>
      <c r="N2137" s="351"/>
      <c r="O2137" s="351">
        <v>250</v>
      </c>
      <c r="P2137" s="349" t="s">
        <v>1836</v>
      </c>
      <c r="R2137" s="349">
        <f t="shared" si="33"/>
        <v>12</v>
      </c>
      <c r="S2137" s="352"/>
      <c r="T2137" s="352"/>
      <c r="U2137" s="352"/>
      <c r="V2137" s="353"/>
      <c r="W2137" s="352"/>
      <c r="X2137" s="176"/>
      <c r="Y2137" s="176"/>
      <c r="Z2137" s="352"/>
      <c r="AA2137" s="352"/>
      <c r="AB2137" s="352"/>
      <c r="AC2137" s="351"/>
      <c r="AD2137" s="351"/>
    </row>
    <row r="2138" spans="1:30" ht="115.35" hidden="1" x14ac:dyDescent="0.35">
      <c r="A2138" s="349">
        <v>2137</v>
      </c>
      <c r="B2138" s="352" t="s">
        <v>4100</v>
      </c>
      <c r="C2138" s="351" t="s">
        <v>841</v>
      </c>
      <c r="D2138" s="352" t="s">
        <v>841</v>
      </c>
      <c r="E2138" s="352" t="s">
        <v>1995</v>
      </c>
      <c r="F2138" s="353">
        <v>5.45</v>
      </c>
      <c r="G2138" s="352" t="s">
        <v>2126</v>
      </c>
      <c r="H2138" s="176" t="s">
        <v>3767</v>
      </c>
      <c r="I2138" s="176" t="s">
        <v>3768</v>
      </c>
      <c r="J2138" s="352" t="s">
        <v>3580</v>
      </c>
      <c r="K2138" s="352">
        <v>500</v>
      </c>
      <c r="L2138" s="352" t="s">
        <v>3581</v>
      </c>
      <c r="M2138" s="352"/>
      <c r="N2138" s="352"/>
      <c r="O2138" s="351">
        <v>500</v>
      </c>
      <c r="P2138" s="349" t="s">
        <v>1836</v>
      </c>
      <c r="R2138" s="349">
        <f t="shared" si="33"/>
        <v>12</v>
      </c>
      <c r="S2138" s="352"/>
      <c r="T2138" s="352"/>
      <c r="U2138" s="352"/>
      <c r="V2138" s="353"/>
      <c r="W2138" s="352"/>
      <c r="X2138" s="176"/>
      <c r="Y2138" s="176"/>
      <c r="Z2138" s="352"/>
      <c r="AA2138" s="352"/>
      <c r="AB2138" s="352"/>
      <c r="AC2138" s="352"/>
      <c r="AD2138" s="352"/>
    </row>
    <row r="2139" spans="1:30" ht="128.19999999999999" hidden="1" x14ac:dyDescent="0.35">
      <c r="A2139" s="349">
        <v>2138</v>
      </c>
      <c r="B2139" s="352" t="s">
        <v>2047</v>
      </c>
      <c r="C2139" s="351" t="s">
        <v>4369</v>
      </c>
      <c r="D2139" s="352" t="s">
        <v>3886</v>
      </c>
      <c r="E2139" s="352" t="s">
        <v>762</v>
      </c>
      <c r="F2139" s="353">
        <v>0.52890000000000004</v>
      </c>
      <c r="G2139" s="352" t="s">
        <v>1107</v>
      </c>
      <c r="H2139" s="176" t="s">
        <v>3852</v>
      </c>
      <c r="I2139" s="176" t="s">
        <v>4755</v>
      </c>
      <c r="J2139" s="352" t="s">
        <v>828</v>
      </c>
      <c r="K2139" s="352">
        <v>5</v>
      </c>
      <c r="L2139" s="352" t="s">
        <v>1116</v>
      </c>
      <c r="M2139" s="351">
        <v>2</v>
      </c>
      <c r="N2139" s="351" t="s">
        <v>1109</v>
      </c>
      <c r="O2139" s="351">
        <v>5</v>
      </c>
      <c r="P2139" s="349" t="s">
        <v>1836</v>
      </c>
      <c r="R2139" s="349">
        <f t="shared" si="33"/>
        <v>8</v>
      </c>
      <c r="S2139" s="352"/>
      <c r="T2139" s="352"/>
      <c r="U2139" s="352"/>
      <c r="V2139" s="353"/>
      <c r="W2139" s="352"/>
      <c r="X2139" s="176"/>
      <c r="Y2139" s="176"/>
      <c r="Z2139" s="352"/>
      <c r="AA2139" s="352"/>
      <c r="AB2139" s="352"/>
      <c r="AC2139" s="352"/>
      <c r="AD2139" s="352"/>
    </row>
    <row r="2140" spans="1:30" ht="128.19999999999999" hidden="1" x14ac:dyDescent="0.35">
      <c r="A2140" s="349">
        <v>2139</v>
      </c>
      <c r="B2140" s="352" t="s">
        <v>2047</v>
      </c>
      <c r="C2140" s="351" t="s">
        <v>4369</v>
      </c>
      <c r="D2140" s="352" t="s">
        <v>3886</v>
      </c>
      <c r="E2140" s="352" t="s">
        <v>1995</v>
      </c>
      <c r="F2140" s="353">
        <v>6.6100000000000006E-2</v>
      </c>
      <c r="G2140" s="352" t="s">
        <v>2126</v>
      </c>
      <c r="H2140" s="176" t="s">
        <v>1140</v>
      </c>
      <c r="I2140" s="176" t="s">
        <v>4755</v>
      </c>
      <c r="J2140" s="352" t="s">
        <v>3580</v>
      </c>
      <c r="K2140" s="352">
        <v>2</v>
      </c>
      <c r="L2140" s="352" t="s">
        <v>3581</v>
      </c>
      <c r="M2140" s="351"/>
      <c r="N2140" s="351"/>
      <c r="O2140" s="351">
        <v>2</v>
      </c>
      <c r="P2140" s="349" t="s">
        <v>1836</v>
      </c>
      <c r="R2140" s="349">
        <f t="shared" si="33"/>
        <v>8</v>
      </c>
      <c r="S2140" s="352"/>
      <c r="T2140" s="352"/>
      <c r="U2140" s="352"/>
      <c r="V2140" s="353"/>
      <c r="W2140" s="352"/>
      <c r="X2140" s="176"/>
      <c r="Y2140" s="176"/>
      <c r="Z2140" s="352"/>
      <c r="AA2140" s="352"/>
      <c r="AB2140" s="352"/>
      <c r="AC2140" s="352"/>
      <c r="AD2140" s="352"/>
    </row>
    <row r="2141" spans="1:30" ht="128.19999999999999" hidden="1" x14ac:dyDescent="0.35">
      <c r="A2141" s="349">
        <v>2140</v>
      </c>
      <c r="B2141" s="352" t="s">
        <v>2047</v>
      </c>
      <c r="C2141" s="351" t="s">
        <v>4369</v>
      </c>
      <c r="D2141" s="352" t="s">
        <v>3886</v>
      </c>
      <c r="E2141" s="352" t="s">
        <v>1995</v>
      </c>
      <c r="F2141" s="353">
        <v>6.6100000000000006E-2</v>
      </c>
      <c r="G2141" s="352" t="s">
        <v>2126</v>
      </c>
      <c r="H2141" s="176" t="s">
        <v>1140</v>
      </c>
      <c r="I2141" s="176" t="s">
        <v>4755</v>
      </c>
      <c r="J2141" s="352" t="s">
        <v>3580</v>
      </c>
      <c r="K2141" s="352">
        <v>5</v>
      </c>
      <c r="L2141" s="352" t="s">
        <v>3581</v>
      </c>
      <c r="M2141" s="352"/>
      <c r="N2141" s="352"/>
      <c r="O2141" s="351">
        <v>5</v>
      </c>
      <c r="P2141" s="349" t="s">
        <v>1836</v>
      </c>
      <c r="R2141" s="349">
        <f t="shared" si="33"/>
        <v>8</v>
      </c>
      <c r="S2141" s="352"/>
      <c r="T2141" s="352"/>
      <c r="U2141" s="352"/>
      <c r="V2141" s="353"/>
      <c r="W2141" s="352"/>
      <c r="X2141" s="176"/>
      <c r="Y2141" s="176"/>
      <c r="Z2141" s="352"/>
      <c r="AA2141" s="352"/>
      <c r="AB2141" s="352"/>
      <c r="AC2141" s="352"/>
      <c r="AD2141" s="352"/>
    </row>
    <row r="2142" spans="1:30" ht="128.19999999999999" hidden="1" x14ac:dyDescent="0.35">
      <c r="A2142" s="349">
        <v>2141</v>
      </c>
      <c r="B2142" s="352" t="s">
        <v>2047</v>
      </c>
      <c r="C2142" s="351" t="s">
        <v>4369</v>
      </c>
      <c r="D2142" s="352" t="s">
        <v>3886</v>
      </c>
      <c r="E2142" s="352" t="s">
        <v>1995</v>
      </c>
      <c r="F2142" s="353">
        <v>8.8099999999999998E-2</v>
      </c>
      <c r="G2142" s="352" t="s">
        <v>2126</v>
      </c>
      <c r="H2142" s="176" t="s">
        <v>1140</v>
      </c>
      <c r="I2142" s="176" t="s">
        <v>4755</v>
      </c>
      <c r="J2142" s="352" t="s">
        <v>3580</v>
      </c>
      <c r="K2142" s="352">
        <v>10</v>
      </c>
      <c r="L2142" s="352" t="s">
        <v>3581</v>
      </c>
      <c r="M2142" s="352"/>
      <c r="N2142" s="352"/>
      <c r="O2142" s="351">
        <v>10</v>
      </c>
      <c r="P2142" s="349" t="s">
        <v>1836</v>
      </c>
      <c r="R2142" s="349">
        <f t="shared" si="33"/>
        <v>8</v>
      </c>
      <c r="S2142" s="352"/>
      <c r="T2142" s="352"/>
      <c r="U2142" s="352"/>
      <c r="V2142" s="353"/>
      <c r="W2142" s="352"/>
      <c r="X2142" s="176"/>
      <c r="Y2142" s="176"/>
      <c r="Z2142" s="352"/>
      <c r="AA2142" s="352"/>
      <c r="AB2142" s="352"/>
      <c r="AC2142" s="352"/>
      <c r="AD2142" s="352"/>
    </row>
    <row r="2143" spans="1:30" ht="205.1" hidden="1" x14ac:dyDescent="0.35">
      <c r="A2143" s="349">
        <v>2142</v>
      </c>
      <c r="B2143" s="352" t="s">
        <v>1787</v>
      </c>
      <c r="C2143" s="351" t="s">
        <v>3902</v>
      </c>
      <c r="D2143" s="352" t="s">
        <v>3902</v>
      </c>
      <c r="E2143" s="352" t="s">
        <v>1997</v>
      </c>
      <c r="F2143" s="353">
        <v>23.29</v>
      </c>
      <c r="G2143" s="352" t="s">
        <v>1107</v>
      </c>
      <c r="H2143" s="176" t="s">
        <v>4137</v>
      </c>
      <c r="I2143" s="176" t="s">
        <v>4350</v>
      </c>
      <c r="J2143" s="352" t="s">
        <v>1115</v>
      </c>
      <c r="K2143" s="352">
        <v>400</v>
      </c>
      <c r="L2143" s="352" t="s">
        <v>1464</v>
      </c>
      <c r="M2143" s="351"/>
      <c r="N2143" s="351"/>
      <c r="O2143" s="351">
        <v>400</v>
      </c>
      <c r="P2143" s="349" t="s">
        <v>1836</v>
      </c>
      <c r="R2143" s="349">
        <f t="shared" si="33"/>
        <v>17</v>
      </c>
      <c r="S2143" s="352"/>
      <c r="T2143" s="352"/>
      <c r="U2143" s="352"/>
      <c r="V2143" s="353"/>
      <c r="W2143" s="352"/>
      <c r="X2143" s="176"/>
      <c r="Y2143" s="176"/>
      <c r="Z2143" s="352"/>
      <c r="AA2143" s="352"/>
      <c r="AB2143" s="352"/>
      <c r="AC2143" s="352"/>
      <c r="AD2143" s="352"/>
    </row>
    <row r="2144" spans="1:30" ht="205.1" hidden="1" x14ac:dyDescent="0.35">
      <c r="A2144" s="349">
        <v>2143</v>
      </c>
      <c r="B2144" s="352" t="s">
        <v>1787</v>
      </c>
      <c r="C2144" s="351" t="s">
        <v>3902</v>
      </c>
      <c r="D2144" s="352" t="s">
        <v>3902</v>
      </c>
      <c r="E2144" s="352" t="s">
        <v>92</v>
      </c>
      <c r="F2144" s="353">
        <v>20.14</v>
      </c>
      <c r="G2144" s="352" t="s">
        <v>2126</v>
      </c>
      <c r="H2144" s="176" t="s">
        <v>2225</v>
      </c>
      <c r="I2144" s="176" t="s">
        <v>4350</v>
      </c>
      <c r="J2144" s="352" t="s">
        <v>3579</v>
      </c>
      <c r="K2144" s="352">
        <v>40</v>
      </c>
      <c r="L2144" s="352" t="s">
        <v>1116</v>
      </c>
      <c r="M2144" s="351">
        <v>300</v>
      </c>
      <c r="N2144" s="351" t="s">
        <v>1109</v>
      </c>
      <c r="O2144" s="351">
        <v>40</v>
      </c>
      <c r="P2144" s="349" t="s">
        <v>1836</v>
      </c>
      <c r="R2144" s="349">
        <f t="shared" si="33"/>
        <v>17</v>
      </c>
      <c r="S2144" s="352"/>
      <c r="T2144" s="352"/>
      <c r="U2144" s="352"/>
      <c r="V2144" s="353"/>
      <c r="W2144" s="352"/>
      <c r="X2144" s="176"/>
      <c r="Y2144" s="176"/>
      <c r="Z2144" s="352"/>
      <c r="AA2144" s="352"/>
      <c r="AB2144" s="352"/>
      <c r="AC2144" s="352"/>
      <c r="AD2144" s="352"/>
    </row>
    <row r="2145" spans="1:30" ht="205.1" hidden="1" x14ac:dyDescent="0.35">
      <c r="A2145" s="349">
        <v>2144</v>
      </c>
      <c r="B2145" s="352" t="s">
        <v>1787</v>
      </c>
      <c r="C2145" s="351" t="s">
        <v>3902</v>
      </c>
      <c r="D2145" s="352" t="s">
        <v>3902</v>
      </c>
      <c r="E2145" s="352" t="s">
        <v>93</v>
      </c>
      <c r="F2145" s="353">
        <v>23.29</v>
      </c>
      <c r="G2145" s="352" t="s">
        <v>2126</v>
      </c>
      <c r="H2145" s="176" t="s">
        <v>2225</v>
      </c>
      <c r="I2145" s="176" t="s">
        <v>4350</v>
      </c>
      <c r="J2145" s="352" t="s">
        <v>4031</v>
      </c>
      <c r="K2145" s="352">
        <v>300</v>
      </c>
      <c r="L2145" s="352" t="s">
        <v>1116</v>
      </c>
      <c r="M2145" s="351">
        <v>60</v>
      </c>
      <c r="N2145" s="351" t="s">
        <v>1109</v>
      </c>
      <c r="O2145" s="351">
        <v>300</v>
      </c>
      <c r="P2145" s="349" t="s">
        <v>1836</v>
      </c>
      <c r="R2145" s="349">
        <f t="shared" si="33"/>
        <v>17</v>
      </c>
      <c r="S2145" s="352"/>
      <c r="T2145" s="352"/>
      <c r="U2145" s="352"/>
      <c r="V2145" s="353"/>
      <c r="W2145" s="352"/>
      <c r="X2145" s="176"/>
      <c r="Y2145" s="176"/>
      <c r="Z2145" s="352"/>
      <c r="AA2145" s="352"/>
      <c r="AB2145" s="352"/>
      <c r="AC2145" s="352"/>
      <c r="AD2145" s="352"/>
    </row>
    <row r="2146" spans="1:30" ht="205.1" hidden="1" x14ac:dyDescent="0.35">
      <c r="A2146" s="349">
        <v>2145</v>
      </c>
      <c r="B2146" s="352" t="s">
        <v>1787</v>
      </c>
      <c r="C2146" s="351" t="s">
        <v>3902</v>
      </c>
      <c r="D2146" s="352" t="s">
        <v>3902</v>
      </c>
      <c r="E2146" s="352" t="s">
        <v>2009</v>
      </c>
      <c r="F2146" s="353">
        <v>0.4</v>
      </c>
      <c r="G2146" s="352" t="s">
        <v>2126</v>
      </c>
      <c r="H2146" s="176" t="s">
        <v>2225</v>
      </c>
      <c r="I2146" s="176" t="s">
        <v>4350</v>
      </c>
      <c r="J2146" s="352" t="s">
        <v>94</v>
      </c>
      <c r="K2146" s="352">
        <v>300</v>
      </c>
      <c r="L2146" s="352" t="s">
        <v>3581</v>
      </c>
      <c r="M2146" s="351"/>
      <c r="N2146" s="351"/>
      <c r="O2146" s="351">
        <v>300</v>
      </c>
      <c r="P2146" s="349" t="s">
        <v>1836</v>
      </c>
      <c r="R2146" s="349">
        <f t="shared" si="33"/>
        <v>17</v>
      </c>
      <c r="S2146" s="352"/>
      <c r="T2146" s="352"/>
      <c r="U2146" s="352"/>
      <c r="V2146" s="353"/>
      <c r="W2146" s="352"/>
      <c r="X2146" s="176"/>
      <c r="Y2146" s="37"/>
      <c r="Z2146" s="352"/>
      <c r="AA2146" s="352"/>
      <c r="AB2146" s="352"/>
      <c r="AC2146" s="352"/>
      <c r="AD2146" s="352"/>
    </row>
    <row r="2147" spans="1:30" ht="205.1" hidden="1" x14ac:dyDescent="0.35">
      <c r="A2147" s="349">
        <v>2146</v>
      </c>
      <c r="B2147" s="352" t="s">
        <v>1787</v>
      </c>
      <c r="C2147" s="351" t="s">
        <v>3902</v>
      </c>
      <c r="D2147" s="352" t="s">
        <v>3902</v>
      </c>
      <c r="E2147" s="352" t="s">
        <v>2009</v>
      </c>
      <c r="F2147" s="353">
        <v>0.71</v>
      </c>
      <c r="G2147" s="352" t="s">
        <v>2126</v>
      </c>
      <c r="H2147" s="176" t="s">
        <v>2225</v>
      </c>
      <c r="I2147" s="176" t="s">
        <v>4350</v>
      </c>
      <c r="J2147" s="352" t="s">
        <v>94</v>
      </c>
      <c r="K2147" s="352">
        <v>500</v>
      </c>
      <c r="L2147" s="352" t="s">
        <v>3581</v>
      </c>
      <c r="M2147" s="351"/>
      <c r="N2147" s="351"/>
      <c r="O2147" s="351">
        <v>500</v>
      </c>
      <c r="P2147" s="349" t="s">
        <v>1836</v>
      </c>
      <c r="R2147" s="349">
        <f t="shared" si="33"/>
        <v>17</v>
      </c>
      <c r="S2147" s="352"/>
      <c r="T2147" s="352"/>
      <c r="U2147" s="352"/>
      <c r="V2147" s="353"/>
      <c r="W2147" s="352"/>
      <c r="X2147" s="176"/>
      <c r="Y2147" s="37"/>
      <c r="Z2147" s="352"/>
      <c r="AA2147" s="352"/>
      <c r="AB2147" s="352"/>
      <c r="AC2147" s="352"/>
      <c r="AD2147" s="352"/>
    </row>
    <row r="2148" spans="1:30" ht="205.1" hidden="1" x14ac:dyDescent="0.35">
      <c r="A2148" s="349">
        <v>2147</v>
      </c>
      <c r="B2148" s="352" t="s">
        <v>1787</v>
      </c>
      <c r="C2148" s="351" t="s">
        <v>3902</v>
      </c>
      <c r="D2148" s="352" t="s">
        <v>3902</v>
      </c>
      <c r="E2148" s="352" t="s">
        <v>2003</v>
      </c>
      <c r="F2148" s="353">
        <v>0.2</v>
      </c>
      <c r="G2148" s="352" t="s">
        <v>2126</v>
      </c>
      <c r="H2148" s="176" t="s">
        <v>2225</v>
      </c>
      <c r="I2148" s="176" t="s">
        <v>4350</v>
      </c>
      <c r="J2148" s="352" t="s">
        <v>966</v>
      </c>
      <c r="K2148" s="352">
        <v>150</v>
      </c>
      <c r="L2148" s="352" t="s">
        <v>3581</v>
      </c>
      <c r="M2148" s="352"/>
      <c r="N2148" s="352"/>
      <c r="O2148" s="351">
        <v>150</v>
      </c>
      <c r="P2148" s="349" t="s">
        <v>1836</v>
      </c>
      <c r="R2148" s="349">
        <f t="shared" si="33"/>
        <v>17</v>
      </c>
      <c r="S2148" s="352"/>
      <c r="T2148" s="352"/>
      <c r="U2148" s="352"/>
      <c r="V2148" s="353"/>
      <c r="W2148" s="352"/>
      <c r="X2148" s="176"/>
      <c r="Y2148" s="37"/>
      <c r="Z2148" s="352"/>
      <c r="AA2148" s="352"/>
      <c r="AB2148" s="352"/>
      <c r="AC2148" s="352"/>
      <c r="AD2148" s="352"/>
    </row>
    <row r="2149" spans="1:30" ht="205.1" hidden="1" x14ac:dyDescent="0.35">
      <c r="A2149" s="349">
        <v>2148</v>
      </c>
      <c r="B2149" s="352" t="s">
        <v>1787</v>
      </c>
      <c r="C2149" s="351" t="s">
        <v>3902</v>
      </c>
      <c r="D2149" s="352" t="s">
        <v>3902</v>
      </c>
      <c r="E2149" s="352" t="s">
        <v>2003</v>
      </c>
      <c r="F2149" s="353">
        <v>0.35</v>
      </c>
      <c r="G2149" s="352" t="s">
        <v>2126</v>
      </c>
      <c r="H2149" s="176" t="s">
        <v>2225</v>
      </c>
      <c r="I2149" s="176" t="s">
        <v>4350</v>
      </c>
      <c r="J2149" s="352" t="s">
        <v>966</v>
      </c>
      <c r="K2149" s="352">
        <v>300</v>
      </c>
      <c r="L2149" s="352" t="s">
        <v>3581</v>
      </c>
      <c r="M2149" s="351"/>
      <c r="N2149" s="351"/>
      <c r="O2149" s="351">
        <v>300</v>
      </c>
      <c r="P2149" s="349" t="s">
        <v>1836</v>
      </c>
      <c r="R2149" s="349">
        <f t="shared" si="33"/>
        <v>17</v>
      </c>
      <c r="S2149" s="352"/>
      <c r="T2149" s="352"/>
      <c r="U2149" s="352"/>
      <c r="V2149" s="353"/>
      <c r="W2149" s="352"/>
      <c r="X2149" s="176"/>
      <c r="Y2149" s="37"/>
      <c r="Z2149" s="352"/>
      <c r="AA2149" s="352"/>
      <c r="AB2149" s="352"/>
      <c r="AC2149" s="352"/>
      <c r="AD2149" s="352"/>
    </row>
    <row r="2150" spans="1:30" ht="205.1" hidden="1" x14ac:dyDescent="0.35">
      <c r="A2150" s="349">
        <v>2149</v>
      </c>
      <c r="B2150" s="352" t="s">
        <v>1787</v>
      </c>
      <c r="C2150" s="351" t="s">
        <v>3902</v>
      </c>
      <c r="D2150" s="352" t="s">
        <v>3902</v>
      </c>
      <c r="E2150" s="352" t="s">
        <v>2003</v>
      </c>
      <c r="F2150" s="353">
        <v>0.6</v>
      </c>
      <c r="G2150" s="352" t="s">
        <v>2126</v>
      </c>
      <c r="H2150" s="176" t="s">
        <v>2225</v>
      </c>
      <c r="I2150" s="176" t="s">
        <v>4350</v>
      </c>
      <c r="J2150" s="352" t="s">
        <v>966</v>
      </c>
      <c r="K2150" s="352">
        <v>500</v>
      </c>
      <c r="L2150" s="352" t="s">
        <v>3581</v>
      </c>
      <c r="M2150" s="351"/>
      <c r="N2150" s="351"/>
      <c r="O2150" s="351">
        <v>500</v>
      </c>
      <c r="P2150" s="349" t="s">
        <v>1836</v>
      </c>
      <c r="R2150" s="349">
        <f t="shared" si="33"/>
        <v>17</v>
      </c>
      <c r="S2150" s="352"/>
      <c r="T2150" s="352"/>
      <c r="U2150" s="352"/>
      <c r="V2150" s="353"/>
      <c r="W2150" s="352"/>
      <c r="X2150" s="176"/>
      <c r="Y2150" s="176"/>
      <c r="Z2150" s="352"/>
      <c r="AA2150" s="351"/>
      <c r="AB2150" s="351"/>
      <c r="AC2150" s="352"/>
      <c r="AD2150" s="352"/>
    </row>
    <row r="2151" spans="1:30" ht="205.1" hidden="1" x14ac:dyDescent="0.35">
      <c r="A2151" s="349">
        <v>2150</v>
      </c>
      <c r="B2151" s="352" t="s">
        <v>1787</v>
      </c>
      <c r="C2151" s="351" t="s">
        <v>3902</v>
      </c>
      <c r="D2151" s="352" t="s">
        <v>3902</v>
      </c>
      <c r="E2151" s="352" t="s">
        <v>1999</v>
      </c>
      <c r="F2151" s="353">
        <v>1</v>
      </c>
      <c r="G2151" s="352" t="s">
        <v>967</v>
      </c>
      <c r="H2151" s="176" t="s">
        <v>4138</v>
      </c>
      <c r="I2151" s="176" t="s">
        <v>4350</v>
      </c>
      <c r="J2151" s="352" t="s">
        <v>968</v>
      </c>
      <c r="K2151" s="352">
        <v>300</v>
      </c>
      <c r="L2151" s="352" t="s">
        <v>969</v>
      </c>
      <c r="M2151" s="351"/>
      <c r="N2151" s="351"/>
      <c r="O2151" s="351">
        <v>300</v>
      </c>
      <c r="P2151" s="349" t="s">
        <v>1836</v>
      </c>
      <c r="R2151" s="349">
        <f t="shared" si="33"/>
        <v>17</v>
      </c>
      <c r="S2151" s="352"/>
      <c r="T2151" s="352"/>
      <c r="U2151" s="352"/>
      <c r="V2151" s="353"/>
      <c r="W2151" s="352"/>
      <c r="X2151" s="176"/>
      <c r="Y2151" s="176"/>
      <c r="Z2151" s="352"/>
      <c r="AA2151" s="351"/>
      <c r="AB2151" s="351"/>
      <c r="AC2151" s="352"/>
      <c r="AD2151" s="352"/>
    </row>
    <row r="2152" spans="1:30" ht="205.1" hidden="1" x14ac:dyDescent="0.35">
      <c r="A2152" s="349">
        <v>2151</v>
      </c>
      <c r="B2152" s="352" t="s">
        <v>1787</v>
      </c>
      <c r="C2152" s="351" t="s">
        <v>3902</v>
      </c>
      <c r="D2152" s="352" t="s">
        <v>3902</v>
      </c>
      <c r="E2152" s="352" t="s">
        <v>1999</v>
      </c>
      <c r="F2152" s="353">
        <v>1.45</v>
      </c>
      <c r="G2152" s="352" t="s">
        <v>967</v>
      </c>
      <c r="H2152" s="176" t="s">
        <v>4138</v>
      </c>
      <c r="I2152" s="176" t="s">
        <v>4350</v>
      </c>
      <c r="J2152" s="352" t="s">
        <v>968</v>
      </c>
      <c r="K2152" s="352">
        <v>500</v>
      </c>
      <c r="L2152" s="352" t="s">
        <v>969</v>
      </c>
      <c r="M2152" s="351"/>
      <c r="N2152" s="351"/>
      <c r="O2152" s="351">
        <v>500</v>
      </c>
      <c r="P2152" s="349" t="s">
        <v>1836</v>
      </c>
      <c r="R2152" s="349">
        <f t="shared" si="33"/>
        <v>17</v>
      </c>
      <c r="S2152" s="352"/>
      <c r="T2152" s="352"/>
      <c r="U2152" s="352"/>
      <c r="V2152" s="353"/>
      <c r="W2152" s="352"/>
      <c r="X2152" s="176"/>
      <c r="Y2152" s="176"/>
      <c r="Z2152" s="352"/>
      <c r="AA2152" s="352"/>
      <c r="AB2152" s="352"/>
      <c r="AC2152" s="352"/>
      <c r="AD2152" s="352"/>
    </row>
    <row r="2153" spans="1:30" ht="128.19999999999999" hidden="1" x14ac:dyDescent="0.35">
      <c r="A2153" s="349">
        <v>2152</v>
      </c>
      <c r="B2153" s="352" t="s">
        <v>2077</v>
      </c>
      <c r="C2153" s="351" t="s">
        <v>4370</v>
      </c>
      <c r="D2153" s="352" t="s">
        <v>278</v>
      </c>
      <c r="E2153" s="352" t="s">
        <v>1997</v>
      </c>
      <c r="F2153" s="353">
        <v>11.57</v>
      </c>
      <c r="G2153" s="352" t="s">
        <v>1107</v>
      </c>
      <c r="H2153" s="176" t="s">
        <v>3720</v>
      </c>
      <c r="I2153" s="176" t="s">
        <v>4616</v>
      </c>
      <c r="J2153" s="352" t="s">
        <v>1115</v>
      </c>
      <c r="K2153" s="352">
        <v>500</v>
      </c>
      <c r="L2153" s="352" t="s">
        <v>1464</v>
      </c>
      <c r="M2153" s="352"/>
      <c r="N2153" s="352"/>
      <c r="O2153" s="351">
        <v>500</v>
      </c>
      <c r="P2153" s="349" t="s">
        <v>1836</v>
      </c>
      <c r="R2153" s="349">
        <f t="shared" si="33"/>
        <v>11</v>
      </c>
      <c r="S2153" s="352"/>
      <c r="T2153" s="352"/>
      <c r="U2153" s="352"/>
      <c r="V2153" s="353"/>
      <c r="W2153" s="352"/>
      <c r="X2153" s="176"/>
      <c r="Y2153" s="176"/>
      <c r="Z2153" s="352"/>
      <c r="AA2153" s="352"/>
      <c r="AB2153" s="352"/>
      <c r="AC2153" s="352"/>
      <c r="AD2153" s="352"/>
    </row>
    <row r="2154" spans="1:30" ht="128.19999999999999" hidden="1" x14ac:dyDescent="0.35">
      <c r="A2154" s="349">
        <v>2153</v>
      </c>
      <c r="B2154" s="352" t="s">
        <v>2077</v>
      </c>
      <c r="C2154" s="351" t="s">
        <v>4370</v>
      </c>
      <c r="D2154" s="352" t="s">
        <v>278</v>
      </c>
      <c r="E2154" s="352" t="s">
        <v>1998</v>
      </c>
      <c r="F2154" s="353">
        <v>20.6</v>
      </c>
      <c r="G2154" s="352" t="s">
        <v>2126</v>
      </c>
      <c r="H2154" s="176" t="s">
        <v>3721</v>
      </c>
      <c r="I2154" s="176" t="s">
        <v>4616</v>
      </c>
      <c r="J2154" s="352" t="s">
        <v>22</v>
      </c>
      <c r="K2154" s="352">
        <v>250</v>
      </c>
      <c r="L2154" s="352" t="s">
        <v>23</v>
      </c>
      <c r="M2154" s="352"/>
      <c r="N2154" s="352"/>
      <c r="O2154" s="351">
        <v>250</v>
      </c>
      <c r="P2154" s="349" t="s">
        <v>1836</v>
      </c>
      <c r="R2154" s="349">
        <f t="shared" si="33"/>
        <v>11</v>
      </c>
      <c r="S2154" s="352"/>
      <c r="T2154" s="352"/>
      <c r="U2154" s="352"/>
      <c r="V2154" s="353"/>
      <c r="W2154" s="352"/>
      <c r="X2154" s="176"/>
      <c r="Y2154" s="176"/>
      <c r="Z2154" s="352"/>
      <c r="AA2154" s="352"/>
      <c r="AB2154" s="352"/>
      <c r="AC2154" s="352"/>
      <c r="AD2154" s="352"/>
    </row>
    <row r="2155" spans="1:30" ht="128.19999999999999" hidden="1" x14ac:dyDescent="0.35">
      <c r="A2155" s="349">
        <v>2154</v>
      </c>
      <c r="B2155" s="352" t="s">
        <v>2077</v>
      </c>
      <c r="C2155" s="351" t="s">
        <v>278</v>
      </c>
      <c r="D2155" s="352" t="s">
        <v>278</v>
      </c>
      <c r="E2155" s="352" t="s">
        <v>1997</v>
      </c>
      <c r="F2155" s="353">
        <v>11.57</v>
      </c>
      <c r="G2155" s="352" t="s">
        <v>1107</v>
      </c>
      <c r="H2155" s="176" t="s">
        <v>3720</v>
      </c>
      <c r="I2155" s="176" t="s">
        <v>4616</v>
      </c>
      <c r="J2155" s="352" t="s">
        <v>1115</v>
      </c>
      <c r="K2155" s="352">
        <v>500</v>
      </c>
      <c r="L2155" s="352" t="s">
        <v>1464</v>
      </c>
      <c r="M2155" s="352"/>
      <c r="N2155" s="352"/>
      <c r="O2155" s="351">
        <v>500</v>
      </c>
      <c r="P2155" s="349" t="s">
        <v>1836</v>
      </c>
      <c r="R2155" s="349">
        <f t="shared" si="33"/>
        <v>11</v>
      </c>
      <c r="S2155" s="352"/>
      <c r="T2155" s="352"/>
      <c r="U2155" s="352"/>
      <c r="V2155" s="353"/>
      <c r="W2155" s="352"/>
      <c r="X2155" s="176"/>
      <c r="Y2155" s="176"/>
      <c r="Z2155" s="352"/>
      <c r="AA2155" s="352"/>
      <c r="AB2155" s="352"/>
      <c r="AC2155" s="352"/>
      <c r="AD2155" s="352"/>
    </row>
    <row r="2156" spans="1:30" ht="128.19999999999999" hidden="1" x14ac:dyDescent="0.35">
      <c r="A2156" s="349">
        <v>2155</v>
      </c>
      <c r="B2156" s="352" t="s">
        <v>2077</v>
      </c>
      <c r="C2156" s="351" t="s">
        <v>278</v>
      </c>
      <c r="D2156" s="352" t="s">
        <v>278</v>
      </c>
      <c r="E2156" s="352" t="s">
        <v>1998</v>
      </c>
      <c r="F2156" s="353">
        <v>20.6</v>
      </c>
      <c r="G2156" s="352" t="s">
        <v>2126</v>
      </c>
      <c r="H2156" s="176" t="s">
        <v>3721</v>
      </c>
      <c r="I2156" s="176" t="s">
        <v>4616</v>
      </c>
      <c r="J2156" s="352" t="s">
        <v>22</v>
      </c>
      <c r="K2156" s="352">
        <v>250</v>
      </c>
      <c r="L2156" s="352" t="s">
        <v>23</v>
      </c>
      <c r="M2156" s="352"/>
      <c r="N2156" s="352"/>
      <c r="O2156" s="351">
        <v>250</v>
      </c>
      <c r="P2156" s="349" t="s">
        <v>1836</v>
      </c>
      <c r="R2156" s="349">
        <f t="shared" si="33"/>
        <v>11</v>
      </c>
      <c r="S2156" s="352"/>
      <c r="T2156" s="352"/>
      <c r="U2156" s="352"/>
      <c r="V2156" s="353"/>
      <c r="W2156" s="352"/>
      <c r="X2156" s="176"/>
      <c r="Y2156" s="176"/>
      <c r="Z2156" s="352"/>
      <c r="AA2156" s="352"/>
      <c r="AB2156" s="352"/>
      <c r="AC2156" s="352"/>
      <c r="AD2156" s="352"/>
    </row>
    <row r="2157" spans="1:30" hidden="1" x14ac:dyDescent="0.35">
      <c r="A2157" s="349">
        <v>2156</v>
      </c>
      <c r="B2157" s="352" t="s">
        <v>314</v>
      </c>
      <c r="C2157" s="351" t="s">
        <v>3526</v>
      </c>
      <c r="D2157" s="352" t="s">
        <v>1404</v>
      </c>
      <c r="E2157" s="352" t="s">
        <v>3250</v>
      </c>
      <c r="F2157" s="353">
        <v>702.23419999999999</v>
      </c>
      <c r="G2157" s="352" t="s">
        <v>2384</v>
      </c>
      <c r="H2157" s="176" t="s">
        <v>990</v>
      </c>
      <c r="I2157" s="37" t="s">
        <v>1759</v>
      </c>
      <c r="J2157" s="352" t="s">
        <v>1115</v>
      </c>
      <c r="K2157" s="352">
        <v>100</v>
      </c>
      <c r="L2157" s="352" t="s">
        <v>732</v>
      </c>
      <c r="M2157" s="352">
        <v>2</v>
      </c>
      <c r="N2157" s="352" t="s">
        <v>1109</v>
      </c>
      <c r="O2157" s="351">
        <v>100</v>
      </c>
      <c r="P2157" s="349" t="s">
        <v>2030</v>
      </c>
      <c r="R2157" s="349">
        <f t="shared" si="33"/>
        <v>16</v>
      </c>
      <c r="S2157" s="352"/>
      <c r="T2157" s="352"/>
      <c r="U2157" s="352"/>
      <c r="V2157" s="353"/>
      <c r="W2157" s="352"/>
      <c r="X2157" s="176"/>
      <c r="Y2157" s="176"/>
      <c r="Z2157" s="352"/>
      <c r="AA2157" s="352"/>
      <c r="AB2157" s="352"/>
      <c r="AC2157" s="352"/>
      <c r="AD2157" s="352"/>
    </row>
    <row r="2158" spans="1:30" ht="64.099999999999994" hidden="1" x14ac:dyDescent="0.35">
      <c r="A2158" s="349">
        <v>2157</v>
      </c>
      <c r="B2158" s="352" t="s">
        <v>314</v>
      </c>
      <c r="C2158" s="351" t="s">
        <v>3526</v>
      </c>
      <c r="D2158" s="352" t="s">
        <v>1404</v>
      </c>
      <c r="E2158" s="352" t="s">
        <v>3250</v>
      </c>
      <c r="F2158" s="353">
        <v>702.23419999999999</v>
      </c>
      <c r="G2158" s="352" t="s">
        <v>2384</v>
      </c>
      <c r="H2158" s="176" t="s">
        <v>1760</v>
      </c>
      <c r="I2158" s="176" t="s">
        <v>1759</v>
      </c>
      <c r="J2158" s="352" t="s">
        <v>1115</v>
      </c>
      <c r="K2158" s="351">
        <v>100</v>
      </c>
      <c r="L2158" s="351" t="s">
        <v>732</v>
      </c>
      <c r="M2158" s="352">
        <v>2</v>
      </c>
      <c r="N2158" s="352" t="s">
        <v>1109</v>
      </c>
      <c r="O2158" s="351">
        <v>100</v>
      </c>
      <c r="P2158" s="349" t="s">
        <v>2030</v>
      </c>
      <c r="R2158" s="349">
        <f t="shared" si="33"/>
        <v>16</v>
      </c>
      <c r="S2158" s="352"/>
      <c r="T2158" s="352"/>
      <c r="U2158" s="352"/>
      <c r="V2158" s="353"/>
      <c r="W2158" s="352"/>
      <c r="X2158" s="176"/>
      <c r="Y2158" s="176"/>
      <c r="Z2158" s="352"/>
      <c r="AA2158" s="352"/>
      <c r="AB2158" s="352"/>
      <c r="AC2158" s="352"/>
      <c r="AD2158" s="352"/>
    </row>
    <row r="2159" spans="1:30" hidden="1" x14ac:dyDescent="0.35">
      <c r="A2159" s="349">
        <v>2158</v>
      </c>
      <c r="B2159" s="352" t="s">
        <v>314</v>
      </c>
      <c r="C2159" s="351" t="s">
        <v>4371</v>
      </c>
      <c r="D2159" s="352" t="s">
        <v>1404</v>
      </c>
      <c r="E2159" s="352" t="s">
        <v>3250</v>
      </c>
      <c r="F2159" s="353">
        <v>702.23419999999999</v>
      </c>
      <c r="G2159" s="352" t="s">
        <v>2384</v>
      </c>
      <c r="H2159" s="176" t="s">
        <v>990</v>
      </c>
      <c r="I2159" s="37" t="s">
        <v>1759</v>
      </c>
      <c r="J2159" s="352" t="s">
        <v>1115</v>
      </c>
      <c r="K2159" s="352">
        <v>100</v>
      </c>
      <c r="L2159" s="352" t="s">
        <v>732</v>
      </c>
      <c r="M2159" s="352">
        <v>2</v>
      </c>
      <c r="N2159" s="352" t="s">
        <v>1109</v>
      </c>
      <c r="O2159" s="351">
        <v>100</v>
      </c>
      <c r="P2159" s="349" t="s">
        <v>2030</v>
      </c>
      <c r="R2159" s="349">
        <f t="shared" si="33"/>
        <v>16</v>
      </c>
      <c r="S2159" s="352"/>
      <c r="T2159" s="352"/>
      <c r="U2159" s="352"/>
      <c r="V2159" s="353"/>
      <c r="W2159" s="352"/>
      <c r="X2159" s="176"/>
      <c r="Y2159" s="176"/>
      <c r="Z2159" s="352"/>
      <c r="AA2159" s="352"/>
      <c r="AB2159" s="352"/>
      <c r="AC2159" s="352"/>
      <c r="AD2159" s="352"/>
    </row>
    <row r="2160" spans="1:30" ht="64.099999999999994" hidden="1" x14ac:dyDescent="0.35">
      <c r="A2160" s="349">
        <v>2159</v>
      </c>
      <c r="B2160" s="352" t="s">
        <v>314</v>
      </c>
      <c r="C2160" s="351" t="s">
        <v>4371</v>
      </c>
      <c r="D2160" s="352" t="s">
        <v>1404</v>
      </c>
      <c r="E2160" s="352" t="s">
        <v>3250</v>
      </c>
      <c r="F2160" s="353">
        <v>702.23419999999999</v>
      </c>
      <c r="G2160" s="352" t="s">
        <v>2384</v>
      </c>
      <c r="H2160" s="176" t="s">
        <v>1760</v>
      </c>
      <c r="I2160" s="176" t="s">
        <v>1759</v>
      </c>
      <c r="J2160" s="352" t="s">
        <v>1115</v>
      </c>
      <c r="K2160" s="351">
        <v>100</v>
      </c>
      <c r="L2160" s="351" t="s">
        <v>732</v>
      </c>
      <c r="M2160" s="352">
        <v>2</v>
      </c>
      <c r="N2160" s="352" t="s">
        <v>1109</v>
      </c>
      <c r="O2160" s="351">
        <v>100</v>
      </c>
      <c r="P2160" s="349" t="s">
        <v>2030</v>
      </c>
      <c r="R2160" s="349">
        <f t="shared" si="33"/>
        <v>16</v>
      </c>
      <c r="S2160" s="352"/>
      <c r="T2160" s="352"/>
      <c r="U2160" s="352"/>
      <c r="V2160" s="353"/>
      <c r="W2160" s="352"/>
      <c r="X2160" s="176"/>
      <c r="Y2160" s="176"/>
      <c r="Z2160" s="352"/>
      <c r="AA2160" s="352"/>
      <c r="AB2160" s="352"/>
      <c r="AC2160" s="351"/>
      <c r="AD2160" s="351"/>
    </row>
    <row r="2161" spans="1:30" ht="25.65" hidden="1" x14ac:dyDescent="0.35">
      <c r="A2161" s="349">
        <v>2160</v>
      </c>
      <c r="B2161" s="352" t="s">
        <v>959</v>
      </c>
      <c r="C2161" s="351" t="s">
        <v>2359</v>
      </c>
      <c r="D2161" s="352" t="s">
        <v>2359</v>
      </c>
      <c r="E2161" s="352" t="s">
        <v>1488</v>
      </c>
      <c r="F2161" s="353">
        <v>3.3056000000000001</v>
      </c>
      <c r="G2161" s="352" t="s">
        <v>34</v>
      </c>
      <c r="H2161" s="176" t="s">
        <v>2360</v>
      </c>
      <c r="I2161" s="176" t="s">
        <v>2313</v>
      </c>
      <c r="J2161" s="352" t="s">
        <v>1064</v>
      </c>
      <c r="K2161" s="351">
        <v>50</v>
      </c>
      <c r="L2161" s="351" t="s">
        <v>470</v>
      </c>
      <c r="M2161" s="352">
        <v>100</v>
      </c>
      <c r="N2161" s="352" t="s">
        <v>31</v>
      </c>
      <c r="O2161" s="351">
        <v>50</v>
      </c>
      <c r="P2161" s="349" t="s">
        <v>1838</v>
      </c>
      <c r="R2161" s="349">
        <f t="shared" si="33"/>
        <v>8</v>
      </c>
      <c r="S2161" s="352"/>
      <c r="T2161" s="352"/>
      <c r="U2161" s="352"/>
      <c r="V2161" s="353"/>
      <c r="W2161" s="352"/>
      <c r="X2161" s="176"/>
      <c r="Y2161" s="176"/>
      <c r="Z2161" s="352"/>
      <c r="AA2161" s="352"/>
      <c r="AB2161" s="352"/>
      <c r="AC2161" s="351"/>
      <c r="AD2161" s="351"/>
    </row>
    <row r="2162" spans="1:30" ht="38.450000000000003" hidden="1" x14ac:dyDescent="0.35">
      <c r="A2162" s="349">
        <v>2161</v>
      </c>
      <c r="B2162" s="352" t="s">
        <v>959</v>
      </c>
      <c r="C2162" s="351" t="s">
        <v>2359</v>
      </c>
      <c r="D2162" s="352" t="s">
        <v>2359</v>
      </c>
      <c r="E2162" s="352" t="s">
        <v>554</v>
      </c>
      <c r="F2162" s="353">
        <v>3.4157999999999999</v>
      </c>
      <c r="G2162" s="352" t="s">
        <v>34</v>
      </c>
      <c r="H2162" s="176" t="s">
        <v>2361</v>
      </c>
      <c r="I2162" s="176" t="s">
        <v>2362</v>
      </c>
      <c r="J2162" s="352" t="s">
        <v>555</v>
      </c>
      <c r="K2162" s="352"/>
      <c r="L2162" s="352"/>
      <c r="M2162" s="351">
        <v>50</v>
      </c>
      <c r="N2162" s="351" t="s">
        <v>31</v>
      </c>
      <c r="O2162" s="351">
        <v>0</v>
      </c>
      <c r="P2162" s="349" t="s">
        <v>818</v>
      </c>
      <c r="R2162" s="349">
        <f t="shared" si="33"/>
        <v>8</v>
      </c>
      <c r="S2162" s="352"/>
      <c r="T2162" s="352"/>
      <c r="U2162" s="352"/>
      <c r="V2162" s="353"/>
      <c r="W2162" s="352"/>
      <c r="X2162" s="176"/>
      <c r="Y2162" s="176"/>
      <c r="Z2162" s="352"/>
      <c r="AA2162" s="352"/>
      <c r="AB2162" s="352"/>
      <c r="AC2162" s="351"/>
      <c r="AD2162" s="351"/>
    </row>
    <row r="2163" spans="1:30" ht="25.65" hidden="1" x14ac:dyDescent="0.35">
      <c r="A2163" s="349">
        <v>2162</v>
      </c>
      <c r="B2163" s="352" t="s">
        <v>959</v>
      </c>
      <c r="C2163" s="351" t="s">
        <v>4372</v>
      </c>
      <c r="D2163" s="352" t="s">
        <v>2359</v>
      </c>
      <c r="E2163" s="352" t="s">
        <v>1488</v>
      </c>
      <c r="F2163" s="353">
        <v>3.3056000000000001</v>
      </c>
      <c r="G2163" s="352" t="s">
        <v>34</v>
      </c>
      <c r="H2163" s="37" t="s">
        <v>2360</v>
      </c>
      <c r="I2163" s="176" t="s">
        <v>2313</v>
      </c>
      <c r="J2163" s="352" t="s">
        <v>1064</v>
      </c>
      <c r="K2163" s="352">
        <v>50</v>
      </c>
      <c r="L2163" s="352" t="s">
        <v>470</v>
      </c>
      <c r="M2163" s="351">
        <v>100</v>
      </c>
      <c r="N2163" s="351" t="s">
        <v>31</v>
      </c>
      <c r="O2163" s="351">
        <v>50</v>
      </c>
      <c r="P2163" s="349" t="s">
        <v>1838</v>
      </c>
      <c r="R2163" s="349">
        <f t="shared" si="33"/>
        <v>8</v>
      </c>
      <c r="S2163" s="352"/>
      <c r="T2163" s="352"/>
      <c r="U2163" s="352"/>
      <c r="V2163" s="353"/>
      <c r="W2163" s="352"/>
      <c r="X2163" s="176"/>
      <c r="Y2163" s="176"/>
      <c r="Z2163" s="352"/>
      <c r="AA2163" s="352"/>
      <c r="AB2163" s="352"/>
      <c r="AC2163" s="352"/>
      <c r="AD2163" s="352"/>
    </row>
    <row r="2164" spans="1:30" ht="38.450000000000003" hidden="1" x14ac:dyDescent="0.35">
      <c r="A2164" s="349">
        <v>2163</v>
      </c>
      <c r="B2164" s="352" t="s">
        <v>959</v>
      </c>
      <c r="C2164" s="351" t="s">
        <v>4373</v>
      </c>
      <c r="D2164" s="352" t="s">
        <v>2359</v>
      </c>
      <c r="E2164" s="352" t="s">
        <v>554</v>
      </c>
      <c r="F2164" s="353">
        <v>3.4157999999999999</v>
      </c>
      <c r="G2164" s="352" t="s">
        <v>34</v>
      </c>
      <c r="H2164" s="176" t="s">
        <v>2361</v>
      </c>
      <c r="I2164" s="176" t="s">
        <v>2362</v>
      </c>
      <c r="J2164" s="352" t="s">
        <v>555</v>
      </c>
      <c r="K2164" s="352"/>
      <c r="L2164" s="352"/>
      <c r="M2164" s="352">
        <v>50</v>
      </c>
      <c r="N2164" s="352" t="s">
        <v>31</v>
      </c>
      <c r="O2164" s="351">
        <v>0</v>
      </c>
      <c r="P2164" s="349" t="s">
        <v>818</v>
      </c>
      <c r="R2164" s="349">
        <f t="shared" si="33"/>
        <v>8</v>
      </c>
      <c r="S2164" s="352"/>
      <c r="T2164" s="352"/>
      <c r="U2164" s="352"/>
      <c r="V2164" s="353"/>
      <c r="W2164" s="352"/>
      <c r="X2164" s="176"/>
      <c r="Y2164" s="176"/>
      <c r="Z2164" s="352"/>
      <c r="AA2164" s="352"/>
      <c r="AB2164" s="352"/>
      <c r="AC2164" s="351"/>
      <c r="AD2164" s="351"/>
    </row>
    <row r="2165" spans="1:30" hidden="1" x14ac:dyDescent="0.35">
      <c r="A2165" s="349">
        <v>2164</v>
      </c>
      <c r="B2165" s="352" t="s">
        <v>959</v>
      </c>
      <c r="C2165" s="351" t="s">
        <v>4374</v>
      </c>
      <c r="D2165" s="352" t="s">
        <v>1797</v>
      </c>
      <c r="E2165" s="352" t="s">
        <v>554</v>
      </c>
      <c r="F2165" s="353">
        <v>3.3056000000000001</v>
      </c>
      <c r="G2165" s="352" t="s">
        <v>34</v>
      </c>
      <c r="H2165" s="176" t="s">
        <v>4232</v>
      </c>
      <c r="I2165" s="176" t="s">
        <v>4619</v>
      </c>
      <c r="J2165" s="352" t="s">
        <v>555</v>
      </c>
      <c r="K2165" s="352"/>
      <c r="L2165" s="352"/>
      <c r="M2165" s="352">
        <v>50</v>
      </c>
      <c r="N2165" s="352" t="s">
        <v>31</v>
      </c>
      <c r="O2165" s="351">
        <v>0</v>
      </c>
      <c r="P2165" s="349" t="s">
        <v>818</v>
      </c>
      <c r="R2165" s="349">
        <f t="shared" si="33"/>
        <v>15</v>
      </c>
      <c r="S2165" s="352"/>
      <c r="T2165" s="352"/>
      <c r="U2165" s="352"/>
      <c r="V2165" s="353"/>
      <c r="W2165" s="352"/>
      <c r="X2165" s="176"/>
      <c r="Y2165" s="176"/>
      <c r="Z2165" s="352"/>
      <c r="AA2165" s="352"/>
      <c r="AB2165" s="352"/>
      <c r="AC2165" s="351"/>
      <c r="AD2165" s="351"/>
    </row>
    <row r="2166" spans="1:30" ht="115.35" hidden="1" x14ac:dyDescent="0.35">
      <c r="A2166" s="349">
        <v>2165</v>
      </c>
      <c r="B2166" s="352" t="s">
        <v>3587</v>
      </c>
      <c r="C2166" s="351" t="s">
        <v>4375</v>
      </c>
      <c r="D2166" s="352" t="s">
        <v>2186</v>
      </c>
      <c r="E2166" s="352" t="s">
        <v>1997</v>
      </c>
      <c r="F2166" s="353">
        <v>14.5886</v>
      </c>
      <c r="G2166" s="352" t="s">
        <v>1107</v>
      </c>
      <c r="H2166" s="176" t="s">
        <v>362</v>
      </c>
      <c r="I2166" s="176" t="s">
        <v>4757</v>
      </c>
      <c r="J2166" s="352" t="s">
        <v>1115</v>
      </c>
      <c r="K2166" s="352">
        <v>10</v>
      </c>
      <c r="L2166" s="352" t="s">
        <v>1464</v>
      </c>
      <c r="M2166" s="352"/>
      <c r="N2166" s="352"/>
      <c r="O2166" s="351">
        <v>10</v>
      </c>
      <c r="P2166" s="349" t="s">
        <v>1836</v>
      </c>
      <c r="R2166" s="349">
        <f t="shared" si="33"/>
        <v>11</v>
      </c>
      <c r="S2166" s="352"/>
      <c r="T2166" s="352"/>
      <c r="U2166" s="352"/>
      <c r="V2166" s="353"/>
      <c r="W2166" s="352"/>
      <c r="X2166" s="176"/>
      <c r="Y2166" s="176"/>
      <c r="Z2166" s="352"/>
      <c r="AA2166" s="352"/>
      <c r="AB2166" s="352"/>
      <c r="AC2166" s="352"/>
      <c r="AD2166" s="352"/>
    </row>
    <row r="2167" spans="1:30" ht="51.3" hidden="1" x14ac:dyDescent="0.35">
      <c r="A2167" s="349">
        <v>2166</v>
      </c>
      <c r="B2167" s="352" t="s">
        <v>1080</v>
      </c>
      <c r="C2167" s="351" t="s">
        <v>4376</v>
      </c>
      <c r="D2167" s="352" t="s">
        <v>2240</v>
      </c>
      <c r="E2167" s="352" t="s">
        <v>1997</v>
      </c>
      <c r="F2167" s="353">
        <v>45.065899999999999</v>
      </c>
      <c r="G2167" s="352" t="s">
        <v>1107</v>
      </c>
      <c r="H2167" s="176"/>
      <c r="I2167" s="176" t="s">
        <v>1356</v>
      </c>
      <c r="J2167" s="352" t="s">
        <v>1115</v>
      </c>
      <c r="K2167" s="352">
        <v>10</v>
      </c>
      <c r="L2167" s="352" t="s">
        <v>1464</v>
      </c>
      <c r="M2167" s="352"/>
      <c r="N2167" s="352"/>
      <c r="O2167" s="351">
        <v>10</v>
      </c>
      <c r="P2167" s="349" t="s">
        <v>1836</v>
      </c>
      <c r="R2167" s="349">
        <f t="shared" si="33"/>
        <v>11</v>
      </c>
      <c r="S2167" s="352"/>
      <c r="T2167" s="352"/>
      <c r="U2167" s="352"/>
      <c r="V2167" s="353"/>
      <c r="W2167" s="352"/>
      <c r="X2167" s="176"/>
      <c r="Y2167" s="176"/>
      <c r="Z2167" s="352"/>
      <c r="AA2167" s="352"/>
      <c r="AB2167" s="352"/>
      <c r="AC2167" s="351"/>
      <c r="AD2167" s="351"/>
    </row>
    <row r="2168" spans="1:30" ht="89.75" hidden="1" x14ac:dyDescent="0.35">
      <c r="A2168" s="349">
        <v>2167</v>
      </c>
      <c r="B2168" s="352" t="s">
        <v>4192</v>
      </c>
      <c r="C2168" s="351" t="s">
        <v>4377</v>
      </c>
      <c r="D2168" s="352" t="s">
        <v>3194</v>
      </c>
      <c r="E2168" s="352" t="s">
        <v>827</v>
      </c>
      <c r="F2168" s="353">
        <v>34.686399999999999</v>
      </c>
      <c r="G2168" s="352" t="s">
        <v>1107</v>
      </c>
      <c r="H2168" s="176" t="s">
        <v>3933</v>
      </c>
      <c r="I2168" s="176" t="s">
        <v>3343</v>
      </c>
      <c r="J2168" s="352" t="s">
        <v>828</v>
      </c>
      <c r="K2168" s="352">
        <v>20</v>
      </c>
      <c r="L2168" s="352" t="s">
        <v>1116</v>
      </c>
      <c r="M2168" s="352">
        <v>5</v>
      </c>
      <c r="N2168" s="352" t="s">
        <v>1109</v>
      </c>
      <c r="O2168" s="351">
        <v>20</v>
      </c>
      <c r="P2168" s="349" t="s">
        <v>1836</v>
      </c>
      <c r="R2168" s="349">
        <f t="shared" si="33"/>
        <v>20</v>
      </c>
      <c r="S2168" s="352"/>
      <c r="T2168" s="352"/>
      <c r="U2168" s="352"/>
      <c r="V2168" s="353"/>
      <c r="W2168" s="352"/>
      <c r="X2168" s="176"/>
      <c r="Y2168" s="176"/>
      <c r="Z2168" s="352"/>
      <c r="AA2168" s="352"/>
      <c r="AB2168" s="352"/>
      <c r="AC2168" s="351"/>
      <c r="AD2168" s="351"/>
    </row>
    <row r="2169" spans="1:30" ht="51.3" hidden="1" x14ac:dyDescent="0.35">
      <c r="A2169" s="349">
        <v>2168</v>
      </c>
      <c r="B2169" s="352" t="s">
        <v>316</v>
      </c>
      <c r="C2169" s="351" t="s">
        <v>4378</v>
      </c>
      <c r="D2169" s="352" t="s">
        <v>279</v>
      </c>
      <c r="E2169" s="352" t="s">
        <v>2379</v>
      </c>
      <c r="F2169" s="353">
        <v>7.74</v>
      </c>
      <c r="G2169" s="352" t="s">
        <v>3034</v>
      </c>
      <c r="H2169" s="176" t="s">
        <v>1081</v>
      </c>
      <c r="I2169" s="176" t="s">
        <v>1082</v>
      </c>
      <c r="J2169" s="352" t="s">
        <v>3215</v>
      </c>
      <c r="K2169" s="352">
        <v>100</v>
      </c>
      <c r="L2169" s="352" t="s">
        <v>3216</v>
      </c>
      <c r="M2169" s="352">
        <v>200</v>
      </c>
      <c r="N2169" s="352" t="s">
        <v>1656</v>
      </c>
      <c r="O2169" s="351">
        <v>100</v>
      </c>
      <c r="P2169" s="349" t="s">
        <v>1850</v>
      </c>
      <c r="R2169" s="349">
        <f t="shared" si="33"/>
        <v>10</v>
      </c>
      <c r="S2169" s="352"/>
      <c r="T2169" s="352"/>
      <c r="U2169" s="352"/>
      <c r="V2169" s="353"/>
      <c r="W2169" s="352"/>
      <c r="X2169" s="176"/>
      <c r="Y2169" s="176"/>
      <c r="Z2169" s="352"/>
      <c r="AA2169" s="352"/>
      <c r="AB2169" s="352"/>
      <c r="AC2169" s="351"/>
      <c r="AD2169" s="351"/>
    </row>
    <row r="2170" spans="1:30" ht="25.65" hidden="1" x14ac:dyDescent="0.35">
      <c r="A2170" s="349">
        <v>2169</v>
      </c>
      <c r="B2170" s="352" t="s">
        <v>316</v>
      </c>
      <c r="C2170" s="351" t="s">
        <v>4379</v>
      </c>
      <c r="D2170" s="352" t="s">
        <v>279</v>
      </c>
      <c r="E2170" s="352" t="s">
        <v>743</v>
      </c>
      <c r="F2170" s="353">
        <v>13.49</v>
      </c>
      <c r="G2170" s="352" t="s">
        <v>3034</v>
      </c>
      <c r="H2170" s="176" t="s">
        <v>1083</v>
      </c>
      <c r="I2170" s="176" t="s">
        <v>1084</v>
      </c>
      <c r="J2170" s="352" t="s">
        <v>744</v>
      </c>
      <c r="K2170" s="352">
        <v>200</v>
      </c>
      <c r="L2170" s="352" t="s">
        <v>2376</v>
      </c>
      <c r="M2170" s="352">
        <v>60</v>
      </c>
      <c r="N2170" s="352" t="s">
        <v>1656</v>
      </c>
      <c r="O2170" s="351">
        <v>200</v>
      </c>
      <c r="P2170" s="349" t="s">
        <v>1850</v>
      </c>
      <c r="R2170" s="349">
        <f t="shared" si="33"/>
        <v>10</v>
      </c>
      <c r="S2170" s="352"/>
      <c r="T2170" s="352"/>
      <c r="U2170" s="352"/>
      <c r="V2170" s="353"/>
      <c r="W2170" s="352"/>
      <c r="X2170" s="176"/>
      <c r="Y2170" s="176"/>
      <c r="Z2170" s="352"/>
      <c r="AA2170" s="352"/>
      <c r="AB2170" s="352"/>
      <c r="AC2170" s="352"/>
      <c r="AD2170" s="352"/>
    </row>
    <row r="2171" spans="1:30" ht="76.900000000000006" hidden="1" x14ac:dyDescent="0.35">
      <c r="A2171" s="349">
        <v>2170</v>
      </c>
      <c r="B2171" s="352" t="s">
        <v>316</v>
      </c>
      <c r="C2171" s="351" t="s">
        <v>4380</v>
      </c>
      <c r="D2171" s="352" t="s">
        <v>279</v>
      </c>
      <c r="E2171" s="352" t="s">
        <v>334</v>
      </c>
      <c r="F2171" s="353">
        <v>4.3193000000000001</v>
      </c>
      <c r="G2171" s="352" t="s">
        <v>2126</v>
      </c>
      <c r="H2171" s="176" t="s">
        <v>507</v>
      </c>
      <c r="I2171" s="176" t="s">
        <v>2901</v>
      </c>
      <c r="J2171" s="352" t="s">
        <v>3579</v>
      </c>
      <c r="K2171" s="352">
        <v>400</v>
      </c>
      <c r="L2171" s="352" t="s">
        <v>4022</v>
      </c>
      <c r="M2171" s="352">
        <v>150</v>
      </c>
      <c r="N2171" s="352" t="s">
        <v>1109</v>
      </c>
      <c r="O2171" s="351">
        <v>400</v>
      </c>
      <c r="P2171" s="349" t="s">
        <v>1850</v>
      </c>
      <c r="R2171" s="349">
        <f t="shared" si="33"/>
        <v>10</v>
      </c>
      <c r="S2171" s="352"/>
      <c r="T2171" s="352"/>
      <c r="U2171" s="352"/>
      <c r="V2171" s="353"/>
      <c r="W2171" s="352"/>
      <c r="X2171" s="176"/>
      <c r="Y2171" s="176"/>
      <c r="Z2171" s="352"/>
      <c r="AA2171" s="352"/>
      <c r="AB2171" s="352"/>
      <c r="AC2171" s="352"/>
      <c r="AD2171" s="352"/>
    </row>
    <row r="2172" spans="1:30" ht="256.35000000000002" hidden="1" x14ac:dyDescent="0.35">
      <c r="A2172" s="349">
        <v>2171</v>
      </c>
      <c r="B2172" s="352" t="s">
        <v>316</v>
      </c>
      <c r="C2172" s="351" t="s">
        <v>4381</v>
      </c>
      <c r="D2172" s="352" t="s">
        <v>279</v>
      </c>
      <c r="E2172" s="352" t="s">
        <v>331</v>
      </c>
      <c r="F2172" s="353">
        <v>11.503399999999999</v>
      </c>
      <c r="G2172" s="352" t="s">
        <v>3034</v>
      </c>
      <c r="H2172" s="176" t="s">
        <v>5080</v>
      </c>
      <c r="I2172" s="176" t="s">
        <v>1117</v>
      </c>
      <c r="J2172" s="352" t="s">
        <v>3035</v>
      </c>
      <c r="K2172" s="352">
        <v>5</v>
      </c>
      <c r="L2172" s="352" t="s">
        <v>1116</v>
      </c>
      <c r="M2172" s="352">
        <v>20</v>
      </c>
      <c r="N2172" s="352" t="s">
        <v>1109</v>
      </c>
      <c r="O2172" s="351">
        <v>5</v>
      </c>
      <c r="P2172" s="349" t="s">
        <v>1836</v>
      </c>
      <c r="R2172" s="349">
        <f t="shared" si="33"/>
        <v>10</v>
      </c>
      <c r="S2172" s="352"/>
      <c r="T2172" s="352"/>
      <c r="U2172" s="352"/>
      <c r="V2172" s="353"/>
      <c r="W2172" s="352"/>
      <c r="X2172" s="176"/>
      <c r="Y2172" s="176"/>
      <c r="Z2172" s="352"/>
      <c r="AA2172" s="352"/>
      <c r="AB2172" s="352"/>
      <c r="AC2172" s="352"/>
      <c r="AD2172" s="352"/>
    </row>
    <row r="2173" spans="1:30" ht="141" hidden="1" x14ac:dyDescent="0.35">
      <c r="A2173" s="349">
        <v>2172</v>
      </c>
      <c r="B2173" s="352" t="s">
        <v>316</v>
      </c>
      <c r="C2173" s="351" t="s">
        <v>4381</v>
      </c>
      <c r="D2173" s="352" t="s">
        <v>279</v>
      </c>
      <c r="E2173" s="352" t="s">
        <v>332</v>
      </c>
      <c r="F2173" s="353">
        <v>0.3306</v>
      </c>
      <c r="G2173" s="352" t="s">
        <v>3034</v>
      </c>
      <c r="H2173" s="176" t="s">
        <v>2341</v>
      </c>
      <c r="I2173" s="176" t="s">
        <v>1117</v>
      </c>
      <c r="J2173" s="352" t="s">
        <v>333</v>
      </c>
      <c r="K2173" s="352">
        <v>1</v>
      </c>
      <c r="L2173" s="352" t="s">
        <v>1116</v>
      </c>
      <c r="M2173" s="352">
        <v>2.5</v>
      </c>
      <c r="N2173" s="352" t="s">
        <v>1109</v>
      </c>
      <c r="O2173" s="351">
        <v>1</v>
      </c>
      <c r="P2173" s="349" t="s">
        <v>1836</v>
      </c>
      <c r="R2173" s="349">
        <f t="shared" si="33"/>
        <v>10</v>
      </c>
      <c r="S2173" s="352"/>
      <c r="T2173" s="352"/>
      <c r="U2173" s="352"/>
      <c r="V2173" s="353"/>
      <c r="W2173" s="352"/>
      <c r="X2173" s="176"/>
      <c r="Y2173" s="176"/>
      <c r="Z2173" s="352"/>
      <c r="AA2173" s="352"/>
      <c r="AB2173" s="352"/>
      <c r="AC2173" s="352"/>
      <c r="AD2173" s="352"/>
    </row>
    <row r="2174" spans="1:30" ht="115.35" hidden="1" x14ac:dyDescent="0.35">
      <c r="A2174" s="349">
        <v>2173</v>
      </c>
      <c r="B2174" s="352" t="s">
        <v>316</v>
      </c>
      <c r="C2174" s="351" t="s">
        <v>4382</v>
      </c>
      <c r="D2174" s="352" t="s">
        <v>279</v>
      </c>
      <c r="E2174" s="352" t="s">
        <v>827</v>
      </c>
      <c r="F2174" s="353">
        <v>12.010199999999999</v>
      </c>
      <c r="G2174" s="352" t="s">
        <v>1107</v>
      </c>
      <c r="H2174" s="176" t="s">
        <v>480</v>
      </c>
      <c r="I2174" s="176" t="s">
        <v>481</v>
      </c>
      <c r="J2174" s="352" t="s">
        <v>828</v>
      </c>
      <c r="K2174" s="352">
        <v>1</v>
      </c>
      <c r="L2174" s="352" t="s">
        <v>1116</v>
      </c>
      <c r="M2174" s="351">
        <v>5</v>
      </c>
      <c r="N2174" s="351" t="s">
        <v>1109</v>
      </c>
      <c r="O2174" s="351">
        <v>1</v>
      </c>
      <c r="P2174" s="349" t="s">
        <v>1836</v>
      </c>
      <c r="R2174" s="349">
        <f t="shared" si="33"/>
        <v>10</v>
      </c>
      <c r="S2174" s="352"/>
      <c r="T2174" s="352"/>
      <c r="U2174" s="352"/>
      <c r="V2174" s="353"/>
      <c r="W2174" s="352"/>
      <c r="X2174" s="176"/>
      <c r="Y2174" s="176"/>
      <c r="Z2174" s="352"/>
      <c r="AA2174" s="352"/>
      <c r="AB2174" s="352"/>
      <c r="AC2174" s="352"/>
      <c r="AD2174" s="352"/>
    </row>
    <row r="2175" spans="1:30" ht="25.65" hidden="1" x14ac:dyDescent="0.35">
      <c r="A2175" s="349">
        <v>2174</v>
      </c>
      <c r="B2175" s="352" t="s">
        <v>316</v>
      </c>
      <c r="C2175" s="351" t="s">
        <v>4383</v>
      </c>
      <c r="D2175" s="352" t="s">
        <v>279</v>
      </c>
      <c r="E2175" s="352" t="s">
        <v>2374</v>
      </c>
      <c r="F2175" s="353">
        <v>1.43</v>
      </c>
      <c r="G2175" s="352" t="s">
        <v>3034</v>
      </c>
      <c r="H2175" s="176" t="s">
        <v>1083</v>
      </c>
      <c r="I2175" s="176" t="s">
        <v>1084</v>
      </c>
      <c r="J2175" s="352" t="s">
        <v>2375</v>
      </c>
      <c r="K2175" s="352">
        <v>200</v>
      </c>
      <c r="L2175" s="352" t="s">
        <v>2376</v>
      </c>
      <c r="M2175" s="352">
        <v>8</v>
      </c>
      <c r="N2175" s="352" t="s">
        <v>2377</v>
      </c>
      <c r="O2175" s="351">
        <v>200</v>
      </c>
      <c r="P2175" s="349" t="s">
        <v>1850</v>
      </c>
      <c r="R2175" s="349">
        <f t="shared" si="33"/>
        <v>10</v>
      </c>
      <c r="S2175" s="352"/>
      <c r="T2175" s="352"/>
      <c r="U2175" s="352"/>
      <c r="V2175" s="353"/>
      <c r="W2175" s="352"/>
      <c r="X2175" s="176"/>
      <c r="Y2175" s="176"/>
      <c r="Z2175" s="352"/>
      <c r="AA2175" s="352"/>
      <c r="AB2175" s="352"/>
      <c r="AC2175" s="352"/>
      <c r="AD2175" s="352"/>
    </row>
    <row r="2176" spans="1:30" ht="25.65" hidden="1" x14ac:dyDescent="0.35">
      <c r="A2176" s="349">
        <v>2175</v>
      </c>
      <c r="B2176" s="352" t="s">
        <v>316</v>
      </c>
      <c r="C2176" s="351" t="s">
        <v>4383</v>
      </c>
      <c r="D2176" s="352" t="s">
        <v>279</v>
      </c>
      <c r="E2176" s="352" t="s">
        <v>2374</v>
      </c>
      <c r="F2176" s="353">
        <v>2.42</v>
      </c>
      <c r="G2176" s="352" t="s">
        <v>3034</v>
      </c>
      <c r="H2176" s="176" t="s">
        <v>1083</v>
      </c>
      <c r="I2176" s="176" t="s">
        <v>1084</v>
      </c>
      <c r="J2176" s="352" t="s">
        <v>2375</v>
      </c>
      <c r="K2176" s="352">
        <v>400</v>
      </c>
      <c r="L2176" s="352" t="s">
        <v>2376</v>
      </c>
      <c r="M2176" s="351">
        <v>8</v>
      </c>
      <c r="N2176" s="351" t="s">
        <v>2377</v>
      </c>
      <c r="O2176" s="351">
        <v>400</v>
      </c>
      <c r="P2176" s="349" t="s">
        <v>1850</v>
      </c>
      <c r="R2176" s="349">
        <f t="shared" si="33"/>
        <v>10</v>
      </c>
      <c r="S2176" s="352"/>
      <c r="T2176" s="352"/>
      <c r="U2176" s="352"/>
      <c r="V2176" s="353"/>
      <c r="W2176" s="352"/>
      <c r="X2176" s="176"/>
      <c r="Y2176" s="176"/>
      <c r="Z2176" s="352"/>
      <c r="AA2176" s="352"/>
      <c r="AB2176" s="352"/>
      <c r="AC2176" s="352"/>
      <c r="AD2176" s="352"/>
    </row>
    <row r="2177" spans="1:30" ht="38.450000000000003" hidden="1" x14ac:dyDescent="0.35">
      <c r="A2177" s="349">
        <v>2176</v>
      </c>
      <c r="B2177" s="352" t="s">
        <v>1080</v>
      </c>
      <c r="C2177" s="351" t="s">
        <v>4384</v>
      </c>
      <c r="D2177" s="352" t="s">
        <v>209</v>
      </c>
      <c r="E2177" s="352" t="s">
        <v>827</v>
      </c>
      <c r="F2177" s="353">
        <v>12.0543</v>
      </c>
      <c r="G2177" s="352" t="s">
        <v>1107</v>
      </c>
      <c r="H2177" s="176" t="s">
        <v>2218</v>
      </c>
      <c r="I2177" s="176" t="s">
        <v>1357</v>
      </c>
      <c r="J2177" s="352" t="s">
        <v>828</v>
      </c>
      <c r="K2177" s="352">
        <v>20</v>
      </c>
      <c r="L2177" s="352" t="s">
        <v>1116</v>
      </c>
      <c r="M2177" s="351">
        <v>5</v>
      </c>
      <c r="N2177" s="351" t="s">
        <v>1109</v>
      </c>
      <c r="O2177" s="351">
        <v>20</v>
      </c>
      <c r="P2177" s="349" t="s">
        <v>1836</v>
      </c>
      <c r="R2177" s="349">
        <f t="shared" si="33"/>
        <v>9</v>
      </c>
      <c r="S2177" s="352"/>
      <c r="T2177" s="352"/>
      <c r="U2177" s="352"/>
      <c r="V2177" s="353"/>
      <c r="W2177" s="352"/>
      <c r="X2177" s="176"/>
      <c r="Y2177" s="176"/>
      <c r="Z2177" s="352"/>
      <c r="AA2177" s="352"/>
      <c r="AB2177" s="352"/>
      <c r="AC2177" s="352"/>
      <c r="AD2177" s="352"/>
    </row>
    <row r="2178" spans="1:30" ht="128.19999999999999" hidden="1" x14ac:dyDescent="0.35">
      <c r="A2178" s="349">
        <v>2177</v>
      </c>
      <c r="B2178" s="352" t="s">
        <v>761</v>
      </c>
      <c r="C2178" s="351" t="s">
        <v>3289</v>
      </c>
      <c r="D2178" s="352" t="s">
        <v>3289</v>
      </c>
      <c r="E2178" s="352" t="s">
        <v>762</v>
      </c>
      <c r="F2178" s="353">
        <v>1.4543999999999999</v>
      </c>
      <c r="G2178" s="352" t="s">
        <v>1107</v>
      </c>
      <c r="H2178" s="176" t="s">
        <v>2708</v>
      </c>
      <c r="I2178" s="176" t="s">
        <v>4484</v>
      </c>
      <c r="J2178" s="352" t="s">
        <v>828</v>
      </c>
      <c r="K2178" s="352">
        <v>2.5</v>
      </c>
      <c r="L2178" s="352" t="s">
        <v>1116</v>
      </c>
      <c r="M2178" s="351">
        <v>2</v>
      </c>
      <c r="N2178" s="351" t="s">
        <v>1109</v>
      </c>
      <c r="O2178" s="351">
        <v>2.5</v>
      </c>
      <c r="P2178" s="349" t="s">
        <v>1836</v>
      </c>
      <c r="R2178" s="349">
        <f t="shared" si="33"/>
        <v>9</v>
      </c>
      <c r="S2178" s="352"/>
      <c r="T2178" s="352"/>
      <c r="U2178" s="352"/>
      <c r="V2178" s="353"/>
      <c r="W2178" s="352"/>
      <c r="X2178" s="176"/>
      <c r="Y2178" s="176"/>
      <c r="Z2178" s="352"/>
      <c r="AA2178" s="352"/>
      <c r="AB2178" s="352"/>
      <c r="AC2178" s="352"/>
      <c r="AD2178" s="352"/>
    </row>
    <row r="2179" spans="1:30" ht="128.19999999999999" hidden="1" x14ac:dyDescent="0.35">
      <c r="A2179" s="349">
        <v>2178</v>
      </c>
      <c r="B2179" s="352" t="s">
        <v>761</v>
      </c>
      <c r="C2179" s="351" t="s">
        <v>3289</v>
      </c>
      <c r="D2179" s="352" t="s">
        <v>3289</v>
      </c>
      <c r="E2179" s="352" t="s">
        <v>1995</v>
      </c>
      <c r="F2179" s="353">
        <v>0.1</v>
      </c>
      <c r="G2179" s="352" t="s">
        <v>2126</v>
      </c>
      <c r="H2179" s="176" t="s">
        <v>2709</v>
      </c>
      <c r="I2179" s="176" t="s">
        <v>4484</v>
      </c>
      <c r="J2179" s="352" t="s">
        <v>3580</v>
      </c>
      <c r="K2179" s="352">
        <v>40</v>
      </c>
      <c r="L2179" s="352" t="s">
        <v>3581</v>
      </c>
      <c r="M2179" s="351"/>
      <c r="N2179" s="351"/>
      <c r="O2179" s="351">
        <v>40</v>
      </c>
      <c r="P2179" s="349" t="s">
        <v>1836</v>
      </c>
      <c r="R2179" s="349">
        <f t="shared" ref="R2179:R2242" si="34">LEN(D2179)</f>
        <v>9</v>
      </c>
      <c r="S2179" s="352"/>
      <c r="T2179" s="352"/>
      <c r="U2179" s="352"/>
      <c r="V2179" s="353"/>
      <c r="W2179" s="352"/>
      <c r="X2179" s="176"/>
      <c r="Y2179" s="176"/>
      <c r="Z2179" s="352"/>
      <c r="AA2179" s="352"/>
      <c r="AB2179" s="352"/>
      <c r="AC2179" s="352"/>
      <c r="AD2179" s="352"/>
    </row>
    <row r="2180" spans="1:30" ht="64.099999999999994" hidden="1" x14ac:dyDescent="0.35">
      <c r="A2180" s="349">
        <v>2179</v>
      </c>
      <c r="B2180" s="352" t="s">
        <v>3205</v>
      </c>
      <c r="C2180" s="351" t="s">
        <v>4385</v>
      </c>
      <c r="D2180" s="352" t="s">
        <v>2156</v>
      </c>
      <c r="E2180" s="352" t="s">
        <v>1995</v>
      </c>
      <c r="F2180" s="353">
        <v>1.1458999999999999</v>
      </c>
      <c r="G2180" s="352" t="s">
        <v>2126</v>
      </c>
      <c r="H2180" s="176" t="s">
        <v>2980</v>
      </c>
      <c r="I2180" s="176" t="s">
        <v>3935</v>
      </c>
      <c r="J2180" s="352" t="s">
        <v>3580</v>
      </c>
      <c r="K2180" s="352">
        <v>100</v>
      </c>
      <c r="L2180" s="352" t="s">
        <v>3581</v>
      </c>
      <c r="M2180" s="351"/>
      <c r="N2180" s="351"/>
      <c r="O2180" s="351">
        <v>100</v>
      </c>
      <c r="P2180" s="349" t="s">
        <v>1836</v>
      </c>
      <c r="R2180" s="349">
        <f t="shared" si="34"/>
        <v>10</v>
      </c>
      <c r="S2180" s="352"/>
      <c r="T2180" s="352"/>
      <c r="U2180" s="352"/>
      <c r="V2180" s="353"/>
      <c r="W2180" s="352"/>
      <c r="X2180" s="176"/>
      <c r="Y2180" s="176"/>
      <c r="Z2180" s="352"/>
      <c r="AA2180" s="351"/>
      <c r="AB2180" s="351"/>
      <c r="AC2180" s="352"/>
      <c r="AD2180" s="352"/>
    </row>
    <row r="2181" spans="1:30" ht="89.75" hidden="1" x14ac:dyDescent="0.35">
      <c r="A2181" s="349">
        <v>2180</v>
      </c>
      <c r="B2181" s="352" t="s">
        <v>3582</v>
      </c>
      <c r="C2181" s="351" t="s">
        <v>4386</v>
      </c>
      <c r="D2181" s="352" t="s">
        <v>2445</v>
      </c>
      <c r="E2181" s="352" t="s">
        <v>1997</v>
      </c>
      <c r="F2181" s="353">
        <v>311.97919999999999</v>
      </c>
      <c r="G2181" s="352" t="s">
        <v>1107</v>
      </c>
      <c r="H2181" s="176" t="s">
        <v>2446</v>
      </c>
      <c r="I2181" s="176" t="s">
        <v>2447</v>
      </c>
      <c r="J2181" s="352" t="s">
        <v>1115</v>
      </c>
      <c r="K2181" s="352">
        <v>200</v>
      </c>
      <c r="L2181" s="352" t="s">
        <v>1464</v>
      </c>
      <c r="M2181" s="352"/>
      <c r="N2181" s="352"/>
      <c r="O2181" s="351">
        <v>200</v>
      </c>
      <c r="P2181" s="349" t="s">
        <v>1836</v>
      </c>
      <c r="R2181" s="349">
        <f t="shared" si="34"/>
        <v>11</v>
      </c>
      <c r="S2181" s="352"/>
      <c r="T2181" s="352"/>
      <c r="U2181" s="352"/>
      <c r="V2181" s="353"/>
      <c r="W2181" s="352"/>
      <c r="X2181" s="176"/>
      <c r="Y2181" s="176"/>
      <c r="Z2181" s="352"/>
      <c r="AA2181" s="351"/>
      <c r="AB2181" s="351"/>
      <c r="AC2181" s="352"/>
      <c r="AD2181" s="352"/>
    </row>
    <row r="2182" spans="1:30" ht="115.35" hidden="1" x14ac:dyDescent="0.35">
      <c r="A2182" s="349">
        <v>2181</v>
      </c>
      <c r="B2182" s="352" t="s">
        <v>3582</v>
      </c>
      <c r="C2182" s="351" t="s">
        <v>4386</v>
      </c>
      <c r="D2182" s="352" t="s">
        <v>2445</v>
      </c>
      <c r="E2182" s="352" t="s">
        <v>1995</v>
      </c>
      <c r="F2182" s="353">
        <v>18.18</v>
      </c>
      <c r="G2182" s="352" t="s">
        <v>2126</v>
      </c>
      <c r="H2182" s="176" t="s">
        <v>1022</v>
      </c>
      <c r="I2182" s="176" t="s">
        <v>2447</v>
      </c>
      <c r="J2182" s="352" t="s">
        <v>3580</v>
      </c>
      <c r="K2182" s="352">
        <v>50</v>
      </c>
      <c r="L2182" s="352" t="s">
        <v>3581</v>
      </c>
      <c r="M2182" s="351"/>
      <c r="N2182" s="351"/>
      <c r="O2182" s="351">
        <v>50</v>
      </c>
      <c r="P2182" s="349" t="s">
        <v>1836</v>
      </c>
      <c r="R2182" s="349">
        <f t="shared" si="34"/>
        <v>11</v>
      </c>
      <c r="S2182" s="352"/>
      <c r="T2182" s="352"/>
      <c r="U2182" s="352"/>
      <c r="V2182" s="353"/>
      <c r="W2182" s="352"/>
      <c r="X2182" s="176"/>
      <c r="Y2182" s="176"/>
      <c r="Z2182" s="352"/>
      <c r="AA2182" s="351"/>
      <c r="AB2182" s="351"/>
      <c r="AC2182" s="352"/>
      <c r="AD2182" s="352"/>
    </row>
    <row r="2183" spans="1:30" ht="115.35" hidden="1" x14ac:dyDescent="0.35">
      <c r="A2183" s="349">
        <v>2182</v>
      </c>
      <c r="B2183" s="352" t="s">
        <v>3582</v>
      </c>
      <c r="C2183" s="351" t="s">
        <v>4386</v>
      </c>
      <c r="D2183" s="352" t="s">
        <v>2445</v>
      </c>
      <c r="E2183" s="352" t="s">
        <v>1995</v>
      </c>
      <c r="F2183" s="353">
        <v>77.02</v>
      </c>
      <c r="G2183" s="352" t="s">
        <v>2126</v>
      </c>
      <c r="H2183" s="176" t="s">
        <v>1022</v>
      </c>
      <c r="I2183" s="176" t="s">
        <v>2447</v>
      </c>
      <c r="J2183" s="352" t="s">
        <v>3580</v>
      </c>
      <c r="K2183" s="352">
        <v>200</v>
      </c>
      <c r="L2183" s="352" t="s">
        <v>3581</v>
      </c>
      <c r="M2183" s="351"/>
      <c r="N2183" s="351"/>
      <c r="O2183" s="351">
        <v>200</v>
      </c>
      <c r="P2183" s="349" t="s">
        <v>1836</v>
      </c>
      <c r="R2183" s="349">
        <f t="shared" si="34"/>
        <v>11</v>
      </c>
      <c r="S2183" s="352"/>
      <c r="T2183" s="352"/>
      <c r="U2183" s="352"/>
      <c r="V2183" s="353"/>
      <c r="W2183" s="352"/>
      <c r="X2183" s="176"/>
      <c r="Y2183" s="176"/>
      <c r="Z2183" s="352"/>
      <c r="AA2183" s="351"/>
      <c r="AB2183" s="351"/>
      <c r="AC2183" s="352"/>
      <c r="AD2183" s="352"/>
    </row>
    <row r="2184" spans="1:30" ht="76.900000000000006" hidden="1" x14ac:dyDescent="0.35">
      <c r="A2184" s="349">
        <v>2183</v>
      </c>
      <c r="B2184" s="352" t="s">
        <v>4100</v>
      </c>
      <c r="C2184" s="351" t="s">
        <v>4387</v>
      </c>
      <c r="D2184" s="352" t="s">
        <v>950</v>
      </c>
      <c r="E2184" s="352" t="s">
        <v>2013</v>
      </c>
      <c r="F2184" s="353">
        <v>5.73</v>
      </c>
      <c r="G2184" s="352" t="s">
        <v>2126</v>
      </c>
      <c r="H2184" s="37" t="s">
        <v>3865</v>
      </c>
      <c r="I2184" s="176" t="s">
        <v>728</v>
      </c>
      <c r="J2184" s="352" t="s">
        <v>2896</v>
      </c>
      <c r="K2184" s="352">
        <v>125</v>
      </c>
      <c r="L2184" s="352" t="s">
        <v>23</v>
      </c>
      <c r="M2184" s="351"/>
      <c r="N2184" s="351"/>
      <c r="O2184" s="351">
        <v>125</v>
      </c>
      <c r="P2184" s="349" t="s">
        <v>1836</v>
      </c>
      <c r="R2184" s="349">
        <f t="shared" si="34"/>
        <v>10</v>
      </c>
      <c r="S2184" s="352"/>
      <c r="T2184" s="352"/>
      <c r="U2184" s="352"/>
      <c r="V2184" s="353"/>
      <c r="W2184" s="352"/>
      <c r="X2184" s="176"/>
      <c r="Y2184" s="176"/>
      <c r="Z2184" s="352"/>
      <c r="AA2184" s="351"/>
      <c r="AB2184" s="351"/>
      <c r="AC2184" s="352"/>
      <c r="AD2184" s="352"/>
    </row>
    <row r="2185" spans="1:30" ht="25.65" hidden="1" x14ac:dyDescent="0.35">
      <c r="A2185" s="349">
        <v>2184</v>
      </c>
      <c r="B2185" s="352" t="s">
        <v>1790</v>
      </c>
      <c r="C2185" s="351" t="s">
        <v>4388</v>
      </c>
      <c r="D2185" s="352" t="s">
        <v>3277</v>
      </c>
      <c r="E2185" s="352" t="s">
        <v>1791</v>
      </c>
      <c r="F2185" s="353">
        <v>6.9417</v>
      </c>
      <c r="G2185" s="352" t="s">
        <v>34</v>
      </c>
      <c r="H2185" s="37" t="s">
        <v>3278</v>
      </c>
      <c r="I2185" s="176" t="s">
        <v>974</v>
      </c>
      <c r="J2185" s="352" t="s">
        <v>3358</v>
      </c>
      <c r="K2185" s="352">
        <v>2</v>
      </c>
      <c r="L2185" s="352" t="s">
        <v>30</v>
      </c>
      <c r="M2185" s="352">
        <v>10</v>
      </c>
      <c r="N2185" s="352" t="s">
        <v>31</v>
      </c>
      <c r="O2185" s="351">
        <v>2</v>
      </c>
      <c r="P2185" s="349" t="s">
        <v>1836</v>
      </c>
      <c r="R2185" s="349">
        <f t="shared" si="34"/>
        <v>9</v>
      </c>
      <c r="S2185" s="352"/>
      <c r="T2185" s="352"/>
      <c r="U2185" s="352"/>
      <c r="V2185" s="353"/>
      <c r="W2185" s="352"/>
      <c r="X2185" s="176"/>
      <c r="Y2185" s="176"/>
      <c r="Z2185" s="352"/>
      <c r="AA2185" s="351"/>
      <c r="AB2185" s="351"/>
      <c r="AC2185" s="352"/>
      <c r="AD2185" s="352"/>
    </row>
    <row r="2186" spans="1:30" ht="153.80000000000001" hidden="1" x14ac:dyDescent="0.35">
      <c r="A2186" s="349">
        <v>2185</v>
      </c>
      <c r="B2186" s="352" t="s">
        <v>1787</v>
      </c>
      <c r="C2186" s="351" t="s">
        <v>1238</v>
      </c>
      <c r="D2186" s="352" t="s">
        <v>1238</v>
      </c>
      <c r="E2186" s="352" t="s">
        <v>2008</v>
      </c>
      <c r="F2186" s="353">
        <v>1.1000000000000001</v>
      </c>
      <c r="G2186" s="352" t="s">
        <v>2126</v>
      </c>
      <c r="H2186" s="37" t="s">
        <v>1078</v>
      </c>
      <c r="I2186" s="176" t="s">
        <v>4675</v>
      </c>
      <c r="J2186" s="352" t="s">
        <v>2056</v>
      </c>
      <c r="K2186" s="352">
        <v>500</v>
      </c>
      <c r="L2186" s="352" t="s">
        <v>330</v>
      </c>
      <c r="M2186" s="352"/>
      <c r="N2186" s="352"/>
      <c r="O2186" s="351">
        <v>500</v>
      </c>
      <c r="P2186" s="349" t="s">
        <v>1836</v>
      </c>
      <c r="R2186" s="349">
        <f t="shared" si="34"/>
        <v>11</v>
      </c>
      <c r="S2186" s="352"/>
      <c r="T2186" s="352"/>
      <c r="U2186" s="352"/>
      <c r="V2186" s="353"/>
      <c r="W2186" s="352"/>
      <c r="X2186" s="176"/>
      <c r="Y2186" s="176"/>
      <c r="Z2186" s="352"/>
      <c r="AA2186" s="352"/>
      <c r="AB2186" s="352"/>
      <c r="AC2186" s="352"/>
      <c r="AD2186" s="352"/>
    </row>
    <row r="2187" spans="1:30" ht="153.80000000000001" hidden="1" x14ac:dyDescent="0.35">
      <c r="A2187" s="349">
        <v>2186</v>
      </c>
      <c r="B2187" s="352" t="s">
        <v>1787</v>
      </c>
      <c r="C2187" s="351" t="s">
        <v>1238</v>
      </c>
      <c r="D2187" s="352" t="s">
        <v>1238</v>
      </c>
      <c r="E2187" s="352" t="s">
        <v>1995</v>
      </c>
      <c r="F2187" s="353">
        <v>1.3</v>
      </c>
      <c r="G2187" s="352" t="s">
        <v>2126</v>
      </c>
      <c r="H2187" s="37" t="s">
        <v>1078</v>
      </c>
      <c r="I2187" s="176" t="s">
        <v>4675</v>
      </c>
      <c r="J2187" s="352" t="s">
        <v>3580</v>
      </c>
      <c r="K2187" s="352">
        <v>500</v>
      </c>
      <c r="L2187" s="352" t="s">
        <v>3581</v>
      </c>
      <c r="M2187" s="352"/>
      <c r="N2187" s="352"/>
      <c r="O2187" s="351">
        <v>500</v>
      </c>
      <c r="P2187" s="349" t="s">
        <v>1836</v>
      </c>
      <c r="R2187" s="349">
        <f t="shared" si="34"/>
        <v>11</v>
      </c>
      <c r="S2187" s="352"/>
      <c r="T2187" s="352"/>
      <c r="U2187" s="352"/>
      <c r="V2187" s="353"/>
      <c r="W2187" s="352"/>
      <c r="X2187" s="176"/>
      <c r="Y2187" s="176"/>
      <c r="Z2187" s="352"/>
      <c r="AA2187" s="352"/>
      <c r="AB2187" s="352"/>
      <c r="AC2187" s="352"/>
      <c r="AD2187" s="352"/>
    </row>
    <row r="2188" spans="1:30" ht="51.3" hidden="1" x14ac:dyDescent="0.35">
      <c r="A2188" s="349">
        <v>2187</v>
      </c>
      <c r="B2188" s="352" t="s">
        <v>1080</v>
      </c>
      <c r="C2188" s="351" t="s">
        <v>2240</v>
      </c>
      <c r="D2188" s="352" t="s">
        <v>2240</v>
      </c>
      <c r="E2188" s="352" t="s">
        <v>1997</v>
      </c>
      <c r="F2188" s="353">
        <v>45.065899999999999</v>
      </c>
      <c r="G2188" s="352" t="s">
        <v>1107</v>
      </c>
      <c r="H2188" s="37"/>
      <c r="I2188" s="176" t="s">
        <v>1356</v>
      </c>
      <c r="J2188" s="352" t="s">
        <v>1115</v>
      </c>
      <c r="K2188" s="352">
        <v>10</v>
      </c>
      <c r="L2188" s="352" t="s">
        <v>1464</v>
      </c>
      <c r="M2188" s="352"/>
      <c r="N2188" s="352"/>
      <c r="O2188" s="351">
        <v>10</v>
      </c>
      <c r="P2188" s="349" t="s">
        <v>1836</v>
      </c>
      <c r="R2188" s="349">
        <f t="shared" si="34"/>
        <v>11</v>
      </c>
      <c r="S2188" s="352"/>
      <c r="T2188" s="352"/>
      <c r="U2188" s="352"/>
      <c r="V2188" s="353"/>
      <c r="W2188" s="352"/>
      <c r="X2188" s="176"/>
      <c r="Y2188" s="176"/>
      <c r="Z2188" s="352"/>
      <c r="AA2188" s="351"/>
      <c r="AB2188" s="351"/>
      <c r="AC2188" s="351"/>
      <c r="AD2188" s="351"/>
    </row>
    <row r="2189" spans="1:30" ht="51.3" hidden="1" x14ac:dyDescent="0.35">
      <c r="A2189" s="349">
        <v>2188</v>
      </c>
      <c r="B2189" s="352" t="s">
        <v>1080</v>
      </c>
      <c r="C2189" s="351" t="s">
        <v>3900</v>
      </c>
      <c r="D2189" s="352" t="s">
        <v>3900</v>
      </c>
      <c r="E2189" s="352" t="s">
        <v>2855</v>
      </c>
      <c r="F2189" s="353">
        <v>9.0792999999999999</v>
      </c>
      <c r="G2189" s="352" t="s">
        <v>1107</v>
      </c>
      <c r="H2189" s="176"/>
      <c r="I2189" s="176" t="s">
        <v>1356</v>
      </c>
      <c r="J2189" s="352" t="s">
        <v>828</v>
      </c>
      <c r="K2189" s="352">
        <v>1</v>
      </c>
      <c r="L2189" s="352" t="s">
        <v>1116</v>
      </c>
      <c r="M2189" s="351">
        <v>1</v>
      </c>
      <c r="N2189" s="351" t="s">
        <v>1109</v>
      </c>
      <c r="O2189" s="351">
        <v>1</v>
      </c>
      <c r="P2189" s="349" t="s">
        <v>1836</v>
      </c>
      <c r="R2189" s="349">
        <f t="shared" si="34"/>
        <v>11</v>
      </c>
      <c r="S2189" s="352"/>
      <c r="T2189" s="352"/>
      <c r="U2189" s="352"/>
      <c r="V2189" s="353"/>
      <c r="W2189" s="352"/>
      <c r="X2189" s="176"/>
      <c r="Y2189" s="176"/>
      <c r="Z2189" s="352"/>
      <c r="AA2189" s="351"/>
      <c r="AB2189" s="351"/>
      <c r="AC2189" s="351"/>
      <c r="AD2189" s="351"/>
    </row>
    <row r="2190" spans="1:30" ht="51.3" hidden="1" x14ac:dyDescent="0.35">
      <c r="A2190" s="349">
        <v>2189</v>
      </c>
      <c r="B2190" s="352" t="s">
        <v>1080</v>
      </c>
      <c r="C2190" s="351" t="s">
        <v>3900</v>
      </c>
      <c r="D2190" s="352" t="s">
        <v>3900</v>
      </c>
      <c r="E2190" s="352" t="s">
        <v>762</v>
      </c>
      <c r="F2190" s="353">
        <v>15.073399999999999</v>
      </c>
      <c r="G2190" s="352" t="s">
        <v>1107</v>
      </c>
      <c r="H2190" s="176"/>
      <c r="I2190" s="176" t="s">
        <v>1356</v>
      </c>
      <c r="J2190" s="352" t="s">
        <v>828</v>
      </c>
      <c r="K2190" s="352">
        <v>1</v>
      </c>
      <c r="L2190" s="352" t="s">
        <v>1116</v>
      </c>
      <c r="M2190" s="352">
        <v>2</v>
      </c>
      <c r="N2190" s="352" t="s">
        <v>1109</v>
      </c>
      <c r="O2190" s="351">
        <v>1</v>
      </c>
      <c r="P2190" s="349" t="s">
        <v>1836</v>
      </c>
      <c r="R2190" s="349">
        <f t="shared" si="34"/>
        <v>11</v>
      </c>
      <c r="S2190" s="352"/>
      <c r="T2190" s="352"/>
      <c r="U2190" s="352"/>
      <c r="V2190" s="353"/>
      <c r="W2190" s="352"/>
      <c r="X2190" s="176"/>
      <c r="Y2190" s="176"/>
      <c r="Z2190" s="352"/>
      <c r="AA2190" s="352"/>
      <c r="AB2190" s="352"/>
      <c r="AC2190" s="352"/>
      <c r="AD2190" s="352"/>
    </row>
    <row r="2191" spans="1:30" ht="51.3" hidden="1" x14ac:dyDescent="0.35">
      <c r="A2191" s="349">
        <v>2190</v>
      </c>
      <c r="B2191" s="352" t="s">
        <v>1080</v>
      </c>
      <c r="C2191" s="351" t="s">
        <v>3900</v>
      </c>
      <c r="D2191" s="352" t="s">
        <v>3900</v>
      </c>
      <c r="E2191" s="352" t="s">
        <v>2855</v>
      </c>
      <c r="F2191" s="353">
        <v>9.0792999999999999</v>
      </c>
      <c r="G2191" s="352" t="s">
        <v>1107</v>
      </c>
      <c r="H2191" s="176"/>
      <c r="I2191" s="176" t="s">
        <v>1356</v>
      </c>
      <c r="J2191" s="352" t="s">
        <v>828</v>
      </c>
      <c r="K2191" s="352">
        <v>1</v>
      </c>
      <c r="L2191" s="352" t="s">
        <v>1116</v>
      </c>
      <c r="M2191" s="351">
        <v>1</v>
      </c>
      <c r="N2191" s="351" t="s">
        <v>1109</v>
      </c>
      <c r="O2191" s="351">
        <v>1</v>
      </c>
      <c r="P2191" s="349" t="s">
        <v>1836</v>
      </c>
      <c r="R2191" s="349">
        <f t="shared" si="34"/>
        <v>11</v>
      </c>
      <c r="S2191" s="352"/>
      <c r="T2191" s="352"/>
      <c r="U2191" s="352"/>
      <c r="V2191" s="353"/>
      <c r="W2191" s="352"/>
      <c r="X2191" s="176"/>
      <c r="Y2191" s="176"/>
      <c r="Z2191" s="352"/>
      <c r="AA2191" s="352"/>
      <c r="AB2191" s="352"/>
      <c r="AC2191" s="352"/>
      <c r="AD2191" s="352"/>
    </row>
    <row r="2192" spans="1:30" ht="51.3" hidden="1" x14ac:dyDescent="0.35">
      <c r="A2192" s="349">
        <v>2191</v>
      </c>
      <c r="B2192" s="352" t="s">
        <v>1080</v>
      </c>
      <c r="C2192" s="351" t="s">
        <v>3900</v>
      </c>
      <c r="D2192" s="352" t="s">
        <v>3900</v>
      </c>
      <c r="E2192" s="352" t="s">
        <v>762</v>
      </c>
      <c r="F2192" s="353">
        <v>15.073399999999999</v>
      </c>
      <c r="G2192" s="352" t="s">
        <v>1107</v>
      </c>
      <c r="H2192" s="176"/>
      <c r="I2192" s="176" t="s">
        <v>1356</v>
      </c>
      <c r="J2192" s="352" t="s">
        <v>828</v>
      </c>
      <c r="K2192" s="352">
        <v>1</v>
      </c>
      <c r="L2192" s="352" t="s">
        <v>1116</v>
      </c>
      <c r="M2192" s="352">
        <v>2</v>
      </c>
      <c r="N2192" s="352" t="s">
        <v>1109</v>
      </c>
      <c r="O2192" s="351">
        <v>1</v>
      </c>
      <c r="P2192" s="349" t="s">
        <v>1836</v>
      </c>
      <c r="R2192" s="349">
        <f t="shared" si="34"/>
        <v>11</v>
      </c>
      <c r="S2192" s="352"/>
      <c r="T2192" s="352"/>
      <c r="U2192" s="352"/>
      <c r="V2192" s="353"/>
      <c r="W2192" s="352"/>
      <c r="X2192" s="176"/>
      <c r="Y2192" s="176"/>
      <c r="Z2192" s="352"/>
      <c r="AA2192" s="352"/>
      <c r="AB2192" s="352"/>
      <c r="AC2192" s="352"/>
      <c r="AD2192" s="352"/>
    </row>
    <row r="2193" spans="1:30" ht="51.3" hidden="1" x14ac:dyDescent="0.35">
      <c r="A2193" s="349">
        <v>2192</v>
      </c>
      <c r="B2193" s="352" t="s">
        <v>4100</v>
      </c>
      <c r="C2193" s="351" t="s">
        <v>4389</v>
      </c>
      <c r="D2193" s="352" t="s">
        <v>3525</v>
      </c>
      <c r="E2193" s="352" t="s">
        <v>1995</v>
      </c>
      <c r="F2193" s="353">
        <v>2.9969999999999999</v>
      </c>
      <c r="G2193" s="352" t="s">
        <v>2126</v>
      </c>
      <c r="H2193" s="176" t="s">
        <v>2494</v>
      </c>
      <c r="I2193" s="176" t="s">
        <v>2495</v>
      </c>
      <c r="J2193" s="352" t="s">
        <v>3580</v>
      </c>
      <c r="K2193" s="352">
        <v>250</v>
      </c>
      <c r="L2193" s="352" t="s">
        <v>3581</v>
      </c>
      <c r="M2193" s="352"/>
      <c r="N2193" s="352"/>
      <c r="O2193" s="351">
        <v>250</v>
      </c>
      <c r="P2193" s="349" t="s">
        <v>1836</v>
      </c>
      <c r="R2193" s="349">
        <f t="shared" si="34"/>
        <v>10</v>
      </c>
      <c r="S2193" s="352"/>
      <c r="T2193" s="352"/>
      <c r="U2193" s="352"/>
      <c r="V2193" s="353"/>
      <c r="W2193" s="352"/>
      <c r="X2193" s="176"/>
      <c r="Y2193" s="176"/>
      <c r="Z2193" s="352"/>
      <c r="AA2193" s="352"/>
      <c r="AB2193" s="352"/>
      <c r="AC2193" s="352"/>
      <c r="AD2193" s="352"/>
    </row>
    <row r="2194" spans="1:30" ht="115.35" hidden="1" x14ac:dyDescent="0.35">
      <c r="A2194" s="349">
        <v>2193</v>
      </c>
      <c r="B2194" s="352" t="s">
        <v>4100</v>
      </c>
      <c r="C2194" s="351" t="s">
        <v>4390</v>
      </c>
      <c r="D2194" s="352" t="s">
        <v>1857</v>
      </c>
      <c r="E2194" s="352" t="s">
        <v>3578</v>
      </c>
      <c r="F2194" s="353">
        <v>158.03</v>
      </c>
      <c r="G2194" s="352" t="s">
        <v>2126</v>
      </c>
      <c r="H2194" s="176" t="s">
        <v>1858</v>
      </c>
      <c r="I2194" s="176" t="s">
        <v>2636</v>
      </c>
      <c r="J2194" s="352" t="s">
        <v>3579</v>
      </c>
      <c r="K2194" s="351">
        <v>10</v>
      </c>
      <c r="L2194" s="351" t="s">
        <v>1116</v>
      </c>
      <c r="M2194" s="351">
        <v>240</v>
      </c>
      <c r="N2194" s="351" t="s">
        <v>1109</v>
      </c>
      <c r="O2194" s="351">
        <v>10</v>
      </c>
      <c r="P2194" s="349" t="s">
        <v>1836</v>
      </c>
      <c r="R2194" s="349">
        <f t="shared" si="34"/>
        <v>10</v>
      </c>
      <c r="S2194" s="352"/>
      <c r="T2194" s="352"/>
      <c r="U2194" s="352"/>
      <c r="V2194" s="351"/>
      <c r="W2194" s="352"/>
      <c r="X2194" s="176"/>
      <c r="Y2194" s="176"/>
      <c r="Z2194" s="352"/>
      <c r="AA2194" s="351"/>
      <c r="AB2194" s="351"/>
      <c r="AC2194" s="352"/>
      <c r="AD2194" s="352"/>
    </row>
    <row r="2195" spans="1:30" ht="115.35" hidden="1" x14ac:dyDescent="0.35">
      <c r="A2195" s="349">
        <v>2194</v>
      </c>
      <c r="B2195" s="352" t="s">
        <v>4100</v>
      </c>
      <c r="C2195" s="351" t="s">
        <v>4390</v>
      </c>
      <c r="D2195" s="352" t="s">
        <v>1857</v>
      </c>
      <c r="E2195" s="352" t="s">
        <v>1995</v>
      </c>
      <c r="F2195" s="353">
        <v>9.56</v>
      </c>
      <c r="G2195" s="352" t="s">
        <v>2126</v>
      </c>
      <c r="H2195" s="176" t="s">
        <v>1858</v>
      </c>
      <c r="I2195" s="176" t="s">
        <v>2636</v>
      </c>
      <c r="J2195" s="352" t="s">
        <v>3580</v>
      </c>
      <c r="K2195" s="351">
        <v>200</v>
      </c>
      <c r="L2195" s="351" t="s">
        <v>3581</v>
      </c>
      <c r="M2195" s="351"/>
      <c r="N2195" s="351"/>
      <c r="O2195" s="351">
        <v>200</v>
      </c>
      <c r="P2195" s="349" t="s">
        <v>1836</v>
      </c>
      <c r="R2195" s="349">
        <f t="shared" si="34"/>
        <v>10</v>
      </c>
      <c r="S2195" s="352"/>
      <c r="T2195" s="352"/>
      <c r="U2195" s="352"/>
      <c r="V2195" s="353"/>
      <c r="W2195" s="352"/>
      <c r="X2195" s="176"/>
      <c r="Y2195" s="176"/>
      <c r="Z2195" s="352"/>
      <c r="AA2195" s="352"/>
      <c r="AB2195" s="352"/>
      <c r="AC2195" s="352"/>
      <c r="AD2195" s="352"/>
    </row>
    <row r="2196" spans="1:30" ht="51.3" hidden="1" x14ac:dyDescent="0.35">
      <c r="A2196" s="349">
        <v>2195</v>
      </c>
      <c r="B2196" s="352" t="s">
        <v>4100</v>
      </c>
      <c r="C2196" s="351" t="s">
        <v>4391</v>
      </c>
      <c r="D2196" s="352" t="s">
        <v>2423</v>
      </c>
      <c r="E2196" s="352" t="s">
        <v>329</v>
      </c>
      <c r="F2196" s="353">
        <v>2712.4144000000001</v>
      </c>
      <c r="G2196" s="352" t="s">
        <v>1107</v>
      </c>
      <c r="H2196" s="176" t="s">
        <v>2637</v>
      </c>
      <c r="I2196" s="176" t="s">
        <v>3183</v>
      </c>
      <c r="J2196" s="352" t="s">
        <v>1115</v>
      </c>
      <c r="K2196" s="352">
        <v>100</v>
      </c>
      <c r="L2196" s="352" t="s">
        <v>1116</v>
      </c>
      <c r="M2196" s="351">
        <v>12</v>
      </c>
      <c r="N2196" s="351" t="s">
        <v>1109</v>
      </c>
      <c r="O2196" s="351">
        <v>100</v>
      </c>
      <c r="P2196" s="349" t="s">
        <v>1836</v>
      </c>
      <c r="R2196" s="349">
        <f t="shared" si="34"/>
        <v>10</v>
      </c>
      <c r="S2196" s="352"/>
      <c r="T2196" s="352"/>
      <c r="U2196" s="352"/>
      <c r="V2196" s="353"/>
      <c r="W2196" s="352"/>
      <c r="X2196" s="176"/>
      <c r="Y2196" s="176"/>
      <c r="Z2196" s="352"/>
      <c r="AA2196" s="352"/>
      <c r="AB2196" s="352"/>
      <c r="AC2196" s="352"/>
      <c r="AD2196" s="352"/>
    </row>
    <row r="2197" spans="1:30" ht="166.65" hidden="1" x14ac:dyDescent="0.35">
      <c r="A2197" s="349">
        <v>2196</v>
      </c>
      <c r="B2197" s="352" t="s">
        <v>4100</v>
      </c>
      <c r="C2197" s="351" t="s">
        <v>4392</v>
      </c>
      <c r="D2197" s="352" t="s">
        <v>3184</v>
      </c>
      <c r="E2197" s="352" t="s">
        <v>1114</v>
      </c>
      <c r="F2197" s="353">
        <v>1556.08</v>
      </c>
      <c r="G2197" s="352" t="s">
        <v>1107</v>
      </c>
      <c r="H2197" s="176" t="s">
        <v>3985</v>
      </c>
      <c r="I2197" s="176" t="s">
        <v>4475</v>
      </c>
      <c r="J2197" s="352" t="s">
        <v>1115</v>
      </c>
      <c r="K2197" s="352">
        <v>75</v>
      </c>
      <c r="L2197" s="352" t="s">
        <v>1116</v>
      </c>
      <c r="M2197" s="351">
        <v>5</v>
      </c>
      <c r="N2197" s="351" t="s">
        <v>1109</v>
      </c>
      <c r="O2197" s="351">
        <v>75</v>
      </c>
      <c r="P2197" s="349" t="s">
        <v>1836</v>
      </c>
      <c r="R2197" s="349">
        <f t="shared" si="34"/>
        <v>9</v>
      </c>
      <c r="S2197" s="352"/>
      <c r="T2197" s="352"/>
      <c r="U2197" s="352"/>
      <c r="V2197" s="353"/>
      <c r="W2197" s="352"/>
      <c r="X2197" s="176"/>
      <c r="Y2197" s="176"/>
      <c r="Z2197" s="352"/>
      <c r="AA2197" s="352"/>
      <c r="AB2197" s="352"/>
      <c r="AC2197" s="352"/>
      <c r="AD2197" s="352"/>
    </row>
    <row r="2198" spans="1:30" ht="38.450000000000003" hidden="1" x14ac:dyDescent="0.35">
      <c r="A2198" s="349">
        <v>2197</v>
      </c>
      <c r="B2198" s="352" t="s">
        <v>1018</v>
      </c>
      <c r="C2198" s="351" t="s">
        <v>4393</v>
      </c>
      <c r="D2198" s="352" t="s">
        <v>281</v>
      </c>
      <c r="E2198" s="352" t="s">
        <v>2004</v>
      </c>
      <c r="F2198" s="353">
        <v>0.88149999999999995</v>
      </c>
      <c r="G2198" s="352" t="s">
        <v>2126</v>
      </c>
      <c r="H2198" s="176" t="s">
        <v>2892</v>
      </c>
      <c r="I2198" s="176" t="s">
        <v>3829</v>
      </c>
      <c r="J2198" s="352" t="s">
        <v>3577</v>
      </c>
      <c r="K2198" s="352"/>
      <c r="L2198" s="352"/>
      <c r="M2198" s="352"/>
      <c r="N2198" s="352"/>
      <c r="O2198" s="351">
        <v>0</v>
      </c>
      <c r="P2198" s="349" t="s">
        <v>2313</v>
      </c>
      <c r="R2198" s="349">
        <f t="shared" si="34"/>
        <v>11</v>
      </c>
      <c r="S2198" s="352"/>
      <c r="T2198" s="352"/>
      <c r="U2198" s="352"/>
      <c r="V2198" s="353"/>
      <c r="W2198" s="352"/>
      <c r="X2198" s="176"/>
      <c r="Y2198" s="176"/>
      <c r="Z2198" s="352"/>
      <c r="AA2198" s="352"/>
      <c r="AB2198" s="352"/>
      <c r="AC2198" s="352"/>
      <c r="AD2198" s="352"/>
    </row>
    <row r="2199" spans="1:30" ht="25.65" hidden="1" x14ac:dyDescent="0.35">
      <c r="A2199" s="349">
        <v>2198</v>
      </c>
      <c r="B2199" s="352" t="s">
        <v>19</v>
      </c>
      <c r="C2199" s="351" t="s">
        <v>4394</v>
      </c>
      <c r="D2199" s="352" t="s">
        <v>1282</v>
      </c>
      <c r="E2199" s="352" t="s">
        <v>2004</v>
      </c>
      <c r="F2199" s="353">
        <v>0.6391</v>
      </c>
      <c r="G2199" s="352" t="s">
        <v>2126</v>
      </c>
      <c r="H2199" s="176" t="s">
        <v>3319</v>
      </c>
      <c r="I2199" s="176" t="s">
        <v>3829</v>
      </c>
      <c r="J2199" s="352" t="s">
        <v>3577</v>
      </c>
      <c r="K2199" s="351"/>
      <c r="L2199" s="351"/>
      <c r="M2199" s="352"/>
      <c r="N2199" s="352"/>
      <c r="O2199" s="351">
        <v>0</v>
      </c>
      <c r="P2199" s="349" t="s">
        <v>2313</v>
      </c>
      <c r="R2199" s="349">
        <f t="shared" si="34"/>
        <v>12</v>
      </c>
      <c r="S2199" s="352"/>
      <c r="T2199" s="352"/>
      <c r="U2199" s="352"/>
      <c r="V2199" s="353"/>
      <c r="W2199" s="352"/>
      <c r="X2199" s="176"/>
      <c r="Y2199" s="176"/>
      <c r="Z2199" s="352"/>
      <c r="AA2199" s="352"/>
      <c r="AB2199" s="352"/>
      <c r="AC2199" s="352"/>
      <c r="AD2199" s="352"/>
    </row>
    <row r="2200" spans="1:30" ht="102.55" hidden="1" x14ac:dyDescent="0.35">
      <c r="A2200" s="349">
        <v>2199</v>
      </c>
      <c r="B2200" s="352" t="s">
        <v>829</v>
      </c>
      <c r="C2200" s="351" t="s">
        <v>4395</v>
      </c>
      <c r="D2200" s="352" t="s">
        <v>3524</v>
      </c>
      <c r="E2200" s="352" t="s">
        <v>1995</v>
      </c>
      <c r="F2200" s="353">
        <v>0.11020000000000001</v>
      </c>
      <c r="G2200" s="352" t="s">
        <v>2126</v>
      </c>
      <c r="H2200" s="176" t="s">
        <v>3833</v>
      </c>
      <c r="I2200" s="176" t="s">
        <v>3834</v>
      </c>
      <c r="J2200" s="352" t="s">
        <v>3580</v>
      </c>
      <c r="K2200" s="351">
        <v>20</v>
      </c>
      <c r="L2200" s="351" t="s">
        <v>3581</v>
      </c>
      <c r="M2200" s="351"/>
      <c r="N2200" s="351"/>
      <c r="O2200" s="351">
        <v>20</v>
      </c>
      <c r="P2200" s="349" t="s">
        <v>1836</v>
      </c>
      <c r="R2200" s="349">
        <f t="shared" si="34"/>
        <v>10</v>
      </c>
      <c r="S2200" s="352"/>
      <c r="T2200" s="352"/>
      <c r="U2200" s="352"/>
      <c r="V2200" s="353"/>
      <c r="W2200" s="352"/>
      <c r="X2200" s="176"/>
      <c r="Y2200" s="176"/>
      <c r="Z2200" s="352"/>
      <c r="AA2200" s="352"/>
      <c r="AB2200" s="352"/>
      <c r="AC2200" s="352"/>
      <c r="AD2200" s="352"/>
    </row>
    <row r="2201" spans="1:30" ht="102.55" hidden="1" x14ac:dyDescent="0.35">
      <c r="A2201" s="349">
        <v>2200</v>
      </c>
      <c r="B2201" s="352" t="s">
        <v>829</v>
      </c>
      <c r="C2201" s="351" t="s">
        <v>4395</v>
      </c>
      <c r="D2201" s="352" t="s">
        <v>3524</v>
      </c>
      <c r="E2201" s="352" t="s">
        <v>1995</v>
      </c>
      <c r="F2201" s="353">
        <v>0.17630000000000001</v>
      </c>
      <c r="G2201" s="352" t="s">
        <v>2126</v>
      </c>
      <c r="H2201" s="176" t="s">
        <v>3833</v>
      </c>
      <c r="I2201" s="176" t="s">
        <v>3834</v>
      </c>
      <c r="J2201" s="352" t="s">
        <v>3580</v>
      </c>
      <c r="K2201" s="351">
        <v>100</v>
      </c>
      <c r="L2201" s="351" t="s">
        <v>3581</v>
      </c>
      <c r="M2201" s="352"/>
      <c r="N2201" s="352"/>
      <c r="O2201" s="351">
        <v>100</v>
      </c>
      <c r="P2201" s="349" t="s">
        <v>1836</v>
      </c>
      <c r="R2201" s="349">
        <f t="shared" si="34"/>
        <v>10</v>
      </c>
      <c r="S2201" s="352"/>
      <c r="T2201" s="352"/>
      <c r="U2201" s="352"/>
      <c r="V2201" s="353"/>
      <c r="W2201" s="352"/>
      <c r="X2201" s="176"/>
      <c r="Y2201" s="176"/>
      <c r="Z2201" s="352"/>
      <c r="AA2201" s="352"/>
      <c r="AB2201" s="352"/>
      <c r="AC2201" s="352"/>
      <c r="AD2201" s="352"/>
    </row>
    <row r="2202" spans="1:30" ht="282" hidden="1" x14ac:dyDescent="0.35">
      <c r="A2202" s="349">
        <v>2201</v>
      </c>
      <c r="B2202" s="352" t="s">
        <v>328</v>
      </c>
      <c r="C2202" s="351" t="s">
        <v>4396</v>
      </c>
      <c r="D2202" s="352" t="s">
        <v>1398</v>
      </c>
      <c r="E2202" s="352" t="s">
        <v>1756</v>
      </c>
      <c r="F2202" s="353">
        <v>22.04</v>
      </c>
      <c r="G2202" s="352" t="s">
        <v>2126</v>
      </c>
      <c r="H2202" s="176" t="s">
        <v>4664</v>
      </c>
      <c r="I2202" s="176" t="s">
        <v>4761</v>
      </c>
      <c r="J2202" s="352" t="s">
        <v>4025</v>
      </c>
      <c r="K2202" s="351">
        <v>2500</v>
      </c>
      <c r="L2202" s="351" t="s">
        <v>1518</v>
      </c>
      <c r="M2202" s="351">
        <v>10</v>
      </c>
      <c r="N2202" s="351" t="s">
        <v>1109</v>
      </c>
      <c r="O2202" s="351">
        <v>2500</v>
      </c>
      <c r="P2202" s="349" t="s">
        <v>2030</v>
      </c>
      <c r="R2202" s="349">
        <f t="shared" si="34"/>
        <v>15</v>
      </c>
      <c r="S2202" s="352"/>
      <c r="T2202" s="352"/>
      <c r="U2202" s="352"/>
      <c r="V2202" s="353"/>
      <c r="W2202" s="352"/>
      <c r="X2202" s="176"/>
      <c r="Y2202" s="176"/>
      <c r="Z2202" s="352"/>
      <c r="AA2202" s="352"/>
      <c r="AB2202" s="352"/>
      <c r="AC2202" s="352"/>
      <c r="AD2202" s="352"/>
    </row>
    <row r="2203" spans="1:30" ht="89.75" hidden="1" x14ac:dyDescent="0.35">
      <c r="A2203" s="349">
        <v>2202</v>
      </c>
      <c r="B2203" s="352" t="s">
        <v>757</v>
      </c>
      <c r="C2203" s="351" t="s">
        <v>1525</v>
      </c>
      <c r="D2203" s="352" t="s">
        <v>1384</v>
      </c>
      <c r="E2203" s="352" t="s">
        <v>702</v>
      </c>
      <c r="F2203" s="353">
        <v>7.7130000000000001</v>
      </c>
      <c r="G2203" s="352" t="s">
        <v>2126</v>
      </c>
      <c r="H2203" s="176" t="s">
        <v>1535</v>
      </c>
      <c r="I2203" s="176" t="s">
        <v>1138</v>
      </c>
      <c r="J2203" s="352" t="s">
        <v>4031</v>
      </c>
      <c r="K2203" s="351"/>
      <c r="L2203" s="351"/>
      <c r="M2203" s="352">
        <v>25</v>
      </c>
      <c r="N2203" s="352" t="s">
        <v>1109</v>
      </c>
      <c r="O2203" s="351">
        <v>0</v>
      </c>
      <c r="P2203" s="349" t="s">
        <v>1837</v>
      </c>
      <c r="R2203" s="349">
        <f t="shared" si="34"/>
        <v>12</v>
      </c>
      <c r="S2203" s="352"/>
      <c r="T2203" s="352"/>
      <c r="U2203" s="352"/>
      <c r="V2203" s="353"/>
      <c r="W2203" s="352"/>
      <c r="X2203" s="176"/>
      <c r="Y2203" s="176"/>
      <c r="Z2203" s="352"/>
      <c r="AA2203" s="352"/>
      <c r="AB2203" s="352"/>
      <c r="AC2203" s="352"/>
      <c r="AD2203" s="352"/>
    </row>
    <row r="2204" spans="1:30" ht="89.75" hidden="1" x14ac:dyDescent="0.35">
      <c r="A2204" s="349">
        <v>2203</v>
      </c>
      <c r="B2204" s="352" t="s">
        <v>757</v>
      </c>
      <c r="C2204" s="351" t="s">
        <v>1525</v>
      </c>
      <c r="D2204" s="352" t="s">
        <v>1384</v>
      </c>
      <c r="E2204" s="352" t="s">
        <v>1995</v>
      </c>
      <c r="F2204" s="353">
        <v>4.41E-2</v>
      </c>
      <c r="G2204" s="352" t="s">
        <v>2126</v>
      </c>
      <c r="H2204" s="176" t="s">
        <v>1535</v>
      </c>
      <c r="I2204" s="176" t="s">
        <v>1138</v>
      </c>
      <c r="J2204" s="352" t="s">
        <v>3580</v>
      </c>
      <c r="K2204" s="351"/>
      <c r="L2204" s="351"/>
      <c r="M2204" s="351"/>
      <c r="N2204" s="351"/>
      <c r="O2204" s="351">
        <v>0</v>
      </c>
      <c r="P2204" s="349" t="s">
        <v>2313</v>
      </c>
      <c r="R2204" s="349">
        <f t="shared" si="34"/>
        <v>12</v>
      </c>
      <c r="S2204" s="352"/>
      <c r="T2204" s="352"/>
      <c r="U2204" s="352"/>
      <c r="V2204" s="351"/>
      <c r="W2204" s="352"/>
      <c r="X2204" s="176"/>
      <c r="Y2204" s="176"/>
      <c r="Z2204" s="352"/>
      <c r="AA2204" s="351"/>
      <c r="AB2204" s="351"/>
      <c r="AC2204" s="352"/>
      <c r="AD2204" s="352"/>
    </row>
    <row r="2205" spans="1:30" ht="64.099999999999994" hidden="1" x14ac:dyDescent="0.35">
      <c r="A2205" s="349">
        <v>2204</v>
      </c>
      <c r="B2205" s="352" t="s">
        <v>757</v>
      </c>
      <c r="C2205" s="351" t="s">
        <v>1162</v>
      </c>
      <c r="D2205" s="352" t="s">
        <v>1385</v>
      </c>
      <c r="E2205" s="352" t="s">
        <v>730</v>
      </c>
      <c r="F2205" s="353">
        <v>5.2447999999999997</v>
      </c>
      <c r="G2205" s="352" t="s">
        <v>1107</v>
      </c>
      <c r="H2205" s="176" t="s">
        <v>774</v>
      </c>
      <c r="I2205" s="176" t="s">
        <v>1994</v>
      </c>
      <c r="J2205" s="352" t="s">
        <v>1115</v>
      </c>
      <c r="K2205" s="352"/>
      <c r="L2205" s="352"/>
      <c r="M2205" s="352">
        <v>10</v>
      </c>
      <c r="N2205" s="352" t="s">
        <v>1109</v>
      </c>
      <c r="O2205" s="351">
        <v>0</v>
      </c>
      <c r="P2205" s="349" t="s">
        <v>1837</v>
      </c>
      <c r="R2205" s="349">
        <f t="shared" si="34"/>
        <v>16</v>
      </c>
      <c r="S2205" s="352"/>
      <c r="T2205" s="352"/>
      <c r="U2205" s="352"/>
      <c r="V2205" s="353"/>
      <c r="W2205" s="352"/>
      <c r="X2205" s="176"/>
      <c r="Y2205" s="176"/>
      <c r="Z2205" s="352"/>
      <c r="AA2205" s="352"/>
      <c r="AB2205" s="352"/>
      <c r="AC2205" s="352"/>
      <c r="AD2205" s="352"/>
    </row>
    <row r="2206" spans="1:30" ht="51.3" hidden="1" x14ac:dyDescent="0.35">
      <c r="A2206" s="349">
        <v>2205</v>
      </c>
      <c r="B2206" s="352" t="s">
        <v>757</v>
      </c>
      <c r="C2206" s="351" t="s">
        <v>4397</v>
      </c>
      <c r="D2206" s="352" t="s">
        <v>1405</v>
      </c>
      <c r="E2206" s="352" t="s">
        <v>2002</v>
      </c>
      <c r="F2206" s="353">
        <v>6.6100000000000006E-2</v>
      </c>
      <c r="G2206" s="352" t="s">
        <v>2126</v>
      </c>
      <c r="H2206" s="176" t="s">
        <v>3679</v>
      </c>
      <c r="I2206" s="176" t="s">
        <v>3043</v>
      </c>
      <c r="J2206" s="352" t="s">
        <v>1502</v>
      </c>
      <c r="K2206" s="352"/>
      <c r="L2206" s="352"/>
      <c r="M2206" s="352"/>
      <c r="N2206" s="352"/>
      <c r="O2206" s="351">
        <v>0</v>
      </c>
      <c r="P2206" s="349" t="s">
        <v>2313</v>
      </c>
      <c r="R2206" s="349">
        <f t="shared" si="34"/>
        <v>18</v>
      </c>
      <c r="S2206" s="352"/>
      <c r="T2206" s="352"/>
      <c r="U2206" s="352"/>
      <c r="V2206" s="351"/>
      <c r="W2206" s="352"/>
      <c r="X2206" s="176"/>
      <c r="Y2206" s="37"/>
      <c r="Z2206" s="352"/>
      <c r="AA2206" s="351"/>
      <c r="AB2206" s="351"/>
      <c r="AC2206" s="351"/>
      <c r="AD2206" s="351"/>
    </row>
    <row r="2207" spans="1:30" ht="76.900000000000006" hidden="1" x14ac:dyDescent="0.35">
      <c r="A2207" s="349">
        <v>2206</v>
      </c>
      <c r="B2207" s="352" t="s">
        <v>757</v>
      </c>
      <c r="C2207" s="351" t="s">
        <v>3527</v>
      </c>
      <c r="D2207" s="352" t="s">
        <v>1401</v>
      </c>
      <c r="E2207" s="352" t="s">
        <v>730</v>
      </c>
      <c r="F2207" s="353">
        <v>5.0465</v>
      </c>
      <c r="G2207" s="352" t="s">
        <v>1107</v>
      </c>
      <c r="H2207" s="176" t="s">
        <v>1139</v>
      </c>
      <c r="I2207" s="176" t="s">
        <v>773</v>
      </c>
      <c r="J2207" s="352" t="s">
        <v>1115</v>
      </c>
      <c r="K2207" s="351"/>
      <c r="L2207" s="351"/>
      <c r="M2207" s="352">
        <v>10</v>
      </c>
      <c r="N2207" s="352" t="s">
        <v>1109</v>
      </c>
      <c r="O2207" s="351">
        <v>0</v>
      </c>
      <c r="P2207" s="349" t="s">
        <v>1837</v>
      </c>
      <c r="R2207" s="349">
        <f t="shared" si="34"/>
        <v>12</v>
      </c>
      <c r="S2207" s="352"/>
      <c r="T2207" s="352"/>
      <c r="U2207" s="352"/>
      <c r="V2207" s="351"/>
      <c r="W2207" s="352"/>
      <c r="X2207" s="176"/>
      <c r="Y2207" s="176"/>
      <c r="Z2207" s="352"/>
      <c r="AA2207" s="351"/>
      <c r="AB2207" s="351"/>
      <c r="AC2207" s="352"/>
      <c r="AD2207" s="352"/>
    </row>
    <row r="2208" spans="1:30" ht="51.3" hidden="1" x14ac:dyDescent="0.35">
      <c r="A2208" s="349">
        <v>2207</v>
      </c>
      <c r="B2208" s="352" t="s">
        <v>757</v>
      </c>
      <c r="C2208" s="351" t="s">
        <v>3678</v>
      </c>
      <c r="D2208" s="352" t="s">
        <v>1405</v>
      </c>
      <c r="E2208" s="352" t="s">
        <v>2002</v>
      </c>
      <c r="F2208" s="353">
        <v>6.6100000000000006E-2</v>
      </c>
      <c r="G2208" s="352" t="s">
        <v>2126</v>
      </c>
      <c r="H2208" s="176" t="s">
        <v>3679</v>
      </c>
      <c r="I2208" s="176" t="s">
        <v>3043</v>
      </c>
      <c r="J2208" s="352" t="s">
        <v>1502</v>
      </c>
      <c r="K2208" s="352"/>
      <c r="L2208" s="352"/>
      <c r="M2208" s="351"/>
      <c r="N2208" s="351"/>
      <c r="O2208" s="351">
        <v>0</v>
      </c>
      <c r="P2208" s="349" t="s">
        <v>2313</v>
      </c>
      <c r="R2208" s="349">
        <f t="shared" si="34"/>
        <v>18</v>
      </c>
      <c r="S2208" s="352"/>
      <c r="T2208" s="352"/>
      <c r="U2208" s="352"/>
      <c r="V2208" s="351"/>
      <c r="W2208" s="352"/>
      <c r="X2208" s="176"/>
      <c r="Y2208" s="37"/>
      <c r="Z2208" s="352"/>
      <c r="AA2208" s="351"/>
      <c r="AB2208" s="351"/>
      <c r="AC2208" s="351"/>
      <c r="AD2208" s="351"/>
    </row>
    <row r="2209" spans="1:30" ht="102.55" hidden="1" x14ac:dyDescent="0.35">
      <c r="A2209" s="349">
        <v>2208</v>
      </c>
      <c r="B2209" s="352" t="s">
        <v>703</v>
      </c>
      <c r="C2209" s="351" t="s">
        <v>4398</v>
      </c>
      <c r="D2209" s="352" t="s">
        <v>5038</v>
      </c>
      <c r="E2209" s="352" t="s">
        <v>2151</v>
      </c>
      <c r="F2209" s="353">
        <v>27.4</v>
      </c>
      <c r="G2209" s="352" t="s">
        <v>2126</v>
      </c>
      <c r="H2209" s="176" t="s">
        <v>1745</v>
      </c>
      <c r="I2209" s="176" t="s">
        <v>4590</v>
      </c>
      <c r="J2209" s="352" t="s">
        <v>3579</v>
      </c>
      <c r="K2209" s="352">
        <v>75</v>
      </c>
      <c r="L2209" s="352" t="s">
        <v>732</v>
      </c>
      <c r="M2209" s="352">
        <v>30</v>
      </c>
      <c r="N2209" s="352" t="s">
        <v>1109</v>
      </c>
      <c r="O2209" s="351">
        <v>75</v>
      </c>
      <c r="P2209" s="349" t="s">
        <v>2030</v>
      </c>
      <c r="R2209" s="349">
        <f t="shared" si="34"/>
        <v>26</v>
      </c>
      <c r="S2209" s="352"/>
      <c r="T2209" s="352"/>
      <c r="U2209" s="352"/>
      <c r="V2209" s="351"/>
      <c r="W2209" s="352"/>
      <c r="X2209" s="176"/>
      <c r="Y2209" s="176"/>
      <c r="Z2209" s="352"/>
      <c r="AA2209" s="351"/>
      <c r="AB2209" s="351"/>
      <c r="AC2209" s="352"/>
      <c r="AD2209" s="352"/>
    </row>
    <row r="2210" spans="1:30" ht="205.1" hidden="1" x14ac:dyDescent="0.35">
      <c r="A2210" s="349">
        <v>2209</v>
      </c>
      <c r="B2210" s="352" t="s">
        <v>2127</v>
      </c>
      <c r="C2210" s="351" t="s">
        <v>4399</v>
      </c>
      <c r="D2210" s="352" t="s">
        <v>416</v>
      </c>
      <c r="E2210" s="352" t="s">
        <v>702</v>
      </c>
      <c r="F2210" s="353">
        <v>18.555199999999999</v>
      </c>
      <c r="G2210" s="352" t="s">
        <v>2126</v>
      </c>
      <c r="H2210" s="176" t="s">
        <v>4667</v>
      </c>
      <c r="I2210" s="176" t="s">
        <v>4592</v>
      </c>
      <c r="J2210" s="352" t="s">
        <v>4031</v>
      </c>
      <c r="K2210" s="352">
        <v>10</v>
      </c>
      <c r="L2210" s="352" t="s">
        <v>1311</v>
      </c>
      <c r="M2210" s="351">
        <v>25</v>
      </c>
      <c r="N2210" s="351" t="s">
        <v>1109</v>
      </c>
      <c r="O2210" s="351">
        <v>10</v>
      </c>
      <c r="P2210" s="349" t="s">
        <v>1836</v>
      </c>
      <c r="R2210" s="349">
        <f t="shared" si="34"/>
        <v>12</v>
      </c>
      <c r="S2210" s="352"/>
      <c r="T2210" s="352"/>
      <c r="U2210" s="352"/>
      <c r="V2210" s="351"/>
      <c r="W2210" s="352"/>
      <c r="X2210" s="176"/>
      <c r="Y2210" s="176"/>
      <c r="Z2210" s="352"/>
      <c r="AA2210" s="351"/>
      <c r="AB2210" s="351"/>
      <c r="AC2210" s="352"/>
      <c r="AD2210" s="352"/>
    </row>
    <row r="2211" spans="1:30" ht="64.099999999999994" hidden="1" x14ac:dyDescent="0.35">
      <c r="A2211" s="349">
        <v>2210</v>
      </c>
      <c r="B2211" s="352" t="s">
        <v>757</v>
      </c>
      <c r="C2211" s="351" t="s">
        <v>4400</v>
      </c>
      <c r="D2211" s="352" t="s">
        <v>1385</v>
      </c>
      <c r="E2211" s="352" t="s">
        <v>730</v>
      </c>
      <c r="F2211" s="353">
        <v>5.2447999999999997</v>
      </c>
      <c r="G2211" s="352" t="s">
        <v>1107</v>
      </c>
      <c r="H2211" s="176" t="s">
        <v>774</v>
      </c>
      <c r="I2211" s="176" t="s">
        <v>1994</v>
      </c>
      <c r="J2211" s="352" t="s">
        <v>1115</v>
      </c>
      <c r="K2211" s="352"/>
      <c r="L2211" s="352"/>
      <c r="M2211" s="351">
        <v>10</v>
      </c>
      <c r="N2211" s="351" t="s">
        <v>1109</v>
      </c>
      <c r="O2211" s="351">
        <v>0</v>
      </c>
      <c r="P2211" s="349" t="s">
        <v>1837</v>
      </c>
      <c r="R2211" s="349">
        <f t="shared" si="34"/>
        <v>16</v>
      </c>
      <c r="S2211" s="352"/>
      <c r="T2211" s="352"/>
      <c r="U2211" s="352"/>
      <c r="V2211" s="351"/>
      <c r="W2211" s="352"/>
      <c r="X2211" s="176"/>
      <c r="Y2211" s="176"/>
      <c r="Z2211" s="352"/>
      <c r="AA2211" s="351"/>
      <c r="AB2211" s="351"/>
      <c r="AC2211" s="352"/>
      <c r="AD2211" s="352"/>
    </row>
    <row r="2212" spans="1:30" ht="64.099999999999994" hidden="1" x14ac:dyDescent="0.35">
      <c r="A2212" s="349">
        <v>2211</v>
      </c>
      <c r="B2212" s="352" t="s">
        <v>965</v>
      </c>
      <c r="C2212" s="351" t="s">
        <v>4401</v>
      </c>
      <c r="D2212" s="352" t="s">
        <v>1812</v>
      </c>
      <c r="E2212" s="352" t="s">
        <v>2006</v>
      </c>
      <c r="F2212" s="353">
        <v>0.4</v>
      </c>
      <c r="G2212" s="352" t="s">
        <v>2126</v>
      </c>
      <c r="H2212" s="176" t="s">
        <v>91</v>
      </c>
      <c r="I2212" s="176" t="s">
        <v>123</v>
      </c>
      <c r="J2212" s="352" t="s">
        <v>24</v>
      </c>
      <c r="K2212" s="352">
        <v>4</v>
      </c>
      <c r="L2212" s="352" t="s">
        <v>2057</v>
      </c>
      <c r="M2212" s="351"/>
      <c r="N2212" s="351"/>
      <c r="O2212" s="351">
        <v>4</v>
      </c>
      <c r="P2212" s="349" t="s">
        <v>818</v>
      </c>
      <c r="R2212" s="349">
        <f t="shared" si="34"/>
        <v>14</v>
      </c>
      <c r="S2212" s="352"/>
      <c r="T2212" s="352"/>
      <c r="U2212" s="352"/>
      <c r="V2212" s="353"/>
      <c r="W2212" s="352"/>
      <c r="X2212" s="176"/>
      <c r="Y2212" s="176"/>
      <c r="Z2212" s="352"/>
      <c r="AA2212" s="352"/>
      <c r="AB2212" s="352"/>
      <c r="AC2212" s="352"/>
      <c r="AD2212" s="352"/>
    </row>
    <row r="2213" spans="1:30" ht="38.450000000000003" hidden="1" x14ac:dyDescent="0.35">
      <c r="A2213" s="349">
        <v>2212</v>
      </c>
      <c r="B2213" s="352" t="s">
        <v>2067</v>
      </c>
      <c r="C2213" s="351" t="s">
        <v>4402</v>
      </c>
      <c r="D2213" s="352" t="s">
        <v>1283</v>
      </c>
      <c r="E2213" s="352" t="s">
        <v>1991</v>
      </c>
      <c r="F2213" s="353">
        <v>1.83</v>
      </c>
      <c r="G2213" s="352" t="s">
        <v>1501</v>
      </c>
      <c r="H2213" s="176" t="s">
        <v>949</v>
      </c>
      <c r="I2213" s="176" t="s">
        <v>145</v>
      </c>
      <c r="J2213" s="352" t="s">
        <v>828</v>
      </c>
      <c r="K2213" s="352">
        <v>25</v>
      </c>
      <c r="L2213" s="352" t="s">
        <v>1116</v>
      </c>
      <c r="M2213" s="352">
        <v>3</v>
      </c>
      <c r="N2213" s="352" t="s">
        <v>1109</v>
      </c>
      <c r="O2213" s="351">
        <v>25</v>
      </c>
      <c r="P2213" s="349" t="s">
        <v>1836</v>
      </c>
      <c r="R2213" s="349">
        <f t="shared" si="34"/>
        <v>10</v>
      </c>
      <c r="S2213" s="352"/>
      <c r="T2213" s="352"/>
      <c r="U2213" s="352"/>
      <c r="V2213" s="353"/>
      <c r="W2213" s="352"/>
      <c r="X2213" s="176"/>
      <c r="Y2213" s="176"/>
      <c r="Z2213" s="352"/>
      <c r="AA2213" s="352"/>
      <c r="AB2213" s="352"/>
      <c r="AC2213" s="352"/>
      <c r="AD2213" s="352"/>
    </row>
    <row r="2214" spans="1:30" ht="89.75" hidden="1" x14ac:dyDescent="0.35">
      <c r="A2214" s="349">
        <v>2213</v>
      </c>
      <c r="B2214" s="352" t="s">
        <v>3582</v>
      </c>
      <c r="C2214" s="351" t="s">
        <v>2445</v>
      </c>
      <c r="D2214" s="352" t="s">
        <v>2445</v>
      </c>
      <c r="E2214" s="352" t="s">
        <v>1997</v>
      </c>
      <c r="F2214" s="353">
        <v>311.97919999999999</v>
      </c>
      <c r="G2214" s="352" t="s">
        <v>1107</v>
      </c>
      <c r="H2214" s="176" t="s">
        <v>2446</v>
      </c>
      <c r="I2214" s="176" t="s">
        <v>2447</v>
      </c>
      <c r="J2214" s="352" t="s">
        <v>1115</v>
      </c>
      <c r="K2214" s="352">
        <v>200</v>
      </c>
      <c r="L2214" s="352" t="s">
        <v>1464</v>
      </c>
      <c r="M2214" s="352"/>
      <c r="N2214" s="352"/>
      <c r="O2214" s="351">
        <v>200</v>
      </c>
      <c r="P2214" s="349" t="s">
        <v>1836</v>
      </c>
      <c r="R2214" s="349">
        <f t="shared" si="34"/>
        <v>11</v>
      </c>
      <c r="S2214" s="352"/>
      <c r="T2214" s="352"/>
      <c r="U2214" s="352"/>
      <c r="V2214" s="353"/>
      <c r="W2214" s="352"/>
      <c r="X2214" s="176"/>
      <c r="Y2214" s="176"/>
      <c r="Z2214" s="352"/>
      <c r="AA2214" s="352"/>
      <c r="AB2214" s="352"/>
      <c r="AC2214" s="352"/>
      <c r="AD2214" s="352"/>
    </row>
    <row r="2215" spans="1:30" ht="115.35" hidden="1" x14ac:dyDescent="0.35">
      <c r="A2215" s="349">
        <v>2214</v>
      </c>
      <c r="B2215" s="352" t="s">
        <v>3582</v>
      </c>
      <c r="C2215" s="351" t="s">
        <v>2445</v>
      </c>
      <c r="D2215" s="352" t="s">
        <v>2445</v>
      </c>
      <c r="E2215" s="352" t="s">
        <v>1995</v>
      </c>
      <c r="F2215" s="353">
        <v>18.18</v>
      </c>
      <c r="G2215" s="352" t="s">
        <v>2126</v>
      </c>
      <c r="H2215" s="176" t="s">
        <v>1022</v>
      </c>
      <c r="I2215" s="176" t="s">
        <v>2447</v>
      </c>
      <c r="J2215" s="352" t="s">
        <v>3580</v>
      </c>
      <c r="K2215" s="352">
        <v>50</v>
      </c>
      <c r="L2215" s="352" t="s">
        <v>3581</v>
      </c>
      <c r="M2215" s="352"/>
      <c r="N2215" s="352"/>
      <c r="O2215" s="351">
        <v>50</v>
      </c>
      <c r="P2215" s="349" t="s">
        <v>1836</v>
      </c>
      <c r="R2215" s="349">
        <f t="shared" si="34"/>
        <v>11</v>
      </c>
      <c r="S2215" s="352"/>
      <c r="T2215" s="352"/>
      <c r="U2215" s="352"/>
      <c r="V2215" s="353"/>
      <c r="W2215" s="352"/>
      <c r="X2215" s="176"/>
      <c r="Y2215" s="176"/>
      <c r="Z2215" s="352"/>
      <c r="AA2215" s="352"/>
      <c r="AB2215" s="352"/>
      <c r="AC2215" s="352"/>
      <c r="AD2215" s="352"/>
    </row>
    <row r="2216" spans="1:30" ht="115.35" hidden="1" x14ac:dyDescent="0.35">
      <c r="A2216" s="349">
        <v>2215</v>
      </c>
      <c r="B2216" s="352" t="s">
        <v>3582</v>
      </c>
      <c r="C2216" s="351" t="s">
        <v>2445</v>
      </c>
      <c r="D2216" s="352" t="s">
        <v>2445</v>
      </c>
      <c r="E2216" s="352" t="s">
        <v>1995</v>
      </c>
      <c r="F2216" s="353">
        <v>77.02</v>
      </c>
      <c r="G2216" s="352" t="s">
        <v>2126</v>
      </c>
      <c r="H2216" s="176" t="s">
        <v>1022</v>
      </c>
      <c r="I2216" s="176" t="s">
        <v>2447</v>
      </c>
      <c r="J2216" s="352" t="s">
        <v>3580</v>
      </c>
      <c r="K2216" s="352">
        <v>200</v>
      </c>
      <c r="L2216" s="352" t="s">
        <v>3581</v>
      </c>
      <c r="M2216" s="352"/>
      <c r="N2216" s="352"/>
      <c r="O2216" s="351">
        <v>200</v>
      </c>
      <c r="P2216" s="349" t="s">
        <v>1836</v>
      </c>
      <c r="R2216" s="349">
        <f t="shared" si="34"/>
        <v>11</v>
      </c>
      <c r="S2216" s="352"/>
      <c r="T2216" s="352"/>
      <c r="U2216" s="352"/>
      <c r="V2216" s="353"/>
      <c r="W2216" s="352"/>
      <c r="X2216" s="176"/>
      <c r="Y2216" s="176"/>
      <c r="Z2216" s="352"/>
      <c r="AA2216" s="352"/>
      <c r="AB2216" s="352"/>
      <c r="AC2216" s="352"/>
      <c r="AD2216" s="352"/>
    </row>
    <row r="2217" spans="1:30" ht="25.65" hidden="1" x14ac:dyDescent="0.35">
      <c r="A2217" s="349">
        <v>2216</v>
      </c>
      <c r="B2217" s="352" t="s">
        <v>1080</v>
      </c>
      <c r="C2217" s="351" t="s">
        <v>4403</v>
      </c>
      <c r="D2217" s="352" t="s">
        <v>3654</v>
      </c>
      <c r="E2217" s="352" t="s">
        <v>827</v>
      </c>
      <c r="F2217" s="353">
        <v>22.5</v>
      </c>
      <c r="G2217" s="352" t="s">
        <v>1107</v>
      </c>
      <c r="H2217" s="176" t="s">
        <v>2218</v>
      </c>
      <c r="I2217" s="176" t="s">
        <v>3272</v>
      </c>
      <c r="J2217" s="352" t="s">
        <v>828</v>
      </c>
      <c r="K2217" s="352">
        <v>10</v>
      </c>
      <c r="L2217" s="352" t="s">
        <v>1116</v>
      </c>
      <c r="M2217" s="352">
        <v>5</v>
      </c>
      <c r="N2217" s="352" t="s">
        <v>1109</v>
      </c>
      <c r="O2217" s="351">
        <v>10</v>
      </c>
      <c r="P2217" s="349" t="s">
        <v>1836</v>
      </c>
      <c r="R2217" s="349">
        <f t="shared" si="34"/>
        <v>10</v>
      </c>
      <c r="S2217" s="352"/>
      <c r="T2217" s="352"/>
      <c r="U2217" s="352"/>
      <c r="V2217" s="353"/>
      <c r="W2217" s="352"/>
      <c r="X2217" s="176"/>
      <c r="Y2217" s="176"/>
      <c r="Z2217" s="352"/>
      <c r="AA2217" s="352"/>
      <c r="AB2217" s="352"/>
      <c r="AC2217" s="352"/>
      <c r="AD2217" s="352"/>
    </row>
    <row r="2218" spans="1:30" ht="76.900000000000006" hidden="1" x14ac:dyDescent="0.35">
      <c r="A2218" s="349">
        <v>2217</v>
      </c>
      <c r="B2218" s="352" t="s">
        <v>3205</v>
      </c>
      <c r="C2218" s="351" t="s">
        <v>4404</v>
      </c>
      <c r="D2218" s="352" t="s">
        <v>3936</v>
      </c>
      <c r="E2218" s="352" t="s">
        <v>3206</v>
      </c>
      <c r="F2218" s="353">
        <v>1082.0216</v>
      </c>
      <c r="G2218" s="352" t="s">
        <v>2126</v>
      </c>
      <c r="H2218" s="176" t="s">
        <v>3297</v>
      </c>
      <c r="I2218" s="176" t="s">
        <v>4165</v>
      </c>
      <c r="J2218" s="352" t="s">
        <v>3579</v>
      </c>
      <c r="K2218" s="352">
        <v>150</v>
      </c>
      <c r="L2218" s="352" t="s">
        <v>1116</v>
      </c>
      <c r="M2218" s="352">
        <v>225</v>
      </c>
      <c r="N2218" s="352" t="s">
        <v>1109</v>
      </c>
      <c r="O2218" s="351">
        <v>150</v>
      </c>
      <c r="P2218" s="349" t="s">
        <v>1836</v>
      </c>
      <c r="R2218" s="349">
        <f t="shared" si="34"/>
        <v>9</v>
      </c>
      <c r="S2218" s="352"/>
      <c r="T2218" s="352"/>
      <c r="U2218" s="352"/>
      <c r="V2218" s="353"/>
      <c r="W2218" s="352"/>
      <c r="X2218" s="176"/>
      <c r="Y2218" s="176"/>
      <c r="Z2218" s="352"/>
      <c r="AA2218" s="352"/>
      <c r="AB2218" s="352"/>
      <c r="AC2218" s="352"/>
      <c r="AD2218" s="352"/>
    </row>
    <row r="2219" spans="1:30" ht="64.099999999999994" hidden="1" x14ac:dyDescent="0.35">
      <c r="A2219" s="349">
        <v>2218</v>
      </c>
      <c r="B2219" s="352" t="s">
        <v>965</v>
      </c>
      <c r="C2219" s="351" t="s">
        <v>4405</v>
      </c>
      <c r="D2219" s="352" t="s">
        <v>1399</v>
      </c>
      <c r="E2219" s="352" t="s">
        <v>103</v>
      </c>
      <c r="F2219" s="353">
        <v>3.4378000000000002</v>
      </c>
      <c r="G2219" s="352" t="s">
        <v>2126</v>
      </c>
      <c r="H2219" s="176" t="s">
        <v>124</v>
      </c>
      <c r="I2219" s="176" t="s">
        <v>125</v>
      </c>
      <c r="J2219" s="352" t="s">
        <v>3579</v>
      </c>
      <c r="K2219" s="352">
        <v>2</v>
      </c>
      <c r="L2219" s="352" t="s">
        <v>1116</v>
      </c>
      <c r="M2219" s="352">
        <v>75</v>
      </c>
      <c r="N2219" s="352" t="s">
        <v>1109</v>
      </c>
      <c r="O2219" s="351">
        <v>2</v>
      </c>
      <c r="P2219" s="349" t="s">
        <v>1836</v>
      </c>
      <c r="R2219" s="349">
        <f t="shared" si="34"/>
        <v>14</v>
      </c>
      <c r="S2219" s="352"/>
      <c r="T2219" s="352"/>
      <c r="U2219" s="352"/>
      <c r="V2219" s="353"/>
      <c r="W2219" s="352"/>
      <c r="X2219" s="176"/>
      <c r="Y2219" s="176"/>
      <c r="Z2219" s="352"/>
      <c r="AA2219" s="352"/>
      <c r="AB2219" s="352"/>
      <c r="AC2219" s="352"/>
      <c r="AD2219" s="352"/>
    </row>
    <row r="2220" spans="1:30" hidden="1" x14ac:dyDescent="0.35">
      <c r="A2220" s="349">
        <v>2219</v>
      </c>
      <c r="B2220" s="352" t="s">
        <v>807</v>
      </c>
      <c r="C2220" s="351" t="s">
        <v>4406</v>
      </c>
      <c r="D2220" s="352" t="s">
        <v>1666</v>
      </c>
      <c r="E2220" s="352" t="s">
        <v>1486</v>
      </c>
      <c r="F2220" s="353">
        <v>25.25</v>
      </c>
      <c r="G2220" s="352" t="s">
        <v>28</v>
      </c>
      <c r="H2220" s="176" t="s">
        <v>3530</v>
      </c>
      <c r="I2220" s="176" t="s">
        <v>5076</v>
      </c>
      <c r="J2220" s="352" t="s">
        <v>2704</v>
      </c>
      <c r="K2220" s="352">
        <v>100</v>
      </c>
      <c r="L2220" s="352" t="s">
        <v>1116</v>
      </c>
      <c r="M2220" s="352">
        <v>50</v>
      </c>
      <c r="N2220" s="352" t="s">
        <v>1109</v>
      </c>
      <c r="O2220" s="351">
        <v>100</v>
      </c>
      <c r="P2220" s="349" t="s">
        <v>1836</v>
      </c>
      <c r="R2220" s="349">
        <f t="shared" si="34"/>
        <v>9</v>
      </c>
      <c r="S2220" s="352"/>
      <c r="T2220" s="352"/>
      <c r="U2220" s="352"/>
      <c r="V2220" s="353"/>
      <c r="W2220" s="352"/>
      <c r="X2220" s="176"/>
      <c r="Y2220" s="176"/>
      <c r="Z2220" s="352"/>
      <c r="AA2220" s="352"/>
      <c r="AB2220" s="352"/>
      <c r="AC2220" s="352"/>
      <c r="AD2220" s="352"/>
    </row>
    <row r="2221" spans="1:30" ht="25.65" hidden="1" x14ac:dyDescent="0.35">
      <c r="A2221" s="349">
        <v>2220</v>
      </c>
      <c r="B2221" s="352" t="s">
        <v>2491</v>
      </c>
      <c r="C2221" s="351" t="s">
        <v>4407</v>
      </c>
      <c r="D2221" s="352" t="s">
        <v>1666</v>
      </c>
      <c r="E2221" s="352" t="s">
        <v>1316</v>
      </c>
      <c r="F2221" s="353">
        <v>0.99170000000000003</v>
      </c>
      <c r="G2221" s="352" t="s">
        <v>34</v>
      </c>
      <c r="H2221" s="37" t="s">
        <v>246</v>
      </c>
      <c r="I2221" s="176" t="s">
        <v>4469</v>
      </c>
      <c r="J2221" s="352" t="s">
        <v>1317</v>
      </c>
      <c r="K2221" s="352">
        <v>20</v>
      </c>
      <c r="L2221" s="352" t="s">
        <v>1116</v>
      </c>
      <c r="M2221" s="352">
        <v>1.8</v>
      </c>
      <c r="N2221" s="352" t="s">
        <v>1109</v>
      </c>
      <c r="O2221" s="351">
        <v>20</v>
      </c>
      <c r="P2221" s="349" t="s">
        <v>1836</v>
      </c>
      <c r="R2221" s="349">
        <f t="shared" si="34"/>
        <v>9</v>
      </c>
      <c r="S2221" s="352"/>
      <c r="T2221" s="352"/>
      <c r="U2221" s="352"/>
      <c r="V2221" s="353"/>
      <c r="W2221" s="352"/>
      <c r="X2221" s="176"/>
      <c r="Y2221" s="176"/>
      <c r="Z2221" s="352"/>
      <c r="AA2221" s="352"/>
      <c r="AB2221" s="352"/>
      <c r="AC2221" s="351"/>
      <c r="AD2221" s="351"/>
    </row>
    <row r="2222" spans="1:30" ht="89.75" hidden="1" x14ac:dyDescent="0.35">
      <c r="A2222" s="349">
        <v>2221</v>
      </c>
      <c r="B2222" s="352" t="s">
        <v>807</v>
      </c>
      <c r="C2222" s="351" t="s">
        <v>4407</v>
      </c>
      <c r="D2222" s="352" t="s">
        <v>1666</v>
      </c>
      <c r="E2222" s="352" t="s">
        <v>1316</v>
      </c>
      <c r="F2222" s="353">
        <v>0.99</v>
      </c>
      <c r="G2222" s="352" t="s">
        <v>1318</v>
      </c>
      <c r="H2222" s="176" t="s">
        <v>1985</v>
      </c>
      <c r="I2222" s="37" t="s">
        <v>1986</v>
      </c>
      <c r="J2222" s="352" t="s">
        <v>1317</v>
      </c>
      <c r="K2222" s="352">
        <v>20</v>
      </c>
      <c r="L2222" s="352" t="s">
        <v>1116</v>
      </c>
      <c r="M2222" s="352">
        <v>1.8</v>
      </c>
      <c r="N2222" s="352" t="s">
        <v>1109</v>
      </c>
      <c r="O2222" s="351">
        <v>20</v>
      </c>
      <c r="P2222" s="349" t="s">
        <v>1836</v>
      </c>
      <c r="R2222" s="349">
        <f t="shared" si="34"/>
        <v>9</v>
      </c>
      <c r="S2222" s="352"/>
      <c r="T2222" s="352"/>
      <c r="U2222" s="352"/>
      <c r="V2222" s="353"/>
      <c r="W2222" s="352"/>
      <c r="X2222" s="176"/>
      <c r="Y2222" s="176"/>
      <c r="Z2222" s="352"/>
      <c r="AA2222" s="352"/>
      <c r="AB2222" s="352"/>
      <c r="AC2222" s="351"/>
      <c r="AD2222" s="351"/>
    </row>
    <row r="2223" spans="1:30" ht="38.450000000000003" hidden="1" x14ac:dyDescent="0.35">
      <c r="A2223" s="349">
        <v>2222</v>
      </c>
      <c r="B2223" s="352" t="s">
        <v>807</v>
      </c>
      <c r="C2223" s="351" t="s">
        <v>4408</v>
      </c>
      <c r="D2223" s="352" t="s">
        <v>1666</v>
      </c>
      <c r="E2223" s="352" t="s">
        <v>3583</v>
      </c>
      <c r="F2223" s="353">
        <v>9.6999999999999993</v>
      </c>
      <c r="G2223" s="352" t="s">
        <v>34</v>
      </c>
      <c r="H2223" s="176" t="s">
        <v>1987</v>
      </c>
      <c r="I2223" s="37" t="s">
        <v>1988</v>
      </c>
      <c r="J2223" s="352" t="s">
        <v>1115</v>
      </c>
      <c r="K2223" s="352">
        <v>20</v>
      </c>
      <c r="L2223" s="352" t="s">
        <v>1116</v>
      </c>
      <c r="M2223" s="352">
        <v>20</v>
      </c>
      <c r="N2223" s="352" t="s">
        <v>1109</v>
      </c>
      <c r="O2223" s="351">
        <v>20</v>
      </c>
      <c r="P2223" s="349" t="s">
        <v>1836</v>
      </c>
      <c r="R2223" s="349">
        <f t="shared" si="34"/>
        <v>9</v>
      </c>
      <c r="S2223" s="352"/>
      <c r="T2223" s="352"/>
      <c r="U2223" s="352"/>
      <c r="V2223" s="353"/>
      <c r="W2223" s="352"/>
      <c r="X2223" s="176"/>
      <c r="Y2223" s="176"/>
      <c r="Z2223" s="352"/>
      <c r="AA2223" s="352"/>
      <c r="AB2223" s="352"/>
      <c r="AC2223" s="352"/>
      <c r="AD2223" s="352"/>
    </row>
    <row r="2224" spans="1:30" ht="64.099999999999994" hidden="1" x14ac:dyDescent="0.35">
      <c r="A2224" s="349">
        <v>2223</v>
      </c>
      <c r="B2224" s="352" t="s">
        <v>807</v>
      </c>
      <c r="C2224" s="351" t="s">
        <v>4409</v>
      </c>
      <c r="D2224" s="352" t="s">
        <v>1666</v>
      </c>
      <c r="E2224" s="352" t="s">
        <v>1313</v>
      </c>
      <c r="F2224" s="353">
        <v>14.15</v>
      </c>
      <c r="G2224" s="352" t="s">
        <v>28</v>
      </c>
      <c r="H2224" s="176" t="s">
        <v>1989</v>
      </c>
      <c r="I2224" s="37" t="s">
        <v>3531</v>
      </c>
      <c r="J2224" s="352" t="s">
        <v>2131</v>
      </c>
      <c r="K2224" s="352">
        <v>50</v>
      </c>
      <c r="L2224" s="352" t="s">
        <v>1311</v>
      </c>
      <c r="M2224" s="352">
        <v>35</v>
      </c>
      <c r="N2224" s="352" t="s">
        <v>31</v>
      </c>
      <c r="O2224" s="351">
        <v>50</v>
      </c>
      <c r="P2224" s="349" t="s">
        <v>1836</v>
      </c>
      <c r="R2224" s="349">
        <f t="shared" si="34"/>
        <v>9</v>
      </c>
      <c r="S2224" s="352"/>
      <c r="T2224" s="352"/>
      <c r="U2224" s="352"/>
      <c r="V2224" s="353"/>
      <c r="W2224" s="352"/>
      <c r="X2224" s="176"/>
      <c r="Y2224" s="176"/>
      <c r="Z2224" s="352"/>
      <c r="AA2224" s="352"/>
      <c r="AB2224" s="352"/>
      <c r="AC2224" s="351"/>
      <c r="AD2224" s="351"/>
    </row>
    <row r="2225" spans="1:30" hidden="1" x14ac:dyDescent="0.35">
      <c r="A2225" s="349">
        <v>2224</v>
      </c>
      <c r="B2225" s="352" t="s">
        <v>807</v>
      </c>
      <c r="C2225" s="351" t="s">
        <v>4409</v>
      </c>
      <c r="D2225" s="352" t="s">
        <v>1666</v>
      </c>
      <c r="E2225" s="352" t="s">
        <v>1313</v>
      </c>
      <c r="F2225" s="353">
        <v>14.15</v>
      </c>
      <c r="G2225" s="352" t="s">
        <v>28</v>
      </c>
      <c r="H2225" s="176"/>
      <c r="I2225" s="37" t="s">
        <v>3531</v>
      </c>
      <c r="J2225" s="352" t="s">
        <v>2131</v>
      </c>
      <c r="K2225" s="352">
        <v>50</v>
      </c>
      <c r="L2225" s="352" t="s">
        <v>1311</v>
      </c>
      <c r="M2225" s="352">
        <v>35</v>
      </c>
      <c r="N2225" s="352" t="s">
        <v>31</v>
      </c>
      <c r="O2225" s="351">
        <v>50</v>
      </c>
      <c r="P2225" s="349" t="s">
        <v>1836</v>
      </c>
      <c r="R2225" s="349">
        <f t="shared" si="34"/>
        <v>9</v>
      </c>
      <c r="S2225" s="352"/>
      <c r="T2225" s="352"/>
      <c r="U2225" s="352"/>
      <c r="V2225" s="353"/>
      <c r="W2225" s="352"/>
      <c r="X2225" s="176"/>
      <c r="Y2225" s="176"/>
      <c r="Z2225" s="352"/>
      <c r="AA2225" s="352"/>
      <c r="AB2225" s="352"/>
      <c r="AC2225" s="351"/>
      <c r="AD2225" s="351"/>
    </row>
    <row r="2226" spans="1:30" ht="25.65" hidden="1" x14ac:dyDescent="0.35">
      <c r="A2226" s="349">
        <v>2225</v>
      </c>
      <c r="B2226" s="352" t="s">
        <v>3462</v>
      </c>
      <c r="C2226" s="351" t="s">
        <v>3044</v>
      </c>
      <c r="D2226" s="352" t="s">
        <v>3044</v>
      </c>
      <c r="E2226" s="352" t="s">
        <v>1756</v>
      </c>
      <c r="F2226" s="353">
        <v>2.7326000000000001</v>
      </c>
      <c r="G2226" s="352" t="s">
        <v>3463</v>
      </c>
      <c r="H2226" s="176" t="s">
        <v>3045</v>
      </c>
      <c r="I2226" s="176"/>
      <c r="J2226" s="352" t="s">
        <v>4025</v>
      </c>
      <c r="K2226" s="352">
        <v>0.5</v>
      </c>
      <c r="L2226" s="352" t="s">
        <v>1116</v>
      </c>
      <c r="M2226" s="352">
        <v>10</v>
      </c>
      <c r="N2226" s="352" t="s">
        <v>1109</v>
      </c>
      <c r="O2226" s="351">
        <v>0.5</v>
      </c>
      <c r="P2226" s="349" t="s">
        <v>1836</v>
      </c>
      <c r="R2226" s="349">
        <f t="shared" si="34"/>
        <v>14</v>
      </c>
      <c r="S2226" s="352"/>
      <c r="T2226" s="352"/>
      <c r="U2226" s="352"/>
      <c r="V2226" s="353"/>
      <c r="W2226" s="352"/>
      <c r="X2226" s="176"/>
      <c r="Y2226" s="176"/>
      <c r="Z2226" s="352"/>
      <c r="AA2226" s="352"/>
      <c r="AB2226" s="352"/>
      <c r="AC2226" s="351"/>
      <c r="AD2226" s="351"/>
    </row>
    <row r="2227" spans="1:30" hidden="1" x14ac:dyDescent="0.35">
      <c r="A2227" s="349">
        <v>2226</v>
      </c>
      <c r="B2227" s="352" t="s">
        <v>3462</v>
      </c>
      <c r="C2227" s="351" t="s">
        <v>3044</v>
      </c>
      <c r="D2227" s="352" t="s">
        <v>3044</v>
      </c>
      <c r="E2227" s="352" t="s">
        <v>1756</v>
      </c>
      <c r="F2227" s="353">
        <v>3.0190999999999999</v>
      </c>
      <c r="G2227" s="352" t="s">
        <v>3463</v>
      </c>
      <c r="H2227" s="176" t="s">
        <v>3046</v>
      </c>
      <c r="I2227" s="176"/>
      <c r="J2227" s="352" t="s">
        <v>4025</v>
      </c>
      <c r="K2227" s="352">
        <v>1</v>
      </c>
      <c r="L2227" s="352" t="s">
        <v>1116</v>
      </c>
      <c r="M2227" s="352">
        <v>10</v>
      </c>
      <c r="N2227" s="352" t="s">
        <v>1109</v>
      </c>
      <c r="O2227" s="351">
        <v>1</v>
      </c>
      <c r="P2227" s="349" t="s">
        <v>1836</v>
      </c>
      <c r="R2227" s="349">
        <f t="shared" si="34"/>
        <v>14</v>
      </c>
      <c r="S2227" s="352"/>
      <c r="T2227" s="352"/>
      <c r="U2227" s="352"/>
      <c r="V2227" s="353"/>
      <c r="W2227" s="352"/>
      <c r="X2227" s="176"/>
      <c r="Y2227" s="176"/>
      <c r="Z2227" s="352"/>
      <c r="AA2227" s="352"/>
      <c r="AB2227" s="352"/>
      <c r="AC2227" s="351"/>
      <c r="AD2227" s="351"/>
    </row>
    <row r="2228" spans="1:30" ht="25.65" hidden="1" x14ac:dyDescent="0.35">
      <c r="A2228" s="349">
        <v>2227</v>
      </c>
      <c r="B2228" s="352" t="s">
        <v>3462</v>
      </c>
      <c r="C2228" s="351" t="s">
        <v>4410</v>
      </c>
      <c r="D2228" s="352" t="s">
        <v>3044</v>
      </c>
      <c r="E2228" s="352" t="s">
        <v>1756</v>
      </c>
      <c r="F2228" s="353">
        <v>2.7326000000000001</v>
      </c>
      <c r="G2228" s="352" t="s">
        <v>3463</v>
      </c>
      <c r="H2228" s="176" t="s">
        <v>3045</v>
      </c>
      <c r="I2228" s="176"/>
      <c r="J2228" s="352" t="s">
        <v>4025</v>
      </c>
      <c r="K2228" s="352">
        <v>0.5</v>
      </c>
      <c r="L2228" s="352" t="s">
        <v>1116</v>
      </c>
      <c r="M2228" s="351">
        <v>10</v>
      </c>
      <c r="N2228" s="351" t="s">
        <v>1109</v>
      </c>
      <c r="O2228" s="351">
        <v>0.5</v>
      </c>
      <c r="P2228" s="349" t="s">
        <v>1836</v>
      </c>
      <c r="R2228" s="349">
        <f t="shared" si="34"/>
        <v>14</v>
      </c>
      <c r="S2228" s="352"/>
      <c r="T2228" s="352"/>
      <c r="U2228" s="352"/>
      <c r="V2228" s="353"/>
      <c r="W2228" s="352"/>
      <c r="X2228" s="176"/>
      <c r="Y2228" s="176"/>
      <c r="Z2228" s="352"/>
      <c r="AA2228" s="352"/>
      <c r="AB2228" s="352"/>
      <c r="AC2228" s="351"/>
      <c r="AD2228" s="351"/>
    </row>
    <row r="2229" spans="1:30" hidden="1" x14ac:dyDescent="0.35">
      <c r="A2229" s="349">
        <v>2228</v>
      </c>
      <c r="B2229" s="352" t="s">
        <v>3462</v>
      </c>
      <c r="C2229" s="351" t="s">
        <v>4411</v>
      </c>
      <c r="D2229" s="352" t="s">
        <v>3044</v>
      </c>
      <c r="E2229" s="352" t="s">
        <v>1756</v>
      </c>
      <c r="F2229" s="353">
        <v>3.0190999999999999</v>
      </c>
      <c r="G2229" s="352" t="s">
        <v>3463</v>
      </c>
      <c r="H2229" s="176" t="s">
        <v>3046</v>
      </c>
      <c r="I2229" s="176"/>
      <c r="J2229" s="352" t="s">
        <v>4025</v>
      </c>
      <c r="K2229" s="352">
        <v>1</v>
      </c>
      <c r="L2229" s="352" t="s">
        <v>1116</v>
      </c>
      <c r="M2229" s="352">
        <v>10</v>
      </c>
      <c r="N2229" s="352" t="s">
        <v>1109</v>
      </c>
      <c r="O2229" s="351">
        <v>1</v>
      </c>
      <c r="P2229" s="349" t="s">
        <v>1836</v>
      </c>
      <c r="R2229" s="349">
        <f t="shared" si="34"/>
        <v>14</v>
      </c>
      <c r="S2229" s="352"/>
      <c r="T2229" s="352"/>
      <c r="U2229" s="352"/>
      <c r="V2229" s="353"/>
      <c r="W2229" s="352"/>
      <c r="X2229" s="176"/>
      <c r="Y2229" s="176"/>
      <c r="Z2229" s="352"/>
      <c r="AA2229" s="352"/>
      <c r="AB2229" s="352"/>
      <c r="AC2229" s="351"/>
      <c r="AD2229" s="351"/>
    </row>
    <row r="2230" spans="1:30" ht="38.450000000000003" hidden="1" x14ac:dyDescent="0.35">
      <c r="A2230" s="349">
        <v>2229</v>
      </c>
      <c r="B2230" s="352" t="s">
        <v>4029</v>
      </c>
      <c r="C2230" s="351" t="s">
        <v>4412</v>
      </c>
      <c r="D2230" s="352" t="s">
        <v>262</v>
      </c>
      <c r="E2230" s="352" t="s">
        <v>553</v>
      </c>
      <c r="F2230" s="353">
        <v>17.670000000000002</v>
      </c>
      <c r="G2230" s="352" t="s">
        <v>2126</v>
      </c>
      <c r="H2230" s="37" t="s">
        <v>263</v>
      </c>
      <c r="I2230" s="176" t="s">
        <v>207</v>
      </c>
      <c r="J2230" s="352" t="s">
        <v>3579</v>
      </c>
      <c r="K2230" s="352">
        <v>0.2</v>
      </c>
      <c r="L2230" s="352" t="s">
        <v>1116</v>
      </c>
      <c r="M2230" s="351">
        <v>200</v>
      </c>
      <c r="N2230" s="351" t="s">
        <v>1109</v>
      </c>
      <c r="O2230" s="351">
        <v>0.2</v>
      </c>
      <c r="P2230" s="349" t="s">
        <v>1836</v>
      </c>
      <c r="R2230" s="349">
        <f t="shared" si="34"/>
        <v>9</v>
      </c>
      <c r="S2230" s="352"/>
      <c r="T2230" s="352"/>
      <c r="U2230" s="352"/>
      <c r="V2230" s="353"/>
      <c r="W2230" s="352"/>
      <c r="X2230" s="176"/>
      <c r="Y2230" s="176"/>
      <c r="Z2230" s="352"/>
      <c r="AA2230" s="352"/>
      <c r="AB2230" s="352"/>
      <c r="AC2230" s="352"/>
      <c r="AD2230" s="352"/>
    </row>
    <row r="2231" spans="1:30" ht="64.099999999999994" hidden="1" x14ac:dyDescent="0.35">
      <c r="A2231" s="349">
        <v>2230</v>
      </c>
      <c r="B2231" s="352" t="s">
        <v>1610</v>
      </c>
      <c r="C2231" s="351" t="s">
        <v>4413</v>
      </c>
      <c r="D2231" s="352" t="s">
        <v>982</v>
      </c>
      <c r="E2231" s="352" t="s">
        <v>762</v>
      </c>
      <c r="F2231" s="353">
        <v>2.2000000000000002</v>
      </c>
      <c r="G2231" s="352" t="s">
        <v>1107</v>
      </c>
      <c r="H2231" s="37" t="s">
        <v>3817</v>
      </c>
      <c r="I2231" s="176" t="s">
        <v>1824</v>
      </c>
      <c r="J2231" s="352" t="s">
        <v>828</v>
      </c>
      <c r="K2231" s="352">
        <v>25</v>
      </c>
      <c r="L2231" s="352" t="s">
        <v>1116</v>
      </c>
      <c r="M2231" s="351">
        <v>2</v>
      </c>
      <c r="N2231" s="351" t="s">
        <v>1109</v>
      </c>
      <c r="O2231" s="351">
        <v>25</v>
      </c>
      <c r="P2231" s="349" t="s">
        <v>1836</v>
      </c>
      <c r="R2231" s="349">
        <f t="shared" si="34"/>
        <v>10</v>
      </c>
      <c r="S2231" s="352"/>
      <c r="T2231" s="352"/>
      <c r="U2231" s="352"/>
      <c r="V2231" s="353"/>
      <c r="W2231" s="352"/>
      <c r="X2231" s="176"/>
      <c r="Y2231" s="176"/>
      <c r="Z2231" s="352"/>
      <c r="AA2231" s="352"/>
      <c r="AB2231" s="352"/>
      <c r="AC2231" s="352"/>
      <c r="AD2231" s="352"/>
    </row>
    <row r="2232" spans="1:30" ht="64.099999999999994" hidden="1" x14ac:dyDescent="0.35">
      <c r="A2232" s="349">
        <v>2231</v>
      </c>
      <c r="B2232" s="352" t="s">
        <v>1610</v>
      </c>
      <c r="C2232" s="351" t="s">
        <v>4413</v>
      </c>
      <c r="D2232" s="352" t="s">
        <v>982</v>
      </c>
      <c r="E2232" s="352" t="s">
        <v>92</v>
      </c>
      <c r="F2232" s="353">
        <v>46.277900000000002</v>
      </c>
      <c r="G2232" s="352" t="s">
        <v>2126</v>
      </c>
      <c r="H2232" s="176" t="s">
        <v>3547</v>
      </c>
      <c r="I2232" s="176" t="s">
        <v>1824</v>
      </c>
      <c r="J2232" s="352" t="s">
        <v>3579</v>
      </c>
      <c r="K2232" s="352">
        <v>15</v>
      </c>
      <c r="L2232" s="352" t="s">
        <v>1116</v>
      </c>
      <c r="M2232" s="351">
        <v>300</v>
      </c>
      <c r="N2232" s="351" t="s">
        <v>1109</v>
      </c>
      <c r="O2232" s="351">
        <v>15</v>
      </c>
      <c r="P2232" s="349" t="s">
        <v>1836</v>
      </c>
      <c r="R2232" s="349">
        <f t="shared" si="34"/>
        <v>10</v>
      </c>
      <c r="S2232" s="352"/>
      <c r="T2232" s="352"/>
      <c r="U2232" s="352"/>
      <c r="V2232" s="353"/>
      <c r="W2232" s="352"/>
      <c r="X2232" s="176"/>
      <c r="Y2232" s="176"/>
      <c r="Z2232" s="352"/>
      <c r="AA2232" s="352"/>
      <c r="AB2232" s="352"/>
      <c r="AC2232" s="351"/>
      <c r="AD2232" s="351"/>
    </row>
    <row r="2233" spans="1:30" ht="64.099999999999994" hidden="1" x14ac:dyDescent="0.35">
      <c r="A2233" s="349">
        <v>2232</v>
      </c>
      <c r="B2233" s="352" t="s">
        <v>1610</v>
      </c>
      <c r="C2233" s="351" t="s">
        <v>4413</v>
      </c>
      <c r="D2233" s="352" t="s">
        <v>982</v>
      </c>
      <c r="E2233" s="352" t="s">
        <v>1995</v>
      </c>
      <c r="F2233" s="353">
        <v>0.44069999999999998</v>
      </c>
      <c r="G2233" s="352" t="s">
        <v>2126</v>
      </c>
      <c r="H2233" s="176" t="s">
        <v>3547</v>
      </c>
      <c r="I2233" s="176" t="s">
        <v>1824</v>
      </c>
      <c r="J2233" s="352" t="s">
        <v>3580</v>
      </c>
      <c r="K2233" s="352">
        <v>150</v>
      </c>
      <c r="L2233" s="352" t="s">
        <v>3581</v>
      </c>
      <c r="M2233" s="351"/>
      <c r="N2233" s="351"/>
      <c r="O2233" s="351">
        <v>150</v>
      </c>
      <c r="P2233" s="349" t="s">
        <v>1836</v>
      </c>
      <c r="R2233" s="349">
        <f t="shared" si="34"/>
        <v>10</v>
      </c>
      <c r="S2233" s="352"/>
      <c r="T2233" s="352"/>
      <c r="U2233" s="352"/>
      <c r="V2233" s="353"/>
      <c r="W2233" s="352"/>
      <c r="X2233" s="176"/>
      <c r="Y2233" s="176"/>
      <c r="Z2233" s="352"/>
      <c r="AA2233" s="352"/>
      <c r="AB2233" s="352"/>
      <c r="AC2233" s="351"/>
      <c r="AD2233" s="351"/>
    </row>
    <row r="2234" spans="1:30" ht="64.099999999999994" hidden="1" x14ac:dyDescent="0.35">
      <c r="A2234" s="349">
        <v>2233</v>
      </c>
      <c r="B2234" s="352" t="s">
        <v>1080</v>
      </c>
      <c r="C2234" s="351" t="s">
        <v>4414</v>
      </c>
      <c r="D2234" s="352" t="s">
        <v>3686</v>
      </c>
      <c r="E2234" s="352" t="s">
        <v>1997</v>
      </c>
      <c r="F2234" s="353">
        <v>287.16550000000001</v>
      </c>
      <c r="G2234" s="352" t="s">
        <v>1107</v>
      </c>
      <c r="H2234" s="176"/>
      <c r="I2234" s="176" t="s">
        <v>4097</v>
      </c>
      <c r="J2234" s="352" t="s">
        <v>1115</v>
      </c>
      <c r="K2234" s="352">
        <v>5</v>
      </c>
      <c r="L2234" s="352" t="s">
        <v>1464</v>
      </c>
      <c r="M2234" s="351"/>
      <c r="N2234" s="351"/>
      <c r="O2234" s="351">
        <v>5</v>
      </c>
      <c r="P2234" s="349" t="s">
        <v>1836</v>
      </c>
      <c r="R2234" s="349">
        <f t="shared" si="34"/>
        <v>11</v>
      </c>
      <c r="S2234" s="352"/>
      <c r="T2234" s="352"/>
      <c r="U2234" s="352"/>
      <c r="V2234" s="353"/>
      <c r="W2234" s="352"/>
      <c r="X2234" s="176"/>
      <c r="Y2234" s="176"/>
      <c r="Z2234" s="352"/>
      <c r="AA2234" s="352"/>
      <c r="AB2234" s="352"/>
      <c r="AC2234" s="351"/>
      <c r="AD2234" s="351"/>
    </row>
    <row r="2235" spans="1:30" ht="64.099999999999994" hidden="1" x14ac:dyDescent="0.35">
      <c r="A2235" s="349">
        <v>2234</v>
      </c>
      <c r="B2235" s="352" t="s">
        <v>1080</v>
      </c>
      <c r="C2235" s="351" t="s">
        <v>4414</v>
      </c>
      <c r="D2235" s="352" t="s">
        <v>3686</v>
      </c>
      <c r="E2235" s="352" t="s">
        <v>1997</v>
      </c>
      <c r="F2235" s="353">
        <v>574.39700000000005</v>
      </c>
      <c r="G2235" s="352" t="s">
        <v>1107</v>
      </c>
      <c r="H2235" s="176"/>
      <c r="I2235" s="176" t="s">
        <v>4097</v>
      </c>
      <c r="J2235" s="352" t="s">
        <v>1115</v>
      </c>
      <c r="K2235" s="352">
        <v>10</v>
      </c>
      <c r="L2235" s="352" t="s">
        <v>1464</v>
      </c>
      <c r="M2235" s="352"/>
      <c r="N2235" s="352"/>
      <c r="O2235" s="351">
        <v>10</v>
      </c>
      <c r="P2235" s="349" t="s">
        <v>1836</v>
      </c>
      <c r="R2235" s="349">
        <f t="shared" si="34"/>
        <v>11</v>
      </c>
      <c r="S2235" s="352"/>
      <c r="T2235" s="352"/>
      <c r="U2235" s="352"/>
      <c r="V2235" s="353"/>
      <c r="W2235" s="352"/>
      <c r="X2235" s="176"/>
      <c r="Y2235" s="176"/>
      <c r="Z2235" s="352"/>
      <c r="AA2235" s="352"/>
      <c r="AB2235" s="352"/>
      <c r="AC2235" s="351"/>
      <c r="AD2235" s="351"/>
    </row>
    <row r="2236" spans="1:30" ht="115.35" hidden="1" x14ac:dyDescent="0.35">
      <c r="A2236" s="349">
        <v>2235</v>
      </c>
      <c r="B2236" s="352" t="s">
        <v>4100</v>
      </c>
      <c r="C2236" s="351" t="s">
        <v>4415</v>
      </c>
      <c r="D2236" s="352" t="s">
        <v>841</v>
      </c>
      <c r="E2236" s="352" t="s">
        <v>1995</v>
      </c>
      <c r="F2236" s="353">
        <v>3.5</v>
      </c>
      <c r="G2236" s="352" t="s">
        <v>2126</v>
      </c>
      <c r="H2236" s="176" t="s">
        <v>3767</v>
      </c>
      <c r="I2236" s="176" t="s">
        <v>3768</v>
      </c>
      <c r="J2236" s="352" t="s">
        <v>3580</v>
      </c>
      <c r="K2236" s="352">
        <v>250</v>
      </c>
      <c r="L2236" s="352" t="s">
        <v>3581</v>
      </c>
      <c r="M2236" s="352"/>
      <c r="N2236" s="352"/>
      <c r="O2236" s="351">
        <v>250</v>
      </c>
      <c r="P2236" s="349" t="s">
        <v>1836</v>
      </c>
      <c r="R2236" s="349">
        <f t="shared" si="34"/>
        <v>12</v>
      </c>
      <c r="S2236" s="352"/>
      <c r="T2236" s="352"/>
      <c r="U2236" s="352"/>
      <c r="V2236" s="353"/>
      <c r="W2236" s="352"/>
      <c r="X2236" s="176"/>
      <c r="Y2236" s="37"/>
      <c r="Z2236" s="352"/>
      <c r="AA2236" s="352"/>
      <c r="AB2236" s="352"/>
      <c r="AC2236" s="352"/>
      <c r="AD2236" s="352"/>
    </row>
    <row r="2237" spans="1:30" ht="115.35" hidden="1" x14ac:dyDescent="0.35">
      <c r="A2237" s="349">
        <v>2236</v>
      </c>
      <c r="B2237" s="352" t="s">
        <v>4100</v>
      </c>
      <c r="C2237" s="351" t="s">
        <v>4415</v>
      </c>
      <c r="D2237" s="352" t="s">
        <v>841</v>
      </c>
      <c r="E2237" s="352" t="s">
        <v>1995</v>
      </c>
      <c r="F2237" s="353">
        <v>5.45</v>
      </c>
      <c r="G2237" s="352" t="s">
        <v>2126</v>
      </c>
      <c r="H2237" s="176" t="s">
        <v>3767</v>
      </c>
      <c r="I2237" s="176" t="s">
        <v>3768</v>
      </c>
      <c r="J2237" s="352" t="s">
        <v>3580</v>
      </c>
      <c r="K2237" s="352">
        <v>500</v>
      </c>
      <c r="L2237" s="352" t="s">
        <v>3581</v>
      </c>
      <c r="M2237" s="352"/>
      <c r="N2237" s="352"/>
      <c r="O2237" s="351">
        <v>500</v>
      </c>
      <c r="P2237" s="349" t="s">
        <v>1836</v>
      </c>
      <c r="R2237" s="349">
        <f t="shared" si="34"/>
        <v>12</v>
      </c>
      <c r="S2237" s="352"/>
      <c r="T2237" s="352"/>
      <c r="U2237" s="352"/>
      <c r="V2237" s="353"/>
      <c r="W2237" s="352"/>
      <c r="X2237" s="176"/>
      <c r="Y2237" s="37"/>
      <c r="Z2237" s="352"/>
      <c r="AA2237" s="352"/>
      <c r="AB2237" s="352"/>
      <c r="AC2237" s="351"/>
      <c r="AD2237" s="351"/>
    </row>
    <row r="2238" spans="1:30" ht="51.3" hidden="1" x14ac:dyDescent="0.35">
      <c r="A2238" s="349">
        <v>2237</v>
      </c>
      <c r="B2238" s="352" t="s">
        <v>4100</v>
      </c>
      <c r="C2238" s="351" t="s">
        <v>4416</v>
      </c>
      <c r="D2238" s="352" t="s">
        <v>3167</v>
      </c>
      <c r="E2238" s="352" t="s">
        <v>1998</v>
      </c>
      <c r="F2238" s="353">
        <v>8.6826000000000008</v>
      </c>
      <c r="G2238" s="352" t="s">
        <v>2126</v>
      </c>
      <c r="H2238" s="176" t="s">
        <v>3769</v>
      </c>
      <c r="I2238" s="176" t="s">
        <v>3146</v>
      </c>
      <c r="J2238" s="352" t="s">
        <v>22</v>
      </c>
      <c r="K2238" s="352">
        <v>30</v>
      </c>
      <c r="L2238" s="352" t="s">
        <v>23</v>
      </c>
      <c r="M2238" s="351"/>
      <c r="N2238" s="351"/>
      <c r="O2238" s="351">
        <v>30</v>
      </c>
      <c r="P2238" s="349" t="s">
        <v>1836</v>
      </c>
      <c r="R2238" s="349">
        <f t="shared" si="34"/>
        <v>9</v>
      </c>
      <c r="S2238" s="352"/>
      <c r="T2238" s="352"/>
      <c r="U2238" s="352"/>
      <c r="V2238" s="353"/>
      <c r="W2238" s="352"/>
      <c r="X2238" s="176"/>
      <c r="Y2238" s="37"/>
      <c r="Z2238" s="352"/>
      <c r="AA2238" s="352"/>
      <c r="AB2238" s="352"/>
      <c r="AC2238" s="351"/>
      <c r="AD2238" s="351"/>
    </row>
    <row r="2239" spans="1:30" ht="51.3" hidden="1" x14ac:dyDescent="0.35">
      <c r="A2239" s="349">
        <v>2238</v>
      </c>
      <c r="B2239" s="352" t="s">
        <v>4100</v>
      </c>
      <c r="C2239" s="351" t="s">
        <v>4416</v>
      </c>
      <c r="D2239" s="352" t="s">
        <v>3167</v>
      </c>
      <c r="E2239" s="352" t="s">
        <v>1998</v>
      </c>
      <c r="F2239" s="353">
        <v>2.69</v>
      </c>
      <c r="G2239" s="352" t="s">
        <v>2126</v>
      </c>
      <c r="H2239" s="176" t="s">
        <v>3769</v>
      </c>
      <c r="I2239" s="176" t="s">
        <v>3146</v>
      </c>
      <c r="J2239" s="352" t="s">
        <v>22</v>
      </c>
      <c r="K2239" s="352">
        <v>40</v>
      </c>
      <c r="L2239" s="352" t="s">
        <v>23</v>
      </c>
      <c r="M2239" s="352"/>
      <c r="N2239" s="352"/>
      <c r="O2239" s="351">
        <v>40</v>
      </c>
      <c r="P2239" s="349" t="s">
        <v>1836</v>
      </c>
      <c r="R2239" s="349">
        <f t="shared" si="34"/>
        <v>9</v>
      </c>
      <c r="S2239" s="352"/>
      <c r="T2239" s="352"/>
      <c r="U2239" s="352"/>
      <c r="V2239" s="353"/>
      <c r="W2239" s="352"/>
      <c r="X2239" s="176"/>
      <c r="Y2239" s="37"/>
      <c r="Z2239" s="352"/>
      <c r="AA2239" s="352"/>
      <c r="AB2239" s="352"/>
      <c r="AC2239" s="352"/>
      <c r="AD2239" s="352"/>
    </row>
    <row r="2240" spans="1:30" ht="51.3" hidden="1" x14ac:dyDescent="0.35">
      <c r="A2240" s="349">
        <v>2239</v>
      </c>
      <c r="B2240" s="352" t="s">
        <v>4100</v>
      </c>
      <c r="C2240" s="351" t="s">
        <v>4416</v>
      </c>
      <c r="D2240" s="352" t="s">
        <v>3167</v>
      </c>
      <c r="E2240" s="352" t="s">
        <v>553</v>
      </c>
      <c r="F2240" s="353">
        <v>50.531100000000002</v>
      </c>
      <c r="G2240" s="352" t="s">
        <v>2126</v>
      </c>
      <c r="H2240" s="176" t="s">
        <v>3769</v>
      </c>
      <c r="I2240" s="176" t="s">
        <v>3146</v>
      </c>
      <c r="J2240" s="352" t="s">
        <v>3579</v>
      </c>
      <c r="K2240" s="352">
        <v>1</v>
      </c>
      <c r="L2240" s="352" t="s">
        <v>1116</v>
      </c>
      <c r="M2240" s="352">
        <v>200</v>
      </c>
      <c r="N2240" s="352" t="s">
        <v>1109</v>
      </c>
      <c r="O2240" s="351">
        <v>1</v>
      </c>
      <c r="P2240" s="349" t="s">
        <v>1836</v>
      </c>
      <c r="R2240" s="349">
        <f t="shared" si="34"/>
        <v>9</v>
      </c>
      <c r="S2240" s="352"/>
      <c r="T2240" s="352"/>
      <c r="U2240" s="352"/>
      <c r="V2240" s="353"/>
      <c r="W2240" s="352"/>
      <c r="X2240" s="176"/>
      <c r="Y2240" s="37"/>
      <c r="Z2240" s="352"/>
      <c r="AA2240" s="352"/>
      <c r="AB2240" s="352"/>
      <c r="AC2240" s="351"/>
      <c r="AD2240" s="351"/>
    </row>
    <row r="2241" spans="1:30" ht="38.450000000000003" hidden="1" x14ac:dyDescent="0.35">
      <c r="A2241" s="349">
        <v>2240</v>
      </c>
      <c r="B2241" s="352" t="s">
        <v>4100</v>
      </c>
      <c r="C2241" s="351" t="s">
        <v>4417</v>
      </c>
      <c r="D2241" s="352" t="s">
        <v>3147</v>
      </c>
      <c r="E2241" s="352" t="s">
        <v>3578</v>
      </c>
      <c r="F2241" s="353">
        <v>219.56</v>
      </c>
      <c r="G2241" s="352" t="s">
        <v>2126</v>
      </c>
      <c r="H2241" s="176" t="s">
        <v>3148</v>
      </c>
      <c r="I2241" s="176" t="s">
        <v>3149</v>
      </c>
      <c r="J2241" s="352" t="s">
        <v>3579</v>
      </c>
      <c r="K2241" s="352">
        <v>20</v>
      </c>
      <c r="L2241" s="352" t="s">
        <v>1116</v>
      </c>
      <c r="M2241" s="351">
        <v>240</v>
      </c>
      <c r="N2241" s="351" t="s">
        <v>1109</v>
      </c>
      <c r="O2241" s="351">
        <v>20</v>
      </c>
      <c r="P2241" s="349" t="s">
        <v>1836</v>
      </c>
      <c r="R2241" s="349">
        <f t="shared" si="34"/>
        <v>8</v>
      </c>
      <c r="S2241" s="352"/>
      <c r="T2241" s="352"/>
      <c r="U2241" s="352"/>
      <c r="V2241" s="353"/>
      <c r="W2241" s="352"/>
      <c r="X2241" s="176"/>
      <c r="Y2241" s="37"/>
      <c r="Z2241" s="352"/>
      <c r="AA2241" s="352"/>
      <c r="AB2241" s="352"/>
      <c r="AC2241" s="351"/>
      <c r="AD2241" s="351"/>
    </row>
    <row r="2242" spans="1:30" ht="38.450000000000003" hidden="1" x14ac:dyDescent="0.35">
      <c r="A2242" s="349">
        <v>2241</v>
      </c>
      <c r="B2242" s="352" t="s">
        <v>4100</v>
      </c>
      <c r="C2242" s="351" t="s">
        <v>4417</v>
      </c>
      <c r="D2242" s="352" t="s">
        <v>3147</v>
      </c>
      <c r="E2242" s="352" t="s">
        <v>1995</v>
      </c>
      <c r="F2242" s="353">
        <v>12.27</v>
      </c>
      <c r="G2242" s="352" t="s">
        <v>2126</v>
      </c>
      <c r="H2242" s="176" t="s">
        <v>3148</v>
      </c>
      <c r="I2242" s="176" t="s">
        <v>3149</v>
      </c>
      <c r="J2242" s="352" t="s">
        <v>3580</v>
      </c>
      <c r="K2242" s="352">
        <v>300</v>
      </c>
      <c r="L2242" s="352" t="s">
        <v>3581</v>
      </c>
      <c r="M2242" s="352"/>
      <c r="N2242" s="352"/>
      <c r="O2242" s="351">
        <v>300</v>
      </c>
      <c r="P2242" s="349" t="s">
        <v>1836</v>
      </c>
      <c r="R2242" s="349">
        <f t="shared" si="34"/>
        <v>8</v>
      </c>
      <c r="S2242" s="352"/>
      <c r="T2242" s="352"/>
      <c r="U2242" s="352"/>
      <c r="V2242" s="353"/>
      <c r="W2242" s="352"/>
      <c r="X2242" s="176"/>
      <c r="Y2242" s="176"/>
      <c r="Z2242" s="352"/>
      <c r="AA2242" s="352"/>
      <c r="AB2242" s="352"/>
      <c r="AC2242" s="352"/>
      <c r="AD2242" s="352"/>
    </row>
    <row r="2243" spans="1:30" ht="51.3" hidden="1" x14ac:dyDescent="0.35">
      <c r="A2243" s="349">
        <v>2242</v>
      </c>
      <c r="B2243" s="352" t="s">
        <v>4100</v>
      </c>
      <c r="C2243" s="351" t="s">
        <v>4020</v>
      </c>
      <c r="D2243" s="352" t="s">
        <v>4020</v>
      </c>
      <c r="E2243" s="352" t="s">
        <v>3583</v>
      </c>
      <c r="F2243" s="353">
        <v>37.507100000000001</v>
      </c>
      <c r="G2243" s="352" t="s">
        <v>1107</v>
      </c>
      <c r="H2243" s="176" t="s">
        <v>3635</v>
      </c>
      <c r="I2243" s="176" t="s">
        <v>3634</v>
      </c>
      <c r="J2243" s="352" t="s">
        <v>1115</v>
      </c>
      <c r="K2243" s="352">
        <v>10</v>
      </c>
      <c r="L2243" s="352" t="s">
        <v>1116</v>
      </c>
      <c r="M2243" s="352">
        <v>20</v>
      </c>
      <c r="N2243" s="352" t="s">
        <v>1109</v>
      </c>
      <c r="O2243" s="351">
        <v>10</v>
      </c>
      <c r="P2243" s="349" t="s">
        <v>1836</v>
      </c>
      <c r="R2243" s="349">
        <f t="shared" ref="R2243:R2283" si="35">LEN(D2243)</f>
        <v>10</v>
      </c>
      <c r="S2243" s="352"/>
      <c r="T2243" s="352"/>
      <c r="U2243" s="352"/>
      <c r="V2243" s="353"/>
      <c r="W2243" s="352"/>
      <c r="X2243" s="176"/>
      <c r="Y2243" s="176"/>
      <c r="Z2243" s="352"/>
      <c r="AA2243" s="352"/>
      <c r="AB2243" s="352"/>
      <c r="AC2243" s="352"/>
      <c r="AD2243" s="352"/>
    </row>
    <row r="2244" spans="1:30" ht="51.3" hidden="1" x14ac:dyDescent="0.35">
      <c r="A2244" s="349">
        <v>2243</v>
      </c>
      <c r="B2244" s="352" t="s">
        <v>4100</v>
      </c>
      <c r="C2244" s="351" t="s">
        <v>4020</v>
      </c>
      <c r="D2244" s="352" t="s">
        <v>4020</v>
      </c>
      <c r="E2244" s="352" t="s">
        <v>3583</v>
      </c>
      <c r="F2244" s="353">
        <v>37.507100000000001</v>
      </c>
      <c r="G2244" s="352" t="s">
        <v>1107</v>
      </c>
      <c r="H2244" s="176" t="s">
        <v>2313</v>
      </c>
      <c r="I2244" s="176" t="s">
        <v>3634</v>
      </c>
      <c r="J2244" s="352" t="s">
        <v>1115</v>
      </c>
      <c r="K2244" s="352">
        <v>10</v>
      </c>
      <c r="L2244" s="352" t="s">
        <v>1116</v>
      </c>
      <c r="M2244" s="352">
        <v>20</v>
      </c>
      <c r="N2244" s="352" t="s">
        <v>1109</v>
      </c>
      <c r="O2244" s="351">
        <v>10</v>
      </c>
      <c r="P2244" s="349" t="s">
        <v>1836</v>
      </c>
      <c r="R2244" s="349">
        <f t="shared" si="35"/>
        <v>10</v>
      </c>
      <c r="S2244" s="352"/>
      <c r="T2244" s="352"/>
      <c r="U2244" s="352"/>
      <c r="V2244" s="353"/>
      <c r="W2244" s="352"/>
      <c r="X2244" s="176"/>
      <c r="Y2244" s="176"/>
      <c r="Z2244" s="352"/>
      <c r="AA2244" s="352"/>
      <c r="AB2244" s="352"/>
      <c r="AC2244" s="352"/>
      <c r="AD2244" s="352"/>
    </row>
    <row r="2245" spans="1:30" ht="76.900000000000006" hidden="1" x14ac:dyDescent="0.35">
      <c r="A2245" s="349">
        <v>2244</v>
      </c>
      <c r="B2245" s="352" t="s">
        <v>4100</v>
      </c>
      <c r="C2245" s="351" t="s">
        <v>4020</v>
      </c>
      <c r="D2245" s="352" t="s">
        <v>4020</v>
      </c>
      <c r="E2245" s="352" t="s">
        <v>1998</v>
      </c>
      <c r="F2245" s="353">
        <v>3.5259</v>
      </c>
      <c r="G2245" s="352" t="s">
        <v>2126</v>
      </c>
      <c r="H2245" s="176" t="s">
        <v>3864</v>
      </c>
      <c r="I2245" s="176" t="s">
        <v>3634</v>
      </c>
      <c r="J2245" s="352" t="s">
        <v>22</v>
      </c>
      <c r="K2245" s="352">
        <v>100</v>
      </c>
      <c r="L2245" s="352" t="s">
        <v>23</v>
      </c>
      <c r="M2245" s="352"/>
      <c r="N2245" s="352"/>
      <c r="O2245" s="351">
        <v>100</v>
      </c>
      <c r="P2245" s="349" t="s">
        <v>1836</v>
      </c>
      <c r="R2245" s="349">
        <f t="shared" si="35"/>
        <v>10</v>
      </c>
      <c r="S2245" s="352"/>
      <c r="T2245" s="352"/>
      <c r="U2245" s="352"/>
      <c r="V2245" s="353"/>
      <c r="W2245" s="352"/>
      <c r="X2245" s="176"/>
      <c r="Y2245" s="176"/>
      <c r="Z2245" s="352"/>
      <c r="AA2245" s="352"/>
      <c r="AB2245" s="352"/>
      <c r="AC2245" s="351"/>
      <c r="AD2245" s="351"/>
    </row>
    <row r="2246" spans="1:30" ht="76.900000000000006" hidden="1" x14ac:dyDescent="0.35">
      <c r="A2246" s="349">
        <v>2245</v>
      </c>
      <c r="B2246" s="352" t="s">
        <v>4100</v>
      </c>
      <c r="C2246" s="351" t="s">
        <v>4020</v>
      </c>
      <c r="D2246" s="352" t="s">
        <v>4020</v>
      </c>
      <c r="E2246" s="352" t="s">
        <v>553</v>
      </c>
      <c r="F2246" s="353">
        <v>82.572999999999993</v>
      </c>
      <c r="G2246" s="352" t="s">
        <v>2126</v>
      </c>
      <c r="H2246" s="176" t="s">
        <v>3864</v>
      </c>
      <c r="I2246" s="176" t="s">
        <v>3634</v>
      </c>
      <c r="J2246" s="352" t="s">
        <v>3579</v>
      </c>
      <c r="K2246" s="352">
        <v>10</v>
      </c>
      <c r="L2246" s="352" t="s">
        <v>1116</v>
      </c>
      <c r="M2246" s="352">
        <v>200</v>
      </c>
      <c r="N2246" s="352" t="s">
        <v>1109</v>
      </c>
      <c r="O2246" s="351">
        <v>10</v>
      </c>
      <c r="P2246" s="349" t="s">
        <v>1836</v>
      </c>
      <c r="R2246" s="349">
        <f t="shared" si="35"/>
        <v>10</v>
      </c>
      <c r="S2246" s="352"/>
      <c r="T2246" s="352"/>
      <c r="U2246" s="352"/>
      <c r="V2246" s="353"/>
      <c r="W2246" s="352"/>
      <c r="X2246" s="176"/>
      <c r="Y2246" s="176"/>
      <c r="Z2246" s="352"/>
      <c r="AA2246" s="352"/>
      <c r="AB2246" s="352"/>
      <c r="AC2246" s="352"/>
      <c r="AD2246" s="352"/>
    </row>
    <row r="2247" spans="1:30" ht="76.900000000000006" hidden="1" x14ac:dyDescent="0.35">
      <c r="A2247" s="349">
        <v>2246</v>
      </c>
      <c r="B2247" s="352" t="s">
        <v>4100</v>
      </c>
      <c r="C2247" s="351" t="s">
        <v>4020</v>
      </c>
      <c r="D2247" s="352" t="s">
        <v>4020</v>
      </c>
      <c r="E2247" s="352" t="s">
        <v>1995</v>
      </c>
      <c r="F2247" s="353">
        <v>10.8643</v>
      </c>
      <c r="G2247" s="352" t="s">
        <v>2126</v>
      </c>
      <c r="H2247" s="176" t="s">
        <v>3864</v>
      </c>
      <c r="I2247" s="176" t="s">
        <v>3634</v>
      </c>
      <c r="J2247" s="352" t="s">
        <v>3580</v>
      </c>
      <c r="K2247" s="351">
        <v>300</v>
      </c>
      <c r="L2247" s="351" t="s">
        <v>3581</v>
      </c>
      <c r="M2247" s="352"/>
      <c r="N2247" s="352"/>
      <c r="O2247" s="351">
        <v>300</v>
      </c>
      <c r="P2247" s="349" t="s">
        <v>1836</v>
      </c>
      <c r="R2247" s="349">
        <f t="shared" si="35"/>
        <v>10</v>
      </c>
      <c r="S2247" s="352"/>
      <c r="T2247" s="352"/>
      <c r="U2247" s="352"/>
      <c r="V2247" s="353"/>
      <c r="W2247" s="352"/>
      <c r="X2247" s="176"/>
      <c r="Y2247" s="176"/>
      <c r="Z2247" s="352"/>
      <c r="AA2247" s="352"/>
      <c r="AB2247" s="352"/>
      <c r="AC2247" s="351"/>
      <c r="AD2247" s="351"/>
    </row>
    <row r="2248" spans="1:30" ht="51.3" hidden="1" x14ac:dyDescent="0.35">
      <c r="A2248" s="349">
        <v>2247</v>
      </c>
      <c r="B2248" s="352" t="s">
        <v>2132</v>
      </c>
      <c r="C2248" s="351" t="s">
        <v>3510</v>
      </c>
      <c r="D2248" s="352" t="s">
        <v>3510</v>
      </c>
      <c r="E2248" s="352" t="s">
        <v>769</v>
      </c>
      <c r="F2248" s="353">
        <v>5.7295999999999996</v>
      </c>
      <c r="G2248" s="352" t="s">
        <v>34</v>
      </c>
      <c r="H2248" s="176" t="s">
        <v>3511</v>
      </c>
      <c r="I2248" s="176" t="s">
        <v>3512</v>
      </c>
      <c r="J2248" s="352" t="s">
        <v>29</v>
      </c>
      <c r="K2248" s="352">
        <v>1</v>
      </c>
      <c r="L2248" s="352" t="s">
        <v>470</v>
      </c>
      <c r="M2248" s="352">
        <v>50</v>
      </c>
      <c r="N2248" s="352" t="s">
        <v>31</v>
      </c>
      <c r="O2248" s="351">
        <v>1</v>
      </c>
      <c r="P2248" s="349" t="s">
        <v>1838</v>
      </c>
      <c r="R2248" s="349">
        <f t="shared" si="35"/>
        <v>18</v>
      </c>
      <c r="S2248" s="352"/>
      <c r="T2248" s="352"/>
      <c r="U2248" s="352"/>
      <c r="V2248" s="353"/>
      <c r="W2248" s="352"/>
      <c r="X2248" s="176"/>
      <c r="Y2248" s="176"/>
      <c r="Z2248" s="352"/>
      <c r="AA2248" s="352"/>
      <c r="AB2248" s="352"/>
      <c r="AC2248" s="352"/>
      <c r="AD2248" s="352"/>
    </row>
    <row r="2249" spans="1:30" ht="51.3" hidden="1" x14ac:dyDescent="0.35">
      <c r="A2249" s="349">
        <v>2248</v>
      </c>
      <c r="B2249" s="352" t="s">
        <v>2132</v>
      </c>
      <c r="C2249" s="351" t="s">
        <v>3510</v>
      </c>
      <c r="D2249" s="352" t="s">
        <v>3510</v>
      </c>
      <c r="E2249" s="352" t="s">
        <v>770</v>
      </c>
      <c r="F2249" s="353">
        <v>53.153500000000001</v>
      </c>
      <c r="G2249" s="352" t="s">
        <v>34</v>
      </c>
      <c r="H2249" s="176" t="s">
        <v>3511</v>
      </c>
      <c r="I2249" s="176" t="s">
        <v>3512</v>
      </c>
      <c r="J2249" s="352" t="s">
        <v>29</v>
      </c>
      <c r="K2249" s="352">
        <v>1</v>
      </c>
      <c r="L2249" s="352" t="s">
        <v>470</v>
      </c>
      <c r="M2249" s="352">
        <v>500</v>
      </c>
      <c r="N2249" s="352" t="s">
        <v>31</v>
      </c>
      <c r="O2249" s="351">
        <v>1</v>
      </c>
      <c r="P2249" s="349" t="s">
        <v>1838</v>
      </c>
      <c r="R2249" s="349">
        <f t="shared" si="35"/>
        <v>18</v>
      </c>
      <c r="S2249" s="352"/>
      <c r="T2249" s="352"/>
      <c r="U2249" s="352"/>
      <c r="V2249" s="353"/>
      <c r="W2249" s="352"/>
      <c r="X2249" s="176"/>
      <c r="Y2249" s="176"/>
      <c r="Z2249" s="352"/>
      <c r="AA2249" s="352"/>
      <c r="AB2249" s="352"/>
      <c r="AC2249" s="351"/>
      <c r="AD2249" s="351"/>
    </row>
    <row r="2250" spans="1:30" ht="25.65" hidden="1" x14ac:dyDescent="0.35">
      <c r="A2250" s="349">
        <v>2249</v>
      </c>
      <c r="B2250" s="352" t="s">
        <v>959</v>
      </c>
      <c r="C2250" s="351" t="s">
        <v>4418</v>
      </c>
      <c r="D2250" s="352" t="s">
        <v>2363</v>
      </c>
      <c r="E2250" s="352" t="s">
        <v>554</v>
      </c>
      <c r="F2250" s="353">
        <v>2.0935000000000001</v>
      </c>
      <c r="G2250" s="352" t="s">
        <v>34</v>
      </c>
      <c r="H2250" s="176" t="s">
        <v>4233</v>
      </c>
      <c r="I2250" s="176" t="s">
        <v>4620</v>
      </c>
      <c r="J2250" s="352" t="s">
        <v>555</v>
      </c>
      <c r="K2250" s="351">
        <v>60</v>
      </c>
      <c r="L2250" s="351" t="s">
        <v>470</v>
      </c>
      <c r="M2250" s="352">
        <v>50</v>
      </c>
      <c r="N2250" s="352" t="s">
        <v>31</v>
      </c>
      <c r="O2250" s="351">
        <v>60</v>
      </c>
      <c r="P2250" s="349" t="s">
        <v>1838</v>
      </c>
      <c r="R2250" s="349">
        <f t="shared" si="35"/>
        <v>9</v>
      </c>
      <c r="S2250" s="352"/>
      <c r="T2250" s="352"/>
      <c r="U2250" s="352"/>
      <c r="V2250" s="353"/>
      <c r="W2250" s="352"/>
      <c r="X2250" s="176"/>
      <c r="Y2250" s="176"/>
      <c r="Z2250" s="352"/>
      <c r="AA2250" s="352"/>
      <c r="AB2250" s="352"/>
      <c r="AC2250" s="351"/>
      <c r="AD2250" s="351"/>
    </row>
    <row r="2251" spans="1:30" hidden="1" x14ac:dyDescent="0.35">
      <c r="A2251" s="349">
        <v>2250</v>
      </c>
      <c r="B2251" s="352" t="s">
        <v>959</v>
      </c>
      <c r="C2251" s="351" t="s">
        <v>2363</v>
      </c>
      <c r="D2251" s="352" t="s">
        <v>2363</v>
      </c>
      <c r="E2251" s="352" t="s">
        <v>1488</v>
      </c>
      <c r="F2251" s="353">
        <v>4.5617000000000001</v>
      </c>
      <c r="G2251" s="352" t="s">
        <v>34</v>
      </c>
      <c r="H2251" s="176" t="s">
        <v>2364</v>
      </c>
      <c r="I2251" s="176" t="s">
        <v>4426</v>
      </c>
      <c r="J2251" s="352" t="s">
        <v>1064</v>
      </c>
      <c r="K2251" s="352">
        <v>10</v>
      </c>
      <c r="L2251" s="352" t="s">
        <v>470</v>
      </c>
      <c r="M2251" s="352">
        <v>100</v>
      </c>
      <c r="N2251" s="352" t="s">
        <v>31</v>
      </c>
      <c r="O2251" s="351">
        <v>10</v>
      </c>
      <c r="P2251" s="349" t="s">
        <v>1838</v>
      </c>
      <c r="R2251" s="349">
        <f t="shared" si="35"/>
        <v>9</v>
      </c>
      <c r="S2251" s="352"/>
      <c r="T2251" s="352"/>
      <c r="U2251" s="352"/>
      <c r="V2251" s="353"/>
      <c r="W2251" s="352"/>
      <c r="X2251" s="176"/>
      <c r="Y2251" s="176"/>
      <c r="Z2251" s="352"/>
      <c r="AA2251" s="352"/>
      <c r="AB2251" s="352"/>
      <c r="AC2251" s="352"/>
      <c r="AD2251" s="352"/>
    </row>
    <row r="2252" spans="1:30" hidden="1" x14ac:dyDescent="0.35">
      <c r="A2252" s="349">
        <v>2251</v>
      </c>
      <c r="B2252" s="352" t="s">
        <v>959</v>
      </c>
      <c r="C2252" s="351" t="s">
        <v>2363</v>
      </c>
      <c r="D2252" s="352" t="s">
        <v>2363</v>
      </c>
      <c r="E2252" s="352" t="s">
        <v>556</v>
      </c>
      <c r="F2252" s="353">
        <v>3.7463000000000002</v>
      </c>
      <c r="G2252" s="352" t="s">
        <v>34</v>
      </c>
      <c r="H2252" s="176" t="s">
        <v>253</v>
      </c>
      <c r="I2252" s="176" t="s">
        <v>4426</v>
      </c>
      <c r="J2252" s="352" t="s">
        <v>1064</v>
      </c>
      <c r="K2252" s="352"/>
      <c r="L2252" s="352"/>
      <c r="M2252" s="352">
        <v>50</v>
      </c>
      <c r="N2252" s="352" t="s">
        <v>31</v>
      </c>
      <c r="O2252" s="351">
        <v>0</v>
      </c>
      <c r="P2252" s="349" t="s">
        <v>818</v>
      </c>
      <c r="R2252" s="349">
        <f t="shared" si="35"/>
        <v>9</v>
      </c>
      <c r="S2252" s="352"/>
      <c r="T2252" s="352"/>
      <c r="U2252" s="352"/>
      <c r="V2252" s="353"/>
      <c r="W2252" s="352"/>
      <c r="X2252" s="176"/>
      <c r="Y2252" s="176"/>
      <c r="Z2252" s="352"/>
      <c r="AA2252" s="352"/>
      <c r="AB2252" s="352"/>
      <c r="AC2252" s="352"/>
      <c r="AD2252" s="352"/>
    </row>
    <row r="2253" spans="1:30" ht="25.65" hidden="1" x14ac:dyDescent="0.35">
      <c r="A2253" s="349">
        <v>2252</v>
      </c>
      <c r="B2253" s="352" t="s">
        <v>959</v>
      </c>
      <c r="C2253" s="351" t="s">
        <v>2363</v>
      </c>
      <c r="D2253" s="352" t="s">
        <v>2363</v>
      </c>
      <c r="E2253" s="352" t="s">
        <v>554</v>
      </c>
      <c r="F2253" s="353">
        <v>2.0935000000000001</v>
      </c>
      <c r="G2253" s="352" t="s">
        <v>34</v>
      </c>
      <c r="H2253" s="176" t="s">
        <v>4233</v>
      </c>
      <c r="I2253" s="176" t="s">
        <v>4620</v>
      </c>
      <c r="J2253" s="352" t="s">
        <v>555</v>
      </c>
      <c r="K2253" s="352">
        <v>60</v>
      </c>
      <c r="L2253" s="352" t="s">
        <v>470</v>
      </c>
      <c r="M2253" s="352">
        <v>50</v>
      </c>
      <c r="N2253" s="352" t="s">
        <v>31</v>
      </c>
      <c r="O2253" s="351">
        <v>60</v>
      </c>
      <c r="P2253" s="349" t="s">
        <v>1838</v>
      </c>
      <c r="R2253" s="349">
        <f t="shared" si="35"/>
        <v>9</v>
      </c>
      <c r="S2253" s="352"/>
      <c r="T2253" s="352"/>
      <c r="U2253" s="352"/>
      <c r="V2253" s="353"/>
      <c r="W2253" s="352"/>
      <c r="X2253" s="176"/>
      <c r="Y2253" s="176"/>
      <c r="Z2253" s="352"/>
      <c r="AA2253" s="352"/>
      <c r="AB2253" s="352"/>
      <c r="AC2253" s="352"/>
      <c r="AD2253" s="352"/>
    </row>
    <row r="2254" spans="1:30" hidden="1" x14ac:dyDescent="0.35">
      <c r="A2254" s="349">
        <v>2253</v>
      </c>
      <c r="B2254" s="352" t="s">
        <v>959</v>
      </c>
      <c r="C2254" s="351" t="s">
        <v>4419</v>
      </c>
      <c r="D2254" s="352" t="s">
        <v>2363</v>
      </c>
      <c r="E2254" s="352" t="s">
        <v>556</v>
      </c>
      <c r="F2254" s="353">
        <v>3.7463000000000002</v>
      </c>
      <c r="G2254" s="352" t="s">
        <v>34</v>
      </c>
      <c r="H2254" s="176" t="s">
        <v>253</v>
      </c>
      <c r="I2254" s="176" t="s">
        <v>4426</v>
      </c>
      <c r="J2254" s="352" t="s">
        <v>1064</v>
      </c>
      <c r="K2254" s="352"/>
      <c r="L2254" s="352"/>
      <c r="M2254" s="352">
        <v>50</v>
      </c>
      <c r="N2254" s="352" t="s">
        <v>31</v>
      </c>
      <c r="O2254" s="351">
        <v>0</v>
      </c>
      <c r="P2254" s="349" t="s">
        <v>818</v>
      </c>
      <c r="R2254" s="349">
        <f t="shared" si="35"/>
        <v>9</v>
      </c>
      <c r="S2254" s="352"/>
      <c r="T2254" s="352"/>
      <c r="U2254" s="352"/>
      <c r="V2254" s="353"/>
      <c r="W2254" s="352"/>
      <c r="X2254" s="176"/>
      <c r="Y2254" s="176"/>
      <c r="Z2254" s="352"/>
      <c r="AA2254" s="352"/>
      <c r="AB2254" s="352"/>
      <c r="AC2254" s="352"/>
      <c r="AD2254" s="352"/>
    </row>
    <row r="2255" spans="1:30" ht="89.75" hidden="1" x14ac:dyDescent="0.35">
      <c r="A2255" s="349">
        <v>2254</v>
      </c>
      <c r="B2255" s="352" t="s">
        <v>2181</v>
      </c>
      <c r="C2255" s="351" t="s">
        <v>1963</v>
      </c>
      <c r="D2255" s="352" t="s">
        <v>1963</v>
      </c>
      <c r="E2255" s="352" t="s">
        <v>2857</v>
      </c>
      <c r="F2255" s="353">
        <v>1.4</v>
      </c>
      <c r="G2255" s="352" t="s">
        <v>1107</v>
      </c>
      <c r="H2255" s="176" t="s">
        <v>1057</v>
      </c>
      <c r="I2255" s="176" t="s">
        <v>2807</v>
      </c>
      <c r="J2255" s="352" t="s">
        <v>828</v>
      </c>
      <c r="K2255" s="352">
        <v>4.4000000000000004</v>
      </c>
      <c r="L2255" s="352" t="s">
        <v>1116</v>
      </c>
      <c r="M2255" s="352">
        <v>10</v>
      </c>
      <c r="N2255" s="352" t="s">
        <v>1109</v>
      </c>
      <c r="O2255" s="351">
        <v>4.4000000000000004</v>
      </c>
      <c r="P2255" s="349" t="s">
        <v>1836</v>
      </c>
      <c r="R2255" s="349">
        <f t="shared" si="35"/>
        <v>11</v>
      </c>
      <c r="S2255" s="352"/>
      <c r="T2255" s="352"/>
      <c r="U2255" s="352"/>
      <c r="V2255" s="353"/>
      <c r="W2255" s="352"/>
      <c r="X2255" s="176"/>
      <c r="Y2255" s="176"/>
      <c r="Z2255" s="352"/>
      <c r="AA2255" s="352"/>
      <c r="AB2255" s="352"/>
      <c r="AC2255" s="351"/>
      <c r="AD2255" s="351"/>
    </row>
    <row r="2256" spans="1:30" ht="25.65" hidden="1" x14ac:dyDescent="0.35">
      <c r="A2256" s="349">
        <v>2255</v>
      </c>
      <c r="B2256" s="352" t="s">
        <v>3057</v>
      </c>
      <c r="C2256" s="351" t="s">
        <v>1963</v>
      </c>
      <c r="D2256" s="352" t="s">
        <v>1963</v>
      </c>
      <c r="E2256" s="352" t="s">
        <v>3209</v>
      </c>
      <c r="F2256" s="353">
        <v>4.05</v>
      </c>
      <c r="G2256" s="352" t="s">
        <v>34</v>
      </c>
      <c r="H2256" s="176" t="s">
        <v>2808</v>
      </c>
      <c r="I2256" s="176" t="s">
        <v>2809</v>
      </c>
      <c r="J2256" s="352" t="s">
        <v>4025</v>
      </c>
      <c r="K2256" s="352">
        <v>2.5</v>
      </c>
      <c r="L2256" s="352" t="s">
        <v>1116</v>
      </c>
      <c r="M2256" s="352">
        <v>5</v>
      </c>
      <c r="N2256" s="352" t="s">
        <v>1109</v>
      </c>
      <c r="O2256" s="351">
        <v>2.5</v>
      </c>
      <c r="P2256" s="349" t="s">
        <v>1836</v>
      </c>
      <c r="R2256" s="349">
        <f t="shared" si="35"/>
        <v>11</v>
      </c>
      <c r="S2256" s="352"/>
      <c r="T2256" s="352"/>
      <c r="U2256" s="352"/>
      <c r="V2256" s="353"/>
      <c r="W2256" s="352"/>
      <c r="X2256" s="176"/>
      <c r="Y2256" s="176"/>
      <c r="Z2256" s="352"/>
      <c r="AA2256" s="352"/>
      <c r="AB2256" s="352"/>
      <c r="AC2256" s="352"/>
      <c r="AD2256" s="352"/>
    </row>
    <row r="2257" spans="1:30" ht="89.75" hidden="1" x14ac:dyDescent="0.35">
      <c r="A2257" s="349">
        <v>2256</v>
      </c>
      <c r="B2257" s="352" t="s">
        <v>2181</v>
      </c>
      <c r="C2257" s="351" t="s">
        <v>1963</v>
      </c>
      <c r="D2257" s="352" t="s">
        <v>1963</v>
      </c>
      <c r="E2257" s="352" t="s">
        <v>1137</v>
      </c>
      <c r="F2257" s="353">
        <v>2.9969999999999999</v>
      </c>
      <c r="G2257" s="352" t="s">
        <v>2126</v>
      </c>
      <c r="H2257" s="176" t="s">
        <v>1058</v>
      </c>
      <c r="I2257" s="176" t="s">
        <v>1059</v>
      </c>
      <c r="J2257" s="352" t="s">
        <v>3579</v>
      </c>
      <c r="K2257" s="352">
        <v>13.3</v>
      </c>
      <c r="L2257" s="352" t="s">
        <v>1116</v>
      </c>
      <c r="M2257" s="352">
        <v>50</v>
      </c>
      <c r="N2257" s="352" t="s">
        <v>1109</v>
      </c>
      <c r="O2257" s="351">
        <v>13.3</v>
      </c>
      <c r="P2257" s="349" t="s">
        <v>1836</v>
      </c>
      <c r="R2257" s="349">
        <f t="shared" si="35"/>
        <v>11</v>
      </c>
      <c r="S2257" s="352"/>
      <c r="T2257" s="352"/>
      <c r="U2257" s="352"/>
      <c r="V2257" s="353"/>
      <c r="W2257" s="352"/>
      <c r="X2257" s="176"/>
      <c r="Y2257" s="176"/>
      <c r="Z2257" s="352"/>
      <c r="AA2257" s="352"/>
      <c r="AB2257" s="352"/>
      <c r="AC2257" s="351"/>
      <c r="AD2257" s="351"/>
    </row>
    <row r="2258" spans="1:30" ht="25.65" hidden="1" x14ac:dyDescent="0.35">
      <c r="A2258" s="349">
        <v>2257</v>
      </c>
      <c r="B2258" s="352" t="s">
        <v>3057</v>
      </c>
      <c r="C2258" s="351" t="s">
        <v>4420</v>
      </c>
      <c r="D2258" s="352" t="s">
        <v>1963</v>
      </c>
      <c r="E2258" s="352" t="s">
        <v>3209</v>
      </c>
      <c r="F2258" s="353">
        <v>4.05</v>
      </c>
      <c r="G2258" s="352" t="s">
        <v>34</v>
      </c>
      <c r="H2258" s="176" t="s">
        <v>2808</v>
      </c>
      <c r="I2258" s="176" t="s">
        <v>2809</v>
      </c>
      <c r="J2258" s="352" t="s">
        <v>4025</v>
      </c>
      <c r="K2258" s="352">
        <v>2.5</v>
      </c>
      <c r="L2258" s="352" t="s">
        <v>1116</v>
      </c>
      <c r="M2258" s="352">
        <v>5</v>
      </c>
      <c r="N2258" s="352" t="s">
        <v>1109</v>
      </c>
      <c r="O2258" s="351">
        <v>2.5</v>
      </c>
      <c r="P2258" s="349" t="s">
        <v>1836</v>
      </c>
      <c r="R2258" s="349">
        <f t="shared" si="35"/>
        <v>11</v>
      </c>
      <c r="S2258" s="352"/>
      <c r="T2258" s="352"/>
      <c r="U2258" s="352"/>
      <c r="V2258" s="353"/>
      <c r="W2258" s="352"/>
      <c r="X2258" s="176"/>
      <c r="Y2258" s="176"/>
      <c r="Z2258" s="352"/>
      <c r="AA2258" s="352"/>
      <c r="AB2258" s="352"/>
      <c r="AC2258" s="352"/>
      <c r="AD2258" s="352"/>
    </row>
    <row r="2259" spans="1:30" ht="89.75" hidden="1" x14ac:dyDescent="0.35">
      <c r="A2259" s="349">
        <v>2258</v>
      </c>
      <c r="B2259" s="352" t="s">
        <v>2181</v>
      </c>
      <c r="C2259" s="351" t="s">
        <v>4421</v>
      </c>
      <c r="D2259" s="352" t="s">
        <v>1963</v>
      </c>
      <c r="E2259" s="352" t="s">
        <v>2857</v>
      </c>
      <c r="F2259" s="353">
        <v>1.4</v>
      </c>
      <c r="G2259" s="352" t="s">
        <v>1107</v>
      </c>
      <c r="H2259" s="176" t="s">
        <v>1057</v>
      </c>
      <c r="I2259" s="176" t="s">
        <v>2807</v>
      </c>
      <c r="J2259" s="352" t="s">
        <v>828</v>
      </c>
      <c r="K2259" s="352">
        <v>4.4000000000000004</v>
      </c>
      <c r="L2259" s="352" t="s">
        <v>1116</v>
      </c>
      <c r="M2259" s="351">
        <v>10</v>
      </c>
      <c r="N2259" s="351" t="s">
        <v>1109</v>
      </c>
      <c r="O2259" s="351">
        <v>4.4000000000000004</v>
      </c>
      <c r="P2259" s="349" t="s">
        <v>1836</v>
      </c>
      <c r="R2259" s="349">
        <f t="shared" si="35"/>
        <v>11</v>
      </c>
      <c r="S2259" s="352"/>
      <c r="T2259" s="352"/>
      <c r="U2259" s="352"/>
      <c r="V2259" s="353"/>
      <c r="W2259" s="352"/>
      <c r="X2259" s="176"/>
      <c r="Y2259" s="176"/>
      <c r="Z2259" s="352"/>
      <c r="AA2259" s="352"/>
      <c r="AB2259" s="352"/>
      <c r="AC2259" s="352"/>
      <c r="AD2259" s="352"/>
    </row>
    <row r="2260" spans="1:30" ht="89.75" hidden="1" x14ac:dyDescent="0.35">
      <c r="A2260" s="349">
        <v>2259</v>
      </c>
      <c r="B2260" s="352" t="s">
        <v>2181</v>
      </c>
      <c r="C2260" s="351" t="s">
        <v>4422</v>
      </c>
      <c r="D2260" s="352" t="s">
        <v>1963</v>
      </c>
      <c r="E2260" s="352" t="s">
        <v>1137</v>
      </c>
      <c r="F2260" s="353">
        <v>2.9969999999999999</v>
      </c>
      <c r="G2260" s="352" t="s">
        <v>2126</v>
      </c>
      <c r="H2260" s="176" t="s">
        <v>1058</v>
      </c>
      <c r="I2260" s="176" t="s">
        <v>1059</v>
      </c>
      <c r="J2260" s="352" t="s">
        <v>3579</v>
      </c>
      <c r="K2260" s="352">
        <v>13.3</v>
      </c>
      <c r="L2260" s="352" t="s">
        <v>1116</v>
      </c>
      <c r="M2260" s="352">
        <v>50</v>
      </c>
      <c r="N2260" s="352" t="s">
        <v>1109</v>
      </c>
      <c r="O2260" s="351">
        <v>13.3</v>
      </c>
      <c r="P2260" s="349" t="s">
        <v>1836</v>
      </c>
      <c r="R2260" s="349">
        <f t="shared" si="35"/>
        <v>11</v>
      </c>
      <c r="S2260" s="352"/>
      <c r="T2260" s="352"/>
      <c r="U2260" s="352"/>
      <c r="V2260" s="353"/>
      <c r="W2260" s="352"/>
      <c r="X2260" s="176"/>
      <c r="Y2260" s="176"/>
      <c r="Z2260" s="352"/>
      <c r="AA2260" s="352"/>
      <c r="AB2260" s="352"/>
      <c r="AC2260" s="352"/>
      <c r="AD2260" s="352"/>
    </row>
    <row r="2261" spans="1:30" hidden="1" x14ac:dyDescent="0.35">
      <c r="A2261" s="349">
        <v>2260</v>
      </c>
      <c r="B2261" s="352" t="s">
        <v>959</v>
      </c>
      <c r="C2261" s="351" t="s">
        <v>4423</v>
      </c>
      <c r="D2261" s="352" t="s">
        <v>2363</v>
      </c>
      <c r="E2261" s="352" t="s">
        <v>1488</v>
      </c>
      <c r="F2261" s="353">
        <v>4.5617000000000001</v>
      </c>
      <c r="G2261" s="352" t="s">
        <v>34</v>
      </c>
      <c r="H2261" s="176" t="s">
        <v>2364</v>
      </c>
      <c r="I2261" s="176" t="s">
        <v>4426</v>
      </c>
      <c r="J2261" s="352" t="s">
        <v>1064</v>
      </c>
      <c r="K2261" s="352">
        <v>10</v>
      </c>
      <c r="L2261" s="352" t="s">
        <v>470</v>
      </c>
      <c r="M2261" s="351">
        <v>100</v>
      </c>
      <c r="N2261" s="351" t="s">
        <v>31</v>
      </c>
      <c r="O2261" s="351">
        <v>10</v>
      </c>
      <c r="P2261" s="349" t="s">
        <v>1838</v>
      </c>
      <c r="R2261" s="349">
        <f t="shared" si="35"/>
        <v>9</v>
      </c>
      <c r="S2261" s="352"/>
      <c r="T2261" s="352"/>
      <c r="U2261" s="352"/>
      <c r="V2261" s="353"/>
      <c r="W2261" s="352"/>
      <c r="X2261" s="176"/>
      <c r="Y2261" s="176"/>
      <c r="Z2261" s="352"/>
      <c r="AA2261" s="352"/>
      <c r="AB2261" s="352"/>
      <c r="AC2261" s="352"/>
      <c r="AD2261" s="352"/>
    </row>
    <row r="2262" spans="1:30" ht="76.900000000000006" hidden="1" x14ac:dyDescent="0.35">
      <c r="A2262" s="349">
        <v>2261</v>
      </c>
      <c r="B2262" s="352" t="s">
        <v>550</v>
      </c>
      <c r="C2262" s="351" t="s">
        <v>4424</v>
      </c>
      <c r="D2262" s="352" t="s">
        <v>3196</v>
      </c>
      <c r="E2262" s="352" t="s">
        <v>1137</v>
      </c>
      <c r="F2262" s="353">
        <v>18.329999999999998</v>
      </c>
      <c r="G2262" s="352" t="s">
        <v>2126</v>
      </c>
      <c r="H2262" s="176" t="s">
        <v>3867</v>
      </c>
      <c r="I2262" s="176" t="s">
        <v>5001</v>
      </c>
      <c r="J2262" s="352" t="s">
        <v>3579</v>
      </c>
      <c r="K2262" s="352">
        <v>25</v>
      </c>
      <c r="L2262" s="352" t="s">
        <v>1116</v>
      </c>
      <c r="M2262" s="351">
        <v>50</v>
      </c>
      <c r="N2262" s="351" t="s">
        <v>1109</v>
      </c>
      <c r="O2262" s="351">
        <v>25</v>
      </c>
      <c r="P2262" s="349" t="s">
        <v>1836</v>
      </c>
      <c r="R2262" s="349">
        <f t="shared" si="35"/>
        <v>15</v>
      </c>
      <c r="S2262" s="352"/>
      <c r="T2262" s="352"/>
      <c r="U2262" s="352"/>
      <c r="V2262" s="353"/>
      <c r="W2262" s="352"/>
      <c r="X2262" s="176"/>
      <c r="Y2262" s="176"/>
      <c r="Z2262" s="352"/>
      <c r="AA2262" s="352"/>
      <c r="AB2262" s="352"/>
      <c r="AC2262" s="352"/>
      <c r="AD2262" s="352"/>
    </row>
    <row r="2263" spans="1:30" ht="76.900000000000006" hidden="1" x14ac:dyDescent="0.35">
      <c r="A2263" s="349">
        <v>2262</v>
      </c>
      <c r="B2263" s="352" t="s">
        <v>550</v>
      </c>
      <c r="C2263" s="351" t="s">
        <v>4424</v>
      </c>
      <c r="D2263" s="352" t="s">
        <v>3196</v>
      </c>
      <c r="E2263" s="352" t="s">
        <v>1995</v>
      </c>
      <c r="F2263" s="353">
        <v>2.86</v>
      </c>
      <c r="G2263" s="352" t="s">
        <v>2126</v>
      </c>
      <c r="H2263" s="176" t="s">
        <v>3867</v>
      </c>
      <c r="I2263" s="176" t="s">
        <v>5001</v>
      </c>
      <c r="J2263" s="352" t="s">
        <v>3580</v>
      </c>
      <c r="K2263" s="352">
        <v>250</v>
      </c>
      <c r="L2263" s="352" t="s">
        <v>3581</v>
      </c>
      <c r="M2263" s="351"/>
      <c r="N2263" s="351"/>
      <c r="O2263" s="351">
        <v>250</v>
      </c>
      <c r="P2263" s="349" t="s">
        <v>1836</v>
      </c>
      <c r="R2263" s="349">
        <f t="shared" si="35"/>
        <v>15</v>
      </c>
      <c r="S2263" s="352"/>
      <c r="T2263" s="352"/>
      <c r="U2263" s="352"/>
      <c r="V2263" s="353"/>
      <c r="W2263" s="352"/>
      <c r="X2263" s="176"/>
      <c r="Y2263" s="176"/>
      <c r="Z2263" s="352"/>
      <c r="AA2263" s="352"/>
      <c r="AB2263" s="352"/>
      <c r="AC2263" s="352"/>
      <c r="AD2263" s="352"/>
    </row>
    <row r="2264" spans="1:30" ht="38.450000000000003" hidden="1" x14ac:dyDescent="0.35">
      <c r="A2264" s="349">
        <v>2263</v>
      </c>
      <c r="B2264" s="352" t="s">
        <v>696</v>
      </c>
      <c r="C2264" s="351" t="s">
        <v>4425</v>
      </c>
      <c r="D2264" s="352" t="s">
        <v>3688</v>
      </c>
      <c r="E2264" s="352" t="s">
        <v>697</v>
      </c>
      <c r="F2264" s="353">
        <v>28.78</v>
      </c>
      <c r="G2264" s="352" t="s">
        <v>2126</v>
      </c>
      <c r="H2264" s="176" t="s">
        <v>3689</v>
      </c>
      <c r="I2264" s="176" t="s">
        <v>4268</v>
      </c>
      <c r="J2264" s="352" t="s">
        <v>3579</v>
      </c>
      <c r="K2264" s="352">
        <v>40</v>
      </c>
      <c r="L2264" s="352" t="s">
        <v>1116</v>
      </c>
      <c r="M2264" s="352">
        <v>15</v>
      </c>
      <c r="N2264" s="352" t="s">
        <v>1109</v>
      </c>
      <c r="O2264" s="351">
        <v>40</v>
      </c>
      <c r="P2264" s="349" t="s">
        <v>1836</v>
      </c>
      <c r="R2264" s="349">
        <f t="shared" si="35"/>
        <v>12</v>
      </c>
      <c r="S2264" s="352"/>
      <c r="T2264" s="352"/>
      <c r="U2264" s="352"/>
      <c r="V2264" s="353"/>
      <c r="W2264" s="352"/>
      <c r="X2264" s="176"/>
      <c r="Y2264" s="176"/>
      <c r="Z2264" s="352"/>
      <c r="AA2264" s="352"/>
      <c r="AB2264" s="352"/>
      <c r="AC2264" s="352"/>
      <c r="AD2264" s="352"/>
    </row>
    <row r="2265" spans="1:30" ht="38.450000000000003" hidden="1" x14ac:dyDescent="0.35">
      <c r="A2265" s="349">
        <v>2264</v>
      </c>
      <c r="B2265" s="352" t="s">
        <v>696</v>
      </c>
      <c r="C2265" s="351" t="s">
        <v>4425</v>
      </c>
      <c r="D2265" s="352" t="s">
        <v>3688</v>
      </c>
      <c r="E2265" s="352" t="s">
        <v>1995</v>
      </c>
      <c r="F2265" s="353">
        <v>6.17</v>
      </c>
      <c r="G2265" s="352" t="s">
        <v>2126</v>
      </c>
      <c r="H2265" s="176" t="s">
        <v>3689</v>
      </c>
      <c r="I2265" s="176" t="s">
        <v>4268</v>
      </c>
      <c r="J2265" s="352" t="s">
        <v>3580</v>
      </c>
      <c r="K2265" s="352">
        <v>250</v>
      </c>
      <c r="L2265" s="352" t="s">
        <v>3581</v>
      </c>
      <c r="M2265" s="351"/>
      <c r="N2265" s="351"/>
      <c r="O2265" s="351">
        <v>250</v>
      </c>
      <c r="P2265" s="349" t="s">
        <v>1836</v>
      </c>
      <c r="R2265" s="349">
        <f t="shared" si="35"/>
        <v>12</v>
      </c>
      <c r="S2265" s="352"/>
      <c r="T2265" s="352"/>
      <c r="U2265" s="352"/>
      <c r="V2265" s="353"/>
      <c r="W2265" s="352"/>
      <c r="X2265" s="176"/>
      <c r="Y2265" s="176"/>
      <c r="Z2265" s="352"/>
      <c r="AA2265" s="352"/>
      <c r="AB2265" s="352"/>
      <c r="AC2265" s="352"/>
      <c r="AD2265" s="352"/>
    </row>
    <row r="2266" spans="1:30" ht="38.450000000000003" hidden="1" x14ac:dyDescent="0.35">
      <c r="A2266" s="349">
        <v>2265</v>
      </c>
      <c r="B2266" s="352" t="s">
        <v>696</v>
      </c>
      <c r="C2266" s="351" t="s">
        <v>4425</v>
      </c>
      <c r="D2266" s="352" t="s">
        <v>3688</v>
      </c>
      <c r="E2266" s="352" t="s">
        <v>1995</v>
      </c>
      <c r="F2266" s="353">
        <v>8.84</v>
      </c>
      <c r="G2266" s="352" t="s">
        <v>2126</v>
      </c>
      <c r="H2266" s="176" t="s">
        <v>3689</v>
      </c>
      <c r="I2266" s="176" t="s">
        <v>4268</v>
      </c>
      <c r="J2266" s="352" t="s">
        <v>3580</v>
      </c>
      <c r="K2266" s="352">
        <v>500</v>
      </c>
      <c r="L2266" s="352" t="s">
        <v>3581</v>
      </c>
      <c r="M2266" s="351"/>
      <c r="N2266" s="351"/>
      <c r="O2266" s="351">
        <v>500</v>
      </c>
      <c r="P2266" s="349" t="s">
        <v>1836</v>
      </c>
      <c r="R2266" s="349">
        <f t="shared" si="35"/>
        <v>12</v>
      </c>
      <c r="S2266" s="352"/>
      <c r="T2266" s="352"/>
      <c r="U2266" s="352"/>
      <c r="V2266" s="353"/>
      <c r="W2266" s="352"/>
      <c r="X2266" s="176"/>
      <c r="Y2266" s="176"/>
      <c r="Z2266" s="352"/>
      <c r="AA2266" s="351"/>
      <c r="AB2266" s="351"/>
      <c r="AC2266" s="352"/>
      <c r="AD2266" s="352"/>
    </row>
    <row r="2267" spans="1:30" ht="89.75" hidden="1" x14ac:dyDescent="0.35">
      <c r="A2267" s="349">
        <v>2266</v>
      </c>
      <c r="B2267" s="352" t="s">
        <v>3160</v>
      </c>
      <c r="C2267" s="351" t="s">
        <v>4737</v>
      </c>
      <c r="D2267" s="352" t="s">
        <v>3653</v>
      </c>
      <c r="E2267" s="352" t="s">
        <v>762</v>
      </c>
      <c r="F2267" s="353">
        <v>7.25</v>
      </c>
      <c r="G2267" s="352" t="s">
        <v>1107</v>
      </c>
      <c r="H2267" s="176" t="s">
        <v>2907</v>
      </c>
      <c r="I2267" s="176" t="s">
        <v>4478</v>
      </c>
      <c r="J2267" s="352" t="s">
        <v>828</v>
      </c>
      <c r="K2267" s="352">
        <v>2</v>
      </c>
      <c r="L2267" s="352" t="s">
        <v>1116</v>
      </c>
      <c r="M2267" s="352">
        <v>2</v>
      </c>
      <c r="N2267" s="352" t="s">
        <v>1109</v>
      </c>
      <c r="O2267" s="351">
        <v>2</v>
      </c>
      <c r="P2267" s="349" t="s">
        <v>1836</v>
      </c>
      <c r="R2267" s="349">
        <f t="shared" si="35"/>
        <v>11</v>
      </c>
      <c r="S2267" s="352"/>
      <c r="T2267" s="352"/>
      <c r="U2267" s="352"/>
      <c r="V2267" s="353"/>
      <c r="W2267" s="352"/>
      <c r="X2267" s="176"/>
      <c r="Y2267" s="176"/>
      <c r="Z2267" s="352"/>
      <c r="AA2267" s="351"/>
      <c r="AB2267" s="351"/>
      <c r="AC2267" s="351"/>
      <c r="AD2267" s="351"/>
    </row>
    <row r="2268" spans="1:30" ht="89.75" hidden="1" x14ac:dyDescent="0.35">
      <c r="A2268" s="349">
        <v>2267</v>
      </c>
      <c r="B2268" s="352" t="s">
        <v>3160</v>
      </c>
      <c r="C2268" s="351" t="s">
        <v>4737</v>
      </c>
      <c r="D2268" s="352" t="s">
        <v>3653</v>
      </c>
      <c r="E2268" s="352" t="s">
        <v>2738</v>
      </c>
      <c r="F2268" s="353">
        <v>14.4</v>
      </c>
      <c r="G2268" s="352" t="s">
        <v>1107</v>
      </c>
      <c r="H2268" s="176" t="s">
        <v>2907</v>
      </c>
      <c r="I2268" s="176" t="s">
        <v>4478</v>
      </c>
      <c r="J2268" s="352" t="s">
        <v>828</v>
      </c>
      <c r="K2268" s="352">
        <v>2</v>
      </c>
      <c r="L2268" s="352" t="s">
        <v>1116</v>
      </c>
      <c r="M2268" s="352">
        <v>4</v>
      </c>
      <c r="N2268" s="352" t="s">
        <v>1109</v>
      </c>
      <c r="O2268" s="351">
        <v>2</v>
      </c>
      <c r="P2268" s="349" t="s">
        <v>1836</v>
      </c>
      <c r="R2268" s="349">
        <f t="shared" si="35"/>
        <v>11</v>
      </c>
      <c r="S2268" s="352"/>
      <c r="T2268" s="352"/>
      <c r="U2268" s="352"/>
      <c r="V2268" s="353"/>
      <c r="W2268" s="352"/>
      <c r="X2268" s="176"/>
      <c r="Y2268" s="176"/>
      <c r="Z2268" s="352"/>
      <c r="AA2268" s="351"/>
      <c r="AB2268" s="351"/>
      <c r="AC2268" s="352"/>
      <c r="AD2268" s="352"/>
    </row>
    <row r="2269" spans="1:30" ht="76.900000000000006" hidden="1" x14ac:dyDescent="0.35">
      <c r="A2269" s="349">
        <v>2268</v>
      </c>
      <c r="B2269" s="352" t="s">
        <v>3160</v>
      </c>
      <c r="C2269" s="351" t="s">
        <v>4737</v>
      </c>
      <c r="D2269" s="352" t="s">
        <v>3653</v>
      </c>
      <c r="E2269" s="352" t="s">
        <v>1137</v>
      </c>
      <c r="F2269" s="353">
        <v>105.82</v>
      </c>
      <c r="G2269" s="352" t="s">
        <v>2126</v>
      </c>
      <c r="H2269" s="176" t="s">
        <v>2908</v>
      </c>
      <c r="I2269" s="176" t="s">
        <v>4478</v>
      </c>
      <c r="J2269" s="352" t="s">
        <v>3579</v>
      </c>
      <c r="K2269" s="352">
        <v>0.8</v>
      </c>
      <c r="L2269" s="352" t="s">
        <v>1116</v>
      </c>
      <c r="M2269" s="352">
        <v>50</v>
      </c>
      <c r="N2269" s="352" t="s">
        <v>1109</v>
      </c>
      <c r="O2269" s="351">
        <v>0.8</v>
      </c>
      <c r="P2269" s="349" t="s">
        <v>1836</v>
      </c>
      <c r="R2269" s="349">
        <f t="shared" si="35"/>
        <v>11</v>
      </c>
      <c r="S2269" s="352"/>
      <c r="T2269" s="352"/>
      <c r="U2269" s="352"/>
      <c r="V2269" s="353"/>
      <c r="W2269" s="352"/>
      <c r="X2269" s="176"/>
      <c r="Y2269" s="176"/>
      <c r="Z2269" s="352"/>
      <c r="AA2269" s="351"/>
      <c r="AB2269" s="351"/>
      <c r="AC2269" s="351"/>
      <c r="AD2269" s="351"/>
    </row>
    <row r="2270" spans="1:30" ht="76.900000000000006" hidden="1" x14ac:dyDescent="0.35">
      <c r="A2270" s="349">
        <v>2269</v>
      </c>
      <c r="B2270" s="352" t="s">
        <v>3160</v>
      </c>
      <c r="C2270" s="351" t="s">
        <v>4737</v>
      </c>
      <c r="D2270" s="352" t="s">
        <v>3653</v>
      </c>
      <c r="E2270" s="352" t="s">
        <v>1995</v>
      </c>
      <c r="F2270" s="353">
        <v>12.5832</v>
      </c>
      <c r="G2270" s="352" t="s">
        <v>2126</v>
      </c>
      <c r="H2270" s="176" t="s">
        <v>2908</v>
      </c>
      <c r="I2270" s="176" t="s">
        <v>4478</v>
      </c>
      <c r="J2270" s="352" t="s">
        <v>3580</v>
      </c>
      <c r="K2270" s="352">
        <v>4</v>
      </c>
      <c r="L2270" s="352" t="s">
        <v>3581</v>
      </c>
      <c r="M2270" s="352"/>
      <c r="N2270" s="352"/>
      <c r="O2270" s="351">
        <v>4</v>
      </c>
      <c r="P2270" s="349" t="s">
        <v>1836</v>
      </c>
      <c r="R2270" s="349">
        <f t="shared" si="35"/>
        <v>11</v>
      </c>
      <c r="S2270" s="352"/>
      <c r="T2270" s="352"/>
      <c r="U2270" s="352"/>
      <c r="V2270" s="353"/>
      <c r="W2270" s="352"/>
      <c r="X2270" s="176"/>
      <c r="Y2270" s="176"/>
      <c r="Z2270" s="352"/>
      <c r="AA2270" s="351"/>
      <c r="AB2270" s="351"/>
      <c r="AC2270" s="352"/>
      <c r="AD2270" s="352"/>
    </row>
    <row r="2271" spans="1:30" ht="76.900000000000006" hidden="1" x14ac:dyDescent="0.35">
      <c r="A2271" s="349">
        <v>2270</v>
      </c>
      <c r="B2271" s="352" t="s">
        <v>3160</v>
      </c>
      <c r="C2271" s="351" t="s">
        <v>4737</v>
      </c>
      <c r="D2271" s="352" t="s">
        <v>3653</v>
      </c>
      <c r="E2271" s="352" t="s">
        <v>1995</v>
      </c>
      <c r="F2271" s="353">
        <v>20.98</v>
      </c>
      <c r="G2271" s="352" t="s">
        <v>2126</v>
      </c>
      <c r="H2271" s="176" t="s">
        <v>2908</v>
      </c>
      <c r="I2271" s="176" t="s">
        <v>4478</v>
      </c>
      <c r="J2271" s="352" t="s">
        <v>3580</v>
      </c>
      <c r="K2271" s="352">
        <v>8</v>
      </c>
      <c r="L2271" s="352" t="s">
        <v>3581</v>
      </c>
      <c r="M2271" s="352"/>
      <c r="N2271" s="352"/>
      <c r="O2271" s="351">
        <v>8</v>
      </c>
      <c r="P2271" s="349" t="s">
        <v>1836</v>
      </c>
      <c r="R2271" s="349">
        <f t="shared" si="35"/>
        <v>11</v>
      </c>
      <c r="S2271" s="352"/>
      <c r="T2271" s="352"/>
      <c r="U2271" s="352"/>
      <c r="V2271" s="353"/>
      <c r="W2271" s="352"/>
      <c r="X2271" s="176"/>
      <c r="Y2271" s="176"/>
      <c r="Z2271" s="352"/>
      <c r="AA2271" s="351"/>
      <c r="AB2271" s="351"/>
      <c r="AC2271" s="352"/>
      <c r="AD2271" s="352"/>
    </row>
    <row r="2272" spans="1:30" ht="76.900000000000006" hidden="1" x14ac:dyDescent="0.35">
      <c r="A2272" s="349">
        <v>2271</v>
      </c>
      <c r="B2272" s="352" t="s">
        <v>3160</v>
      </c>
      <c r="C2272" s="351" t="s">
        <v>4737</v>
      </c>
      <c r="D2272" s="352" t="s">
        <v>3653</v>
      </c>
      <c r="E2272" s="352" t="s">
        <v>1999</v>
      </c>
      <c r="F2272" s="353">
        <v>45.26</v>
      </c>
      <c r="G2272" s="352" t="s">
        <v>967</v>
      </c>
      <c r="H2272" s="37" t="s">
        <v>2909</v>
      </c>
      <c r="I2272" s="176" t="s">
        <v>4478</v>
      </c>
      <c r="J2272" s="352" t="s">
        <v>968</v>
      </c>
      <c r="K2272" s="352">
        <v>16</v>
      </c>
      <c r="L2272" s="352" t="s">
        <v>969</v>
      </c>
      <c r="M2272" s="352"/>
      <c r="N2272" s="352"/>
      <c r="O2272" s="351">
        <v>16</v>
      </c>
      <c r="P2272" s="349" t="s">
        <v>1836</v>
      </c>
      <c r="R2272" s="349">
        <f t="shared" si="35"/>
        <v>11</v>
      </c>
      <c r="S2272" s="352"/>
      <c r="T2272" s="352"/>
      <c r="U2272" s="352"/>
      <c r="V2272" s="353"/>
      <c r="W2272" s="352"/>
      <c r="X2272" s="176"/>
      <c r="Y2272" s="176"/>
      <c r="Z2272" s="352"/>
      <c r="AA2272" s="351"/>
      <c r="AB2272" s="351"/>
      <c r="AC2272" s="351"/>
      <c r="AD2272" s="351"/>
    </row>
    <row r="2273" spans="1:30" ht="38.450000000000003" hidden="1" x14ac:dyDescent="0.35">
      <c r="A2273" s="349">
        <v>2272</v>
      </c>
      <c r="B2273" s="352" t="s">
        <v>4100</v>
      </c>
      <c r="C2273" s="351" t="s">
        <v>4738</v>
      </c>
      <c r="D2273" s="352" t="s">
        <v>648</v>
      </c>
      <c r="E2273" s="352" t="s">
        <v>27</v>
      </c>
      <c r="F2273" s="353">
        <v>8.3741000000000003</v>
      </c>
      <c r="G2273" s="352" t="s">
        <v>28</v>
      </c>
      <c r="H2273" s="176" t="s">
        <v>3150</v>
      </c>
      <c r="I2273" s="176" t="s">
        <v>605</v>
      </c>
      <c r="J2273" s="352" t="s">
        <v>29</v>
      </c>
      <c r="K2273" s="352">
        <v>50</v>
      </c>
      <c r="L2273" s="352" t="s">
        <v>30</v>
      </c>
      <c r="M2273" s="352">
        <v>10</v>
      </c>
      <c r="N2273" s="352" t="s">
        <v>31</v>
      </c>
      <c r="O2273" s="351">
        <v>50</v>
      </c>
      <c r="P2273" s="349" t="s">
        <v>1836</v>
      </c>
      <c r="R2273" s="349">
        <f t="shared" si="35"/>
        <v>9</v>
      </c>
      <c r="S2273" s="352"/>
      <c r="T2273" s="352"/>
      <c r="U2273" s="352"/>
      <c r="V2273" s="353"/>
      <c r="W2273" s="352"/>
      <c r="X2273" s="176"/>
      <c r="Y2273" s="176"/>
      <c r="Z2273" s="352"/>
      <c r="AA2273" s="351"/>
      <c r="AB2273" s="351"/>
      <c r="AC2273" s="352"/>
      <c r="AD2273" s="352"/>
    </row>
    <row r="2274" spans="1:30" ht="38.450000000000003" hidden="1" x14ac:dyDescent="0.35">
      <c r="A2274" s="349">
        <v>2273</v>
      </c>
      <c r="B2274" s="352" t="s">
        <v>4100</v>
      </c>
      <c r="C2274" s="351" t="s">
        <v>4738</v>
      </c>
      <c r="D2274" s="352" t="s">
        <v>648</v>
      </c>
      <c r="E2274" s="352" t="s">
        <v>27</v>
      </c>
      <c r="F2274" s="353">
        <v>8.3741000000000003</v>
      </c>
      <c r="G2274" s="352" t="s">
        <v>28</v>
      </c>
      <c r="H2274" s="176" t="s">
        <v>2313</v>
      </c>
      <c r="I2274" s="176" t="s">
        <v>605</v>
      </c>
      <c r="J2274" s="352" t="s">
        <v>29</v>
      </c>
      <c r="K2274" s="352">
        <v>50</v>
      </c>
      <c r="L2274" s="352" t="s">
        <v>30</v>
      </c>
      <c r="M2274" s="352">
        <v>10</v>
      </c>
      <c r="N2274" s="352" t="s">
        <v>31</v>
      </c>
      <c r="O2274" s="351">
        <v>50</v>
      </c>
      <c r="P2274" s="349" t="s">
        <v>1836</v>
      </c>
      <c r="R2274" s="349">
        <f t="shared" si="35"/>
        <v>9</v>
      </c>
      <c r="S2274" s="352"/>
      <c r="T2274" s="352"/>
      <c r="U2274" s="352"/>
      <c r="V2274" s="353"/>
      <c r="W2274" s="352"/>
      <c r="X2274" s="176"/>
      <c r="Y2274" s="176"/>
      <c r="Z2274" s="352"/>
      <c r="AA2274" s="351"/>
      <c r="AB2274" s="351"/>
      <c r="AC2274" s="351"/>
      <c r="AD2274" s="351"/>
    </row>
    <row r="2275" spans="1:30" ht="38.450000000000003" hidden="1" x14ac:dyDescent="0.35">
      <c r="A2275" s="349">
        <v>2274</v>
      </c>
      <c r="B2275" s="352" t="s">
        <v>4100</v>
      </c>
      <c r="C2275" s="351" t="s">
        <v>4738</v>
      </c>
      <c r="D2275" s="352" t="s">
        <v>648</v>
      </c>
      <c r="E2275" s="352" t="s">
        <v>27</v>
      </c>
      <c r="F2275" s="353">
        <v>8.3741000000000003</v>
      </c>
      <c r="G2275" s="352" t="s">
        <v>28</v>
      </c>
      <c r="H2275" s="176" t="s">
        <v>3150</v>
      </c>
      <c r="I2275" s="176" t="s">
        <v>605</v>
      </c>
      <c r="J2275" s="352" t="s">
        <v>29</v>
      </c>
      <c r="K2275" s="352">
        <v>50</v>
      </c>
      <c r="L2275" s="352" t="s">
        <v>30</v>
      </c>
      <c r="M2275" s="352">
        <v>10</v>
      </c>
      <c r="N2275" s="352" t="s">
        <v>31</v>
      </c>
      <c r="O2275" s="351">
        <v>50</v>
      </c>
      <c r="P2275" s="349" t="s">
        <v>1836</v>
      </c>
      <c r="R2275" s="349">
        <f t="shared" si="35"/>
        <v>9</v>
      </c>
      <c r="S2275" s="352"/>
      <c r="T2275" s="352"/>
      <c r="U2275" s="352"/>
      <c r="V2275" s="353"/>
      <c r="W2275" s="352"/>
      <c r="X2275" s="176"/>
      <c r="Y2275" s="176"/>
      <c r="Z2275" s="352"/>
      <c r="AA2275" s="351"/>
      <c r="AB2275" s="351"/>
      <c r="AC2275" s="352"/>
      <c r="AD2275" s="352"/>
    </row>
    <row r="2276" spans="1:30" ht="38.450000000000003" hidden="1" x14ac:dyDescent="0.35">
      <c r="A2276" s="349">
        <v>2275</v>
      </c>
      <c r="B2276" s="352" t="s">
        <v>4100</v>
      </c>
      <c r="C2276" s="351" t="s">
        <v>4738</v>
      </c>
      <c r="D2276" s="352" t="s">
        <v>648</v>
      </c>
      <c r="E2276" s="352" t="s">
        <v>27</v>
      </c>
      <c r="F2276" s="353">
        <v>8.3741000000000003</v>
      </c>
      <c r="G2276" s="352" t="s">
        <v>28</v>
      </c>
      <c r="H2276" s="176" t="s">
        <v>3150</v>
      </c>
      <c r="I2276" s="176" t="s">
        <v>605</v>
      </c>
      <c r="J2276" s="352" t="s">
        <v>29</v>
      </c>
      <c r="K2276" s="352">
        <v>50</v>
      </c>
      <c r="L2276" s="352" t="s">
        <v>30</v>
      </c>
      <c r="M2276" s="352">
        <v>10</v>
      </c>
      <c r="N2276" s="352" t="s">
        <v>31</v>
      </c>
      <c r="O2276" s="351">
        <v>50</v>
      </c>
      <c r="P2276" s="349" t="s">
        <v>1836</v>
      </c>
      <c r="R2276" s="349">
        <f t="shared" si="35"/>
        <v>9</v>
      </c>
      <c r="S2276" s="352"/>
      <c r="T2276" s="352"/>
      <c r="U2276" s="352"/>
      <c r="V2276" s="353"/>
      <c r="W2276" s="352"/>
      <c r="X2276" s="176"/>
      <c r="Y2276" s="176"/>
      <c r="Z2276" s="352"/>
      <c r="AA2276" s="351"/>
      <c r="AB2276" s="351"/>
      <c r="AC2276" s="352"/>
      <c r="AD2276" s="352"/>
    </row>
    <row r="2277" spans="1:30" ht="38.450000000000003" hidden="1" x14ac:dyDescent="0.35">
      <c r="A2277" s="349">
        <v>2276</v>
      </c>
      <c r="B2277" s="352" t="s">
        <v>32</v>
      </c>
      <c r="C2277" s="351" t="s">
        <v>4738</v>
      </c>
      <c r="D2277" s="352" t="s">
        <v>648</v>
      </c>
      <c r="E2277" s="352" t="s">
        <v>33</v>
      </c>
      <c r="F2277" s="353">
        <v>24.262799999999999</v>
      </c>
      <c r="G2277" s="352" t="s">
        <v>34</v>
      </c>
      <c r="H2277" s="176" t="s">
        <v>1721</v>
      </c>
      <c r="I2277" s="176" t="s">
        <v>3584</v>
      </c>
      <c r="J2277" s="352" t="s">
        <v>35</v>
      </c>
      <c r="K2277" s="352">
        <v>30</v>
      </c>
      <c r="L2277" s="352" t="s">
        <v>30</v>
      </c>
      <c r="M2277" s="352">
        <v>4.5</v>
      </c>
      <c r="N2277" s="352" t="s">
        <v>31</v>
      </c>
      <c r="O2277" s="351">
        <v>30</v>
      </c>
      <c r="P2277" s="349" t="s">
        <v>1836</v>
      </c>
      <c r="R2277" s="349">
        <f t="shared" si="35"/>
        <v>9</v>
      </c>
      <c r="S2277" s="352"/>
      <c r="T2277" s="352"/>
      <c r="U2277" s="352"/>
      <c r="V2277" s="353"/>
      <c r="W2277" s="352"/>
      <c r="X2277" s="176"/>
      <c r="Y2277" s="176"/>
      <c r="Z2277" s="352"/>
      <c r="AA2277" s="351"/>
      <c r="AB2277" s="351"/>
      <c r="AC2277" s="351"/>
      <c r="AD2277" s="351"/>
    </row>
    <row r="2278" spans="1:30" ht="38.450000000000003" hidden="1" x14ac:dyDescent="0.35">
      <c r="A2278" s="349">
        <v>2277</v>
      </c>
      <c r="B2278" s="352" t="s">
        <v>4100</v>
      </c>
      <c r="C2278" s="351" t="s">
        <v>4738</v>
      </c>
      <c r="D2278" s="352" t="s">
        <v>648</v>
      </c>
      <c r="E2278" s="352" t="s">
        <v>33</v>
      </c>
      <c r="F2278" s="353">
        <v>24.262799999999999</v>
      </c>
      <c r="G2278" s="352" t="s">
        <v>1663</v>
      </c>
      <c r="H2278" s="176" t="s">
        <v>606</v>
      </c>
      <c r="I2278" s="176" t="s">
        <v>605</v>
      </c>
      <c r="J2278" s="352" t="s">
        <v>35</v>
      </c>
      <c r="K2278" s="352">
        <v>30</v>
      </c>
      <c r="L2278" s="352" t="s">
        <v>30</v>
      </c>
      <c r="M2278" s="352">
        <v>4.5</v>
      </c>
      <c r="N2278" s="352" t="s">
        <v>31</v>
      </c>
      <c r="O2278" s="351">
        <v>30</v>
      </c>
      <c r="P2278" s="349" t="s">
        <v>1836</v>
      </c>
      <c r="R2278" s="349">
        <f t="shared" si="35"/>
        <v>9</v>
      </c>
      <c r="S2278" s="352"/>
      <c r="T2278" s="352"/>
      <c r="U2278" s="352"/>
      <c r="V2278" s="353"/>
      <c r="W2278" s="352"/>
      <c r="X2278" s="176"/>
      <c r="Y2278" s="176"/>
      <c r="Z2278" s="352"/>
      <c r="AA2278" s="351"/>
      <c r="AB2278" s="351"/>
      <c r="AC2278" s="352"/>
      <c r="AD2278" s="352"/>
    </row>
    <row r="2279" spans="1:30" ht="76.900000000000006" hidden="1" x14ac:dyDescent="0.35">
      <c r="A2279" s="349">
        <v>2278</v>
      </c>
      <c r="B2279" s="352" t="s">
        <v>694</v>
      </c>
      <c r="C2279" s="351" t="s">
        <v>4739</v>
      </c>
      <c r="D2279" s="352" t="s">
        <v>3532</v>
      </c>
      <c r="E2279" s="352" t="s">
        <v>695</v>
      </c>
      <c r="F2279" s="353">
        <v>1.5</v>
      </c>
      <c r="G2279" s="352" t="s">
        <v>34</v>
      </c>
      <c r="H2279" s="176" t="s">
        <v>3336</v>
      </c>
      <c r="I2279" s="176" t="s">
        <v>2686</v>
      </c>
      <c r="J2279" s="352" t="s">
        <v>4031</v>
      </c>
      <c r="K2279" s="352">
        <v>7</v>
      </c>
      <c r="L2279" s="352" t="s">
        <v>30</v>
      </c>
      <c r="M2279" s="352">
        <v>10</v>
      </c>
      <c r="N2279" s="352" t="s">
        <v>1109</v>
      </c>
      <c r="O2279" s="351">
        <v>7</v>
      </c>
      <c r="P2279" s="349" t="s">
        <v>1836</v>
      </c>
      <c r="R2279" s="349">
        <f t="shared" si="35"/>
        <v>9</v>
      </c>
      <c r="S2279" s="352"/>
      <c r="T2279" s="352"/>
      <c r="U2279" s="352"/>
      <c r="V2279" s="353"/>
      <c r="W2279" s="352"/>
      <c r="X2279" s="176"/>
      <c r="Y2279" s="176"/>
      <c r="Z2279" s="352"/>
      <c r="AA2279" s="351"/>
      <c r="AB2279" s="351"/>
      <c r="AC2279" s="352"/>
      <c r="AD2279" s="352"/>
    </row>
    <row r="2280" spans="1:30" ht="64.099999999999994" hidden="1" x14ac:dyDescent="0.35">
      <c r="A2280" s="349">
        <v>2279</v>
      </c>
      <c r="B2280" s="352" t="s">
        <v>2181</v>
      </c>
      <c r="C2280" s="351" t="s">
        <v>4740</v>
      </c>
      <c r="D2280" s="352" t="s">
        <v>3930</v>
      </c>
      <c r="E2280" s="352" t="s">
        <v>4024</v>
      </c>
      <c r="F2280" s="353">
        <v>5.73</v>
      </c>
      <c r="G2280" s="352" t="s">
        <v>2126</v>
      </c>
      <c r="H2280" s="176" t="s">
        <v>1060</v>
      </c>
      <c r="I2280" s="176" t="s">
        <v>2289</v>
      </c>
      <c r="J2280" s="352" t="s">
        <v>4025</v>
      </c>
      <c r="K2280" s="352">
        <v>0.25</v>
      </c>
      <c r="L2280" s="352" t="s">
        <v>2182</v>
      </c>
      <c r="M2280" s="352">
        <v>20</v>
      </c>
      <c r="N2280" s="352" t="s">
        <v>1109</v>
      </c>
      <c r="O2280" s="351">
        <v>0.25</v>
      </c>
      <c r="P2280" s="349" t="s">
        <v>1836</v>
      </c>
      <c r="R2280" s="349">
        <f t="shared" si="35"/>
        <v>15</v>
      </c>
      <c r="S2280" s="352"/>
      <c r="T2280" s="352"/>
      <c r="U2280" s="352"/>
      <c r="V2280" s="353"/>
      <c r="W2280" s="352"/>
      <c r="X2280" s="176"/>
      <c r="Y2280" s="176"/>
      <c r="Z2280" s="352"/>
      <c r="AA2280" s="351"/>
      <c r="AB2280" s="351"/>
      <c r="AC2280" s="352"/>
      <c r="AD2280" s="352"/>
    </row>
    <row r="2281" spans="1:30" ht="64.099999999999994" hidden="1" x14ac:dyDescent="0.35">
      <c r="A2281" s="349">
        <v>2280</v>
      </c>
      <c r="B2281" s="352" t="s">
        <v>2181</v>
      </c>
      <c r="C2281" s="351" t="s">
        <v>4740</v>
      </c>
      <c r="D2281" s="352" t="s">
        <v>3930</v>
      </c>
      <c r="E2281" s="352" t="s">
        <v>2021</v>
      </c>
      <c r="F2281" s="353">
        <v>0.05</v>
      </c>
      <c r="G2281" s="352" t="s">
        <v>2126</v>
      </c>
      <c r="H2281" s="176" t="s">
        <v>1060</v>
      </c>
      <c r="I2281" s="176" t="s">
        <v>2289</v>
      </c>
      <c r="J2281" s="352" t="s">
        <v>4028</v>
      </c>
      <c r="K2281" s="352">
        <v>0.25</v>
      </c>
      <c r="L2281" s="352" t="s">
        <v>2183</v>
      </c>
      <c r="M2281" s="352"/>
      <c r="N2281" s="352"/>
      <c r="O2281" s="351">
        <v>0.25</v>
      </c>
      <c r="P2281" s="349" t="s">
        <v>1836</v>
      </c>
      <c r="R2281" s="349">
        <f t="shared" si="35"/>
        <v>15</v>
      </c>
      <c r="S2281" s="352"/>
      <c r="T2281" s="352"/>
      <c r="U2281" s="352"/>
      <c r="V2281" s="353"/>
      <c r="W2281" s="352"/>
      <c r="X2281" s="176"/>
      <c r="Y2281" s="176"/>
      <c r="Z2281" s="352"/>
      <c r="AA2281" s="351"/>
      <c r="AB2281" s="351"/>
      <c r="AC2281" s="352"/>
      <c r="AD2281" s="352"/>
    </row>
    <row r="2282" spans="1:30" ht="51.3" hidden="1" x14ac:dyDescent="0.35">
      <c r="A2282" s="349">
        <v>2281</v>
      </c>
      <c r="B2282" s="352" t="s">
        <v>4029</v>
      </c>
      <c r="C2282" s="351" t="s">
        <v>4465</v>
      </c>
      <c r="D2282" s="352" t="s">
        <v>975</v>
      </c>
      <c r="E2282" s="352" t="s">
        <v>553</v>
      </c>
      <c r="F2282" s="353">
        <v>41.297499999999999</v>
      </c>
      <c r="G2282" s="352" t="s">
        <v>2126</v>
      </c>
      <c r="H2282" s="176" t="s">
        <v>1119</v>
      </c>
      <c r="I2282" s="176" t="s">
        <v>1806</v>
      </c>
      <c r="J2282" s="352" t="s">
        <v>3579</v>
      </c>
      <c r="K2282" s="352">
        <v>1</v>
      </c>
      <c r="L2282" s="352" t="s">
        <v>1116</v>
      </c>
      <c r="M2282" s="352">
        <v>200</v>
      </c>
      <c r="N2282" s="352" t="s">
        <v>1109</v>
      </c>
      <c r="O2282" s="351">
        <v>1</v>
      </c>
      <c r="P2282" s="349" t="s">
        <v>1836</v>
      </c>
      <c r="R2282" s="349">
        <f t="shared" si="35"/>
        <v>10</v>
      </c>
      <c r="S2282" s="352"/>
      <c r="T2282" s="352"/>
      <c r="U2282" s="352"/>
      <c r="V2282" s="353"/>
      <c r="W2282" s="352"/>
      <c r="X2282" s="176"/>
      <c r="Y2282" s="176"/>
      <c r="Z2282" s="352"/>
      <c r="AA2282" s="351"/>
      <c r="AB2282" s="351"/>
      <c r="AC2282" s="352"/>
      <c r="AD2282" s="352"/>
    </row>
    <row r="2283" spans="1:30" ht="51.3" hidden="1" x14ac:dyDescent="0.35">
      <c r="A2283" s="349">
        <v>2282</v>
      </c>
      <c r="B2283" s="352" t="s">
        <v>4029</v>
      </c>
      <c r="C2283" s="351" t="s">
        <v>4465</v>
      </c>
      <c r="D2283" s="352" t="s">
        <v>975</v>
      </c>
      <c r="E2283" s="352" t="s">
        <v>1995</v>
      </c>
      <c r="F2283" s="353">
        <v>1.35</v>
      </c>
      <c r="G2283" s="352" t="s">
        <v>2126</v>
      </c>
      <c r="H2283" s="176" t="s">
        <v>1119</v>
      </c>
      <c r="I2283" s="176" t="s">
        <v>1806</v>
      </c>
      <c r="J2283" s="352" t="s">
        <v>3580</v>
      </c>
      <c r="K2283" s="352">
        <v>10</v>
      </c>
      <c r="L2283" s="352" t="s">
        <v>3581</v>
      </c>
      <c r="M2283" s="351"/>
      <c r="N2283" s="351"/>
      <c r="O2283" s="351">
        <v>10</v>
      </c>
      <c r="P2283" s="349" t="s">
        <v>1836</v>
      </c>
      <c r="R2283" s="349">
        <f t="shared" si="35"/>
        <v>10</v>
      </c>
      <c r="S2283" s="352"/>
      <c r="T2283" s="352"/>
      <c r="U2283" s="352"/>
      <c r="V2283" s="353"/>
      <c r="W2283" s="352"/>
      <c r="X2283" s="176"/>
      <c r="Y2283" s="176"/>
      <c r="Z2283" s="352"/>
      <c r="AA2283" s="351"/>
      <c r="AB2283" s="351"/>
      <c r="AC2283" s="351"/>
      <c r="AD2283" s="351"/>
    </row>
  </sheetData>
  <autoFilter ref="A1:R2283">
    <filterColumn colId="3">
      <filters>
        <filter val="paracetamol"/>
      </filters>
    </filterColumn>
    <filterColumn colId="6">
      <filters>
        <filter val="iv"/>
      </filters>
    </filterColumn>
  </autoFilter>
  <phoneticPr fontId="26" type="noConversion"/>
  <pageMargins left="0.75" right="0.75" top="1" bottom="1" header="0.5" footer="0.5"/>
  <headerFooter alignWithMargins="0"/>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fusen">
    <outlinePr showOutlineSymbols="0"/>
    <pageSetUpPr autoPageBreaks="0"/>
  </sheetPr>
  <dimension ref="A1:J42"/>
  <sheetViews>
    <sheetView showGridLines="0" showRowColHeaders="0" showZeros="0" showOutlineSymbols="0" workbookViewId="0">
      <pane ySplit="4" topLeftCell="A5" activePane="bottomLeft" state="frozen"/>
      <selection pane="bottomLeft" activeCell="B25" sqref="B25:F27"/>
    </sheetView>
  </sheetViews>
  <sheetFormatPr defaultColWidth="9.1328125" defaultRowHeight="12.85" x14ac:dyDescent="0.35"/>
  <cols>
    <col min="1" max="1" width="5.59765625" style="26" customWidth="1"/>
    <col min="2" max="2" width="16.59765625" style="26" customWidth="1"/>
    <col min="3" max="3" width="17.265625" style="26" customWidth="1"/>
    <col min="4" max="4" width="17.59765625" style="26" customWidth="1"/>
    <col min="5" max="5" width="18.59765625" style="26" customWidth="1"/>
    <col min="6" max="6" width="18.265625" style="26" customWidth="1"/>
    <col min="7" max="7" width="14.73046875" style="26" customWidth="1"/>
    <col min="8" max="8" width="9.1328125" style="26"/>
    <col min="9" max="9" width="9.3984375" style="26" bestFit="1" customWidth="1"/>
    <col min="10" max="10" width="9.265625" style="26" bestFit="1" customWidth="1"/>
    <col min="11" max="16384" width="9.1328125" style="26"/>
  </cols>
  <sheetData>
    <row r="1" spans="1:10" s="216" customFormat="1" x14ac:dyDescent="0.35"/>
    <row r="2" spans="1:10" s="216" customFormat="1" ht="17.25" customHeight="1" x14ac:dyDescent="0.4">
      <c r="B2" s="217" t="s">
        <v>2977</v>
      </c>
      <c r="C2" s="218" t="e">
        <f ca="1">AfspraakDatum</f>
        <v>#NAME?</v>
      </c>
      <c r="D2" s="219"/>
      <c r="E2" s="217" t="s">
        <v>2978</v>
      </c>
      <c r="F2" s="220">
        <f>OpnDatum</f>
        <v>41363</v>
      </c>
      <c r="G2" s="217" t="e">
        <f ca="1">"ICU-dag: "&amp;AfspraakDatum-OpnDatum+1</f>
        <v>#NAME?</v>
      </c>
      <c r="H2" s="217"/>
      <c r="I2" s="217"/>
      <c r="J2" s="217"/>
    </row>
    <row r="3" spans="1:10" s="216" customFormat="1" ht="17.25" customHeight="1" x14ac:dyDescent="0.4">
      <c r="B3" s="217" t="s">
        <v>288</v>
      </c>
      <c r="C3" s="221" t="str">
        <f>AchterNaam&amp;", "&amp;VoorNaam</f>
        <v>Achternaam, Voornaam</v>
      </c>
      <c r="D3" s="221"/>
      <c r="E3" s="217" t="s">
        <v>3073</v>
      </c>
      <c r="F3" s="220">
        <f>GebDatum</f>
        <v>40909</v>
      </c>
      <c r="G3" s="222" t="str">
        <f>"Gewicht: "&amp;Gewicht/10&amp;" kg"</f>
        <v>Gewicht: 10 kg</v>
      </c>
      <c r="H3" s="217"/>
      <c r="I3" s="222" t="str">
        <f>"Lengte: "&amp;Lengte&amp;" cm"</f>
        <v>Lengte: 80 cm</v>
      </c>
      <c r="J3" s="217"/>
    </row>
    <row r="4" spans="1:10" s="216" customFormat="1" ht="17.25" customHeight="1" x14ac:dyDescent="0.4">
      <c r="A4" s="252"/>
      <c r="B4" s="217" t="s">
        <v>3443</v>
      </c>
      <c r="C4" s="222">
        <f>PatNummer</f>
        <v>0</v>
      </c>
      <c r="D4" s="219"/>
      <c r="E4" s="217" t="s">
        <v>2746</v>
      </c>
      <c r="F4" s="224" t="e">
        <f ca="1">TRUNC((AfspraakDatum-GebDatum)/365,0)&amp;" jaar en "&amp;TRUNC(((AfspraakDatum-GebDatum)-365*TRUNC((AfspraakDatum-GebDatum)/365,0))/30,0)&amp;" maand(-en)"</f>
        <v>#NAME?</v>
      </c>
      <c r="G4" s="217"/>
      <c r="H4" s="217" t="str">
        <f>"Lichamelijk oppervlak: "&amp;ROUND(POWER(Gewicht/10,0.425)*POWER(((Lengte/100)*100),0.725)*0.007184,2)&amp;" m2"</f>
        <v>Lichamelijk oppervlak: 0.46 m2</v>
      </c>
      <c r="I4" s="217"/>
      <c r="J4" s="217"/>
    </row>
    <row r="5" spans="1:10" ht="12.75" customHeight="1" x14ac:dyDescent="0.35"/>
    <row r="6" spans="1:10" ht="17.25" customHeight="1" x14ac:dyDescent="0.4">
      <c r="B6" s="292" t="s">
        <v>212</v>
      </c>
    </row>
    <row r="7" spans="1:10" ht="9.0500000000000007" customHeight="1" x14ac:dyDescent="0.35">
      <c r="I7" s="123" t="s">
        <v>1295</v>
      </c>
      <c r="J7" s="123" t="s">
        <v>3353</v>
      </c>
    </row>
    <row r="8" spans="1:10" ht="17.25" customHeight="1" x14ac:dyDescent="0.35">
      <c r="A8" s="26">
        <v>1</v>
      </c>
      <c r="C8" s="285"/>
      <c r="E8" s="29"/>
      <c r="F8" s="286" t="str">
        <f>IF(INDEX(ber_Infusen!A1:C34,ber_Infusen!E2,2)&lt;&gt;0,INDEX(ber_Infusen!$A$1:$C$34,ber_Infusen!E2,2)&amp;" ml","")</f>
        <v/>
      </c>
      <c r="I8" s="123" t="b">
        <f>IF(INDEX(ber_Infusen!$A$1:$C$34,ber_Infusen!E2,2)&lt;&gt;0,INDEX(ber_Infusen!$A$1:$C$34,ber_Infusen!E2,3))</f>
        <v>0</v>
      </c>
      <c r="J8" s="123">
        <f>IF(INDEX(ber_Infusen!$A$1:$C$34,ber_Infusen!E2,2)&lt;&gt;0,INDEX(ber_Infusen!$A$1:$C$34,ber_Infusen!E2,2),0)</f>
        <v>0</v>
      </c>
    </row>
    <row r="9" spans="1:10" ht="17.25" customHeight="1" x14ac:dyDescent="0.35">
      <c r="A9" s="26">
        <v>2</v>
      </c>
      <c r="E9" s="29"/>
      <c r="F9" s="287" t="str">
        <f>IF(INDEX(ber_Infusen!$A$1:$C$34,ber_Infusen!E3,2)&lt;&gt;0,INDEX(ber_Infusen!$A$1:$C$34,ber_Infusen!E3,2)&amp;" ml","")</f>
        <v/>
      </c>
      <c r="I9" s="123" t="b">
        <f>IF(INDEX(ber_Infusen!$A$1:$C$34,ber_Infusen!E3,2)&lt;&gt;0,INDEX(ber_Infusen!$A$1:$C$34,ber_Infusen!E3,3))</f>
        <v>0</v>
      </c>
      <c r="J9" s="123">
        <f>IF(INDEX(ber_Infusen!$A$1:$C$34,ber_Infusen!E3,2)&lt;&gt;0,INDEX(ber_Infusen!$A$1:$C$34,ber_Infusen!E3,2),0)</f>
        <v>0</v>
      </c>
    </row>
    <row r="10" spans="1:10" ht="17.25" customHeight="1" x14ac:dyDescent="0.35">
      <c r="A10" s="26">
        <v>3</v>
      </c>
      <c r="E10" s="29"/>
      <c r="F10" s="287" t="str">
        <f>IF(INDEX(ber_Infusen!$A$1:$C$34,ber_Infusen!E4,2)&lt;&gt;0,INDEX(ber_Infusen!$A$1:$C$34,ber_Infusen!E4,2)&amp;" ml","")</f>
        <v/>
      </c>
      <c r="I10" s="123" t="b">
        <f>IF(INDEX(ber_Infusen!$A$1:$C$34,ber_Infusen!E4,2)&lt;&gt;0,INDEX(ber_Infusen!$A$1:$C$34,ber_Infusen!E4,3))</f>
        <v>0</v>
      </c>
      <c r="J10" s="123">
        <f>IF(INDEX(ber_Infusen!$A$1:$C$34,ber_Infusen!E4,2)&lt;&gt;0,INDEX(ber_Infusen!$A$1:$C$34,ber_Infusen!E4,2),0)</f>
        <v>0</v>
      </c>
    </row>
    <row r="11" spans="1:10" ht="17.25" customHeight="1" x14ac:dyDescent="0.35">
      <c r="A11" s="26">
        <v>4</v>
      </c>
      <c r="E11" s="29"/>
      <c r="F11" s="287" t="str">
        <f>IF(INDEX(ber_Infusen!$A$1:$C$34,ber_Infusen!E5,2)&lt;&gt;0,INDEX(ber_Infusen!$A$1:$C$34,ber_Infusen!E5,2)&amp;" ml","")</f>
        <v/>
      </c>
      <c r="I11" s="123" t="b">
        <f>IF(INDEX(ber_Infusen!$A$1:$C$34,ber_Infusen!E5,2)&lt;&gt;0,INDEX(ber_Infusen!$A$1:$C$34,ber_Infusen!E5,3))</f>
        <v>0</v>
      </c>
      <c r="J11" s="123">
        <f>IF(INDEX(ber_Infusen!$A$1:$C$34,ber_Infusen!E5,2)&lt;&gt;0,INDEX(ber_Infusen!$A$1:$C$34,ber_Infusen!E5,2),0)</f>
        <v>0</v>
      </c>
    </row>
    <row r="12" spans="1:10" ht="17.25" customHeight="1" x14ac:dyDescent="0.35">
      <c r="A12" s="26">
        <v>5</v>
      </c>
      <c r="E12" s="29"/>
      <c r="F12" s="287" t="str">
        <f>IF(INDEX(ber_Infusen!$A$1:$C$34,ber_Infusen!E6,2)&lt;&gt;0,INDEX(ber_Infusen!$A$1:$C$34,ber_Infusen!E6,2)&amp;" ml","")</f>
        <v/>
      </c>
      <c r="I12" s="123" t="b">
        <f>IF(INDEX(ber_Infusen!$A$1:$C$34,ber_Infusen!E6,2)&lt;&gt;0,INDEX(ber_Infusen!$A$1:$C$34,ber_Infusen!E6,3))</f>
        <v>0</v>
      </c>
      <c r="J12" s="123">
        <f>IF(INDEX(ber_Infusen!$A$1:$C$34,ber_Infusen!E6,2)&lt;&gt;0,INDEX(ber_Infusen!$A$1:$C$34,ber_Infusen!E6,2),0)</f>
        <v>0</v>
      </c>
    </row>
    <row r="13" spans="1:10" ht="17.25" customHeight="1" x14ac:dyDescent="0.35">
      <c r="A13" s="26">
        <v>6</v>
      </c>
      <c r="E13" s="29"/>
      <c r="F13" s="287" t="str">
        <f>IF(INDEX(ber_Infusen!$A$1:$C$34,ber_Infusen!E7,2)&lt;&gt;0,INDEX(ber_Infusen!$A$1:$C$34,ber_Infusen!E7,2)&amp;" ml","")</f>
        <v/>
      </c>
      <c r="I13" s="123" t="b">
        <f>IF(INDEX(ber_Infusen!$A$1:$C$34,ber_Infusen!E7,2)&lt;&gt;0,INDEX(ber_Infusen!$A$1:$C$34,ber_Infusen!E7,3))</f>
        <v>0</v>
      </c>
      <c r="J13" s="123">
        <f>IF(INDEX(ber_Infusen!$A$1:$C$34,ber_Infusen!E7,2)&lt;&gt;0,INDEX(ber_Infusen!$A$1:$C$34,ber_Infusen!E7,2),0)</f>
        <v>0</v>
      </c>
    </row>
    <row r="14" spans="1:10" ht="17.25" customHeight="1" x14ac:dyDescent="0.35">
      <c r="I14" s="123" t="b">
        <f>IF(INDEX(ber_Infusen!$A$1:$C$34,ber_Infusen!E8,2)&lt;&gt;0,INDEX(ber_Infusen!$A$1:$C$34,ber_Infusen!E8,3))</f>
        <v>0</v>
      </c>
      <c r="J14" s="123">
        <f>IF(INDEX(ber_Infusen!$A$1:$C$34,ber_Infusen!E8,2)&lt;&gt;0,INDEX(ber_Infusen!$A$1:$C$34,ber_Infusen!E8,2),0)</f>
        <v>0</v>
      </c>
    </row>
    <row r="15" spans="1:10" ht="17.25" customHeight="1" x14ac:dyDescent="0.35">
      <c r="B15" s="314" t="s">
        <v>2864</v>
      </c>
      <c r="C15" s="323">
        <f>ber_Opm!C3</f>
        <v>0</v>
      </c>
      <c r="D15" s="324"/>
      <c r="E15" s="324"/>
      <c r="F15" s="324"/>
      <c r="G15" s="324"/>
      <c r="H15" s="324"/>
      <c r="I15" s="325">
        <f>SUM(I8:I14)</f>
        <v>0</v>
      </c>
      <c r="J15" s="325">
        <f>SUM(J8:J14)</f>
        <v>0</v>
      </c>
    </row>
    <row r="16" spans="1:10" ht="17.25" customHeight="1" x14ac:dyDescent="0.35"/>
    <row r="17" spans="1:10" ht="17.25" customHeight="1" x14ac:dyDescent="0.4">
      <c r="A17" s="29"/>
      <c r="B17" s="292" t="s">
        <v>834</v>
      </c>
    </row>
    <row r="18" spans="1:10" ht="8.3000000000000007" customHeight="1" x14ac:dyDescent="0.35">
      <c r="A18" s="29"/>
    </row>
    <row r="19" spans="1:10" ht="17.25" customHeight="1" x14ac:dyDescent="0.4">
      <c r="A19" s="26">
        <v>1</v>
      </c>
      <c r="C19" s="285"/>
      <c r="E19" s="29"/>
      <c r="H19" s="248" t="s">
        <v>343</v>
      </c>
      <c r="I19" s="216"/>
      <c r="J19" s="216"/>
    </row>
    <row r="20" spans="1:10" ht="17.25" customHeight="1" x14ac:dyDescent="0.35">
      <c r="A20" s="26">
        <v>2</v>
      </c>
      <c r="E20" s="29"/>
      <c r="H20" s="252" t="s">
        <v>2678</v>
      </c>
      <c r="I20" s="216"/>
      <c r="J20" s="216"/>
    </row>
    <row r="21" spans="1:10" ht="17.25" customHeight="1" x14ac:dyDescent="0.4">
      <c r="A21" s="26">
        <v>3</v>
      </c>
      <c r="E21" s="29"/>
      <c r="H21" s="291" t="str">
        <f>IF(Comfort,"Ja","Nee")</f>
        <v>Ja</v>
      </c>
    </row>
    <row r="22" spans="1:10" ht="17.25" customHeight="1" x14ac:dyDescent="0.35">
      <c r="A22" s="26">
        <v>4</v>
      </c>
      <c r="E22" s="29"/>
    </row>
    <row r="23" spans="1:10" ht="17.25" customHeight="1" x14ac:dyDescent="0.35">
      <c r="B23" s="216" t="s">
        <v>4088</v>
      </c>
      <c r="C23" s="26" t="str">
        <f>IF(Controle_3&gt;0,"om de "&amp;Controle_3&amp;" uur","")</f>
        <v/>
      </c>
      <c r="E23" s="252" t="s">
        <v>4090</v>
      </c>
      <c r="F23" s="26" t="str">
        <f>IF(Controle_2&gt;0,"om de "&amp;Controle_2&amp;" uur","")</f>
        <v/>
      </c>
    </row>
    <row r="24" spans="1:10" ht="17.25" customHeight="1" x14ac:dyDescent="0.35">
      <c r="B24" s="216" t="s">
        <v>4091</v>
      </c>
      <c r="C24" s="26" t="str">
        <f>IF(Controle_6&gt;0,"om de "&amp;Controle_6&amp;" uur","")</f>
        <v/>
      </c>
      <c r="E24" s="252" t="s">
        <v>4089</v>
      </c>
      <c r="F24" s="26" t="str">
        <f>IF(Controle_8&gt;0,"om de "&amp;Controle_8&amp;" uur","")</f>
        <v/>
      </c>
    </row>
    <row r="25" spans="1:10" ht="18" customHeight="1" x14ac:dyDescent="0.35">
      <c r="A25" s="282">
        <v>6</v>
      </c>
      <c r="B25" s="402">
        <f>ber_Opm!C11</f>
        <v>0</v>
      </c>
      <c r="C25" s="397"/>
      <c r="D25" s="397"/>
      <c r="E25" s="397"/>
      <c r="F25" s="397"/>
      <c r="G25" s="284"/>
      <c r="H25" s="29"/>
    </row>
    <row r="26" spans="1:10" ht="17.25" customHeight="1" x14ac:dyDescent="0.35">
      <c r="B26" s="397"/>
      <c r="C26" s="397"/>
      <c r="D26" s="397"/>
      <c r="E26" s="397"/>
      <c r="F26" s="397"/>
      <c r="G26" s="284"/>
      <c r="H26" s="284"/>
      <c r="I26" s="284"/>
      <c r="J26" s="288"/>
    </row>
    <row r="27" spans="1:10" ht="17.25" customHeight="1" x14ac:dyDescent="0.35">
      <c r="B27" s="397"/>
      <c r="C27" s="397"/>
      <c r="D27" s="397"/>
      <c r="E27" s="397"/>
      <c r="F27" s="397"/>
      <c r="G27" s="284"/>
      <c r="H27" s="284"/>
      <c r="I27" s="284"/>
      <c r="J27" s="289"/>
    </row>
    <row r="28" spans="1:10" ht="20.100000000000001" customHeight="1" x14ac:dyDescent="0.35">
      <c r="B28" s="320"/>
      <c r="C28" s="321"/>
      <c r="D28" s="321"/>
      <c r="E28" s="321"/>
      <c r="F28" s="321"/>
      <c r="G28" s="321"/>
      <c r="H28" s="322"/>
      <c r="I28" s="322"/>
      <c r="J28" s="321"/>
    </row>
    <row r="29" spans="1:10" ht="20.100000000000001" customHeight="1" x14ac:dyDescent="0.4">
      <c r="B29" s="292" t="s">
        <v>132</v>
      </c>
      <c r="H29" s="288"/>
      <c r="I29" s="288"/>
      <c r="J29" s="288"/>
    </row>
    <row r="30" spans="1:10" ht="20.100000000000001" customHeight="1" x14ac:dyDescent="0.35"/>
    <row r="31" spans="1:10" ht="20.100000000000001" customHeight="1" x14ac:dyDescent="0.35">
      <c r="B31" s="216" t="s">
        <v>2528</v>
      </c>
      <c r="E31" s="216" t="s">
        <v>659</v>
      </c>
    </row>
    <row r="32" spans="1:10" ht="20.100000000000001" customHeight="1" x14ac:dyDescent="0.35"/>
    <row r="33" spans="2:3" ht="13.2" x14ac:dyDescent="0.4">
      <c r="B33" s="216" t="s">
        <v>2876</v>
      </c>
      <c r="C33" s="290" t="str">
        <f>IF(ber_Infusen!O1&gt;1,ber_Infusen!R1&amp;" /min","")</f>
        <v/>
      </c>
    </row>
    <row r="34" spans="2:3" ht="17.25" customHeight="1" x14ac:dyDescent="0.4">
      <c r="C34" s="290"/>
    </row>
    <row r="35" spans="2:3" ht="17.25" customHeight="1" x14ac:dyDescent="0.4">
      <c r="B35" s="216" t="s">
        <v>660</v>
      </c>
      <c r="C35" s="290" t="str">
        <f>IF(ber_Infusen!O1&gt;1,ber_Infusen!R2&amp;" mA","")</f>
        <v/>
      </c>
    </row>
    <row r="36" spans="2:3" ht="17.25" customHeight="1" x14ac:dyDescent="0.4">
      <c r="B36" s="216" t="s">
        <v>661</v>
      </c>
      <c r="C36" s="290" t="str">
        <f>IF(ber_Infusen!O1&gt;1,ber_Infusen!R3&amp;" mA","")</f>
        <v/>
      </c>
    </row>
    <row r="37" spans="2:3" ht="17.25" customHeight="1" x14ac:dyDescent="0.4">
      <c r="C37" s="290"/>
    </row>
    <row r="38" spans="2:3" ht="17.25" customHeight="1" x14ac:dyDescent="0.4">
      <c r="B38" s="216" t="s">
        <v>662</v>
      </c>
      <c r="C38" s="290" t="str">
        <f>IF(ber_Infusen!O1&gt;1,ber_Infusen!R4&amp;" msec","")</f>
        <v/>
      </c>
    </row>
    <row r="39" spans="2:3" ht="17.25" customHeight="1" x14ac:dyDescent="0.4">
      <c r="C39" s="290"/>
    </row>
    <row r="40" spans="2:3" ht="17.25" customHeight="1" x14ac:dyDescent="0.4">
      <c r="B40" s="216" t="s">
        <v>663</v>
      </c>
      <c r="C40" s="290" t="str">
        <f>IF(ber_Infusen!O1&gt;1,ber_Infusen!R5/10&amp;" mV","")</f>
        <v/>
      </c>
    </row>
    <row r="41" spans="2:3" ht="17.25" customHeight="1" x14ac:dyDescent="0.4">
      <c r="B41" s="216" t="s">
        <v>664</v>
      </c>
      <c r="C41" s="290" t="str">
        <f>IF(ber_Infusen!O1&gt;1,ber_Infusen!R6/10&amp;" mV","")</f>
        <v/>
      </c>
    </row>
    <row r="42" spans="2:3" ht="17.25" customHeight="1" x14ac:dyDescent="0.35"/>
  </sheetData>
  <sheetProtection password="CC20" sheet="1" objects="1" scenarios="1" selectLockedCells="1" selectUnlockedCells="1"/>
  <mergeCells count="1">
    <mergeCell ref="B25:F27"/>
  </mergeCells>
  <phoneticPr fontId="26"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7" r:id="rId4" name="Drop Down 3">
              <controlPr defaultSize="0" autoLine="0" autoPict="0">
                <anchor moveWithCells="1">
                  <from>
                    <xdr:col>1</xdr:col>
                    <xdr:colOff>9575</xdr:colOff>
                    <xdr:row>7</xdr:row>
                    <xdr:rowOff>19150</xdr:rowOff>
                  </from>
                  <to>
                    <xdr:col>4</xdr:col>
                    <xdr:colOff>904825</xdr:colOff>
                    <xdr:row>8</xdr:row>
                    <xdr:rowOff>0</xdr:rowOff>
                  </to>
                </anchor>
              </controlPr>
            </control>
          </mc:Choice>
        </mc:AlternateContent>
        <mc:AlternateContent xmlns:mc="http://schemas.openxmlformats.org/markup-compatibility/2006">
          <mc:Choice Requires="x14">
            <control shapeId="11268" r:id="rId5" name="Drop Down 4">
              <controlPr defaultSize="0" autoLine="0" autoPict="0">
                <anchor moveWithCells="1">
                  <from>
                    <xdr:col>1</xdr:col>
                    <xdr:colOff>9575</xdr:colOff>
                    <xdr:row>8</xdr:row>
                    <xdr:rowOff>19150</xdr:rowOff>
                  </from>
                  <to>
                    <xdr:col>4</xdr:col>
                    <xdr:colOff>904825</xdr:colOff>
                    <xdr:row>9</xdr:row>
                    <xdr:rowOff>0</xdr:rowOff>
                  </to>
                </anchor>
              </controlPr>
            </control>
          </mc:Choice>
        </mc:AlternateContent>
        <mc:AlternateContent xmlns:mc="http://schemas.openxmlformats.org/markup-compatibility/2006">
          <mc:Choice Requires="x14">
            <control shapeId="11269" r:id="rId6" name="Drop Down 5">
              <controlPr defaultSize="0" autoLine="0" autoPict="0">
                <anchor moveWithCells="1">
                  <from>
                    <xdr:col>1</xdr:col>
                    <xdr:colOff>9575</xdr:colOff>
                    <xdr:row>9</xdr:row>
                    <xdr:rowOff>19150</xdr:rowOff>
                  </from>
                  <to>
                    <xdr:col>4</xdr:col>
                    <xdr:colOff>904825</xdr:colOff>
                    <xdr:row>10</xdr:row>
                    <xdr:rowOff>0</xdr:rowOff>
                  </to>
                </anchor>
              </controlPr>
            </control>
          </mc:Choice>
        </mc:AlternateContent>
        <mc:AlternateContent xmlns:mc="http://schemas.openxmlformats.org/markup-compatibility/2006">
          <mc:Choice Requires="x14">
            <control shapeId="11270" r:id="rId7" name="Drop Down 6">
              <controlPr defaultSize="0" autoLine="0" autoPict="0">
                <anchor moveWithCells="1">
                  <from>
                    <xdr:col>1</xdr:col>
                    <xdr:colOff>9575</xdr:colOff>
                    <xdr:row>10</xdr:row>
                    <xdr:rowOff>19150</xdr:rowOff>
                  </from>
                  <to>
                    <xdr:col>4</xdr:col>
                    <xdr:colOff>904825</xdr:colOff>
                    <xdr:row>11</xdr:row>
                    <xdr:rowOff>0</xdr:rowOff>
                  </to>
                </anchor>
              </controlPr>
            </control>
          </mc:Choice>
        </mc:AlternateContent>
        <mc:AlternateContent xmlns:mc="http://schemas.openxmlformats.org/markup-compatibility/2006">
          <mc:Choice Requires="x14">
            <control shapeId="11271" r:id="rId8" name="Drop Down 7">
              <controlPr defaultSize="0" autoLine="0" autoPict="0">
                <anchor moveWithCells="1">
                  <from>
                    <xdr:col>1</xdr:col>
                    <xdr:colOff>9575</xdr:colOff>
                    <xdr:row>11</xdr:row>
                    <xdr:rowOff>19150</xdr:rowOff>
                  </from>
                  <to>
                    <xdr:col>4</xdr:col>
                    <xdr:colOff>904825</xdr:colOff>
                    <xdr:row>12</xdr:row>
                    <xdr:rowOff>0</xdr:rowOff>
                  </to>
                </anchor>
              </controlPr>
            </control>
          </mc:Choice>
        </mc:AlternateContent>
        <mc:AlternateContent xmlns:mc="http://schemas.openxmlformats.org/markup-compatibility/2006">
          <mc:Choice Requires="x14">
            <control shapeId="11272" r:id="rId9" name="Drop Down 8">
              <controlPr defaultSize="0" autoLine="0" autoPict="0">
                <anchor moveWithCells="1">
                  <from>
                    <xdr:col>1</xdr:col>
                    <xdr:colOff>9575</xdr:colOff>
                    <xdr:row>12</xdr:row>
                    <xdr:rowOff>19150</xdr:rowOff>
                  </from>
                  <to>
                    <xdr:col>4</xdr:col>
                    <xdr:colOff>904825</xdr:colOff>
                    <xdr:row>13</xdr:row>
                    <xdr:rowOff>0</xdr:rowOff>
                  </to>
                </anchor>
              </controlPr>
            </control>
          </mc:Choice>
        </mc:AlternateContent>
        <mc:AlternateContent xmlns:mc="http://schemas.openxmlformats.org/markup-compatibility/2006">
          <mc:Choice Requires="x14">
            <control shapeId="11303" r:id="rId10" name="Drop Down 39">
              <controlPr defaultSize="0" autoLine="0" autoPict="0">
                <anchor moveWithCells="1">
                  <from>
                    <xdr:col>1</xdr:col>
                    <xdr:colOff>9575</xdr:colOff>
                    <xdr:row>18</xdr:row>
                    <xdr:rowOff>19150</xdr:rowOff>
                  </from>
                  <to>
                    <xdr:col>5</xdr:col>
                    <xdr:colOff>1201646</xdr:colOff>
                    <xdr:row>19</xdr:row>
                    <xdr:rowOff>0</xdr:rowOff>
                  </to>
                </anchor>
              </controlPr>
            </control>
          </mc:Choice>
        </mc:AlternateContent>
        <mc:AlternateContent xmlns:mc="http://schemas.openxmlformats.org/markup-compatibility/2006">
          <mc:Choice Requires="x14">
            <control shapeId="11304" r:id="rId11" name="Drop Down 40">
              <controlPr defaultSize="0" autoLine="0" autoPict="0">
                <anchor moveWithCells="1">
                  <from>
                    <xdr:col>1</xdr:col>
                    <xdr:colOff>9575</xdr:colOff>
                    <xdr:row>19</xdr:row>
                    <xdr:rowOff>19150</xdr:rowOff>
                  </from>
                  <to>
                    <xdr:col>5</xdr:col>
                    <xdr:colOff>1201646</xdr:colOff>
                    <xdr:row>20</xdr:row>
                    <xdr:rowOff>0</xdr:rowOff>
                  </to>
                </anchor>
              </controlPr>
            </control>
          </mc:Choice>
        </mc:AlternateContent>
        <mc:AlternateContent xmlns:mc="http://schemas.openxmlformats.org/markup-compatibility/2006">
          <mc:Choice Requires="x14">
            <control shapeId="11305" r:id="rId12" name="Drop Down 41">
              <controlPr defaultSize="0" autoLine="0" autoPict="0">
                <anchor moveWithCells="1">
                  <from>
                    <xdr:col>1</xdr:col>
                    <xdr:colOff>9575</xdr:colOff>
                    <xdr:row>20</xdr:row>
                    <xdr:rowOff>19150</xdr:rowOff>
                  </from>
                  <to>
                    <xdr:col>5</xdr:col>
                    <xdr:colOff>1201646</xdr:colOff>
                    <xdr:row>21</xdr:row>
                    <xdr:rowOff>0</xdr:rowOff>
                  </to>
                </anchor>
              </controlPr>
            </control>
          </mc:Choice>
        </mc:AlternateContent>
        <mc:AlternateContent xmlns:mc="http://schemas.openxmlformats.org/markup-compatibility/2006">
          <mc:Choice Requires="x14">
            <control shapeId="11306" r:id="rId13" name="Drop Down 42">
              <controlPr defaultSize="0" autoLine="0" autoPict="0">
                <anchor moveWithCells="1">
                  <from>
                    <xdr:col>1</xdr:col>
                    <xdr:colOff>9575</xdr:colOff>
                    <xdr:row>21</xdr:row>
                    <xdr:rowOff>19150</xdr:rowOff>
                  </from>
                  <to>
                    <xdr:col>5</xdr:col>
                    <xdr:colOff>1201646</xdr:colOff>
                    <xdr:row>22</xdr:row>
                    <xdr:rowOff>0</xdr:rowOff>
                  </to>
                </anchor>
              </controlPr>
            </control>
          </mc:Choice>
        </mc:AlternateContent>
        <mc:AlternateContent xmlns:mc="http://schemas.openxmlformats.org/markup-compatibility/2006">
          <mc:Choice Requires="x14">
            <control shapeId="11309" r:id="rId14" name="Spinner 45">
              <controlPr defaultSize="0" autoPict="0">
                <anchor moveWithCells="1" sizeWithCells="1">
                  <from>
                    <xdr:col>7</xdr:col>
                    <xdr:colOff>124473</xdr:colOff>
                    <xdr:row>2</xdr:row>
                    <xdr:rowOff>9575</xdr:rowOff>
                  </from>
                  <to>
                    <xdr:col>7</xdr:col>
                    <xdr:colOff>287246</xdr:colOff>
                    <xdr:row>2</xdr:row>
                    <xdr:rowOff>181923</xdr:rowOff>
                  </to>
                </anchor>
              </controlPr>
            </control>
          </mc:Choice>
        </mc:AlternateContent>
        <mc:AlternateContent xmlns:mc="http://schemas.openxmlformats.org/markup-compatibility/2006">
          <mc:Choice Requires="x14">
            <control shapeId="11310" r:id="rId15" name="Spinner 46">
              <controlPr defaultSize="0" autoPict="0">
                <anchor moveWithCells="1" sizeWithCells="1">
                  <from>
                    <xdr:col>9</xdr:col>
                    <xdr:colOff>411719</xdr:colOff>
                    <xdr:row>2</xdr:row>
                    <xdr:rowOff>0</xdr:rowOff>
                  </from>
                  <to>
                    <xdr:col>9</xdr:col>
                    <xdr:colOff>569705</xdr:colOff>
                    <xdr:row>2</xdr:row>
                    <xdr:rowOff>172348</xdr:rowOff>
                  </to>
                </anchor>
              </controlPr>
            </control>
          </mc:Choice>
        </mc:AlternateContent>
        <mc:AlternateContent xmlns:mc="http://schemas.openxmlformats.org/markup-compatibility/2006">
          <mc:Choice Requires="x14">
            <control shapeId="11320" r:id="rId16" name="Drop Down 56">
              <controlPr defaultSize="0" autoLine="0" autoPict="0">
                <anchor moveWithCells="1">
                  <from>
                    <xdr:col>2</xdr:col>
                    <xdr:colOff>9575</xdr:colOff>
                    <xdr:row>30</xdr:row>
                    <xdr:rowOff>19150</xdr:rowOff>
                  </from>
                  <to>
                    <xdr:col>3</xdr:col>
                    <xdr:colOff>473956</xdr:colOff>
                    <xdr:row>30</xdr:row>
                    <xdr:rowOff>220222</xdr:rowOff>
                  </to>
                </anchor>
              </controlPr>
            </control>
          </mc:Choice>
        </mc:AlternateContent>
        <mc:AlternateContent xmlns:mc="http://schemas.openxmlformats.org/markup-compatibility/2006">
          <mc:Choice Requires="x14">
            <control shapeId="11321" r:id="rId17" name="Drop Down 57">
              <controlPr defaultSize="0" autoLine="0" autoPict="0">
                <anchor moveWithCells="1">
                  <from>
                    <xdr:col>5</xdr:col>
                    <xdr:colOff>9575</xdr:colOff>
                    <xdr:row>30</xdr:row>
                    <xdr:rowOff>19150</xdr:rowOff>
                  </from>
                  <to>
                    <xdr:col>6</xdr:col>
                    <xdr:colOff>411719</xdr:colOff>
                    <xdr:row>30</xdr:row>
                    <xdr:rowOff>220222</xdr:rowOff>
                  </to>
                </anchor>
              </controlPr>
            </control>
          </mc:Choice>
        </mc:AlternateContent>
        <mc:AlternateContent xmlns:mc="http://schemas.openxmlformats.org/markup-compatibility/2006">
          <mc:Choice Requires="x14">
            <control shapeId="11328" r:id="rId18" name="Spinner 64">
              <controlPr defaultSize="0" autoPict="0">
                <anchor moveWithCells="1" sizeWithCells="1">
                  <from>
                    <xdr:col>2</xdr:col>
                    <xdr:colOff>990999</xdr:colOff>
                    <xdr:row>32</xdr:row>
                    <xdr:rowOff>28725</xdr:rowOff>
                  </from>
                  <to>
                    <xdr:col>3</xdr:col>
                    <xdr:colOff>0</xdr:colOff>
                    <xdr:row>33</xdr:row>
                    <xdr:rowOff>38299</xdr:rowOff>
                  </to>
                </anchor>
              </controlPr>
            </control>
          </mc:Choice>
        </mc:AlternateContent>
        <mc:AlternateContent xmlns:mc="http://schemas.openxmlformats.org/markup-compatibility/2006">
          <mc:Choice Requires="x14">
            <control shapeId="11329" r:id="rId19" name="Spinner 65">
              <controlPr defaultSize="0" autoPict="0">
                <anchor moveWithCells="1" sizeWithCells="1">
                  <from>
                    <xdr:col>2</xdr:col>
                    <xdr:colOff>990999</xdr:colOff>
                    <xdr:row>34</xdr:row>
                    <xdr:rowOff>28725</xdr:rowOff>
                  </from>
                  <to>
                    <xdr:col>3</xdr:col>
                    <xdr:colOff>0</xdr:colOff>
                    <xdr:row>34</xdr:row>
                    <xdr:rowOff>201072</xdr:rowOff>
                  </to>
                </anchor>
              </controlPr>
            </control>
          </mc:Choice>
        </mc:AlternateContent>
        <mc:AlternateContent xmlns:mc="http://schemas.openxmlformats.org/markup-compatibility/2006">
          <mc:Choice Requires="x14">
            <control shapeId="11330" r:id="rId20" name="Spinner 66">
              <controlPr defaultSize="0" autoPict="0">
                <anchor moveWithCells="1" sizeWithCells="1">
                  <from>
                    <xdr:col>2</xdr:col>
                    <xdr:colOff>990999</xdr:colOff>
                    <xdr:row>35</xdr:row>
                    <xdr:rowOff>28725</xdr:rowOff>
                  </from>
                  <to>
                    <xdr:col>3</xdr:col>
                    <xdr:colOff>0</xdr:colOff>
                    <xdr:row>35</xdr:row>
                    <xdr:rowOff>201072</xdr:rowOff>
                  </to>
                </anchor>
              </controlPr>
            </control>
          </mc:Choice>
        </mc:AlternateContent>
        <mc:AlternateContent xmlns:mc="http://schemas.openxmlformats.org/markup-compatibility/2006">
          <mc:Choice Requires="x14">
            <control shapeId="11331" r:id="rId21" name="Spinner 67">
              <controlPr defaultSize="0" autoPict="0">
                <anchor moveWithCells="1" sizeWithCells="1">
                  <from>
                    <xdr:col>2</xdr:col>
                    <xdr:colOff>990999</xdr:colOff>
                    <xdr:row>37</xdr:row>
                    <xdr:rowOff>28725</xdr:rowOff>
                  </from>
                  <to>
                    <xdr:col>3</xdr:col>
                    <xdr:colOff>0</xdr:colOff>
                    <xdr:row>37</xdr:row>
                    <xdr:rowOff>201072</xdr:rowOff>
                  </to>
                </anchor>
              </controlPr>
            </control>
          </mc:Choice>
        </mc:AlternateContent>
        <mc:AlternateContent xmlns:mc="http://schemas.openxmlformats.org/markup-compatibility/2006">
          <mc:Choice Requires="x14">
            <control shapeId="11332" r:id="rId22" name="Spinner 68">
              <controlPr defaultSize="0" autoPict="0">
                <anchor moveWithCells="1" sizeWithCells="1">
                  <from>
                    <xdr:col>2</xdr:col>
                    <xdr:colOff>990999</xdr:colOff>
                    <xdr:row>39</xdr:row>
                    <xdr:rowOff>28725</xdr:rowOff>
                  </from>
                  <to>
                    <xdr:col>3</xdr:col>
                    <xdr:colOff>0</xdr:colOff>
                    <xdr:row>39</xdr:row>
                    <xdr:rowOff>201072</xdr:rowOff>
                  </to>
                </anchor>
              </controlPr>
            </control>
          </mc:Choice>
        </mc:AlternateContent>
        <mc:AlternateContent xmlns:mc="http://schemas.openxmlformats.org/markup-compatibility/2006">
          <mc:Choice Requires="x14">
            <control shapeId="11333" r:id="rId23" name="Spinner 69">
              <controlPr defaultSize="0" autoPict="0">
                <anchor moveWithCells="1" sizeWithCells="1">
                  <from>
                    <xdr:col>2</xdr:col>
                    <xdr:colOff>990999</xdr:colOff>
                    <xdr:row>40</xdr:row>
                    <xdr:rowOff>28725</xdr:rowOff>
                  </from>
                  <to>
                    <xdr:col>3</xdr:col>
                    <xdr:colOff>0</xdr:colOff>
                    <xdr:row>40</xdr:row>
                    <xdr:rowOff>201072</xdr:rowOff>
                  </to>
                </anchor>
              </controlPr>
            </control>
          </mc:Choice>
        </mc:AlternateContent>
        <mc:AlternateContent xmlns:mc="http://schemas.openxmlformats.org/markup-compatibility/2006">
          <mc:Choice Requires="x14">
            <control shapeId="11334" r:id="rId24" name="Button 70">
              <controlPr defaultSize="0" print="0" autoFill="0" autoPict="0" macro="[0]!PaceMaker">
                <anchor moveWithCells="1" sizeWithCells="1">
                  <from>
                    <xdr:col>2</xdr:col>
                    <xdr:colOff>67024</xdr:colOff>
                    <xdr:row>28</xdr:row>
                    <xdr:rowOff>105324</xdr:rowOff>
                  </from>
                  <to>
                    <xdr:col>2</xdr:col>
                    <xdr:colOff>742052</xdr:colOff>
                    <xdr:row>29</xdr:row>
                    <xdr:rowOff>47874</xdr:rowOff>
                  </to>
                </anchor>
              </controlPr>
            </control>
          </mc:Choice>
        </mc:AlternateContent>
        <mc:AlternateContent xmlns:mc="http://schemas.openxmlformats.org/markup-compatibility/2006">
          <mc:Choice Requires="x14">
            <control shapeId="11335" r:id="rId25" name="Spinner 71">
              <controlPr defaultSize="0" autoPict="0">
                <anchor moveWithCells="1" sizeWithCells="1">
                  <from>
                    <xdr:col>2</xdr:col>
                    <xdr:colOff>990999</xdr:colOff>
                    <xdr:row>22</xdr:row>
                    <xdr:rowOff>28725</xdr:rowOff>
                  </from>
                  <to>
                    <xdr:col>3</xdr:col>
                    <xdr:colOff>0</xdr:colOff>
                    <xdr:row>22</xdr:row>
                    <xdr:rowOff>201072</xdr:rowOff>
                  </to>
                </anchor>
              </controlPr>
            </control>
          </mc:Choice>
        </mc:AlternateContent>
        <mc:AlternateContent xmlns:mc="http://schemas.openxmlformats.org/markup-compatibility/2006">
          <mc:Choice Requires="x14">
            <control shapeId="11336" r:id="rId26" name="Spinner 72">
              <controlPr defaultSize="0" autoPict="0">
                <anchor moveWithCells="1" sizeWithCells="1">
                  <from>
                    <xdr:col>2</xdr:col>
                    <xdr:colOff>990999</xdr:colOff>
                    <xdr:row>23</xdr:row>
                    <xdr:rowOff>28725</xdr:rowOff>
                  </from>
                  <to>
                    <xdr:col>3</xdr:col>
                    <xdr:colOff>0</xdr:colOff>
                    <xdr:row>23</xdr:row>
                    <xdr:rowOff>201072</xdr:rowOff>
                  </to>
                </anchor>
              </controlPr>
            </control>
          </mc:Choice>
        </mc:AlternateContent>
        <mc:AlternateContent xmlns:mc="http://schemas.openxmlformats.org/markup-compatibility/2006">
          <mc:Choice Requires="x14">
            <control shapeId="11338" r:id="rId27" name="Spinner 74">
              <controlPr defaultSize="0" autoPict="0">
                <anchor moveWithCells="1" sizeWithCells="1">
                  <from>
                    <xdr:col>5</xdr:col>
                    <xdr:colOff>990999</xdr:colOff>
                    <xdr:row>22</xdr:row>
                    <xdr:rowOff>28725</xdr:rowOff>
                  </from>
                  <to>
                    <xdr:col>5</xdr:col>
                    <xdr:colOff>1153772</xdr:colOff>
                    <xdr:row>22</xdr:row>
                    <xdr:rowOff>201072</xdr:rowOff>
                  </to>
                </anchor>
              </controlPr>
            </control>
          </mc:Choice>
        </mc:AlternateContent>
        <mc:AlternateContent xmlns:mc="http://schemas.openxmlformats.org/markup-compatibility/2006">
          <mc:Choice Requires="x14">
            <control shapeId="11339" r:id="rId28" name="Spinner 75">
              <controlPr defaultSize="0" autoPict="0">
                <anchor moveWithCells="1" sizeWithCells="1">
                  <from>
                    <xdr:col>5</xdr:col>
                    <xdr:colOff>990999</xdr:colOff>
                    <xdr:row>23</xdr:row>
                    <xdr:rowOff>28725</xdr:rowOff>
                  </from>
                  <to>
                    <xdr:col>5</xdr:col>
                    <xdr:colOff>1153772</xdr:colOff>
                    <xdr:row>23</xdr:row>
                    <xdr:rowOff>201072</xdr:rowOff>
                  </to>
                </anchor>
              </controlPr>
            </control>
          </mc:Choice>
        </mc:AlternateContent>
        <mc:AlternateContent xmlns:mc="http://schemas.openxmlformats.org/markup-compatibility/2006">
          <mc:Choice Requires="x14">
            <control shapeId="11340" r:id="rId29" name="Check Box 76">
              <controlPr defaultSize="0" autoFill="0" autoLine="0" autoPict="0">
                <anchor>
                  <from>
                    <xdr:col>7</xdr:col>
                    <xdr:colOff>382995</xdr:colOff>
                    <xdr:row>20</xdr:row>
                    <xdr:rowOff>28725</xdr:rowOff>
                  </from>
                  <to>
                    <xdr:col>8</xdr:col>
                    <xdr:colOff>76599</xdr:colOff>
                    <xdr:row>21</xdr:row>
                    <xdr:rowOff>28725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nfusen"/>
  <dimension ref="A1:S34"/>
  <sheetViews>
    <sheetView workbookViewId="0">
      <selection activeCell="B17" sqref="B17"/>
    </sheetView>
  </sheetViews>
  <sheetFormatPr defaultRowHeight="12.85" x14ac:dyDescent="0.35"/>
  <cols>
    <col min="1" max="1" width="76.1328125" customWidth="1"/>
    <col min="7" max="7" width="20" customWidth="1"/>
  </cols>
  <sheetData>
    <row r="1" spans="1:19" ht="13.2" x14ac:dyDescent="0.4">
      <c r="A1" s="3"/>
      <c r="G1" s="8" t="s">
        <v>1296</v>
      </c>
      <c r="L1">
        <v>1</v>
      </c>
      <c r="M1">
        <v>1</v>
      </c>
      <c r="Q1" t="s">
        <v>2527</v>
      </c>
      <c r="S1">
        <v>70</v>
      </c>
    </row>
    <row r="2" spans="1:19" x14ac:dyDescent="0.35">
      <c r="A2" s="11" t="s">
        <v>1768</v>
      </c>
      <c r="D2">
        <v>1</v>
      </c>
      <c r="E2">
        <v>1</v>
      </c>
      <c r="G2" s="8" t="s">
        <v>1297</v>
      </c>
      <c r="J2" t="s">
        <v>4094</v>
      </c>
      <c r="L2">
        <v>2</v>
      </c>
      <c r="M2">
        <v>1</v>
      </c>
      <c r="Q2" t="s">
        <v>2523</v>
      </c>
      <c r="S2">
        <v>10</v>
      </c>
    </row>
    <row r="3" spans="1:19" x14ac:dyDescent="0.35">
      <c r="A3" s="11" t="s">
        <v>2097</v>
      </c>
      <c r="B3">
        <v>12</v>
      </c>
      <c r="C3">
        <f>B3*0.155</f>
        <v>1.8599999999999999</v>
      </c>
      <c r="D3">
        <v>2</v>
      </c>
      <c r="E3">
        <v>1</v>
      </c>
      <c r="G3" s="9" t="s">
        <v>2812</v>
      </c>
      <c r="J3" t="s">
        <v>4095</v>
      </c>
      <c r="L3">
        <v>3</v>
      </c>
      <c r="M3">
        <v>1</v>
      </c>
      <c r="O3" t="s">
        <v>3622</v>
      </c>
      <c r="P3" t="s">
        <v>2520</v>
      </c>
      <c r="Q3" t="s">
        <v>2524</v>
      </c>
      <c r="S3">
        <v>10</v>
      </c>
    </row>
    <row r="4" spans="1:19" x14ac:dyDescent="0.35">
      <c r="A4" s="11" t="s">
        <v>3534</v>
      </c>
      <c r="B4">
        <v>72</v>
      </c>
      <c r="C4">
        <f>B4*0.155</f>
        <v>11.16</v>
      </c>
      <c r="D4">
        <v>3</v>
      </c>
      <c r="E4">
        <v>1</v>
      </c>
      <c r="G4" s="8" t="s">
        <v>2813</v>
      </c>
      <c r="J4" t="s">
        <v>4081</v>
      </c>
      <c r="L4">
        <v>4</v>
      </c>
      <c r="M4">
        <v>1</v>
      </c>
      <c r="O4" t="s">
        <v>2518</v>
      </c>
      <c r="P4" t="s">
        <v>2521</v>
      </c>
      <c r="Q4" t="s">
        <v>2525</v>
      </c>
      <c r="S4">
        <v>170</v>
      </c>
    </row>
    <row r="5" spans="1:19" x14ac:dyDescent="0.35">
      <c r="A5" s="11" t="s">
        <v>3535</v>
      </c>
      <c r="B5">
        <v>12</v>
      </c>
      <c r="C5">
        <f>B5*0.155</f>
        <v>1.8599999999999999</v>
      </c>
      <c r="D5">
        <v>4</v>
      </c>
      <c r="E5">
        <v>1</v>
      </c>
      <c r="G5" s="8" t="s">
        <v>2814</v>
      </c>
      <c r="J5" t="s">
        <v>4078</v>
      </c>
      <c r="L5">
        <v>5</v>
      </c>
      <c r="M5">
        <v>1</v>
      </c>
      <c r="O5" t="s">
        <v>2519</v>
      </c>
      <c r="P5" t="s">
        <v>2522</v>
      </c>
      <c r="Q5" t="s">
        <v>2526</v>
      </c>
      <c r="S5">
        <v>20</v>
      </c>
    </row>
    <row r="6" spans="1:19" x14ac:dyDescent="0.35">
      <c r="A6" s="11" t="s">
        <v>1292</v>
      </c>
      <c r="B6">
        <v>72</v>
      </c>
      <c r="C6">
        <f>B6*0.155</f>
        <v>11.16</v>
      </c>
      <c r="D6">
        <v>5</v>
      </c>
      <c r="E6">
        <v>1</v>
      </c>
      <c r="G6" s="9" t="s">
        <v>2815</v>
      </c>
      <c r="J6" t="s">
        <v>376</v>
      </c>
      <c r="L6">
        <v>6</v>
      </c>
      <c r="M6">
        <v>1</v>
      </c>
      <c r="Q6" t="s">
        <v>2959</v>
      </c>
      <c r="S6">
        <v>20</v>
      </c>
    </row>
    <row r="7" spans="1:19" x14ac:dyDescent="0.35">
      <c r="A7" s="11" t="s">
        <v>1293</v>
      </c>
      <c r="D7">
        <v>6</v>
      </c>
      <c r="E7">
        <v>1</v>
      </c>
      <c r="G7" s="8" t="s">
        <v>2816</v>
      </c>
      <c r="J7" t="s">
        <v>4074</v>
      </c>
    </row>
    <row r="8" spans="1:19" x14ac:dyDescent="0.35">
      <c r="A8" s="11" t="s">
        <v>423</v>
      </c>
      <c r="B8">
        <v>12</v>
      </c>
      <c r="C8">
        <f>B8*0.155</f>
        <v>1.8599999999999999</v>
      </c>
      <c r="G8" s="9" t="s">
        <v>2817</v>
      </c>
      <c r="J8" t="s">
        <v>4075</v>
      </c>
      <c r="O8" t="s">
        <v>2679</v>
      </c>
      <c r="P8" t="b">
        <v>1</v>
      </c>
    </row>
    <row r="9" spans="1:19" x14ac:dyDescent="0.35">
      <c r="A9" s="11" t="s">
        <v>424</v>
      </c>
      <c r="B9">
        <v>72</v>
      </c>
      <c r="C9">
        <f>B9*0.155</f>
        <v>11.16</v>
      </c>
      <c r="G9" s="9" t="s">
        <v>2818</v>
      </c>
      <c r="J9" t="s">
        <v>3152</v>
      </c>
    </row>
    <row r="10" spans="1:19" x14ac:dyDescent="0.35">
      <c r="A10" s="11" t="s">
        <v>943</v>
      </c>
      <c r="G10" s="9" t="s">
        <v>1550</v>
      </c>
      <c r="J10" t="s">
        <v>4084</v>
      </c>
    </row>
    <row r="11" spans="1:19" x14ac:dyDescent="0.35">
      <c r="A11" s="11" t="s">
        <v>4130</v>
      </c>
      <c r="J11" t="s">
        <v>4083</v>
      </c>
    </row>
    <row r="12" spans="1:19" x14ac:dyDescent="0.35">
      <c r="A12" s="11" t="s">
        <v>4131</v>
      </c>
      <c r="J12" t="s">
        <v>4073</v>
      </c>
    </row>
    <row r="13" spans="1:19" x14ac:dyDescent="0.35">
      <c r="A13" s="11" t="s">
        <v>3374</v>
      </c>
      <c r="G13" s="9"/>
      <c r="J13" t="s">
        <v>4085</v>
      </c>
    </row>
    <row r="14" spans="1:19" x14ac:dyDescent="0.35">
      <c r="A14" s="11" t="s">
        <v>3375</v>
      </c>
      <c r="G14" s="9"/>
      <c r="J14" t="s">
        <v>4093</v>
      </c>
    </row>
    <row r="15" spans="1:19" x14ac:dyDescent="0.35">
      <c r="A15" s="11" t="s">
        <v>1294</v>
      </c>
      <c r="G15" s="9" t="s">
        <v>1551</v>
      </c>
      <c r="H15">
        <v>8</v>
      </c>
      <c r="J15" t="s">
        <v>4082</v>
      </c>
    </row>
    <row r="16" spans="1:19" x14ac:dyDescent="0.35">
      <c r="A16" s="11" t="s">
        <v>425</v>
      </c>
      <c r="B16">
        <v>12</v>
      </c>
      <c r="C16">
        <f>B16*0.155</f>
        <v>1.8599999999999999</v>
      </c>
      <c r="G16" s="9" t="s">
        <v>1552</v>
      </c>
      <c r="H16">
        <v>3</v>
      </c>
      <c r="J16" t="s">
        <v>4076</v>
      </c>
    </row>
    <row r="17" spans="1:10" x14ac:dyDescent="0.35">
      <c r="A17" s="11" t="s">
        <v>426</v>
      </c>
      <c r="B17">
        <v>72</v>
      </c>
      <c r="C17">
        <f>B17*0.155</f>
        <v>11.16</v>
      </c>
      <c r="J17" t="s">
        <v>4080</v>
      </c>
    </row>
    <row r="18" spans="1:10" x14ac:dyDescent="0.35">
      <c r="A18" s="11" t="s">
        <v>1978</v>
      </c>
      <c r="J18" t="s">
        <v>4079</v>
      </c>
    </row>
    <row r="19" spans="1:10" x14ac:dyDescent="0.35">
      <c r="A19" s="11" t="s">
        <v>4130</v>
      </c>
      <c r="J19" t="s">
        <v>4092</v>
      </c>
    </row>
    <row r="20" spans="1:10" x14ac:dyDescent="0.35">
      <c r="A20" s="11" t="s">
        <v>4131</v>
      </c>
      <c r="J20" t="s">
        <v>4077</v>
      </c>
    </row>
    <row r="21" spans="1:10" x14ac:dyDescent="0.35">
      <c r="A21" s="11" t="s">
        <v>3376</v>
      </c>
      <c r="J21" t="s">
        <v>4096</v>
      </c>
    </row>
    <row r="22" spans="1:10" x14ac:dyDescent="0.35">
      <c r="A22" s="11" t="s">
        <v>3121</v>
      </c>
      <c r="J22" t="s">
        <v>3466</v>
      </c>
    </row>
    <row r="23" spans="1:10" x14ac:dyDescent="0.35">
      <c r="A23" s="11" t="s">
        <v>1767</v>
      </c>
      <c r="J23" t="s">
        <v>4086</v>
      </c>
    </row>
    <row r="24" spans="1:10" x14ac:dyDescent="0.35">
      <c r="A24" s="11" t="s">
        <v>3122</v>
      </c>
      <c r="J24" t="s">
        <v>3467</v>
      </c>
    </row>
    <row r="25" spans="1:10" x14ac:dyDescent="0.35">
      <c r="A25" s="11" t="s">
        <v>2984</v>
      </c>
      <c r="J25" t="s">
        <v>4087</v>
      </c>
    </row>
    <row r="26" spans="1:10" x14ac:dyDescent="0.35">
      <c r="A26" s="11" t="s">
        <v>4925</v>
      </c>
      <c r="J26" t="s">
        <v>3468</v>
      </c>
    </row>
    <row r="27" spans="1:10" x14ac:dyDescent="0.35">
      <c r="A27" s="11" t="s">
        <v>3874</v>
      </c>
      <c r="J27" t="s">
        <v>3469</v>
      </c>
    </row>
    <row r="28" spans="1:10" x14ac:dyDescent="0.35">
      <c r="A28" s="11" t="s">
        <v>3872</v>
      </c>
      <c r="J28" t="s">
        <v>3470</v>
      </c>
    </row>
    <row r="29" spans="1:10" x14ac:dyDescent="0.35">
      <c r="A29" s="11" t="s">
        <v>3873</v>
      </c>
      <c r="J29" t="s">
        <v>939</v>
      </c>
    </row>
    <row r="30" spans="1:10" x14ac:dyDescent="0.35">
      <c r="A30" s="11" t="s">
        <v>4926</v>
      </c>
      <c r="J30" t="s">
        <v>375</v>
      </c>
    </row>
    <row r="31" spans="1:10" x14ac:dyDescent="0.35">
      <c r="A31" s="11" t="s">
        <v>4186</v>
      </c>
      <c r="J31" t="s">
        <v>131</v>
      </c>
    </row>
    <row r="32" spans="1:10" x14ac:dyDescent="0.35">
      <c r="A32" s="11" t="s">
        <v>4187</v>
      </c>
    </row>
    <row r="33" spans="1:1" x14ac:dyDescent="0.35">
      <c r="A33" s="11" t="s">
        <v>4188</v>
      </c>
    </row>
    <row r="34" spans="1:1" x14ac:dyDescent="0.35">
      <c r="A34" s="11" t="s">
        <v>3153</v>
      </c>
    </row>
  </sheetData>
  <phoneticPr fontId="26"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Normaal"/>
  <dimension ref="A1:F21"/>
  <sheetViews>
    <sheetView workbookViewId="0">
      <selection activeCell="A21" sqref="A21"/>
    </sheetView>
  </sheetViews>
  <sheetFormatPr defaultRowHeight="12.85" x14ac:dyDescent="0.35"/>
  <sheetData>
    <row r="1" spans="1:2" x14ac:dyDescent="0.35">
      <c r="A1">
        <v>1</v>
      </c>
      <c r="B1">
        <v>30</v>
      </c>
    </row>
    <row r="2" spans="1:2" x14ac:dyDescent="0.35">
      <c r="A2">
        <v>2</v>
      </c>
      <c r="B2">
        <v>60</v>
      </c>
    </row>
    <row r="3" spans="1:2" x14ac:dyDescent="0.35">
      <c r="A3">
        <v>3</v>
      </c>
      <c r="B3">
        <v>90</v>
      </c>
    </row>
    <row r="4" spans="1:2" x14ac:dyDescent="0.35">
      <c r="A4">
        <v>4</v>
      </c>
      <c r="B4">
        <v>110</v>
      </c>
    </row>
    <row r="5" spans="1:2" x14ac:dyDescent="0.35">
      <c r="A5">
        <v>5</v>
      </c>
      <c r="B5">
        <v>150</v>
      </c>
    </row>
    <row r="7" spans="1:2" x14ac:dyDescent="0.35">
      <c r="A7">
        <v>2</v>
      </c>
      <c r="B7">
        <v>150</v>
      </c>
    </row>
    <row r="8" spans="1:2" x14ac:dyDescent="0.35">
      <c r="A8">
        <v>3</v>
      </c>
      <c r="B8">
        <v>150</v>
      </c>
    </row>
    <row r="9" spans="1:2" x14ac:dyDescent="0.35">
      <c r="A9">
        <v>4</v>
      </c>
      <c r="B9">
        <v>150</v>
      </c>
    </row>
    <row r="10" spans="1:2" x14ac:dyDescent="0.35">
      <c r="A10">
        <v>5</v>
      </c>
      <c r="B10">
        <v>125</v>
      </c>
    </row>
    <row r="11" spans="1:2" x14ac:dyDescent="0.35">
      <c r="A11">
        <v>6</v>
      </c>
      <c r="B11">
        <v>125</v>
      </c>
    </row>
    <row r="12" spans="1:2" x14ac:dyDescent="0.35">
      <c r="A12">
        <v>7</v>
      </c>
      <c r="B12">
        <v>125</v>
      </c>
    </row>
    <row r="13" spans="1:2" x14ac:dyDescent="0.35">
      <c r="A13">
        <v>8</v>
      </c>
      <c r="B13">
        <v>100</v>
      </c>
    </row>
    <row r="14" spans="1:2" x14ac:dyDescent="0.35">
      <c r="A14">
        <v>9</v>
      </c>
      <c r="B14">
        <v>100</v>
      </c>
    </row>
    <row r="15" spans="1:2" x14ac:dyDescent="0.35">
      <c r="A15">
        <v>10</v>
      </c>
      <c r="B15">
        <v>100</v>
      </c>
    </row>
    <row r="17" spans="1:6" x14ac:dyDescent="0.35">
      <c r="A17" t="s">
        <v>3476</v>
      </c>
      <c r="E17" t="s">
        <v>3477</v>
      </c>
      <c r="F17" s="23">
        <f ca="1">TODAY()-GebDatum+1</f>
        <v>1280</v>
      </c>
    </row>
    <row r="18" spans="1:6" x14ac:dyDescent="0.35">
      <c r="A18" s="24">
        <f ca="1">IF(F17&lt;6,VLOOKUP(F17,A1:B5,2),IF(F18&lt;6,150,IF(F18&lt;8,125,IF(F18&lt;10,100,IF(F18&lt;20,(1000+(F18-10)*50)/F18,IF(F18&lt;30,(1500+(F18-20)*20)/F18,(1700+(F18-30)*10)/F18))))))</f>
        <v>100</v>
      </c>
      <c r="E18" t="s">
        <v>3478</v>
      </c>
      <c r="F18">
        <f>Gewicht/10</f>
        <v>10</v>
      </c>
    </row>
    <row r="20" spans="1:6" x14ac:dyDescent="0.35">
      <c r="A20" t="s">
        <v>1271</v>
      </c>
    </row>
    <row r="21" spans="1:6" x14ac:dyDescent="0.35">
      <c r="A21">
        <f ca="1">ROUND((100-F17/365*(60/17))/5,0)*5</f>
        <v>90</v>
      </c>
    </row>
  </sheetData>
  <phoneticPr fontId="26" type="noConversion"/>
  <pageMargins left="0.75" right="0.75" top="1" bottom="1" header="0.5" footer="0.5"/>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4"/>
  <dimension ref="A1:H649"/>
  <sheetViews>
    <sheetView workbookViewId="0">
      <selection activeCell="G505" sqref="G505:G510"/>
    </sheetView>
  </sheetViews>
  <sheetFormatPr defaultColWidth="9.1328125" defaultRowHeight="12.85" x14ac:dyDescent="0.35"/>
  <cols>
    <col min="1" max="1" width="36.73046875" style="37" customWidth="1"/>
    <col min="2" max="3" width="9.1328125" style="37"/>
    <col min="4" max="4" width="18.3984375" style="37" customWidth="1"/>
    <col min="5" max="6" width="9.1328125" style="37"/>
    <col min="7" max="7" width="30.1328125" style="37" customWidth="1"/>
    <col min="8" max="16384" width="9.1328125" style="37"/>
  </cols>
  <sheetData>
    <row r="1" spans="1:8" ht="25.65" x14ac:dyDescent="0.35">
      <c r="A1" s="37" t="s">
        <v>3009</v>
      </c>
      <c r="B1" s="37" t="s">
        <v>2418</v>
      </c>
      <c r="C1" s="37" t="s">
        <v>2419</v>
      </c>
      <c r="D1" s="37" t="s">
        <v>978</v>
      </c>
      <c r="E1" s="37" t="s">
        <v>2420</v>
      </c>
      <c r="G1" s="106" t="s">
        <v>2159</v>
      </c>
      <c r="H1" s="106" t="s">
        <v>1251</v>
      </c>
    </row>
    <row r="2" spans="1:8" ht="25.65" x14ac:dyDescent="0.35">
      <c r="G2" s="106" t="s">
        <v>173</v>
      </c>
      <c r="H2" s="106" t="s">
        <v>615</v>
      </c>
    </row>
    <row r="3" spans="1:8" ht="25.65" x14ac:dyDescent="0.35">
      <c r="G3" s="106" t="s">
        <v>174</v>
      </c>
      <c r="H3" s="106" t="s">
        <v>616</v>
      </c>
    </row>
    <row r="4" spans="1:8" ht="25.65" x14ac:dyDescent="0.35">
      <c r="G4" s="106" t="s">
        <v>175</v>
      </c>
      <c r="H4" s="106" t="s">
        <v>617</v>
      </c>
    </row>
    <row r="5" spans="1:8" ht="25.65" x14ac:dyDescent="0.35">
      <c r="G5" s="106" t="s">
        <v>1192</v>
      </c>
      <c r="H5" s="106" t="s">
        <v>618</v>
      </c>
    </row>
    <row r="6" spans="1:8" ht="25.65" x14ac:dyDescent="0.35">
      <c r="G6" s="106" t="s">
        <v>1193</v>
      </c>
      <c r="H6" s="106" t="s">
        <v>619</v>
      </c>
    </row>
    <row r="7" spans="1:8" ht="25.65" x14ac:dyDescent="0.35">
      <c r="G7" s="106" t="s">
        <v>1194</v>
      </c>
      <c r="H7" s="106" t="s">
        <v>620</v>
      </c>
    </row>
    <row r="8" spans="1:8" ht="25.65" x14ac:dyDescent="0.35">
      <c r="G8" s="106" t="s">
        <v>3792</v>
      </c>
      <c r="H8" s="106" t="s">
        <v>621</v>
      </c>
    </row>
    <row r="9" spans="1:8" ht="25.65" x14ac:dyDescent="0.35">
      <c r="G9" s="106" t="s">
        <v>3793</v>
      </c>
      <c r="H9" s="106" t="s">
        <v>622</v>
      </c>
    </row>
    <row r="10" spans="1:8" ht="25.65" x14ac:dyDescent="0.35">
      <c r="G10" s="106" t="s">
        <v>3794</v>
      </c>
      <c r="H10" s="106" t="s">
        <v>623</v>
      </c>
    </row>
    <row r="11" spans="1:8" ht="25.65" x14ac:dyDescent="0.35">
      <c r="G11" s="106" t="s">
        <v>3795</v>
      </c>
      <c r="H11" s="106" t="s">
        <v>624</v>
      </c>
    </row>
    <row r="12" spans="1:8" ht="25.65" x14ac:dyDescent="0.35">
      <c r="G12" s="106" t="s">
        <v>3796</v>
      </c>
      <c r="H12" s="106" t="s">
        <v>625</v>
      </c>
    </row>
    <row r="13" spans="1:8" ht="25.65" x14ac:dyDescent="0.35">
      <c r="G13" s="106" t="s">
        <v>3797</v>
      </c>
      <c r="H13" s="106" t="s">
        <v>626</v>
      </c>
    </row>
    <row r="14" spans="1:8" ht="25.65" x14ac:dyDescent="0.35">
      <c r="G14" s="106" t="s">
        <v>3798</v>
      </c>
      <c r="H14" s="106" t="s">
        <v>3937</v>
      </c>
    </row>
    <row r="15" spans="1:8" ht="25.65" x14ac:dyDescent="0.35">
      <c r="G15" s="106" t="s">
        <v>3799</v>
      </c>
      <c r="H15" s="106" t="s">
        <v>3938</v>
      </c>
    </row>
    <row r="16" spans="1:8" ht="25.65" x14ac:dyDescent="0.35">
      <c r="G16" s="106" t="s">
        <v>3800</v>
      </c>
      <c r="H16" s="106" t="s">
        <v>3939</v>
      </c>
    </row>
    <row r="17" spans="7:8" ht="25.65" x14ac:dyDescent="0.35">
      <c r="G17" s="106" t="s">
        <v>2157</v>
      </c>
      <c r="H17" s="106" t="s">
        <v>3940</v>
      </c>
    </row>
    <row r="18" spans="7:8" ht="25.65" x14ac:dyDescent="0.35">
      <c r="G18" s="106" t="s">
        <v>2670</v>
      </c>
      <c r="H18" s="106" t="s">
        <v>587</v>
      </c>
    </row>
    <row r="19" spans="7:8" ht="25.65" x14ac:dyDescent="0.35">
      <c r="G19" s="106" t="s">
        <v>1169</v>
      </c>
      <c r="H19" s="106" t="s">
        <v>2845</v>
      </c>
    </row>
    <row r="20" spans="7:8" ht="25.65" x14ac:dyDescent="0.35">
      <c r="G20" s="106" t="s">
        <v>2846</v>
      </c>
      <c r="H20" s="106" t="s">
        <v>2847</v>
      </c>
    </row>
    <row r="21" spans="7:8" ht="25.65" x14ac:dyDescent="0.35">
      <c r="G21" s="106" t="s">
        <v>3692</v>
      </c>
      <c r="H21" s="106" t="s">
        <v>2848</v>
      </c>
    </row>
    <row r="22" spans="7:8" ht="25.65" x14ac:dyDescent="0.35">
      <c r="G22" s="106" t="s">
        <v>3693</v>
      </c>
      <c r="H22" s="106" t="s">
        <v>3888</v>
      </c>
    </row>
    <row r="23" spans="7:8" ht="25.65" x14ac:dyDescent="0.35">
      <c r="G23" s="106" t="s">
        <v>2120</v>
      </c>
      <c r="H23" s="106" t="s">
        <v>3889</v>
      </c>
    </row>
    <row r="24" spans="7:8" ht="25.65" x14ac:dyDescent="0.35">
      <c r="G24" s="106" t="s">
        <v>3890</v>
      </c>
      <c r="H24" s="106" t="s">
        <v>3891</v>
      </c>
    </row>
    <row r="25" spans="7:8" ht="38.450000000000003" x14ac:dyDescent="0.35">
      <c r="G25" s="106" t="s">
        <v>3494</v>
      </c>
      <c r="H25" s="106" t="s">
        <v>3495</v>
      </c>
    </row>
    <row r="26" spans="7:8" ht="25.65" x14ac:dyDescent="0.35">
      <c r="G26" s="106" t="s">
        <v>3496</v>
      </c>
      <c r="H26" s="106" t="s">
        <v>3497</v>
      </c>
    </row>
    <row r="27" spans="7:8" ht="25.65" x14ac:dyDescent="0.35">
      <c r="G27" s="106" t="s">
        <v>3498</v>
      </c>
      <c r="H27" s="106" t="s">
        <v>3499</v>
      </c>
    </row>
    <row r="28" spans="7:8" ht="25.65" x14ac:dyDescent="0.35">
      <c r="G28" s="106" t="s">
        <v>3500</v>
      </c>
      <c r="H28" s="106" t="s">
        <v>3604</v>
      </c>
    </row>
    <row r="29" spans="7:8" ht="25.65" x14ac:dyDescent="0.35">
      <c r="G29" s="106" t="s">
        <v>3605</v>
      </c>
      <c r="H29" s="106" t="s">
        <v>3606</v>
      </c>
    </row>
    <row r="30" spans="7:8" ht="25.65" x14ac:dyDescent="0.35">
      <c r="G30" s="106" t="s">
        <v>3607</v>
      </c>
      <c r="H30" s="106" t="s">
        <v>3608</v>
      </c>
    </row>
    <row r="31" spans="7:8" ht="25.65" x14ac:dyDescent="0.35">
      <c r="G31" s="106" t="s">
        <v>3656</v>
      </c>
      <c r="H31" s="106" t="s">
        <v>3657</v>
      </c>
    </row>
    <row r="32" spans="7:8" ht="25.65" x14ac:dyDescent="0.35">
      <c r="G32" s="106" t="s">
        <v>3658</v>
      </c>
      <c r="H32" s="106" t="s">
        <v>3659</v>
      </c>
    </row>
    <row r="33" spans="7:8" ht="25.65" x14ac:dyDescent="0.35">
      <c r="G33" s="106" t="s">
        <v>3660</v>
      </c>
      <c r="H33" s="106" t="s">
        <v>3661</v>
      </c>
    </row>
    <row r="34" spans="7:8" ht="38.450000000000003" x14ac:dyDescent="0.35">
      <c r="G34" s="106" t="s">
        <v>3662</v>
      </c>
      <c r="H34" s="106" t="s">
        <v>3663</v>
      </c>
    </row>
    <row r="35" spans="7:8" ht="25.65" x14ac:dyDescent="0.35">
      <c r="G35" s="106" t="s">
        <v>3613</v>
      </c>
      <c r="H35" s="106" t="s">
        <v>3664</v>
      </c>
    </row>
    <row r="36" spans="7:8" ht="25.65" x14ac:dyDescent="0.35">
      <c r="G36" s="106" t="s">
        <v>3618</v>
      </c>
      <c r="H36" s="106" t="s">
        <v>1725</v>
      </c>
    </row>
    <row r="37" spans="7:8" ht="38.450000000000003" x14ac:dyDescent="0.35">
      <c r="G37" s="106" t="s">
        <v>458</v>
      </c>
      <c r="H37" s="106" t="s">
        <v>1726</v>
      </c>
    </row>
    <row r="38" spans="7:8" ht="38.450000000000003" x14ac:dyDescent="0.35">
      <c r="G38" s="106" t="s">
        <v>459</v>
      </c>
      <c r="H38" s="106" t="s">
        <v>1727</v>
      </c>
    </row>
    <row r="39" spans="7:8" ht="38.450000000000003" x14ac:dyDescent="0.35">
      <c r="G39" s="106" t="s">
        <v>460</v>
      </c>
      <c r="H39" s="106" t="s">
        <v>2672</v>
      </c>
    </row>
    <row r="40" spans="7:8" ht="38.450000000000003" x14ac:dyDescent="0.35">
      <c r="G40" s="106" t="s">
        <v>461</v>
      </c>
      <c r="H40" s="106" t="s">
        <v>2673</v>
      </c>
    </row>
    <row r="41" spans="7:8" ht="38.450000000000003" x14ac:dyDescent="0.35">
      <c r="G41" s="106" t="s">
        <v>65</v>
      </c>
      <c r="H41" s="106" t="s">
        <v>2674</v>
      </c>
    </row>
    <row r="42" spans="7:8" ht="38.450000000000003" x14ac:dyDescent="0.35">
      <c r="G42" s="106" t="s">
        <v>66</v>
      </c>
      <c r="H42" s="106" t="s">
        <v>681</v>
      </c>
    </row>
    <row r="43" spans="7:8" ht="38.450000000000003" x14ac:dyDescent="0.35">
      <c r="G43" s="106" t="s">
        <v>3403</v>
      </c>
      <c r="H43" s="106" t="s">
        <v>1855</v>
      </c>
    </row>
    <row r="44" spans="7:8" ht="38.450000000000003" x14ac:dyDescent="0.35">
      <c r="G44" s="106" t="s">
        <v>3404</v>
      </c>
      <c r="H44" s="106" t="s">
        <v>1856</v>
      </c>
    </row>
    <row r="45" spans="7:8" ht="38.450000000000003" x14ac:dyDescent="0.35">
      <c r="G45" s="106" t="s">
        <v>3405</v>
      </c>
      <c r="H45" s="106" t="s">
        <v>1773</v>
      </c>
    </row>
    <row r="46" spans="7:8" ht="38.450000000000003" x14ac:dyDescent="0.35">
      <c r="G46" s="106" t="s">
        <v>3406</v>
      </c>
      <c r="H46" s="106" t="s">
        <v>1774</v>
      </c>
    </row>
    <row r="47" spans="7:8" ht="38.450000000000003" x14ac:dyDescent="0.35">
      <c r="G47" s="106" t="s">
        <v>2177</v>
      </c>
      <c r="H47" s="106" t="s">
        <v>1775</v>
      </c>
    </row>
    <row r="48" spans="7:8" ht="38.450000000000003" x14ac:dyDescent="0.35">
      <c r="G48" s="106" t="s">
        <v>2178</v>
      </c>
      <c r="H48" s="106" t="s">
        <v>1776</v>
      </c>
    </row>
    <row r="49" spans="7:8" ht="38.450000000000003" x14ac:dyDescent="0.35">
      <c r="G49" s="106" t="s">
        <v>2179</v>
      </c>
      <c r="H49" s="106" t="s">
        <v>1777</v>
      </c>
    </row>
    <row r="50" spans="7:8" ht="38.450000000000003" x14ac:dyDescent="0.35">
      <c r="G50" s="106" t="s">
        <v>2180</v>
      </c>
      <c r="H50" s="106" t="s">
        <v>1778</v>
      </c>
    </row>
    <row r="51" spans="7:8" ht="38.450000000000003" x14ac:dyDescent="0.35">
      <c r="G51" s="106" t="s">
        <v>367</v>
      </c>
      <c r="H51" s="106" t="s">
        <v>4126</v>
      </c>
    </row>
    <row r="52" spans="7:8" ht="38.450000000000003" x14ac:dyDescent="0.35">
      <c r="G52" s="106" t="s">
        <v>368</v>
      </c>
      <c r="H52" s="106" t="s">
        <v>4127</v>
      </c>
    </row>
    <row r="53" spans="7:8" ht="38.450000000000003" x14ac:dyDescent="0.35">
      <c r="G53" s="106" t="s">
        <v>369</v>
      </c>
      <c r="H53" s="106" t="s">
        <v>4128</v>
      </c>
    </row>
    <row r="54" spans="7:8" ht="38.450000000000003" x14ac:dyDescent="0.35">
      <c r="G54" s="106" t="s">
        <v>370</v>
      </c>
      <c r="H54" s="106" t="s">
        <v>1927</v>
      </c>
    </row>
    <row r="55" spans="7:8" ht="38.450000000000003" x14ac:dyDescent="0.35">
      <c r="G55" s="106" t="s">
        <v>371</v>
      </c>
      <c r="H55" s="106" t="s">
        <v>1928</v>
      </c>
    </row>
    <row r="56" spans="7:8" ht="38.450000000000003" x14ac:dyDescent="0.35">
      <c r="G56" s="106" t="s">
        <v>842</v>
      </c>
      <c r="H56" s="106" t="s">
        <v>1929</v>
      </c>
    </row>
    <row r="57" spans="7:8" ht="25.65" x14ac:dyDescent="0.35">
      <c r="G57" s="106" t="s">
        <v>3610</v>
      </c>
      <c r="H57" s="106" t="s">
        <v>1930</v>
      </c>
    </row>
    <row r="58" spans="7:8" ht="25.65" x14ac:dyDescent="0.35">
      <c r="G58" s="106" t="s">
        <v>3617</v>
      </c>
      <c r="H58" s="106" t="s">
        <v>1931</v>
      </c>
    </row>
    <row r="59" spans="7:8" ht="25.65" x14ac:dyDescent="0.35">
      <c r="G59" s="106" t="s">
        <v>1342</v>
      </c>
      <c r="H59" s="106" t="s">
        <v>1932</v>
      </c>
    </row>
    <row r="60" spans="7:8" ht="38.450000000000003" x14ac:dyDescent="0.35">
      <c r="G60" s="106" t="s">
        <v>843</v>
      </c>
      <c r="H60" s="106" t="s">
        <v>1933</v>
      </c>
    </row>
    <row r="61" spans="7:8" ht="38.450000000000003" x14ac:dyDescent="0.35">
      <c r="G61" s="106" t="s">
        <v>844</v>
      </c>
      <c r="H61" s="106" t="s">
        <v>1934</v>
      </c>
    </row>
    <row r="62" spans="7:8" ht="38.450000000000003" x14ac:dyDescent="0.35">
      <c r="G62" s="106" t="s">
        <v>845</v>
      </c>
      <c r="H62" s="106" t="s">
        <v>1935</v>
      </c>
    </row>
    <row r="63" spans="7:8" ht="38.450000000000003" x14ac:dyDescent="0.35">
      <c r="G63" s="106" t="s">
        <v>846</v>
      </c>
      <c r="H63" s="106" t="s">
        <v>1936</v>
      </c>
    </row>
    <row r="64" spans="7:8" ht="38.450000000000003" x14ac:dyDescent="0.35">
      <c r="G64" s="106" t="s">
        <v>847</v>
      </c>
      <c r="H64" s="106" t="s">
        <v>1937</v>
      </c>
    </row>
    <row r="65" spans="7:8" ht="38.450000000000003" x14ac:dyDescent="0.35">
      <c r="G65" s="106" t="s">
        <v>848</v>
      </c>
      <c r="H65" s="106" t="s">
        <v>1938</v>
      </c>
    </row>
    <row r="66" spans="7:8" ht="38.450000000000003" x14ac:dyDescent="0.35">
      <c r="G66" s="106" t="s">
        <v>849</v>
      </c>
      <c r="H66" s="106" t="s">
        <v>3431</v>
      </c>
    </row>
    <row r="67" spans="7:8" ht="38.450000000000003" x14ac:dyDescent="0.35">
      <c r="G67" s="106" t="s">
        <v>850</v>
      </c>
      <c r="H67" s="106" t="s">
        <v>3432</v>
      </c>
    </row>
    <row r="68" spans="7:8" ht="38.450000000000003" x14ac:dyDescent="0.35">
      <c r="G68" s="106" t="s">
        <v>851</v>
      </c>
      <c r="H68" s="106" t="s">
        <v>3433</v>
      </c>
    </row>
    <row r="69" spans="7:8" ht="38.450000000000003" x14ac:dyDescent="0.35">
      <c r="G69" s="106" t="s">
        <v>852</v>
      </c>
      <c r="H69" s="106" t="s">
        <v>3434</v>
      </c>
    </row>
    <row r="70" spans="7:8" ht="38.450000000000003" x14ac:dyDescent="0.35">
      <c r="G70" s="106" t="s">
        <v>853</v>
      </c>
      <c r="H70" s="106" t="s">
        <v>3435</v>
      </c>
    </row>
    <row r="71" spans="7:8" ht="38.450000000000003" x14ac:dyDescent="0.35">
      <c r="G71" s="106" t="s">
        <v>854</v>
      </c>
      <c r="H71" s="106" t="s">
        <v>4114</v>
      </c>
    </row>
    <row r="72" spans="7:8" ht="38.450000000000003" x14ac:dyDescent="0.35">
      <c r="G72" s="106" t="s">
        <v>855</v>
      </c>
      <c r="H72" s="106" t="s">
        <v>4115</v>
      </c>
    </row>
    <row r="73" spans="7:8" ht="38.450000000000003" x14ac:dyDescent="0.35">
      <c r="G73" s="106" t="s">
        <v>856</v>
      </c>
      <c r="H73" s="106" t="s">
        <v>4116</v>
      </c>
    </row>
    <row r="74" spans="7:8" ht="38.450000000000003" x14ac:dyDescent="0.35">
      <c r="G74" s="106" t="s">
        <v>857</v>
      </c>
      <c r="H74" s="106" t="s">
        <v>4117</v>
      </c>
    </row>
    <row r="75" spans="7:8" ht="38.450000000000003" x14ac:dyDescent="0.35">
      <c r="G75" s="106" t="s">
        <v>858</v>
      </c>
      <c r="H75" s="106" t="s">
        <v>4118</v>
      </c>
    </row>
    <row r="76" spans="7:8" ht="38.450000000000003" x14ac:dyDescent="0.35">
      <c r="G76" s="106" t="s">
        <v>859</v>
      </c>
      <c r="H76" s="106" t="s">
        <v>4119</v>
      </c>
    </row>
    <row r="77" spans="7:8" ht="38.450000000000003" x14ac:dyDescent="0.35">
      <c r="G77" s="106" t="s">
        <v>2243</v>
      </c>
      <c r="H77" s="106" t="s">
        <v>4120</v>
      </c>
    </row>
    <row r="78" spans="7:8" ht="38.450000000000003" x14ac:dyDescent="0.35">
      <c r="G78" s="106" t="s">
        <v>2244</v>
      </c>
      <c r="H78" s="106" t="s">
        <v>4121</v>
      </c>
    </row>
    <row r="79" spans="7:8" ht="38.450000000000003" x14ac:dyDescent="0.35">
      <c r="G79" s="106" t="s">
        <v>2311</v>
      </c>
      <c r="H79" s="106" t="s">
        <v>1870</v>
      </c>
    </row>
    <row r="80" spans="7:8" ht="25.65" x14ac:dyDescent="0.35">
      <c r="G80" s="106" t="s">
        <v>2314</v>
      </c>
      <c r="H80" s="106" t="s">
        <v>1871</v>
      </c>
    </row>
    <row r="81" spans="7:8" ht="25.65" x14ac:dyDescent="0.35">
      <c r="G81" s="106" t="s">
        <v>3624</v>
      </c>
      <c r="H81" s="106" t="s">
        <v>1872</v>
      </c>
    </row>
    <row r="82" spans="7:8" ht="25.65" x14ac:dyDescent="0.35">
      <c r="G82" s="106" t="s">
        <v>3611</v>
      </c>
      <c r="H82" s="106" t="s">
        <v>1873</v>
      </c>
    </row>
    <row r="83" spans="7:8" ht="25.65" x14ac:dyDescent="0.35">
      <c r="G83" s="106" t="s">
        <v>3615</v>
      </c>
      <c r="H83" s="106" t="s">
        <v>1874</v>
      </c>
    </row>
    <row r="84" spans="7:8" ht="25.65" x14ac:dyDescent="0.35">
      <c r="G84" s="106" t="s">
        <v>1594</v>
      </c>
      <c r="H84" s="106" t="s">
        <v>1875</v>
      </c>
    </row>
    <row r="85" spans="7:8" ht="25.65" x14ac:dyDescent="0.35">
      <c r="G85" s="106" t="s">
        <v>1595</v>
      </c>
      <c r="H85" s="106" t="s">
        <v>1876</v>
      </c>
    </row>
    <row r="86" spans="7:8" ht="25.65" x14ac:dyDescent="0.35">
      <c r="G86" s="106" t="s">
        <v>1596</v>
      </c>
      <c r="H86" s="106" t="s">
        <v>1877</v>
      </c>
    </row>
    <row r="87" spans="7:8" ht="25.65" x14ac:dyDescent="0.35">
      <c r="G87" s="106" t="s">
        <v>1597</v>
      </c>
      <c r="H87" s="106" t="s">
        <v>1878</v>
      </c>
    </row>
    <row r="88" spans="7:8" ht="25.65" x14ac:dyDescent="0.35">
      <c r="G88" s="106" t="s">
        <v>2161</v>
      </c>
      <c r="H88" s="106" t="s">
        <v>1879</v>
      </c>
    </row>
    <row r="89" spans="7:8" ht="25.65" x14ac:dyDescent="0.35">
      <c r="G89" s="106" t="s">
        <v>2745</v>
      </c>
      <c r="H89" s="106" t="s">
        <v>1880</v>
      </c>
    </row>
    <row r="90" spans="7:8" ht="25.65" x14ac:dyDescent="0.35">
      <c r="G90" s="106" t="s">
        <v>2669</v>
      </c>
      <c r="H90" s="106" t="s">
        <v>1881</v>
      </c>
    </row>
    <row r="91" spans="7:8" ht="25.65" x14ac:dyDescent="0.35">
      <c r="G91" s="106" t="s">
        <v>1562</v>
      </c>
      <c r="H91" s="106" t="s">
        <v>1882</v>
      </c>
    </row>
    <row r="92" spans="7:8" ht="25.65" x14ac:dyDescent="0.35">
      <c r="G92" s="106" t="s">
        <v>1563</v>
      </c>
      <c r="H92" s="106" t="s">
        <v>2219</v>
      </c>
    </row>
    <row r="93" spans="7:8" ht="25.65" x14ac:dyDescent="0.35">
      <c r="G93" s="106" t="s">
        <v>1564</v>
      </c>
      <c r="H93" s="106" t="s">
        <v>2220</v>
      </c>
    </row>
    <row r="94" spans="7:8" ht="25.65" x14ac:dyDescent="0.35">
      <c r="G94" s="106" t="s">
        <v>1565</v>
      </c>
      <c r="H94" s="106" t="s">
        <v>2221</v>
      </c>
    </row>
    <row r="95" spans="7:8" ht="25.65" x14ac:dyDescent="0.35">
      <c r="G95" s="106" t="s">
        <v>1566</v>
      </c>
      <c r="H95" s="106" t="s">
        <v>2222</v>
      </c>
    </row>
    <row r="96" spans="7:8" ht="25.65" x14ac:dyDescent="0.35">
      <c r="G96" s="106" t="s">
        <v>3746</v>
      </c>
      <c r="H96" s="106" t="s">
        <v>2223</v>
      </c>
    </row>
    <row r="97" spans="7:8" ht="25.65" x14ac:dyDescent="0.35">
      <c r="G97" s="106" t="s">
        <v>3616</v>
      </c>
      <c r="H97" s="106" t="s">
        <v>2224</v>
      </c>
    </row>
    <row r="98" spans="7:8" ht="25.65" x14ac:dyDescent="0.35">
      <c r="G98" s="106" t="s">
        <v>3747</v>
      </c>
      <c r="H98" s="106" t="s">
        <v>2512</v>
      </c>
    </row>
    <row r="99" spans="7:8" ht="25.65" x14ac:dyDescent="0.35">
      <c r="G99" s="106" t="s">
        <v>3748</v>
      </c>
      <c r="H99" s="106" t="s">
        <v>2513</v>
      </c>
    </row>
    <row r="100" spans="7:8" ht="25.65" x14ac:dyDescent="0.35">
      <c r="G100" s="106" t="s">
        <v>3749</v>
      </c>
      <c r="H100" s="106" t="s">
        <v>3142</v>
      </c>
    </row>
    <row r="101" spans="7:8" ht="25.65" x14ac:dyDescent="0.35">
      <c r="G101" s="106" t="s">
        <v>3750</v>
      </c>
      <c r="H101" s="106" t="s">
        <v>3143</v>
      </c>
    </row>
    <row r="102" spans="7:8" ht="25.65" x14ac:dyDescent="0.35">
      <c r="G102" s="106" t="s">
        <v>3751</v>
      </c>
      <c r="H102" s="106" t="s">
        <v>792</v>
      </c>
    </row>
    <row r="103" spans="7:8" ht="25.65" x14ac:dyDescent="0.35">
      <c r="G103" s="106" t="s">
        <v>3752</v>
      </c>
      <c r="H103" s="106" t="s">
        <v>213</v>
      </c>
    </row>
    <row r="104" spans="7:8" ht="25.65" x14ac:dyDescent="0.35">
      <c r="G104" s="106" t="s">
        <v>3753</v>
      </c>
      <c r="H104" s="106" t="s">
        <v>1528</v>
      </c>
    </row>
    <row r="105" spans="7:8" ht="25.65" x14ac:dyDescent="0.35">
      <c r="G105" s="106" t="s">
        <v>3754</v>
      </c>
      <c r="H105" s="106" t="s">
        <v>3542</v>
      </c>
    </row>
    <row r="106" spans="7:8" ht="25.65" x14ac:dyDescent="0.35">
      <c r="G106" s="106" t="s">
        <v>3755</v>
      </c>
      <c r="H106" s="106" t="s">
        <v>3543</v>
      </c>
    </row>
    <row r="107" spans="7:8" ht="25.65" x14ac:dyDescent="0.35">
      <c r="G107" s="106" t="s">
        <v>3756</v>
      </c>
      <c r="H107" s="106" t="s">
        <v>3544</v>
      </c>
    </row>
    <row r="108" spans="7:8" ht="25.65" x14ac:dyDescent="0.35">
      <c r="G108" s="106" t="s">
        <v>3757</v>
      </c>
      <c r="H108" s="106" t="s">
        <v>3545</v>
      </c>
    </row>
    <row r="109" spans="7:8" ht="25.65" x14ac:dyDescent="0.35">
      <c r="G109" s="106" t="s">
        <v>3758</v>
      </c>
      <c r="H109" s="106" t="s">
        <v>3546</v>
      </c>
    </row>
    <row r="110" spans="7:8" ht="25.65" x14ac:dyDescent="0.35">
      <c r="G110" s="106" t="s">
        <v>2167</v>
      </c>
      <c r="H110" s="106" t="s">
        <v>706</v>
      </c>
    </row>
    <row r="111" spans="7:8" ht="25.65" x14ac:dyDescent="0.35">
      <c r="G111" s="106" t="s">
        <v>4055</v>
      </c>
      <c r="H111" s="106" t="s">
        <v>707</v>
      </c>
    </row>
    <row r="112" spans="7:8" ht="25.65" x14ac:dyDescent="0.35">
      <c r="G112" s="106" t="s">
        <v>4056</v>
      </c>
      <c r="H112" s="106" t="s">
        <v>708</v>
      </c>
    </row>
    <row r="113" spans="7:8" ht="25.65" x14ac:dyDescent="0.35">
      <c r="G113" s="106" t="s">
        <v>4057</v>
      </c>
      <c r="H113" s="106" t="s">
        <v>2788</v>
      </c>
    </row>
    <row r="114" spans="7:8" ht="25.65" x14ac:dyDescent="0.35">
      <c r="G114" s="106" t="s">
        <v>4058</v>
      </c>
      <c r="H114" s="106" t="s">
        <v>2789</v>
      </c>
    </row>
    <row r="115" spans="7:8" ht="25.65" x14ac:dyDescent="0.35">
      <c r="G115" s="106" t="s">
        <v>4059</v>
      </c>
      <c r="H115" s="106" t="s">
        <v>2790</v>
      </c>
    </row>
    <row r="116" spans="7:8" ht="25.65" x14ac:dyDescent="0.35">
      <c r="G116" s="106" t="s">
        <v>4060</v>
      </c>
      <c r="H116" s="106" t="s">
        <v>2791</v>
      </c>
    </row>
    <row r="117" spans="7:8" ht="25.65" x14ac:dyDescent="0.35">
      <c r="G117" s="106" t="s">
        <v>4061</v>
      </c>
      <c r="H117" s="106" t="s">
        <v>2792</v>
      </c>
    </row>
    <row r="118" spans="7:8" ht="25.65" x14ac:dyDescent="0.35">
      <c r="G118" s="106" t="s">
        <v>1670</v>
      </c>
      <c r="H118" s="106" t="s">
        <v>2793</v>
      </c>
    </row>
    <row r="119" spans="7:8" ht="25.65" x14ac:dyDescent="0.35">
      <c r="G119" s="106" t="s">
        <v>2198</v>
      </c>
      <c r="H119" s="106" t="s">
        <v>2794</v>
      </c>
    </row>
    <row r="120" spans="7:8" ht="25.65" x14ac:dyDescent="0.35">
      <c r="G120" s="106" t="s">
        <v>3195</v>
      </c>
      <c r="H120" s="106" t="s">
        <v>2795</v>
      </c>
    </row>
    <row r="121" spans="7:8" ht="25.65" x14ac:dyDescent="0.35">
      <c r="G121" s="106" t="s">
        <v>3198</v>
      </c>
      <c r="H121" s="106" t="s">
        <v>2796</v>
      </c>
    </row>
    <row r="122" spans="7:8" ht="25.65" x14ac:dyDescent="0.35">
      <c r="G122" s="106" t="s">
        <v>462</v>
      </c>
      <c r="H122" s="106" t="s">
        <v>2797</v>
      </c>
    </row>
    <row r="123" spans="7:8" ht="25.65" x14ac:dyDescent="0.35">
      <c r="G123" s="106" t="s">
        <v>463</v>
      </c>
      <c r="H123" s="106" t="s">
        <v>2798</v>
      </c>
    </row>
    <row r="124" spans="7:8" ht="25.65" x14ac:dyDescent="0.35">
      <c r="G124" s="106" t="s">
        <v>1372</v>
      </c>
      <c r="H124" s="106" t="s">
        <v>2799</v>
      </c>
    </row>
    <row r="125" spans="7:8" ht="25.65" x14ac:dyDescent="0.35">
      <c r="G125" s="106" t="s">
        <v>3562</v>
      </c>
      <c r="H125" s="106" t="s">
        <v>2800</v>
      </c>
    </row>
    <row r="126" spans="7:8" ht="25.65" x14ac:dyDescent="0.35">
      <c r="G126" s="106" t="s">
        <v>1373</v>
      </c>
      <c r="H126" s="106" t="s">
        <v>2801</v>
      </c>
    </row>
    <row r="127" spans="7:8" ht="25.65" x14ac:dyDescent="0.35">
      <c r="G127" s="106" t="s">
        <v>3563</v>
      </c>
      <c r="H127" s="106" t="s">
        <v>2802</v>
      </c>
    </row>
    <row r="128" spans="7:8" ht="25.65" x14ac:dyDescent="0.35">
      <c r="G128" s="106" t="s">
        <v>1598</v>
      </c>
      <c r="H128" s="106" t="s">
        <v>2803</v>
      </c>
    </row>
    <row r="129" spans="7:8" ht="25.65" x14ac:dyDescent="0.35">
      <c r="G129" s="106" t="s">
        <v>1599</v>
      </c>
      <c r="H129" s="106" t="s">
        <v>3487</v>
      </c>
    </row>
    <row r="130" spans="7:8" ht="25.65" x14ac:dyDescent="0.35">
      <c r="G130" s="106" t="s">
        <v>1600</v>
      </c>
      <c r="H130" s="106" t="s">
        <v>4003</v>
      </c>
    </row>
    <row r="131" spans="7:8" ht="25.65" x14ac:dyDescent="0.35">
      <c r="G131" s="106" t="s">
        <v>1601</v>
      </c>
      <c r="H131" s="106" t="s">
        <v>4004</v>
      </c>
    </row>
    <row r="132" spans="7:8" ht="25.65" x14ac:dyDescent="0.35">
      <c r="G132" s="106" t="s">
        <v>3093</v>
      </c>
      <c r="H132" s="106" t="s">
        <v>4005</v>
      </c>
    </row>
    <row r="133" spans="7:8" ht="25.65" x14ac:dyDescent="0.35">
      <c r="G133" s="106" t="s">
        <v>379</v>
      </c>
      <c r="H133" s="106" t="s">
        <v>4006</v>
      </c>
    </row>
    <row r="134" spans="7:8" ht="25.65" x14ac:dyDescent="0.35">
      <c r="G134" s="106" t="s">
        <v>2946</v>
      </c>
      <c r="H134" s="106" t="s">
        <v>4007</v>
      </c>
    </row>
    <row r="135" spans="7:8" ht="25.65" x14ac:dyDescent="0.35">
      <c r="G135" s="106" t="s">
        <v>1707</v>
      </c>
      <c r="H135" s="106" t="s">
        <v>4008</v>
      </c>
    </row>
    <row r="136" spans="7:8" ht="25.65" x14ac:dyDescent="0.35">
      <c r="G136" s="106" t="s">
        <v>1708</v>
      </c>
      <c r="H136" s="106" t="s">
        <v>4009</v>
      </c>
    </row>
    <row r="137" spans="7:8" ht="25.65" x14ac:dyDescent="0.35">
      <c r="G137" s="106" t="s">
        <v>3589</v>
      </c>
      <c r="H137" s="106" t="s">
        <v>4010</v>
      </c>
    </row>
    <row r="138" spans="7:8" ht="25.65" x14ac:dyDescent="0.35">
      <c r="G138" s="106" t="s">
        <v>3590</v>
      </c>
      <c r="H138" s="106" t="s">
        <v>4011</v>
      </c>
    </row>
    <row r="139" spans="7:8" ht="25.65" x14ac:dyDescent="0.35">
      <c r="G139" s="106" t="s">
        <v>2971</v>
      </c>
      <c r="H139" s="106" t="s">
        <v>4012</v>
      </c>
    </row>
    <row r="140" spans="7:8" ht="25.65" x14ac:dyDescent="0.35">
      <c r="G140" s="106" t="s">
        <v>3565</v>
      </c>
      <c r="H140" s="106" t="s">
        <v>1722</v>
      </c>
    </row>
    <row r="141" spans="7:8" ht="25.65" x14ac:dyDescent="0.35">
      <c r="G141" s="106" t="s">
        <v>3566</v>
      </c>
      <c r="H141" s="106" t="s">
        <v>1723</v>
      </c>
    </row>
    <row r="142" spans="7:8" ht="25.65" x14ac:dyDescent="0.35">
      <c r="G142" s="106" t="s">
        <v>2972</v>
      </c>
      <c r="H142" s="106" t="s">
        <v>1724</v>
      </c>
    </row>
    <row r="143" spans="7:8" ht="25.65" x14ac:dyDescent="0.35">
      <c r="G143" s="106" t="s">
        <v>2973</v>
      </c>
      <c r="H143" s="106" t="s">
        <v>1851</v>
      </c>
    </row>
    <row r="144" spans="7:8" ht="25.65" x14ac:dyDescent="0.35">
      <c r="G144" s="106" t="s">
        <v>2974</v>
      </c>
      <c r="H144" s="106" t="s">
        <v>1852</v>
      </c>
    </row>
    <row r="145" spans="7:8" ht="25.65" x14ac:dyDescent="0.35">
      <c r="G145" s="106" t="s">
        <v>2975</v>
      </c>
      <c r="H145" s="106" t="s">
        <v>1853</v>
      </c>
    </row>
    <row r="146" spans="7:8" ht="25.65" x14ac:dyDescent="0.35">
      <c r="G146" s="106" t="s">
        <v>2976</v>
      </c>
      <c r="H146" s="106" t="s">
        <v>1854</v>
      </c>
    </row>
    <row r="147" spans="7:8" ht="25.65" x14ac:dyDescent="0.35">
      <c r="G147" s="106" t="s">
        <v>3123</v>
      </c>
      <c r="H147" s="106" t="s">
        <v>3592</v>
      </c>
    </row>
    <row r="148" spans="7:8" ht="25.65" x14ac:dyDescent="0.35">
      <c r="G148" s="106" t="s">
        <v>3124</v>
      </c>
      <c r="H148" s="106" t="s">
        <v>3593</v>
      </c>
    </row>
    <row r="149" spans="7:8" ht="25.65" x14ac:dyDescent="0.35">
      <c r="G149" s="106" t="s">
        <v>3125</v>
      </c>
      <c r="H149" s="106" t="s">
        <v>1887</v>
      </c>
    </row>
    <row r="150" spans="7:8" ht="25.65" x14ac:dyDescent="0.35">
      <c r="G150" s="106" t="s">
        <v>3126</v>
      </c>
      <c r="H150" s="106" t="s">
        <v>1888</v>
      </c>
    </row>
    <row r="151" spans="7:8" ht="25.65" x14ac:dyDescent="0.35">
      <c r="G151" s="106" t="s">
        <v>3127</v>
      </c>
      <c r="H151" s="106" t="s">
        <v>1889</v>
      </c>
    </row>
    <row r="152" spans="7:8" ht="25.65" x14ac:dyDescent="0.35">
      <c r="G152" s="106" t="s">
        <v>3128</v>
      </c>
      <c r="H152" s="106" t="s">
        <v>1890</v>
      </c>
    </row>
    <row r="153" spans="7:8" ht="25.65" x14ac:dyDescent="0.35">
      <c r="G153" s="106" t="s">
        <v>3129</v>
      </c>
      <c r="H153" s="106" t="s">
        <v>1891</v>
      </c>
    </row>
    <row r="154" spans="7:8" ht="25.65" x14ac:dyDescent="0.35">
      <c r="G154" s="106" t="s">
        <v>3130</v>
      </c>
      <c r="H154" s="106" t="s">
        <v>1892</v>
      </c>
    </row>
    <row r="155" spans="7:8" ht="25.65" x14ac:dyDescent="0.35">
      <c r="G155" s="106" t="s">
        <v>3131</v>
      </c>
      <c r="H155" s="106" t="s">
        <v>1893</v>
      </c>
    </row>
    <row r="156" spans="7:8" ht="25.65" x14ac:dyDescent="0.35">
      <c r="G156" s="106" t="s">
        <v>3567</v>
      </c>
      <c r="H156" s="106" t="s">
        <v>1894</v>
      </c>
    </row>
    <row r="157" spans="7:8" ht="25.65" x14ac:dyDescent="0.35">
      <c r="G157" s="106" t="s">
        <v>3568</v>
      </c>
      <c r="H157" s="106" t="s">
        <v>137</v>
      </c>
    </row>
    <row r="158" spans="7:8" ht="25.65" x14ac:dyDescent="0.35">
      <c r="G158" s="106" t="s">
        <v>3132</v>
      </c>
      <c r="H158" s="106" t="s">
        <v>138</v>
      </c>
    </row>
    <row r="159" spans="7:8" ht="25.65" x14ac:dyDescent="0.35">
      <c r="G159" s="106" t="s">
        <v>3133</v>
      </c>
      <c r="H159" s="106" t="s">
        <v>139</v>
      </c>
    </row>
    <row r="160" spans="7:8" ht="25.65" x14ac:dyDescent="0.35">
      <c r="G160" s="106" t="s">
        <v>3134</v>
      </c>
      <c r="H160" s="106" t="s">
        <v>140</v>
      </c>
    </row>
    <row r="161" spans="7:8" ht="25.65" x14ac:dyDescent="0.35">
      <c r="G161" s="106" t="s">
        <v>3135</v>
      </c>
      <c r="H161" s="106" t="s">
        <v>987</v>
      </c>
    </row>
    <row r="162" spans="7:8" ht="25.65" x14ac:dyDescent="0.35">
      <c r="G162" s="106" t="s">
        <v>3136</v>
      </c>
      <c r="H162" s="106" t="s">
        <v>2849</v>
      </c>
    </row>
    <row r="163" spans="7:8" ht="25.65" x14ac:dyDescent="0.35">
      <c r="G163" s="106" t="s">
        <v>3137</v>
      </c>
      <c r="H163" s="106" t="s">
        <v>3290</v>
      </c>
    </row>
    <row r="164" spans="7:8" ht="25.65" x14ac:dyDescent="0.35">
      <c r="G164" s="106" t="s">
        <v>3138</v>
      </c>
      <c r="H164" s="106" t="s">
        <v>3291</v>
      </c>
    </row>
    <row r="165" spans="7:8" ht="25.65" x14ac:dyDescent="0.35">
      <c r="G165" s="106" t="s">
        <v>3006</v>
      </c>
      <c r="H165" s="106" t="s">
        <v>3242</v>
      </c>
    </row>
    <row r="166" spans="7:8" ht="25.65" x14ac:dyDescent="0.35">
      <c r="G166" s="106" t="s">
        <v>2415</v>
      </c>
      <c r="H166" s="106" t="s">
        <v>3243</v>
      </c>
    </row>
    <row r="167" spans="7:8" ht="25.65" x14ac:dyDescent="0.35">
      <c r="G167" s="106" t="s">
        <v>2416</v>
      </c>
      <c r="H167" s="106" t="s">
        <v>3244</v>
      </c>
    </row>
    <row r="168" spans="7:8" ht="25.65" x14ac:dyDescent="0.35">
      <c r="G168" s="106" t="s">
        <v>2417</v>
      </c>
      <c r="H168" s="106" t="s">
        <v>3245</v>
      </c>
    </row>
    <row r="169" spans="7:8" ht="25.65" x14ac:dyDescent="0.35">
      <c r="G169" s="106" t="s">
        <v>1157</v>
      </c>
      <c r="H169" s="106" t="s">
        <v>3246</v>
      </c>
    </row>
    <row r="170" spans="7:8" ht="25.65" x14ac:dyDescent="0.35">
      <c r="G170" s="106" t="s">
        <v>1158</v>
      </c>
      <c r="H170" s="106" t="s">
        <v>1195</v>
      </c>
    </row>
    <row r="171" spans="7:8" ht="25.65" x14ac:dyDescent="0.35">
      <c r="G171" s="106" t="s">
        <v>2839</v>
      </c>
      <c r="H171" s="106" t="s">
        <v>1196</v>
      </c>
    </row>
    <row r="172" spans="7:8" ht="25.65" x14ac:dyDescent="0.35">
      <c r="G172" s="106" t="s">
        <v>1635</v>
      </c>
      <c r="H172" s="106" t="s">
        <v>1197</v>
      </c>
    </row>
    <row r="173" spans="7:8" ht="25.65" x14ac:dyDescent="0.35">
      <c r="G173" s="106" t="s">
        <v>1636</v>
      </c>
      <c r="H173" s="106" t="s">
        <v>1198</v>
      </c>
    </row>
    <row r="174" spans="7:8" ht="25.65" x14ac:dyDescent="0.35">
      <c r="G174" s="106" t="s">
        <v>2840</v>
      </c>
      <c r="H174" s="106" t="s">
        <v>1199</v>
      </c>
    </row>
    <row r="175" spans="7:8" ht="25.65" x14ac:dyDescent="0.35">
      <c r="G175" s="106" t="s">
        <v>2648</v>
      </c>
      <c r="H175" s="106" t="s">
        <v>1200</v>
      </c>
    </row>
    <row r="176" spans="7:8" ht="25.65" x14ac:dyDescent="0.35">
      <c r="G176" s="106" t="s">
        <v>3192</v>
      </c>
      <c r="H176" s="106" t="s">
        <v>1201</v>
      </c>
    </row>
    <row r="177" spans="7:8" ht="25.65" x14ac:dyDescent="0.35">
      <c r="G177" s="106" t="s">
        <v>3193</v>
      </c>
      <c r="H177" s="106" t="s">
        <v>1202</v>
      </c>
    </row>
    <row r="178" spans="7:8" ht="25.65" x14ac:dyDescent="0.35">
      <c r="G178" s="106" t="s">
        <v>1030</v>
      </c>
      <c r="H178" s="106" t="s">
        <v>1203</v>
      </c>
    </row>
    <row r="179" spans="7:8" ht="25.65" x14ac:dyDescent="0.35">
      <c r="G179" s="106" t="s">
        <v>141</v>
      </c>
      <c r="H179" s="106" t="s">
        <v>1204</v>
      </c>
    </row>
    <row r="180" spans="7:8" ht="25.65" x14ac:dyDescent="0.35">
      <c r="G180" s="106" t="s">
        <v>142</v>
      </c>
      <c r="H180" s="106" t="s">
        <v>1205</v>
      </c>
    </row>
    <row r="181" spans="7:8" ht="25.65" x14ac:dyDescent="0.35">
      <c r="G181" s="106" t="s">
        <v>143</v>
      </c>
      <c r="H181" s="106" t="s">
        <v>1206</v>
      </c>
    </row>
    <row r="182" spans="7:8" ht="25.65" x14ac:dyDescent="0.35">
      <c r="G182" s="106" t="s">
        <v>144</v>
      </c>
      <c r="H182" s="106" t="s">
        <v>1207</v>
      </c>
    </row>
    <row r="183" spans="7:8" ht="25.65" x14ac:dyDescent="0.35">
      <c r="G183" s="106" t="s">
        <v>3986</v>
      </c>
      <c r="H183" s="106" t="s">
        <v>3740</v>
      </c>
    </row>
    <row r="184" spans="7:8" ht="25.65" x14ac:dyDescent="0.35">
      <c r="G184" s="106" t="s">
        <v>1005</v>
      </c>
      <c r="H184" s="106" t="s">
        <v>3741</v>
      </c>
    </row>
    <row r="185" spans="7:8" ht="25.65" x14ac:dyDescent="0.35">
      <c r="G185" s="106" t="s">
        <v>409</v>
      </c>
      <c r="H185" s="106" t="s">
        <v>1539</v>
      </c>
    </row>
    <row r="186" spans="7:8" ht="25.65" x14ac:dyDescent="0.35">
      <c r="G186" s="106" t="s">
        <v>410</v>
      </c>
      <c r="H186" s="106" t="s">
        <v>1540</v>
      </c>
    </row>
    <row r="187" spans="7:8" ht="25.65" x14ac:dyDescent="0.35">
      <c r="G187" s="106" t="s">
        <v>900</v>
      </c>
      <c r="H187" s="106" t="s">
        <v>1541</v>
      </c>
    </row>
    <row r="188" spans="7:8" ht="25.65" x14ac:dyDescent="0.35">
      <c r="G188" s="106" t="s">
        <v>1637</v>
      </c>
      <c r="H188" s="106" t="s">
        <v>1542</v>
      </c>
    </row>
    <row r="189" spans="7:8" ht="25.65" x14ac:dyDescent="0.35">
      <c r="G189" s="106" t="s">
        <v>1638</v>
      </c>
      <c r="H189" s="106" t="s">
        <v>1543</v>
      </c>
    </row>
    <row r="190" spans="7:8" ht="25.65" x14ac:dyDescent="0.35">
      <c r="G190" s="106" t="s">
        <v>901</v>
      </c>
      <c r="H190" s="106" t="s">
        <v>1544</v>
      </c>
    </row>
    <row r="191" spans="7:8" ht="25.65" x14ac:dyDescent="0.35">
      <c r="G191" s="106" t="s">
        <v>902</v>
      </c>
      <c r="H191" s="106" t="s">
        <v>1545</v>
      </c>
    </row>
    <row r="192" spans="7:8" ht="25.65" x14ac:dyDescent="0.35">
      <c r="G192" s="106" t="s">
        <v>903</v>
      </c>
      <c r="H192" s="106" t="s">
        <v>1546</v>
      </c>
    </row>
    <row r="193" spans="7:8" ht="25.65" x14ac:dyDescent="0.35">
      <c r="G193" s="106" t="s">
        <v>904</v>
      </c>
      <c r="H193" s="106" t="s">
        <v>1547</v>
      </c>
    </row>
    <row r="194" spans="7:8" ht="25.65" x14ac:dyDescent="0.35">
      <c r="G194" s="106" t="s">
        <v>905</v>
      </c>
      <c r="H194" s="106" t="s">
        <v>1548</v>
      </c>
    </row>
    <row r="195" spans="7:8" ht="25.65" x14ac:dyDescent="0.35">
      <c r="G195" s="106" t="s">
        <v>420</v>
      </c>
      <c r="H195" s="106" t="s">
        <v>3680</v>
      </c>
    </row>
    <row r="196" spans="7:8" ht="25.65" x14ac:dyDescent="0.35">
      <c r="G196" s="106" t="s">
        <v>3505</v>
      </c>
      <c r="H196" s="106" t="s">
        <v>3681</v>
      </c>
    </row>
    <row r="197" spans="7:8" ht="25.65" x14ac:dyDescent="0.35">
      <c r="G197" s="106" t="s">
        <v>3506</v>
      </c>
      <c r="H197" s="106" t="s">
        <v>3682</v>
      </c>
    </row>
    <row r="198" spans="7:8" ht="25.65" x14ac:dyDescent="0.35">
      <c r="G198" s="106" t="s">
        <v>1304</v>
      </c>
      <c r="H198" s="106" t="s">
        <v>3683</v>
      </c>
    </row>
    <row r="199" spans="7:8" ht="25.65" x14ac:dyDescent="0.35">
      <c r="G199" s="106" t="s">
        <v>1305</v>
      </c>
      <c r="H199" s="106" t="s">
        <v>3684</v>
      </c>
    </row>
    <row r="200" spans="7:8" ht="25.65" x14ac:dyDescent="0.35">
      <c r="G200" s="106" t="s">
        <v>1306</v>
      </c>
      <c r="H200" s="106" t="s">
        <v>3685</v>
      </c>
    </row>
    <row r="201" spans="7:8" ht="25.65" x14ac:dyDescent="0.35">
      <c r="G201" s="106" t="s">
        <v>793</v>
      </c>
      <c r="H201" s="106" t="s">
        <v>3024</v>
      </c>
    </row>
    <row r="202" spans="7:8" ht="25.65" x14ac:dyDescent="0.35">
      <c r="G202" s="106" t="s">
        <v>1825</v>
      </c>
      <c r="H202" s="106" t="s">
        <v>3025</v>
      </c>
    </row>
    <row r="203" spans="7:8" ht="25.65" x14ac:dyDescent="0.35">
      <c r="G203" s="106" t="s">
        <v>1826</v>
      </c>
      <c r="H203" s="106" t="s">
        <v>3026</v>
      </c>
    </row>
    <row r="204" spans="7:8" ht="25.65" x14ac:dyDescent="0.35">
      <c r="G204" s="106" t="s">
        <v>1639</v>
      </c>
      <c r="H204" s="106" t="s">
        <v>3027</v>
      </c>
    </row>
    <row r="205" spans="7:8" ht="25.65" x14ac:dyDescent="0.35">
      <c r="G205" s="106" t="s">
        <v>1640</v>
      </c>
      <c r="H205" s="106" t="s">
        <v>3028</v>
      </c>
    </row>
    <row r="206" spans="7:8" ht="25.65" x14ac:dyDescent="0.35">
      <c r="G206" s="106" t="s">
        <v>795</v>
      </c>
      <c r="H206" s="106" t="s">
        <v>3029</v>
      </c>
    </row>
    <row r="207" spans="7:8" ht="25.65" x14ac:dyDescent="0.35">
      <c r="G207" s="106" t="s">
        <v>796</v>
      </c>
      <c r="H207" s="106" t="s">
        <v>3030</v>
      </c>
    </row>
    <row r="208" spans="7:8" ht="25.65" x14ac:dyDescent="0.35">
      <c r="G208" s="106" t="s">
        <v>797</v>
      </c>
      <c r="H208" s="106" t="s">
        <v>3031</v>
      </c>
    </row>
    <row r="209" spans="7:8" ht="25.65" x14ac:dyDescent="0.35">
      <c r="G209" s="106" t="s">
        <v>798</v>
      </c>
      <c r="H209" s="106" t="s">
        <v>2501</v>
      </c>
    </row>
    <row r="210" spans="7:8" ht="25.65" x14ac:dyDescent="0.35">
      <c r="G210" s="106" t="s">
        <v>799</v>
      </c>
      <c r="H210" s="106" t="s">
        <v>2502</v>
      </c>
    </row>
    <row r="211" spans="7:8" ht="25.65" x14ac:dyDescent="0.35">
      <c r="G211" s="106" t="s">
        <v>800</v>
      </c>
      <c r="H211" s="106" t="s">
        <v>2503</v>
      </c>
    </row>
    <row r="212" spans="7:8" ht="25.65" x14ac:dyDescent="0.35">
      <c r="G212" s="106" t="s">
        <v>801</v>
      </c>
      <c r="H212" s="106" t="s">
        <v>2472</v>
      </c>
    </row>
    <row r="213" spans="7:8" ht="25.65" x14ac:dyDescent="0.35">
      <c r="G213" s="106" t="s">
        <v>977</v>
      </c>
      <c r="H213" s="106" t="s">
        <v>3356</v>
      </c>
    </row>
    <row r="214" spans="7:8" ht="25.65" x14ac:dyDescent="0.35">
      <c r="G214" s="106" t="s">
        <v>3801</v>
      </c>
      <c r="H214" s="106" t="s">
        <v>3357</v>
      </c>
    </row>
    <row r="215" spans="7:8" ht="25.65" x14ac:dyDescent="0.35">
      <c r="G215" s="106" t="s">
        <v>3802</v>
      </c>
      <c r="H215" s="106" t="s">
        <v>3014</v>
      </c>
    </row>
    <row r="216" spans="7:8" ht="25.65" x14ac:dyDescent="0.35">
      <c r="G216" s="106" t="s">
        <v>3803</v>
      </c>
      <c r="H216" s="106" t="s">
        <v>3015</v>
      </c>
    </row>
    <row r="217" spans="7:8" ht="25.65" x14ac:dyDescent="0.35">
      <c r="G217" s="106" t="s">
        <v>3804</v>
      </c>
      <c r="H217" s="106" t="s">
        <v>3016</v>
      </c>
    </row>
    <row r="218" spans="7:8" ht="25.65" x14ac:dyDescent="0.35">
      <c r="G218" s="106" t="s">
        <v>3805</v>
      </c>
      <c r="H218" s="106" t="s">
        <v>216</v>
      </c>
    </row>
    <row r="219" spans="7:8" ht="25.65" x14ac:dyDescent="0.35">
      <c r="G219" s="106" t="s">
        <v>3806</v>
      </c>
      <c r="H219" s="106" t="s">
        <v>217</v>
      </c>
    </row>
    <row r="220" spans="7:8" ht="25.65" x14ac:dyDescent="0.35">
      <c r="G220" s="106" t="s">
        <v>3807</v>
      </c>
      <c r="H220" s="106" t="s">
        <v>218</v>
      </c>
    </row>
    <row r="221" spans="7:8" ht="25.65" x14ac:dyDescent="0.35">
      <c r="G221" s="106" t="s">
        <v>3808</v>
      </c>
      <c r="H221" s="106" t="s">
        <v>219</v>
      </c>
    </row>
    <row r="222" spans="7:8" ht="25.65" x14ac:dyDescent="0.35">
      <c r="G222" s="106" t="s">
        <v>3809</v>
      </c>
      <c r="H222" s="106" t="s">
        <v>220</v>
      </c>
    </row>
    <row r="223" spans="7:8" ht="25.65" x14ac:dyDescent="0.35">
      <c r="G223" s="106" t="s">
        <v>3810</v>
      </c>
      <c r="H223" s="106" t="s">
        <v>221</v>
      </c>
    </row>
    <row r="224" spans="7:8" ht="25.65" x14ac:dyDescent="0.35">
      <c r="G224" s="106" t="s">
        <v>1558</v>
      </c>
      <c r="H224" s="106" t="s">
        <v>222</v>
      </c>
    </row>
    <row r="225" spans="7:8" ht="25.65" x14ac:dyDescent="0.35">
      <c r="G225" s="106" t="s">
        <v>1559</v>
      </c>
      <c r="H225" s="106" t="s">
        <v>223</v>
      </c>
    </row>
    <row r="226" spans="7:8" ht="25.65" x14ac:dyDescent="0.35">
      <c r="G226" s="106" t="s">
        <v>1560</v>
      </c>
      <c r="H226" s="106" t="s">
        <v>224</v>
      </c>
    </row>
    <row r="227" spans="7:8" ht="25.65" x14ac:dyDescent="0.35">
      <c r="G227" s="106" t="s">
        <v>1561</v>
      </c>
      <c r="H227" s="106" t="s">
        <v>225</v>
      </c>
    </row>
    <row r="228" spans="7:8" ht="25.65" x14ac:dyDescent="0.35">
      <c r="G228" s="106" t="s">
        <v>2889</v>
      </c>
      <c r="H228" s="106" t="s">
        <v>226</v>
      </c>
    </row>
    <row r="229" spans="7:8" ht="25.65" x14ac:dyDescent="0.35">
      <c r="G229" s="106" t="s">
        <v>2890</v>
      </c>
      <c r="H229" s="106" t="s">
        <v>227</v>
      </c>
    </row>
    <row r="230" spans="7:8" ht="25.65" x14ac:dyDescent="0.35">
      <c r="G230" s="106" t="s">
        <v>1341</v>
      </c>
      <c r="H230" s="106" t="s">
        <v>228</v>
      </c>
    </row>
    <row r="231" spans="7:8" ht="25.65" x14ac:dyDescent="0.35">
      <c r="G231" s="106" t="s">
        <v>3378</v>
      </c>
      <c r="H231" s="106" t="s">
        <v>229</v>
      </c>
    </row>
    <row r="232" spans="7:8" ht="38.450000000000003" x14ac:dyDescent="0.35">
      <c r="G232" s="106" t="s">
        <v>451</v>
      </c>
      <c r="H232" s="106" t="s">
        <v>1726</v>
      </c>
    </row>
    <row r="233" spans="7:8" ht="38.450000000000003" x14ac:dyDescent="0.35">
      <c r="G233" s="106" t="s">
        <v>452</v>
      </c>
      <c r="H233" s="106" t="s">
        <v>1727</v>
      </c>
    </row>
    <row r="234" spans="7:8" ht="38.450000000000003" x14ac:dyDescent="0.35">
      <c r="G234" s="106" t="s">
        <v>1728</v>
      </c>
      <c r="H234" s="106" t="s">
        <v>2672</v>
      </c>
    </row>
    <row r="235" spans="7:8" ht="38.450000000000003" x14ac:dyDescent="0.35">
      <c r="G235" s="106" t="s">
        <v>1603</v>
      </c>
      <c r="H235" s="106" t="s">
        <v>2673</v>
      </c>
    </row>
    <row r="236" spans="7:8" ht="38.450000000000003" x14ac:dyDescent="0.35">
      <c r="G236" s="106" t="s">
        <v>1604</v>
      </c>
      <c r="H236" s="106" t="s">
        <v>2674</v>
      </c>
    </row>
    <row r="237" spans="7:8" ht="38.450000000000003" x14ac:dyDescent="0.35">
      <c r="G237" s="106" t="s">
        <v>1605</v>
      </c>
      <c r="H237" s="106" t="s">
        <v>681</v>
      </c>
    </row>
    <row r="238" spans="7:8" ht="38.450000000000003" x14ac:dyDescent="0.35">
      <c r="G238" s="106" t="s">
        <v>725</v>
      </c>
      <c r="H238" s="106" t="s">
        <v>1855</v>
      </c>
    </row>
    <row r="239" spans="7:8" ht="38.450000000000003" x14ac:dyDescent="0.35">
      <c r="G239" s="106" t="s">
        <v>726</v>
      </c>
      <c r="H239" s="106" t="s">
        <v>1856</v>
      </c>
    </row>
    <row r="240" spans="7:8" ht="38.450000000000003" x14ac:dyDescent="0.35">
      <c r="G240" s="106" t="s">
        <v>727</v>
      </c>
      <c r="H240" s="106" t="s">
        <v>1773</v>
      </c>
    </row>
    <row r="241" spans="7:8" ht="38.450000000000003" x14ac:dyDescent="0.35">
      <c r="G241" s="106" t="s">
        <v>3299</v>
      </c>
      <c r="H241" s="106" t="s">
        <v>1774</v>
      </c>
    </row>
    <row r="242" spans="7:8" ht="38.450000000000003" x14ac:dyDescent="0.35">
      <c r="G242" s="106" t="s">
        <v>3300</v>
      </c>
      <c r="H242" s="106" t="s">
        <v>1775</v>
      </c>
    </row>
    <row r="243" spans="7:8" ht="38.450000000000003" x14ac:dyDescent="0.35">
      <c r="G243" s="106" t="s">
        <v>3301</v>
      </c>
      <c r="H243" s="106" t="s">
        <v>1776</v>
      </c>
    </row>
    <row r="244" spans="7:8" ht="38.450000000000003" x14ac:dyDescent="0.35">
      <c r="G244" s="106" t="s">
        <v>3302</v>
      </c>
      <c r="H244" s="106" t="s">
        <v>1777</v>
      </c>
    </row>
    <row r="245" spans="7:8" ht="38.450000000000003" x14ac:dyDescent="0.35">
      <c r="G245" s="106" t="s">
        <v>3303</v>
      </c>
      <c r="H245" s="106" t="s">
        <v>1778</v>
      </c>
    </row>
    <row r="246" spans="7:8" ht="38.450000000000003" x14ac:dyDescent="0.35">
      <c r="G246" s="106" t="s">
        <v>2529</v>
      </c>
      <c r="H246" s="106" t="s">
        <v>4126</v>
      </c>
    </row>
    <row r="247" spans="7:8" ht="38.450000000000003" x14ac:dyDescent="0.35">
      <c r="G247" s="106" t="s">
        <v>2530</v>
      </c>
      <c r="H247" s="106" t="s">
        <v>4127</v>
      </c>
    </row>
    <row r="248" spans="7:8" ht="38.450000000000003" x14ac:dyDescent="0.35">
      <c r="G248" s="106" t="s">
        <v>2531</v>
      </c>
      <c r="H248" s="106" t="s">
        <v>4128</v>
      </c>
    </row>
    <row r="249" spans="7:8" ht="38.450000000000003" x14ac:dyDescent="0.35">
      <c r="G249" s="106" t="s">
        <v>2532</v>
      </c>
      <c r="H249" s="106" t="s">
        <v>1927</v>
      </c>
    </row>
    <row r="250" spans="7:8" ht="38.450000000000003" x14ac:dyDescent="0.35">
      <c r="G250" s="106" t="s">
        <v>2871</v>
      </c>
      <c r="H250" s="106" t="s">
        <v>1928</v>
      </c>
    </row>
    <row r="251" spans="7:8" ht="38.450000000000003" x14ac:dyDescent="0.35">
      <c r="G251" s="106" t="s">
        <v>2872</v>
      </c>
      <c r="H251" s="106" t="s">
        <v>1929</v>
      </c>
    </row>
    <row r="252" spans="7:8" ht="38.450000000000003" x14ac:dyDescent="0.35">
      <c r="G252" s="106" t="s">
        <v>1642</v>
      </c>
      <c r="H252" s="106" t="s">
        <v>230</v>
      </c>
    </row>
    <row r="253" spans="7:8" ht="38.450000000000003" x14ac:dyDescent="0.35">
      <c r="G253" s="106" t="s">
        <v>1643</v>
      </c>
      <c r="H253" s="106" t="s">
        <v>231</v>
      </c>
    </row>
    <row r="254" spans="7:8" ht="38.450000000000003" x14ac:dyDescent="0.35">
      <c r="G254" s="106" t="s">
        <v>1644</v>
      </c>
      <c r="H254" s="106" t="s">
        <v>3725</v>
      </c>
    </row>
    <row r="255" spans="7:8" ht="38.450000000000003" x14ac:dyDescent="0.35">
      <c r="G255" s="106" t="s">
        <v>1645</v>
      </c>
      <c r="H255" s="106" t="s">
        <v>3726</v>
      </c>
    </row>
    <row r="256" spans="7:8" ht="38.450000000000003" x14ac:dyDescent="0.35">
      <c r="G256" s="106" t="s">
        <v>1646</v>
      </c>
      <c r="H256" s="106" t="s">
        <v>3727</v>
      </c>
    </row>
    <row r="257" spans="7:8" ht="38.450000000000003" x14ac:dyDescent="0.35">
      <c r="G257" s="106" t="s">
        <v>1647</v>
      </c>
      <c r="H257" s="106" t="s">
        <v>3728</v>
      </c>
    </row>
    <row r="258" spans="7:8" ht="38.450000000000003" x14ac:dyDescent="0.35">
      <c r="G258" s="106" t="s">
        <v>3304</v>
      </c>
      <c r="H258" s="106" t="s">
        <v>3729</v>
      </c>
    </row>
    <row r="259" spans="7:8" ht="38.450000000000003" x14ac:dyDescent="0.35">
      <c r="G259" s="106" t="s">
        <v>3305</v>
      </c>
      <c r="H259" s="106" t="s">
        <v>3730</v>
      </c>
    </row>
    <row r="260" spans="7:8" ht="38.450000000000003" x14ac:dyDescent="0.35">
      <c r="G260" s="106" t="s">
        <v>3306</v>
      </c>
      <c r="H260" s="106" t="s">
        <v>3731</v>
      </c>
    </row>
    <row r="261" spans="7:8" ht="38.450000000000003" x14ac:dyDescent="0.35">
      <c r="G261" s="106" t="s">
        <v>3307</v>
      </c>
      <c r="H261" s="106" t="s">
        <v>3732</v>
      </c>
    </row>
    <row r="262" spans="7:8" ht="38.450000000000003" x14ac:dyDescent="0.35">
      <c r="G262" s="106" t="s">
        <v>2245</v>
      </c>
      <c r="H262" s="106" t="s">
        <v>161</v>
      </c>
    </row>
    <row r="263" spans="7:8" ht="38.450000000000003" x14ac:dyDescent="0.35">
      <c r="G263" s="106" t="s">
        <v>2246</v>
      </c>
      <c r="H263" s="106" t="s">
        <v>1675</v>
      </c>
    </row>
    <row r="264" spans="7:8" ht="38.450000000000003" x14ac:dyDescent="0.35">
      <c r="G264" s="106" t="s">
        <v>2247</v>
      </c>
      <c r="H264" s="106" t="s">
        <v>1676</v>
      </c>
    </row>
    <row r="265" spans="7:8" ht="38.450000000000003" x14ac:dyDescent="0.35">
      <c r="G265" s="106" t="s">
        <v>4180</v>
      </c>
      <c r="H265" s="106" t="s">
        <v>1677</v>
      </c>
    </row>
    <row r="266" spans="7:8" ht="38.450000000000003" x14ac:dyDescent="0.35">
      <c r="G266" s="106" t="s">
        <v>1740</v>
      </c>
      <c r="H266" s="106" t="s">
        <v>1678</v>
      </c>
    </row>
    <row r="267" spans="7:8" ht="38.450000000000003" x14ac:dyDescent="0.35">
      <c r="G267" s="106" t="s">
        <v>1741</v>
      </c>
      <c r="H267" s="106" t="s">
        <v>1679</v>
      </c>
    </row>
    <row r="268" spans="7:8" ht="38.450000000000003" x14ac:dyDescent="0.35">
      <c r="G268" s="106" t="s">
        <v>1742</v>
      </c>
      <c r="H268" s="106" t="s">
        <v>1680</v>
      </c>
    </row>
    <row r="269" spans="7:8" ht="38.450000000000003" x14ac:dyDescent="0.35">
      <c r="G269" s="106" t="s">
        <v>3843</v>
      </c>
      <c r="H269" s="106" t="s">
        <v>1681</v>
      </c>
    </row>
    <row r="270" spans="7:8" ht="38.450000000000003" x14ac:dyDescent="0.35">
      <c r="G270" s="106" t="s">
        <v>3844</v>
      </c>
      <c r="H270" s="106" t="s">
        <v>1682</v>
      </c>
    </row>
    <row r="271" spans="7:8" ht="38.450000000000003" x14ac:dyDescent="0.35">
      <c r="G271" s="106" t="s">
        <v>3845</v>
      </c>
      <c r="H271" s="106" t="s">
        <v>1683</v>
      </c>
    </row>
    <row r="272" spans="7:8" ht="25.65" x14ac:dyDescent="0.35">
      <c r="G272" s="106" t="s">
        <v>3846</v>
      </c>
      <c r="H272" s="106" t="s">
        <v>1684</v>
      </c>
    </row>
    <row r="273" spans="7:8" ht="25.65" x14ac:dyDescent="0.35">
      <c r="G273" s="106" t="s">
        <v>3847</v>
      </c>
      <c r="H273" s="106" t="s">
        <v>1685</v>
      </c>
    </row>
    <row r="274" spans="7:8" ht="25.65" x14ac:dyDescent="0.35">
      <c r="G274" s="106" t="s">
        <v>3848</v>
      </c>
      <c r="H274" s="106" t="s">
        <v>1686</v>
      </c>
    </row>
    <row r="275" spans="7:8" ht="25.65" x14ac:dyDescent="0.35">
      <c r="G275" s="106" t="s">
        <v>3849</v>
      </c>
      <c r="H275" s="106" t="s">
        <v>1687</v>
      </c>
    </row>
    <row r="276" spans="7:8" ht="25.65" x14ac:dyDescent="0.35">
      <c r="G276" s="106" t="s">
        <v>3850</v>
      </c>
      <c r="H276" s="106" t="s">
        <v>1688</v>
      </c>
    </row>
    <row r="277" spans="7:8" ht="25.65" x14ac:dyDescent="0.35">
      <c r="G277" s="106" t="s">
        <v>3995</v>
      </c>
      <c r="H277" s="106" t="s">
        <v>1689</v>
      </c>
    </row>
    <row r="278" spans="7:8" ht="25.65" x14ac:dyDescent="0.35">
      <c r="G278" s="106" t="s">
        <v>3996</v>
      </c>
      <c r="H278" s="106" t="s">
        <v>1690</v>
      </c>
    </row>
    <row r="279" spans="7:8" ht="25.65" x14ac:dyDescent="0.35">
      <c r="G279" s="106" t="s">
        <v>3997</v>
      </c>
      <c r="H279" s="106" t="s">
        <v>1691</v>
      </c>
    </row>
    <row r="280" spans="7:8" ht="25.65" x14ac:dyDescent="0.35">
      <c r="G280" s="106" t="s">
        <v>3998</v>
      </c>
      <c r="H280" s="106" t="s">
        <v>1692</v>
      </c>
    </row>
    <row r="281" spans="7:8" ht="25.65" x14ac:dyDescent="0.35">
      <c r="G281" s="106" t="s">
        <v>3999</v>
      </c>
      <c r="H281" s="106" t="s">
        <v>1693</v>
      </c>
    </row>
    <row r="282" spans="7:8" ht="25.65" x14ac:dyDescent="0.35">
      <c r="G282" s="106" t="s">
        <v>4000</v>
      </c>
      <c r="H282" s="106" t="s">
        <v>1694</v>
      </c>
    </row>
    <row r="283" spans="7:8" ht="25.65" x14ac:dyDescent="0.35">
      <c r="G283" s="106" t="s">
        <v>4001</v>
      </c>
      <c r="H283" s="106" t="s">
        <v>1695</v>
      </c>
    </row>
    <row r="284" spans="7:8" ht="25.65" x14ac:dyDescent="0.35">
      <c r="G284" s="106" t="s">
        <v>2299</v>
      </c>
      <c r="H284" s="106" t="s">
        <v>1696</v>
      </c>
    </row>
    <row r="285" spans="7:8" ht="25.65" x14ac:dyDescent="0.35">
      <c r="G285" s="106" t="s">
        <v>2300</v>
      </c>
      <c r="H285" s="106" t="s">
        <v>1697</v>
      </c>
    </row>
    <row r="286" spans="7:8" ht="25.65" x14ac:dyDescent="0.35">
      <c r="G286" s="106" t="s">
        <v>2301</v>
      </c>
      <c r="H286" s="106" t="s">
        <v>1698</v>
      </c>
    </row>
    <row r="287" spans="7:8" ht="25.65" x14ac:dyDescent="0.35">
      <c r="G287" s="106" t="s">
        <v>2302</v>
      </c>
      <c r="H287" s="106" t="s">
        <v>1699</v>
      </c>
    </row>
    <row r="288" spans="7:8" ht="25.65" x14ac:dyDescent="0.35">
      <c r="G288" s="106" t="s">
        <v>2303</v>
      </c>
      <c r="H288" s="106" t="s">
        <v>1700</v>
      </c>
    </row>
    <row r="289" spans="7:8" ht="25.65" x14ac:dyDescent="0.35">
      <c r="G289" s="106" t="s">
        <v>2304</v>
      </c>
      <c r="H289" s="106" t="s">
        <v>1701</v>
      </c>
    </row>
    <row r="290" spans="7:8" ht="25.65" x14ac:dyDescent="0.35">
      <c r="G290" s="106" t="s">
        <v>2305</v>
      </c>
      <c r="H290" s="106" t="s">
        <v>1702</v>
      </c>
    </row>
    <row r="291" spans="7:8" ht="25.65" x14ac:dyDescent="0.35">
      <c r="G291" s="106" t="s">
        <v>2306</v>
      </c>
      <c r="H291" s="106" t="s">
        <v>1703</v>
      </c>
    </row>
    <row r="292" spans="7:8" ht="25.65" x14ac:dyDescent="0.35">
      <c r="G292" s="106" t="s">
        <v>2307</v>
      </c>
      <c r="H292" s="106" t="s">
        <v>1703</v>
      </c>
    </row>
    <row r="293" spans="7:8" ht="25.65" x14ac:dyDescent="0.35">
      <c r="G293" s="106" t="s">
        <v>2308</v>
      </c>
      <c r="H293" s="106" t="s">
        <v>1229</v>
      </c>
    </row>
    <row r="294" spans="7:8" ht="25.65" x14ac:dyDescent="0.35">
      <c r="G294" s="106" t="s">
        <v>2309</v>
      </c>
      <c r="H294" s="106" t="s">
        <v>1230</v>
      </c>
    </row>
    <row r="295" spans="7:8" ht="25.65" x14ac:dyDescent="0.35">
      <c r="G295" s="106" t="s">
        <v>2331</v>
      </c>
      <c r="H295" s="106" t="s">
        <v>1231</v>
      </c>
    </row>
    <row r="296" spans="7:8" ht="25.65" x14ac:dyDescent="0.35">
      <c r="G296" s="106" t="s">
        <v>4163</v>
      </c>
      <c r="H296" s="106" t="s">
        <v>1232</v>
      </c>
    </row>
    <row r="297" spans="7:8" ht="25.65" x14ac:dyDescent="0.35">
      <c r="G297" s="106" t="s">
        <v>4164</v>
      </c>
      <c r="H297" s="106" t="s">
        <v>1233</v>
      </c>
    </row>
    <row r="298" spans="7:8" ht="25.65" x14ac:dyDescent="0.35">
      <c r="G298" s="106" t="s">
        <v>2710</v>
      </c>
      <c r="H298" s="106" t="s">
        <v>1234</v>
      </c>
    </row>
    <row r="299" spans="7:8" ht="25.65" x14ac:dyDescent="0.35">
      <c r="G299" s="106" t="s">
        <v>2711</v>
      </c>
      <c r="H299" s="106" t="s">
        <v>1235</v>
      </c>
    </row>
    <row r="300" spans="7:8" ht="25.65" x14ac:dyDescent="0.35">
      <c r="G300" s="106" t="s">
        <v>2712</v>
      </c>
      <c r="H300" s="106" t="s">
        <v>1236</v>
      </c>
    </row>
    <row r="301" spans="7:8" ht="25.65" x14ac:dyDescent="0.35">
      <c r="G301" s="106" t="s">
        <v>4156</v>
      </c>
      <c r="H301" s="106" t="s">
        <v>1237</v>
      </c>
    </row>
    <row r="302" spans="7:8" ht="25.65" x14ac:dyDescent="0.35">
      <c r="G302" s="106" t="s">
        <v>2480</v>
      </c>
      <c r="H302" s="106" t="s">
        <v>3705</v>
      </c>
    </row>
    <row r="303" spans="7:8" ht="25.65" x14ac:dyDescent="0.35">
      <c r="G303" s="106" t="s">
        <v>2481</v>
      </c>
      <c r="H303" s="106" t="s">
        <v>3706</v>
      </c>
    </row>
    <row r="304" spans="7:8" ht="25.65" x14ac:dyDescent="0.35">
      <c r="G304" s="106" t="s">
        <v>2482</v>
      </c>
      <c r="H304" s="106" t="s">
        <v>3707</v>
      </c>
    </row>
    <row r="305" spans="7:8" ht="25.65" x14ac:dyDescent="0.35">
      <c r="G305" s="106" t="s">
        <v>3695</v>
      </c>
      <c r="H305" s="106" t="s">
        <v>3708</v>
      </c>
    </row>
    <row r="306" spans="7:8" ht="25.65" x14ac:dyDescent="0.35">
      <c r="G306" s="106" t="s">
        <v>3696</v>
      </c>
      <c r="H306" s="106" t="s">
        <v>3709</v>
      </c>
    </row>
    <row r="307" spans="7:8" ht="25.65" x14ac:dyDescent="0.35">
      <c r="G307" s="106" t="s">
        <v>3697</v>
      </c>
      <c r="H307" s="106" t="s">
        <v>3710</v>
      </c>
    </row>
    <row r="308" spans="7:8" ht="25.65" x14ac:dyDescent="0.35">
      <c r="G308" s="106" t="s">
        <v>3698</v>
      </c>
      <c r="H308" s="106" t="s">
        <v>3711</v>
      </c>
    </row>
    <row r="309" spans="7:8" ht="25.65" x14ac:dyDescent="0.35">
      <c r="G309" s="106" t="s">
        <v>3288</v>
      </c>
      <c r="H309" s="106" t="s">
        <v>3712</v>
      </c>
    </row>
    <row r="310" spans="7:8" ht="25.65" x14ac:dyDescent="0.35">
      <c r="G310" s="106" t="s">
        <v>3597</v>
      </c>
      <c r="H310" s="106" t="s">
        <v>3713</v>
      </c>
    </row>
    <row r="311" spans="7:8" ht="25.65" x14ac:dyDescent="0.35">
      <c r="G311" s="106" t="s">
        <v>3598</v>
      </c>
      <c r="H311" s="106" t="s">
        <v>3714</v>
      </c>
    </row>
    <row r="312" spans="7:8" ht="25.65" x14ac:dyDescent="0.35">
      <c r="G312" s="106" t="s">
        <v>3599</v>
      </c>
      <c r="H312" s="106" t="s">
        <v>3715</v>
      </c>
    </row>
    <row r="313" spans="7:8" ht="25.65" x14ac:dyDescent="0.35">
      <c r="G313" s="106" t="s">
        <v>3600</v>
      </c>
      <c r="H313" s="106" t="s">
        <v>3716</v>
      </c>
    </row>
    <row r="314" spans="7:8" ht="25.65" x14ac:dyDescent="0.35">
      <c r="G314" s="106" t="s">
        <v>3286</v>
      </c>
      <c r="H314" s="106" t="s">
        <v>3717</v>
      </c>
    </row>
    <row r="315" spans="7:8" ht="25.65" x14ac:dyDescent="0.35">
      <c r="G315" s="106" t="s">
        <v>3287</v>
      </c>
      <c r="H315" s="106" t="s">
        <v>3718</v>
      </c>
    </row>
    <row r="316" spans="7:8" ht="25.65" x14ac:dyDescent="0.35">
      <c r="G316" s="106" t="s">
        <v>3273</v>
      </c>
      <c r="H316" s="106" t="s">
        <v>3719</v>
      </c>
    </row>
    <row r="317" spans="7:8" ht="25.65" x14ac:dyDescent="0.35">
      <c r="G317" s="106" t="s">
        <v>3274</v>
      </c>
      <c r="H317" s="106" t="s">
        <v>3908</v>
      </c>
    </row>
    <row r="318" spans="7:8" ht="25.65" x14ac:dyDescent="0.35">
      <c r="G318" s="106" t="s">
        <v>3275</v>
      </c>
      <c r="H318" s="106" t="s">
        <v>3909</v>
      </c>
    </row>
    <row r="319" spans="7:8" ht="25.65" x14ac:dyDescent="0.35">
      <c r="G319" s="106" t="s">
        <v>3175</v>
      </c>
      <c r="H319" s="106" t="s">
        <v>3910</v>
      </c>
    </row>
    <row r="320" spans="7:8" ht="25.65" x14ac:dyDescent="0.35">
      <c r="G320" s="106" t="s">
        <v>3176</v>
      </c>
      <c r="H320" s="106" t="s">
        <v>3911</v>
      </c>
    </row>
    <row r="321" spans="7:8" ht="25.65" x14ac:dyDescent="0.35">
      <c r="G321" s="106" t="s">
        <v>3177</v>
      </c>
      <c r="H321" s="106" t="s">
        <v>3912</v>
      </c>
    </row>
    <row r="322" spans="7:8" ht="25.65" x14ac:dyDescent="0.35">
      <c r="G322" s="106" t="s">
        <v>3178</v>
      </c>
      <c r="H322" s="106" t="s">
        <v>3913</v>
      </c>
    </row>
    <row r="323" spans="7:8" ht="25.65" x14ac:dyDescent="0.35">
      <c r="G323" s="106" t="s">
        <v>3179</v>
      </c>
      <c r="H323" s="106" t="s">
        <v>3914</v>
      </c>
    </row>
    <row r="324" spans="7:8" ht="25.65" x14ac:dyDescent="0.35">
      <c r="G324" s="106" t="s">
        <v>3948</v>
      </c>
      <c r="H324" s="106" t="s">
        <v>3915</v>
      </c>
    </row>
    <row r="325" spans="7:8" ht="25.65" x14ac:dyDescent="0.35">
      <c r="G325" s="106" t="s">
        <v>3949</v>
      </c>
      <c r="H325" s="106" t="s">
        <v>3916</v>
      </c>
    </row>
    <row r="326" spans="7:8" ht="25.65" x14ac:dyDescent="0.35">
      <c r="G326" s="106" t="s">
        <v>3950</v>
      </c>
      <c r="H326" s="106" t="s">
        <v>3917</v>
      </c>
    </row>
    <row r="327" spans="7:8" ht="25.65" x14ac:dyDescent="0.35">
      <c r="G327" s="106" t="s">
        <v>3951</v>
      </c>
      <c r="H327" s="106" t="s">
        <v>3918</v>
      </c>
    </row>
    <row r="328" spans="7:8" ht="25.65" x14ac:dyDescent="0.35">
      <c r="G328" s="106" t="s">
        <v>3952</v>
      </c>
      <c r="H328" s="106" t="s">
        <v>2342</v>
      </c>
    </row>
    <row r="329" spans="7:8" ht="25.65" x14ac:dyDescent="0.35">
      <c r="G329" s="106" t="s">
        <v>3953</v>
      </c>
      <c r="H329" s="106" t="s">
        <v>2343</v>
      </c>
    </row>
    <row r="330" spans="7:8" ht="25.65" x14ac:dyDescent="0.35">
      <c r="G330" s="106" t="s">
        <v>3954</v>
      </c>
      <c r="H330" s="106" t="s">
        <v>2344</v>
      </c>
    </row>
    <row r="331" spans="7:8" ht="25.65" x14ac:dyDescent="0.35">
      <c r="G331" s="106" t="s">
        <v>3955</v>
      </c>
      <c r="H331" s="106" t="s">
        <v>2345</v>
      </c>
    </row>
    <row r="332" spans="7:8" ht="25.65" x14ac:dyDescent="0.35">
      <c r="G332" s="106" t="s">
        <v>3956</v>
      </c>
      <c r="H332" s="106" t="s">
        <v>2346</v>
      </c>
    </row>
    <row r="333" spans="7:8" ht="25.65" x14ac:dyDescent="0.35">
      <c r="G333" s="106" t="s">
        <v>3957</v>
      </c>
      <c r="H333" s="106" t="s">
        <v>2347</v>
      </c>
    </row>
    <row r="334" spans="7:8" ht="25.65" x14ac:dyDescent="0.35">
      <c r="G334" s="106" t="s">
        <v>3958</v>
      </c>
      <c r="H334" s="106" t="s">
        <v>2348</v>
      </c>
    </row>
    <row r="335" spans="7:8" ht="25.65" x14ac:dyDescent="0.35">
      <c r="G335" s="106" t="s">
        <v>3959</v>
      </c>
      <c r="H335" s="106" t="s">
        <v>2349</v>
      </c>
    </row>
    <row r="336" spans="7:8" ht="25.65" x14ac:dyDescent="0.35">
      <c r="G336" s="106" t="s">
        <v>3960</v>
      </c>
      <c r="H336" s="106" t="s">
        <v>2350</v>
      </c>
    </row>
    <row r="337" spans="7:8" ht="25.65" x14ac:dyDescent="0.35">
      <c r="G337" s="106" t="s">
        <v>2819</v>
      </c>
      <c r="H337" s="106" t="s">
        <v>2351</v>
      </c>
    </row>
    <row r="338" spans="7:8" ht="25.65" x14ac:dyDescent="0.35">
      <c r="G338" s="106" t="s">
        <v>2820</v>
      </c>
      <c r="H338" s="106" t="s">
        <v>2352</v>
      </c>
    </row>
    <row r="339" spans="7:8" ht="25.65" x14ac:dyDescent="0.35">
      <c r="G339" s="106" t="s">
        <v>2821</v>
      </c>
      <c r="H339" s="106" t="s">
        <v>2353</v>
      </c>
    </row>
    <row r="340" spans="7:8" ht="25.65" x14ac:dyDescent="0.35">
      <c r="G340" s="106" t="s">
        <v>1222</v>
      </c>
      <c r="H340" s="106" t="s">
        <v>2354</v>
      </c>
    </row>
    <row r="341" spans="7:8" ht="38.450000000000003" x14ac:dyDescent="0.35">
      <c r="G341" s="106" t="s">
        <v>2355</v>
      </c>
      <c r="H341" s="106" t="s">
        <v>2356</v>
      </c>
    </row>
    <row r="342" spans="7:8" ht="38.450000000000003" x14ac:dyDescent="0.35">
      <c r="G342" s="106" t="s">
        <v>1223</v>
      </c>
      <c r="H342" s="106" t="s">
        <v>3047</v>
      </c>
    </row>
    <row r="343" spans="7:8" ht="38.450000000000003" x14ac:dyDescent="0.35">
      <c r="G343" s="106" t="s">
        <v>1224</v>
      </c>
      <c r="H343" s="106" t="s">
        <v>3048</v>
      </c>
    </row>
    <row r="344" spans="7:8" ht="38.450000000000003" x14ac:dyDescent="0.35">
      <c r="G344" s="106" t="s">
        <v>1225</v>
      </c>
      <c r="H344" s="106" t="s">
        <v>3049</v>
      </c>
    </row>
    <row r="345" spans="7:8" ht="38.450000000000003" x14ac:dyDescent="0.35">
      <c r="G345" s="106" t="s">
        <v>1226</v>
      </c>
      <c r="H345" s="106" t="s">
        <v>3050</v>
      </c>
    </row>
    <row r="346" spans="7:8" ht="38.450000000000003" x14ac:dyDescent="0.35">
      <c r="G346" s="106" t="s">
        <v>1227</v>
      </c>
      <c r="H346" s="106" t="s">
        <v>3051</v>
      </c>
    </row>
    <row r="347" spans="7:8" ht="38.450000000000003" x14ac:dyDescent="0.35">
      <c r="G347" s="106" t="s">
        <v>2822</v>
      </c>
      <c r="H347" s="106" t="s">
        <v>3052</v>
      </c>
    </row>
    <row r="348" spans="7:8" ht="38.450000000000003" x14ac:dyDescent="0.35">
      <c r="G348" s="106" t="s">
        <v>2823</v>
      </c>
      <c r="H348" s="106" t="s">
        <v>3053</v>
      </c>
    </row>
    <row r="349" spans="7:8" ht="38.450000000000003" x14ac:dyDescent="0.35">
      <c r="G349" s="106" t="s">
        <v>2824</v>
      </c>
      <c r="H349" s="106" t="s">
        <v>3054</v>
      </c>
    </row>
    <row r="350" spans="7:8" ht="38.450000000000003" x14ac:dyDescent="0.35">
      <c r="G350" s="106" t="s">
        <v>1939</v>
      </c>
      <c r="H350" s="106" t="s">
        <v>3055</v>
      </c>
    </row>
    <row r="351" spans="7:8" ht="38.450000000000003" x14ac:dyDescent="0.35">
      <c r="G351" s="106" t="s">
        <v>1940</v>
      </c>
      <c r="H351" s="106" t="s">
        <v>3056</v>
      </c>
    </row>
    <row r="352" spans="7:8" ht="38.450000000000003" x14ac:dyDescent="0.35">
      <c r="G352" s="106" t="s">
        <v>1941</v>
      </c>
      <c r="H352" s="106" t="s">
        <v>1967</v>
      </c>
    </row>
    <row r="353" spans="7:8" ht="38.450000000000003" x14ac:dyDescent="0.35">
      <c r="G353" s="106" t="s">
        <v>1942</v>
      </c>
      <c r="H353" s="106" t="s">
        <v>1968</v>
      </c>
    </row>
    <row r="354" spans="7:8" ht="38.450000000000003" x14ac:dyDescent="0.35">
      <c r="G354" s="106" t="s">
        <v>1943</v>
      </c>
      <c r="H354" s="106" t="s">
        <v>1969</v>
      </c>
    </row>
    <row r="355" spans="7:8" ht="38.450000000000003" x14ac:dyDescent="0.35">
      <c r="G355" s="106" t="s">
        <v>1944</v>
      </c>
      <c r="H355" s="106" t="s">
        <v>1970</v>
      </c>
    </row>
    <row r="356" spans="7:8" ht="38.450000000000003" x14ac:dyDescent="0.35">
      <c r="G356" s="106" t="s">
        <v>1945</v>
      </c>
      <c r="H356" s="106" t="s">
        <v>1971</v>
      </c>
    </row>
    <row r="357" spans="7:8" ht="38.450000000000003" x14ac:dyDescent="0.35">
      <c r="G357" s="106" t="s">
        <v>1946</v>
      </c>
      <c r="H357" s="106" t="s">
        <v>1972</v>
      </c>
    </row>
    <row r="358" spans="7:8" ht="38.450000000000003" x14ac:dyDescent="0.35">
      <c r="G358" s="106" t="s">
        <v>1947</v>
      </c>
      <c r="H358" s="106" t="s">
        <v>1973</v>
      </c>
    </row>
    <row r="359" spans="7:8" ht="38.450000000000003" x14ac:dyDescent="0.35">
      <c r="G359" s="106" t="s">
        <v>1948</v>
      </c>
      <c r="H359" s="106" t="s">
        <v>1974</v>
      </c>
    </row>
    <row r="360" spans="7:8" ht="38.450000000000003" x14ac:dyDescent="0.35">
      <c r="G360" s="106" t="s">
        <v>1949</v>
      </c>
      <c r="H360" s="106" t="s">
        <v>1975</v>
      </c>
    </row>
    <row r="361" spans="7:8" ht="38.450000000000003" x14ac:dyDescent="0.35">
      <c r="G361" s="106" t="s">
        <v>1950</v>
      </c>
      <c r="H361" s="106" t="s">
        <v>3199</v>
      </c>
    </row>
    <row r="362" spans="7:8" ht="38.450000000000003" x14ac:dyDescent="0.35">
      <c r="G362" s="106" t="s">
        <v>1951</v>
      </c>
      <c r="H362" s="106" t="s">
        <v>3200</v>
      </c>
    </row>
    <row r="363" spans="7:8" ht="38.450000000000003" x14ac:dyDescent="0.35">
      <c r="G363" s="106" t="s">
        <v>1952</v>
      </c>
      <c r="H363" s="106" t="s">
        <v>3201</v>
      </c>
    </row>
    <row r="364" spans="7:8" ht="38.450000000000003" x14ac:dyDescent="0.35">
      <c r="G364" s="106" t="s">
        <v>1953</v>
      </c>
      <c r="H364" s="106" t="s">
        <v>3229</v>
      </c>
    </row>
    <row r="365" spans="7:8" ht="38.450000000000003" x14ac:dyDescent="0.35">
      <c r="G365" s="106" t="s">
        <v>1954</v>
      </c>
      <c r="H365" s="106" t="s">
        <v>3230</v>
      </c>
    </row>
    <row r="366" spans="7:8" ht="38.450000000000003" x14ac:dyDescent="0.35">
      <c r="G366" s="106" t="s">
        <v>1955</v>
      </c>
      <c r="H366" s="106" t="s">
        <v>3231</v>
      </c>
    </row>
    <row r="367" spans="7:8" ht="38.450000000000003" x14ac:dyDescent="0.35">
      <c r="G367" s="106" t="s">
        <v>1956</v>
      </c>
      <c r="H367" s="106" t="s">
        <v>3232</v>
      </c>
    </row>
    <row r="368" spans="7:8" ht="38.450000000000003" x14ac:dyDescent="0.35">
      <c r="G368" s="106" t="s">
        <v>1957</v>
      </c>
      <c r="H368" s="106" t="s">
        <v>3233</v>
      </c>
    </row>
    <row r="369" spans="7:8" ht="38.450000000000003" x14ac:dyDescent="0.35">
      <c r="G369" s="106" t="s">
        <v>2941</v>
      </c>
      <c r="H369" s="106" t="s">
        <v>3234</v>
      </c>
    </row>
    <row r="370" spans="7:8" ht="38.450000000000003" x14ac:dyDescent="0.35">
      <c r="G370" s="106" t="s">
        <v>2942</v>
      </c>
      <c r="H370" s="106" t="s">
        <v>3235</v>
      </c>
    </row>
    <row r="371" spans="7:8" ht="38.450000000000003" x14ac:dyDescent="0.35">
      <c r="G371" s="106" t="s">
        <v>3870</v>
      </c>
      <c r="H371" s="106" t="s">
        <v>3236</v>
      </c>
    </row>
    <row r="372" spans="7:8" ht="38.450000000000003" x14ac:dyDescent="0.35">
      <c r="G372" s="106" t="s">
        <v>2461</v>
      </c>
      <c r="H372" s="106" t="s">
        <v>3237</v>
      </c>
    </row>
    <row r="373" spans="7:8" ht="38.450000000000003" x14ac:dyDescent="0.35">
      <c r="G373" s="106" t="s">
        <v>2462</v>
      </c>
      <c r="H373" s="106" t="s">
        <v>3238</v>
      </c>
    </row>
    <row r="374" spans="7:8" ht="38.450000000000003" x14ac:dyDescent="0.35">
      <c r="G374" s="106" t="s">
        <v>1828</v>
      </c>
      <c r="H374" s="106" t="s">
        <v>3239</v>
      </c>
    </row>
    <row r="375" spans="7:8" ht="38.450000000000003" x14ac:dyDescent="0.35">
      <c r="G375" s="106" t="s">
        <v>1829</v>
      </c>
      <c r="H375" s="106" t="s">
        <v>3240</v>
      </c>
    </row>
    <row r="376" spans="7:8" ht="38.450000000000003" x14ac:dyDescent="0.35">
      <c r="G376" s="106" t="s">
        <v>1830</v>
      </c>
      <c r="H376" s="106" t="s">
        <v>3241</v>
      </c>
    </row>
    <row r="377" spans="7:8" ht="38.450000000000003" x14ac:dyDescent="0.35">
      <c r="G377" s="106" t="s">
        <v>1831</v>
      </c>
      <c r="H377" s="106" t="s">
        <v>2483</v>
      </c>
    </row>
    <row r="378" spans="7:8" ht="38.450000000000003" x14ac:dyDescent="0.35">
      <c r="G378" s="106" t="s">
        <v>1832</v>
      </c>
      <c r="H378" s="106" t="s">
        <v>2484</v>
      </c>
    </row>
    <row r="379" spans="7:8" ht="38.450000000000003" x14ac:dyDescent="0.35">
      <c r="G379" s="106" t="s">
        <v>1228</v>
      </c>
      <c r="H379" s="106" t="s">
        <v>2485</v>
      </c>
    </row>
    <row r="380" spans="7:8" ht="38.450000000000003" x14ac:dyDescent="0.35">
      <c r="G380" s="106" t="s">
        <v>4157</v>
      </c>
      <c r="H380" s="106" t="s">
        <v>2486</v>
      </c>
    </row>
    <row r="381" spans="7:8" ht="38.450000000000003" x14ac:dyDescent="0.35">
      <c r="G381" s="106" t="s">
        <v>4158</v>
      </c>
      <c r="H381" s="106" t="s">
        <v>3551</v>
      </c>
    </row>
    <row r="382" spans="7:8" ht="38.450000000000003" x14ac:dyDescent="0.35">
      <c r="G382" s="106" t="s">
        <v>4159</v>
      </c>
      <c r="H382" s="106" t="s">
        <v>716</v>
      </c>
    </row>
    <row r="383" spans="7:8" ht="38.450000000000003" x14ac:dyDescent="0.35">
      <c r="G383" s="106" t="s">
        <v>4160</v>
      </c>
      <c r="H383" s="106" t="s">
        <v>717</v>
      </c>
    </row>
    <row r="384" spans="7:8" ht="38.450000000000003" x14ac:dyDescent="0.35">
      <c r="G384" s="106" t="s">
        <v>4161</v>
      </c>
      <c r="H384" s="106" t="s">
        <v>718</v>
      </c>
    </row>
    <row r="385" spans="7:8" ht="38.450000000000003" x14ac:dyDescent="0.35">
      <c r="G385" s="106" t="s">
        <v>4162</v>
      </c>
      <c r="H385" s="106" t="s">
        <v>719</v>
      </c>
    </row>
    <row r="386" spans="7:8" ht="38.450000000000003" x14ac:dyDescent="0.35">
      <c r="G386" s="106" t="s">
        <v>440</v>
      </c>
      <c r="H386" s="106" t="s">
        <v>2228</v>
      </c>
    </row>
    <row r="387" spans="7:8" ht="38.450000000000003" x14ac:dyDescent="0.35">
      <c r="G387" s="106" t="s">
        <v>441</v>
      </c>
      <c r="H387" s="106" t="s">
        <v>2229</v>
      </c>
    </row>
    <row r="388" spans="7:8" ht="38.450000000000003" x14ac:dyDescent="0.35">
      <c r="G388" s="106" t="s">
        <v>442</v>
      </c>
      <c r="H388" s="106" t="s">
        <v>2230</v>
      </c>
    </row>
    <row r="389" spans="7:8" ht="38.450000000000003" x14ac:dyDescent="0.35">
      <c r="G389" s="106" t="s">
        <v>443</v>
      </c>
      <c r="H389" s="106" t="s">
        <v>2231</v>
      </c>
    </row>
    <row r="390" spans="7:8" ht="38.450000000000003" x14ac:dyDescent="0.35">
      <c r="G390" s="106" t="s">
        <v>444</v>
      </c>
      <c r="H390" s="106" t="s">
        <v>2232</v>
      </c>
    </row>
    <row r="391" spans="7:8" ht="38.450000000000003" x14ac:dyDescent="0.35">
      <c r="G391" s="106" t="s">
        <v>445</v>
      </c>
      <c r="H391" s="106" t="s">
        <v>2233</v>
      </c>
    </row>
    <row r="392" spans="7:8" ht="38.450000000000003" x14ac:dyDescent="0.35">
      <c r="G392" s="106" t="s">
        <v>1371</v>
      </c>
      <c r="H392" s="106" t="s">
        <v>2234</v>
      </c>
    </row>
    <row r="393" spans="7:8" ht="38.450000000000003" x14ac:dyDescent="0.35">
      <c r="G393" s="106" t="s">
        <v>837</v>
      </c>
      <c r="H393" s="106" t="s">
        <v>2235</v>
      </c>
    </row>
    <row r="394" spans="7:8" ht="38.450000000000003" x14ac:dyDescent="0.35">
      <c r="G394" s="106" t="s">
        <v>838</v>
      </c>
      <c r="H394" s="106" t="s">
        <v>2236</v>
      </c>
    </row>
    <row r="395" spans="7:8" ht="38.450000000000003" x14ac:dyDescent="0.35">
      <c r="G395" s="106" t="s">
        <v>286</v>
      </c>
      <c r="H395" s="106" t="s">
        <v>2237</v>
      </c>
    </row>
    <row r="396" spans="7:8" ht="38.450000000000003" x14ac:dyDescent="0.35">
      <c r="G396" s="106" t="s">
        <v>287</v>
      </c>
      <c r="H396" s="106" t="s">
        <v>2238</v>
      </c>
    </row>
    <row r="397" spans="7:8" ht="38.450000000000003" x14ac:dyDescent="0.35">
      <c r="G397" s="106" t="s">
        <v>3156</v>
      </c>
      <c r="H397" s="106" t="s">
        <v>2239</v>
      </c>
    </row>
    <row r="398" spans="7:8" ht="38.450000000000003" x14ac:dyDescent="0.35">
      <c r="G398" s="106" t="s">
        <v>3157</v>
      </c>
      <c r="H398" s="106" t="s">
        <v>3700</v>
      </c>
    </row>
    <row r="399" spans="7:8" ht="38.450000000000003" x14ac:dyDescent="0.35">
      <c r="G399" s="106" t="s">
        <v>3158</v>
      </c>
      <c r="H399" s="106" t="s">
        <v>3701</v>
      </c>
    </row>
    <row r="400" spans="7:8" ht="38.450000000000003" x14ac:dyDescent="0.35">
      <c r="G400" s="106" t="s">
        <v>2887</v>
      </c>
      <c r="H400" s="106" t="s">
        <v>3702</v>
      </c>
    </row>
    <row r="401" spans="7:8" ht="38.450000000000003" x14ac:dyDescent="0.35">
      <c r="G401" s="106" t="s">
        <v>3076</v>
      </c>
      <c r="H401" s="106" t="s">
        <v>3703</v>
      </c>
    </row>
    <row r="402" spans="7:8" ht="38.450000000000003" x14ac:dyDescent="0.35">
      <c r="G402" s="106" t="s">
        <v>3077</v>
      </c>
      <c r="H402" s="106" t="s">
        <v>3704</v>
      </c>
    </row>
    <row r="403" spans="7:8" ht="38.450000000000003" x14ac:dyDescent="0.35">
      <c r="G403" s="106" t="s">
        <v>3078</v>
      </c>
      <c r="H403" s="106" t="s">
        <v>1374</v>
      </c>
    </row>
    <row r="404" spans="7:8" ht="38.450000000000003" x14ac:dyDescent="0.35">
      <c r="G404" s="106" t="s">
        <v>3079</v>
      </c>
      <c r="H404" s="106" t="s">
        <v>518</v>
      </c>
    </row>
    <row r="405" spans="7:8" ht="38.450000000000003" x14ac:dyDescent="0.35">
      <c r="G405" s="106" t="s">
        <v>421</v>
      </c>
      <c r="H405" s="106" t="s">
        <v>519</v>
      </c>
    </row>
    <row r="406" spans="7:8" ht="38.450000000000003" x14ac:dyDescent="0.35">
      <c r="G406" s="106" t="s">
        <v>422</v>
      </c>
      <c r="H406" s="106" t="s">
        <v>520</v>
      </c>
    </row>
    <row r="407" spans="7:8" ht="38.450000000000003" x14ac:dyDescent="0.35">
      <c r="G407" s="106" t="s">
        <v>677</v>
      </c>
      <c r="H407" s="106" t="s">
        <v>521</v>
      </c>
    </row>
    <row r="408" spans="7:8" ht="38.450000000000003" x14ac:dyDescent="0.35">
      <c r="G408" s="106" t="s">
        <v>678</v>
      </c>
      <c r="H408" s="106" t="s">
        <v>522</v>
      </c>
    </row>
    <row r="409" spans="7:8" ht="38.450000000000003" x14ac:dyDescent="0.35">
      <c r="G409" s="106" t="s">
        <v>2464</v>
      </c>
      <c r="H409" s="106" t="s">
        <v>523</v>
      </c>
    </row>
    <row r="410" spans="7:8" ht="38.450000000000003" x14ac:dyDescent="0.35">
      <c r="G410" s="106" t="s">
        <v>2474</v>
      </c>
      <c r="H410" s="106" t="s">
        <v>524</v>
      </c>
    </row>
    <row r="411" spans="7:8" ht="38.450000000000003" x14ac:dyDescent="0.35">
      <c r="G411" s="106" t="s">
        <v>2475</v>
      </c>
      <c r="H411" s="106" t="s">
        <v>525</v>
      </c>
    </row>
    <row r="412" spans="7:8" ht="38.450000000000003" x14ac:dyDescent="0.35">
      <c r="G412" s="106" t="s">
        <v>2476</v>
      </c>
      <c r="H412" s="106" t="s">
        <v>526</v>
      </c>
    </row>
    <row r="413" spans="7:8" ht="38.450000000000003" x14ac:dyDescent="0.35">
      <c r="G413" s="106" t="s">
        <v>2477</v>
      </c>
      <c r="H413" s="106" t="s">
        <v>527</v>
      </c>
    </row>
    <row r="414" spans="7:8" ht="38.450000000000003" x14ac:dyDescent="0.35">
      <c r="G414" s="106" t="s">
        <v>2478</v>
      </c>
      <c r="H414" s="106" t="s">
        <v>528</v>
      </c>
    </row>
    <row r="415" spans="7:8" ht="38.450000000000003" x14ac:dyDescent="0.35">
      <c r="G415" s="106" t="s">
        <v>2479</v>
      </c>
      <c r="H415" s="106" t="s">
        <v>529</v>
      </c>
    </row>
    <row r="416" spans="7:8" ht="38.450000000000003" x14ac:dyDescent="0.35">
      <c r="G416" s="106" t="s">
        <v>2473</v>
      </c>
      <c r="H416" s="106" t="s">
        <v>530</v>
      </c>
    </row>
    <row r="417" spans="7:8" ht="38.450000000000003" x14ac:dyDescent="0.35">
      <c r="G417" s="106" t="s">
        <v>283</v>
      </c>
      <c r="H417" s="106" t="s">
        <v>531</v>
      </c>
    </row>
    <row r="418" spans="7:8" ht="38.450000000000003" x14ac:dyDescent="0.35">
      <c r="G418" s="106" t="s">
        <v>284</v>
      </c>
      <c r="H418" s="106" t="s">
        <v>532</v>
      </c>
    </row>
    <row r="419" spans="7:8" ht="38.450000000000003" x14ac:dyDescent="0.35">
      <c r="G419" s="106" t="s">
        <v>285</v>
      </c>
      <c r="H419" s="106" t="s">
        <v>533</v>
      </c>
    </row>
    <row r="420" spans="7:8" ht="38.450000000000003" x14ac:dyDescent="0.35">
      <c r="G420" s="106" t="s">
        <v>1867</v>
      </c>
      <c r="H420" s="106" t="s">
        <v>534</v>
      </c>
    </row>
    <row r="421" spans="7:8" ht="38.450000000000003" x14ac:dyDescent="0.35">
      <c r="G421" s="106" t="s">
        <v>1868</v>
      </c>
      <c r="H421" s="106" t="s">
        <v>535</v>
      </c>
    </row>
    <row r="422" spans="7:8" ht="38.450000000000003" x14ac:dyDescent="0.35">
      <c r="G422" s="106" t="s">
        <v>2441</v>
      </c>
      <c r="H422" s="106" t="s">
        <v>536</v>
      </c>
    </row>
    <row r="423" spans="7:8" ht="38.450000000000003" x14ac:dyDescent="0.35">
      <c r="G423" s="106" t="s">
        <v>2442</v>
      </c>
      <c r="H423" s="106" t="s">
        <v>1976</v>
      </c>
    </row>
    <row r="424" spans="7:8" ht="38.450000000000003" x14ac:dyDescent="0.35">
      <c r="G424" s="106" t="s">
        <v>2443</v>
      </c>
      <c r="H424" s="106" t="s">
        <v>1977</v>
      </c>
    </row>
    <row r="425" spans="7:8" ht="38.450000000000003" x14ac:dyDescent="0.35">
      <c r="G425" s="106" t="s">
        <v>2444</v>
      </c>
      <c r="H425" s="106" t="s">
        <v>3931</v>
      </c>
    </row>
    <row r="426" spans="7:8" ht="38.450000000000003" x14ac:dyDescent="0.35">
      <c r="G426" s="106" t="s">
        <v>3922</v>
      </c>
      <c r="H426" s="106" t="s">
        <v>2904</v>
      </c>
    </row>
    <row r="427" spans="7:8" ht="38.450000000000003" x14ac:dyDescent="0.35">
      <c r="G427" s="106" t="s">
        <v>3923</v>
      </c>
      <c r="H427" s="106" t="s">
        <v>264</v>
      </c>
    </row>
    <row r="428" spans="7:8" ht="38.450000000000003" x14ac:dyDescent="0.35">
      <c r="G428" s="106" t="s">
        <v>3924</v>
      </c>
      <c r="H428" s="106" t="s">
        <v>265</v>
      </c>
    </row>
    <row r="429" spans="7:8" ht="38.450000000000003" x14ac:dyDescent="0.35">
      <c r="G429" s="106" t="s">
        <v>3925</v>
      </c>
      <c r="H429" s="106" t="s">
        <v>266</v>
      </c>
    </row>
    <row r="430" spans="7:8" ht="38.450000000000003" x14ac:dyDescent="0.35">
      <c r="G430" s="106" t="s">
        <v>3926</v>
      </c>
      <c r="H430" s="106" t="s">
        <v>267</v>
      </c>
    </row>
    <row r="431" spans="7:8" ht="38.450000000000003" x14ac:dyDescent="0.35">
      <c r="G431" s="106" t="s">
        <v>3961</v>
      </c>
      <c r="H431" s="106" t="s">
        <v>268</v>
      </c>
    </row>
    <row r="432" spans="7:8" ht="38.450000000000003" x14ac:dyDescent="0.35">
      <c r="G432" s="106" t="s">
        <v>3962</v>
      </c>
      <c r="H432" s="106" t="s">
        <v>269</v>
      </c>
    </row>
    <row r="433" spans="7:8" ht="38.450000000000003" x14ac:dyDescent="0.35">
      <c r="G433" s="106" t="s">
        <v>3963</v>
      </c>
      <c r="H433" s="106" t="s">
        <v>270</v>
      </c>
    </row>
    <row r="434" spans="7:8" ht="38.450000000000003" x14ac:dyDescent="0.35">
      <c r="G434" s="106" t="s">
        <v>3964</v>
      </c>
      <c r="H434" s="106" t="s">
        <v>271</v>
      </c>
    </row>
    <row r="435" spans="7:8" ht="38.450000000000003" x14ac:dyDescent="0.35">
      <c r="G435" s="106" t="s">
        <v>3965</v>
      </c>
      <c r="H435" s="106" t="s">
        <v>272</v>
      </c>
    </row>
    <row r="436" spans="7:8" ht="38.450000000000003" x14ac:dyDescent="0.35">
      <c r="G436" s="106" t="s">
        <v>3966</v>
      </c>
      <c r="H436" s="106" t="s">
        <v>273</v>
      </c>
    </row>
    <row r="437" spans="7:8" ht="38.450000000000003" x14ac:dyDescent="0.35">
      <c r="G437" s="106" t="s">
        <v>3967</v>
      </c>
      <c r="H437" s="106" t="s">
        <v>274</v>
      </c>
    </row>
    <row r="438" spans="7:8" ht="38.450000000000003" x14ac:dyDescent="0.35">
      <c r="G438" s="106" t="s">
        <v>3326</v>
      </c>
      <c r="H438" s="106" t="s">
        <v>275</v>
      </c>
    </row>
    <row r="439" spans="7:8" ht="38.450000000000003" x14ac:dyDescent="0.35">
      <c r="G439" s="106" t="s">
        <v>3637</v>
      </c>
      <c r="H439" s="106" t="s">
        <v>599</v>
      </c>
    </row>
    <row r="440" spans="7:8" ht="38.450000000000003" x14ac:dyDescent="0.35">
      <c r="G440" s="106" t="s">
        <v>3638</v>
      </c>
      <c r="H440" s="106" t="s">
        <v>600</v>
      </c>
    </row>
    <row r="441" spans="7:8" ht="38.450000000000003" x14ac:dyDescent="0.35">
      <c r="G441" s="106" t="s">
        <v>3639</v>
      </c>
      <c r="H441" s="106" t="s">
        <v>601</v>
      </c>
    </row>
    <row r="442" spans="7:8" ht="38.450000000000003" x14ac:dyDescent="0.35">
      <c r="G442" s="106" t="s">
        <v>3640</v>
      </c>
      <c r="H442" s="106" t="s">
        <v>4033</v>
      </c>
    </row>
    <row r="443" spans="7:8" ht="38.450000000000003" x14ac:dyDescent="0.35">
      <c r="G443" s="106" t="s">
        <v>3641</v>
      </c>
      <c r="H443" s="106" t="s">
        <v>3488</v>
      </c>
    </row>
    <row r="444" spans="7:8" ht="38.450000000000003" x14ac:dyDescent="0.35">
      <c r="G444" s="106" t="s">
        <v>1979</v>
      </c>
      <c r="H444" s="106" t="s">
        <v>3489</v>
      </c>
    </row>
    <row r="445" spans="7:8" ht="38.450000000000003" x14ac:dyDescent="0.35">
      <c r="G445" s="106" t="s">
        <v>2466</v>
      </c>
      <c r="H445" s="106" t="s">
        <v>3490</v>
      </c>
    </row>
    <row r="446" spans="7:8" ht="38.450000000000003" x14ac:dyDescent="0.35">
      <c r="G446" s="106" t="s">
        <v>2467</v>
      </c>
      <c r="H446" s="106" t="s">
        <v>3491</v>
      </c>
    </row>
    <row r="447" spans="7:8" ht="38.450000000000003" x14ac:dyDescent="0.35">
      <c r="G447" s="106" t="s">
        <v>2468</v>
      </c>
      <c r="H447" s="106" t="s">
        <v>3666</v>
      </c>
    </row>
    <row r="448" spans="7:8" ht="38.450000000000003" x14ac:dyDescent="0.35">
      <c r="G448" s="106" t="s">
        <v>2469</v>
      </c>
      <c r="H448" s="106" t="s">
        <v>3667</v>
      </c>
    </row>
    <row r="449" spans="7:8" ht="38.450000000000003" x14ac:dyDescent="0.35">
      <c r="G449" s="106" t="s">
        <v>2470</v>
      </c>
      <c r="H449" s="106" t="s">
        <v>3668</v>
      </c>
    </row>
    <row r="450" spans="7:8" ht="38.450000000000003" x14ac:dyDescent="0.35">
      <c r="G450" s="106" t="s">
        <v>2471</v>
      </c>
      <c r="H450" s="106" t="s">
        <v>3669</v>
      </c>
    </row>
    <row r="451" spans="7:8" ht="38.450000000000003" x14ac:dyDescent="0.35">
      <c r="G451" s="106" t="s">
        <v>3518</v>
      </c>
      <c r="H451" s="106" t="s">
        <v>3670</v>
      </c>
    </row>
    <row r="452" spans="7:8" ht="38.450000000000003" x14ac:dyDescent="0.35">
      <c r="G452" s="106" t="s">
        <v>3444</v>
      </c>
      <c r="H452" s="106" t="s">
        <v>3671</v>
      </c>
    </row>
    <row r="453" spans="7:8" ht="38.450000000000003" x14ac:dyDescent="0.35">
      <c r="G453" s="106" t="s">
        <v>3445</v>
      </c>
      <c r="H453" s="106" t="s">
        <v>3672</v>
      </c>
    </row>
    <row r="454" spans="7:8" ht="38.450000000000003" x14ac:dyDescent="0.35">
      <c r="G454" s="106" t="s">
        <v>3446</v>
      </c>
      <c r="H454" s="106" t="s">
        <v>3673</v>
      </c>
    </row>
    <row r="455" spans="7:8" ht="38.450000000000003" x14ac:dyDescent="0.35">
      <c r="G455" s="106" t="s">
        <v>3447</v>
      </c>
      <c r="H455" s="106" t="s">
        <v>3674</v>
      </c>
    </row>
    <row r="456" spans="7:8" ht="38.450000000000003" x14ac:dyDescent="0.35">
      <c r="G456" s="106" t="s">
        <v>3856</v>
      </c>
      <c r="H456" s="106" t="s">
        <v>3675</v>
      </c>
    </row>
    <row r="457" spans="7:8" ht="38.450000000000003" x14ac:dyDescent="0.35">
      <c r="G457" s="106" t="s">
        <v>4051</v>
      </c>
      <c r="H457" s="106" t="s">
        <v>3676</v>
      </c>
    </row>
    <row r="458" spans="7:8" ht="38.450000000000003" x14ac:dyDescent="0.35">
      <c r="G458" s="106" t="s">
        <v>4052</v>
      </c>
      <c r="H458" s="106" t="s">
        <v>3677</v>
      </c>
    </row>
    <row r="459" spans="7:8" ht="38.450000000000003" x14ac:dyDescent="0.35">
      <c r="G459" s="106" t="s">
        <v>4053</v>
      </c>
      <c r="H459" s="106" t="s">
        <v>1505</v>
      </c>
    </row>
    <row r="460" spans="7:8" ht="38.450000000000003" x14ac:dyDescent="0.35">
      <c r="G460" s="106" t="s">
        <v>4054</v>
      </c>
      <c r="H460" s="106" t="s">
        <v>1506</v>
      </c>
    </row>
    <row r="461" spans="7:8" ht="38.450000000000003" x14ac:dyDescent="0.35">
      <c r="G461" s="106" t="s">
        <v>1214</v>
      </c>
      <c r="H461" s="106" t="s">
        <v>1507</v>
      </c>
    </row>
    <row r="462" spans="7:8" ht="25.65" x14ac:dyDescent="0.35">
      <c r="G462" s="106" t="s">
        <v>1769</v>
      </c>
      <c r="H462" s="106" t="s">
        <v>815</v>
      </c>
    </row>
    <row r="463" spans="7:8" ht="25.65" x14ac:dyDescent="0.35">
      <c r="G463" s="106" t="s">
        <v>1770</v>
      </c>
      <c r="H463" s="106" t="s">
        <v>380</v>
      </c>
    </row>
    <row r="464" spans="7:8" ht="25.65" x14ac:dyDescent="0.35">
      <c r="G464" s="106" t="s">
        <v>2671</v>
      </c>
      <c r="H464" s="106" t="s">
        <v>381</v>
      </c>
    </row>
    <row r="465" spans="7:8" ht="25.65" x14ac:dyDescent="0.35">
      <c r="G465" s="106" t="s">
        <v>1771</v>
      </c>
      <c r="H465" s="106" t="s">
        <v>382</v>
      </c>
    </row>
    <row r="466" spans="7:8" ht="25.65" x14ac:dyDescent="0.35">
      <c r="G466" s="106" t="s">
        <v>214</v>
      </c>
      <c r="H466" s="106" t="s">
        <v>383</v>
      </c>
    </row>
    <row r="467" spans="7:8" ht="25.65" x14ac:dyDescent="0.35">
      <c r="G467" s="106" t="s">
        <v>3878</v>
      </c>
      <c r="H467" s="106" t="s">
        <v>384</v>
      </c>
    </row>
    <row r="468" spans="7:8" ht="25.65" x14ac:dyDescent="0.35">
      <c r="G468" s="106" t="s">
        <v>215</v>
      </c>
      <c r="H468" s="106" t="s">
        <v>385</v>
      </c>
    </row>
    <row r="469" spans="7:8" ht="25.65" x14ac:dyDescent="0.35">
      <c r="G469" s="106" t="s">
        <v>4210</v>
      </c>
      <c r="H469" s="106" t="s">
        <v>386</v>
      </c>
    </row>
    <row r="470" spans="7:8" ht="25.65" x14ac:dyDescent="0.35">
      <c r="G470" s="106" t="s">
        <v>1246</v>
      </c>
      <c r="H470" s="106" t="s">
        <v>387</v>
      </c>
    </row>
    <row r="471" spans="7:8" ht="25.65" x14ac:dyDescent="0.35">
      <c r="G471" s="106" t="s">
        <v>1247</v>
      </c>
      <c r="H471" s="106" t="s">
        <v>388</v>
      </c>
    </row>
    <row r="472" spans="7:8" ht="25.65" x14ac:dyDescent="0.35">
      <c r="G472" s="106" t="s">
        <v>2950</v>
      </c>
      <c r="H472" s="106" t="s">
        <v>389</v>
      </c>
    </row>
    <row r="473" spans="7:8" ht="25.65" x14ac:dyDescent="0.35">
      <c r="G473" s="106" t="s">
        <v>2951</v>
      </c>
      <c r="H473" s="106" t="s">
        <v>390</v>
      </c>
    </row>
    <row r="474" spans="7:8" ht="25.65" x14ac:dyDescent="0.35">
      <c r="G474" s="106" t="s">
        <v>2952</v>
      </c>
      <c r="H474" s="106" t="s">
        <v>391</v>
      </c>
    </row>
    <row r="475" spans="7:8" ht="25.65" x14ac:dyDescent="0.35">
      <c r="G475" s="106" t="s">
        <v>1658</v>
      </c>
      <c r="H475" s="106" t="s">
        <v>392</v>
      </c>
    </row>
    <row r="476" spans="7:8" ht="25.65" x14ac:dyDescent="0.35">
      <c r="G476" s="106" t="s">
        <v>1659</v>
      </c>
      <c r="H476" s="106" t="s">
        <v>393</v>
      </c>
    </row>
    <row r="477" spans="7:8" ht="25.65" x14ac:dyDescent="0.35">
      <c r="G477" s="106" t="s">
        <v>1660</v>
      </c>
      <c r="H477" s="106" t="s">
        <v>394</v>
      </c>
    </row>
    <row r="478" spans="7:8" ht="25.65" x14ac:dyDescent="0.35">
      <c r="G478" s="106" t="s">
        <v>1661</v>
      </c>
      <c r="H478" s="106" t="s">
        <v>395</v>
      </c>
    </row>
    <row r="479" spans="7:8" ht="25.65" x14ac:dyDescent="0.35">
      <c r="G479" s="106" t="s">
        <v>1662</v>
      </c>
      <c r="H479" s="106" t="s">
        <v>396</v>
      </c>
    </row>
    <row r="480" spans="7:8" ht="25.65" x14ac:dyDescent="0.35">
      <c r="G480" s="106" t="s">
        <v>2166</v>
      </c>
      <c r="H480" s="106" t="s">
        <v>897</v>
      </c>
    </row>
    <row r="481" spans="7:8" ht="25.65" x14ac:dyDescent="0.35">
      <c r="G481" s="106" t="s">
        <v>1779</v>
      </c>
      <c r="H481" s="106" t="s">
        <v>898</v>
      </c>
    </row>
    <row r="482" spans="7:8" ht="25.65" x14ac:dyDescent="0.35">
      <c r="G482" s="106" t="s">
        <v>1780</v>
      </c>
      <c r="H482" s="106" t="s">
        <v>899</v>
      </c>
    </row>
    <row r="483" spans="7:8" ht="25.65" x14ac:dyDescent="0.35">
      <c r="G483" s="106" t="s">
        <v>1781</v>
      </c>
      <c r="H483" s="106" t="s">
        <v>775</v>
      </c>
    </row>
    <row r="484" spans="7:8" ht="25.65" x14ac:dyDescent="0.35">
      <c r="G484" s="106" t="s">
        <v>1705</v>
      </c>
      <c r="H484" s="106" t="s">
        <v>776</v>
      </c>
    </row>
    <row r="485" spans="7:8" ht="25.65" x14ac:dyDescent="0.35">
      <c r="G485" s="106" t="s">
        <v>1706</v>
      </c>
      <c r="H485" s="106" t="s">
        <v>973</v>
      </c>
    </row>
    <row r="486" spans="7:8" ht="25.65" x14ac:dyDescent="0.35">
      <c r="G486" s="106" t="s">
        <v>3292</v>
      </c>
      <c r="H486" s="106" t="s">
        <v>293</v>
      </c>
    </row>
    <row r="487" spans="7:8" ht="25.65" x14ac:dyDescent="0.35">
      <c r="G487" s="106" t="s">
        <v>3293</v>
      </c>
      <c r="H487" s="106" t="s">
        <v>294</v>
      </c>
    </row>
    <row r="488" spans="7:8" ht="25.65" x14ac:dyDescent="0.35">
      <c r="G488" s="106" t="s">
        <v>2937</v>
      </c>
      <c r="H488" s="106" t="s">
        <v>295</v>
      </c>
    </row>
    <row r="489" spans="7:8" ht="25.65" x14ac:dyDescent="0.35">
      <c r="G489" s="106" t="s">
        <v>2938</v>
      </c>
      <c r="H489" s="106" t="s">
        <v>296</v>
      </c>
    </row>
    <row r="490" spans="7:8" ht="25.65" x14ac:dyDescent="0.35">
      <c r="G490" s="106" t="s">
        <v>2939</v>
      </c>
      <c r="H490" s="106" t="s">
        <v>297</v>
      </c>
    </row>
    <row r="491" spans="7:8" ht="25.65" x14ac:dyDescent="0.35">
      <c r="G491" s="106" t="s">
        <v>1299</v>
      </c>
      <c r="H491" s="106" t="s">
        <v>298</v>
      </c>
    </row>
    <row r="492" spans="7:8" ht="25.65" x14ac:dyDescent="0.35">
      <c r="G492" s="106" t="s">
        <v>1300</v>
      </c>
      <c r="H492" s="106" t="s">
        <v>299</v>
      </c>
    </row>
    <row r="493" spans="7:8" ht="25.65" x14ac:dyDescent="0.35">
      <c r="G493" s="106" t="s">
        <v>1301</v>
      </c>
      <c r="H493" s="106" t="s">
        <v>300</v>
      </c>
    </row>
    <row r="494" spans="7:8" ht="25.65" x14ac:dyDescent="0.35">
      <c r="G494" s="106" t="s">
        <v>1302</v>
      </c>
      <c r="H494" s="106" t="s">
        <v>301</v>
      </c>
    </row>
    <row r="495" spans="7:8" ht="25.65" x14ac:dyDescent="0.35">
      <c r="G495" s="106" t="s">
        <v>1303</v>
      </c>
      <c r="H495" s="106" t="s">
        <v>302</v>
      </c>
    </row>
    <row r="496" spans="7:8" ht="25.65" x14ac:dyDescent="0.35">
      <c r="G496" s="106" t="s">
        <v>1844</v>
      </c>
      <c r="H496" s="106" t="s">
        <v>303</v>
      </c>
    </row>
    <row r="497" spans="7:8" ht="25.65" x14ac:dyDescent="0.35">
      <c r="G497" s="106" t="s">
        <v>1839</v>
      </c>
      <c r="H497" s="106" t="s">
        <v>304</v>
      </c>
    </row>
    <row r="498" spans="7:8" ht="25.65" x14ac:dyDescent="0.35">
      <c r="G498" s="106" t="s">
        <v>1840</v>
      </c>
      <c r="H498" s="106" t="s">
        <v>305</v>
      </c>
    </row>
    <row r="499" spans="7:8" ht="25.65" x14ac:dyDescent="0.35">
      <c r="G499" s="106" t="s">
        <v>1841</v>
      </c>
      <c r="H499" s="106" t="s">
        <v>306</v>
      </c>
    </row>
    <row r="500" spans="7:8" ht="25.65" x14ac:dyDescent="0.35">
      <c r="G500" s="106" t="s">
        <v>1842</v>
      </c>
      <c r="H500" s="106" t="s">
        <v>307</v>
      </c>
    </row>
    <row r="501" spans="7:8" ht="25.65" x14ac:dyDescent="0.35">
      <c r="G501" s="106" t="s">
        <v>1843</v>
      </c>
      <c r="H501" s="106" t="s">
        <v>1262</v>
      </c>
    </row>
    <row r="502" spans="7:8" ht="25.65" x14ac:dyDescent="0.35">
      <c r="G502" s="106" t="s">
        <v>2970</v>
      </c>
      <c r="H502" s="106" t="s">
        <v>1263</v>
      </c>
    </row>
    <row r="503" spans="7:8" ht="25.65" x14ac:dyDescent="0.35">
      <c r="G503" s="106" t="s">
        <v>3504</v>
      </c>
      <c r="H503" s="106" t="s">
        <v>1264</v>
      </c>
    </row>
    <row r="504" spans="7:8" ht="25.65" x14ac:dyDescent="0.35">
      <c r="G504" s="106" t="s">
        <v>2158</v>
      </c>
      <c r="H504" s="106" t="s">
        <v>1265</v>
      </c>
    </row>
    <row r="505" spans="7:8" ht="25.65" x14ac:dyDescent="0.35">
      <c r="G505" s="106" t="s">
        <v>1032</v>
      </c>
      <c r="H505" s="106" t="s">
        <v>1033</v>
      </c>
    </row>
    <row r="506" spans="7:8" ht="25.65" x14ac:dyDescent="0.35">
      <c r="G506" s="106" t="s">
        <v>3384</v>
      </c>
      <c r="H506" s="106" t="s">
        <v>3385</v>
      </c>
    </row>
    <row r="507" spans="7:8" ht="25.65" x14ac:dyDescent="0.35">
      <c r="G507" s="106" t="s">
        <v>3386</v>
      </c>
      <c r="H507" s="106" t="s">
        <v>3387</v>
      </c>
    </row>
    <row r="508" spans="7:8" ht="25.65" x14ac:dyDescent="0.35">
      <c r="G508" s="106" t="s">
        <v>3388</v>
      </c>
      <c r="H508" s="106" t="s">
        <v>3389</v>
      </c>
    </row>
    <row r="509" spans="7:8" ht="25.65" x14ac:dyDescent="0.35">
      <c r="G509" s="106" t="s">
        <v>3390</v>
      </c>
      <c r="H509" s="106" t="s">
        <v>3391</v>
      </c>
    </row>
    <row r="510" spans="7:8" ht="25.65" x14ac:dyDescent="0.35">
      <c r="G510" s="106" t="s">
        <v>3392</v>
      </c>
      <c r="H510" s="106" t="s">
        <v>3393</v>
      </c>
    </row>
    <row r="511" spans="7:8" ht="25.65" x14ac:dyDescent="0.35">
      <c r="G511" s="106" t="s">
        <v>3782</v>
      </c>
      <c r="H511" s="106" t="s">
        <v>3394</v>
      </c>
    </row>
    <row r="512" spans="7:8" ht="25.65" x14ac:dyDescent="0.35">
      <c r="G512" s="106" t="s">
        <v>3395</v>
      </c>
      <c r="H512" s="106" t="s">
        <v>3256</v>
      </c>
    </row>
    <row r="513" spans="7:8" ht="25.65" x14ac:dyDescent="0.35">
      <c r="G513" s="106" t="s">
        <v>2315</v>
      </c>
      <c r="H513" s="106" t="s">
        <v>2533</v>
      </c>
    </row>
    <row r="514" spans="7:8" ht="25.65" x14ac:dyDescent="0.35">
      <c r="G514" s="106" t="s">
        <v>2981</v>
      </c>
      <c r="H514" s="106" t="s">
        <v>2534</v>
      </c>
    </row>
    <row r="515" spans="7:8" ht="25.65" x14ac:dyDescent="0.35">
      <c r="G515" s="106" t="s">
        <v>3627</v>
      </c>
      <c r="H515" s="106" t="s">
        <v>2535</v>
      </c>
    </row>
    <row r="516" spans="7:8" ht="38.450000000000003" x14ac:dyDescent="0.35">
      <c r="G516" s="106" t="s">
        <v>2536</v>
      </c>
      <c r="H516" s="106" t="s">
        <v>2537</v>
      </c>
    </row>
    <row r="517" spans="7:8" ht="38.450000000000003" x14ac:dyDescent="0.35">
      <c r="G517" s="106" t="s">
        <v>2538</v>
      </c>
      <c r="H517" s="106" t="s">
        <v>2539</v>
      </c>
    </row>
    <row r="518" spans="7:8" ht="38.450000000000003" x14ac:dyDescent="0.35">
      <c r="G518" s="106" t="s">
        <v>2540</v>
      </c>
      <c r="H518" s="106" t="s">
        <v>2541</v>
      </c>
    </row>
    <row r="519" spans="7:8" ht="38.450000000000003" x14ac:dyDescent="0.35">
      <c r="G519" s="106" t="s">
        <v>2542</v>
      </c>
      <c r="H519" s="106" t="s">
        <v>2543</v>
      </c>
    </row>
    <row r="520" spans="7:8" ht="38.450000000000003" x14ac:dyDescent="0.35">
      <c r="G520" s="106" t="s">
        <v>2544</v>
      </c>
      <c r="H520" s="106" t="s">
        <v>4105</v>
      </c>
    </row>
    <row r="521" spans="7:8" ht="38.450000000000003" x14ac:dyDescent="0.35">
      <c r="G521" s="106" t="s">
        <v>4106</v>
      </c>
      <c r="H521" s="106" t="s">
        <v>4107</v>
      </c>
    </row>
    <row r="522" spans="7:8" ht="38.450000000000003" x14ac:dyDescent="0.35">
      <c r="G522" s="106" t="s">
        <v>4108</v>
      </c>
      <c r="H522" s="106" t="s">
        <v>4109</v>
      </c>
    </row>
    <row r="523" spans="7:8" ht="38.450000000000003" x14ac:dyDescent="0.35">
      <c r="G523" s="106" t="s">
        <v>4110</v>
      </c>
      <c r="H523" s="106" t="s">
        <v>4111</v>
      </c>
    </row>
    <row r="524" spans="7:8" ht="38.450000000000003" x14ac:dyDescent="0.35">
      <c r="G524" s="106" t="s">
        <v>4112</v>
      </c>
      <c r="H524" s="106" t="s">
        <v>4113</v>
      </c>
    </row>
    <row r="525" spans="7:8" ht="38.450000000000003" x14ac:dyDescent="0.35">
      <c r="G525" s="106" t="s">
        <v>2324</v>
      </c>
      <c r="H525" s="106" t="s">
        <v>2325</v>
      </c>
    </row>
    <row r="526" spans="7:8" ht="38.450000000000003" x14ac:dyDescent="0.35">
      <c r="G526" s="106" t="s">
        <v>3858</v>
      </c>
      <c r="H526" s="106" t="s">
        <v>3859</v>
      </c>
    </row>
    <row r="527" spans="7:8" ht="38.450000000000003" x14ac:dyDescent="0.35">
      <c r="G527" s="106" t="s">
        <v>3860</v>
      </c>
      <c r="H527" s="106" t="s">
        <v>3861</v>
      </c>
    </row>
    <row r="528" spans="7:8" ht="38.450000000000003" x14ac:dyDescent="0.35">
      <c r="G528" s="106" t="s">
        <v>3862</v>
      </c>
      <c r="H528" s="106" t="s">
        <v>3863</v>
      </c>
    </row>
    <row r="529" spans="7:8" ht="38.450000000000003" x14ac:dyDescent="0.35">
      <c r="G529" s="106" t="s">
        <v>2264</v>
      </c>
      <c r="H529" s="106" t="s">
        <v>2265</v>
      </c>
    </row>
    <row r="530" spans="7:8" ht="38.450000000000003" x14ac:dyDescent="0.35">
      <c r="G530" s="106" t="s">
        <v>2266</v>
      </c>
      <c r="H530" s="106" t="s">
        <v>2267</v>
      </c>
    </row>
    <row r="531" spans="7:8" ht="38.450000000000003" x14ac:dyDescent="0.35">
      <c r="G531" s="106" t="s">
        <v>2268</v>
      </c>
      <c r="H531" s="106" t="s">
        <v>2269</v>
      </c>
    </row>
    <row r="532" spans="7:8" ht="38.450000000000003" x14ac:dyDescent="0.35">
      <c r="G532" s="106" t="s">
        <v>2270</v>
      </c>
      <c r="H532" s="106" t="s">
        <v>2271</v>
      </c>
    </row>
    <row r="533" spans="7:8" ht="38.450000000000003" x14ac:dyDescent="0.35">
      <c r="G533" s="106" t="s">
        <v>2272</v>
      </c>
      <c r="H533" s="106" t="s">
        <v>2273</v>
      </c>
    </row>
    <row r="534" spans="7:8" ht="38.450000000000003" x14ac:dyDescent="0.35">
      <c r="G534" s="106" t="s">
        <v>2274</v>
      </c>
      <c r="H534" s="106" t="s">
        <v>2275</v>
      </c>
    </row>
    <row r="535" spans="7:8" ht="38.450000000000003" x14ac:dyDescent="0.35">
      <c r="G535" s="106" t="s">
        <v>2276</v>
      </c>
      <c r="H535" s="106" t="s">
        <v>2277</v>
      </c>
    </row>
    <row r="536" spans="7:8" ht="38.450000000000003" x14ac:dyDescent="0.35">
      <c r="G536" s="106" t="s">
        <v>2278</v>
      </c>
      <c r="H536" s="106" t="s">
        <v>2279</v>
      </c>
    </row>
    <row r="537" spans="7:8" ht="38.450000000000003" x14ac:dyDescent="0.35">
      <c r="G537" s="106" t="s">
        <v>2280</v>
      </c>
      <c r="H537" s="106" t="s">
        <v>2281</v>
      </c>
    </row>
    <row r="538" spans="7:8" ht="25.65" x14ac:dyDescent="0.35">
      <c r="G538" s="106" t="s">
        <v>2317</v>
      </c>
      <c r="H538" s="106" t="s">
        <v>2282</v>
      </c>
    </row>
    <row r="539" spans="7:8" ht="25.65" x14ac:dyDescent="0.35">
      <c r="G539" s="106" t="s">
        <v>2108</v>
      </c>
      <c r="H539" s="106" t="s">
        <v>2283</v>
      </c>
    </row>
    <row r="540" spans="7:8" ht="25.65" x14ac:dyDescent="0.35">
      <c r="G540" s="106" t="s">
        <v>3879</v>
      </c>
      <c r="H540" s="106" t="s">
        <v>2715</v>
      </c>
    </row>
    <row r="541" spans="7:8" ht="25.65" x14ac:dyDescent="0.35">
      <c r="G541" s="106" t="s">
        <v>2123</v>
      </c>
      <c r="H541" s="106" t="s">
        <v>2716</v>
      </c>
    </row>
    <row r="542" spans="7:8" ht="25.65" x14ac:dyDescent="0.35">
      <c r="G542" s="106" t="s">
        <v>3064</v>
      </c>
      <c r="H542" s="106" t="s">
        <v>2717</v>
      </c>
    </row>
    <row r="543" spans="7:8" ht="25.65" x14ac:dyDescent="0.35">
      <c r="G543" s="106" t="s">
        <v>3065</v>
      </c>
      <c r="H543" s="106" t="s">
        <v>2718</v>
      </c>
    </row>
    <row r="544" spans="7:8" ht="25.65" x14ac:dyDescent="0.35">
      <c r="G544" s="106" t="s">
        <v>3066</v>
      </c>
      <c r="H544" s="106" t="s">
        <v>2719</v>
      </c>
    </row>
    <row r="545" spans="7:8" ht="25.65" x14ac:dyDescent="0.35">
      <c r="G545" s="106" t="s">
        <v>3067</v>
      </c>
      <c r="H545" s="106" t="s">
        <v>2720</v>
      </c>
    </row>
    <row r="546" spans="7:8" ht="25.65" x14ac:dyDescent="0.35">
      <c r="G546" s="106" t="s">
        <v>3068</v>
      </c>
      <c r="H546" s="106" t="s">
        <v>2721</v>
      </c>
    </row>
    <row r="547" spans="7:8" ht="25.65" x14ac:dyDescent="0.35">
      <c r="G547" s="106" t="s">
        <v>3069</v>
      </c>
      <c r="H547" s="106" t="s">
        <v>2722</v>
      </c>
    </row>
    <row r="548" spans="7:8" ht="25.65" x14ac:dyDescent="0.35">
      <c r="G548" s="106" t="s">
        <v>1958</v>
      </c>
      <c r="H548" s="106" t="s">
        <v>2723</v>
      </c>
    </row>
    <row r="549" spans="7:8" ht="25.65" x14ac:dyDescent="0.35">
      <c r="G549" s="106" t="s">
        <v>3946</v>
      </c>
      <c r="H549" s="106" t="s">
        <v>2152</v>
      </c>
    </row>
    <row r="550" spans="7:8" ht="25.65" x14ac:dyDescent="0.35">
      <c r="G550" s="106" t="s">
        <v>3947</v>
      </c>
      <c r="H550" s="106" t="s">
        <v>2153</v>
      </c>
    </row>
    <row r="551" spans="7:8" ht="25.65" x14ac:dyDescent="0.35">
      <c r="G551" s="106" t="s">
        <v>3019</v>
      </c>
      <c r="H551" s="106" t="s">
        <v>3379</v>
      </c>
    </row>
    <row r="552" spans="7:8" ht="25.65" x14ac:dyDescent="0.35">
      <c r="G552" s="106" t="s">
        <v>2868</v>
      </c>
      <c r="H552" s="106" t="s">
        <v>3380</v>
      </c>
    </row>
    <row r="553" spans="7:8" ht="25.65" x14ac:dyDescent="0.35">
      <c r="G553" s="106" t="s">
        <v>4101</v>
      </c>
      <c r="H553" s="106" t="s">
        <v>3381</v>
      </c>
    </row>
    <row r="554" spans="7:8" ht="25.65" x14ac:dyDescent="0.35">
      <c r="G554" s="106" t="s">
        <v>3880</v>
      </c>
      <c r="H554" s="106" t="s">
        <v>3382</v>
      </c>
    </row>
    <row r="555" spans="7:8" ht="38.450000000000003" x14ac:dyDescent="0.35">
      <c r="G555" s="106" t="s">
        <v>1729</v>
      </c>
      <c r="H555" s="106" t="s">
        <v>3383</v>
      </c>
    </row>
    <row r="556" spans="7:8" ht="38.450000000000003" x14ac:dyDescent="0.35">
      <c r="G556" s="106" t="s">
        <v>1730</v>
      </c>
      <c r="H556" s="106" t="s">
        <v>2925</v>
      </c>
    </row>
    <row r="557" spans="7:8" ht="38.450000000000003" x14ac:dyDescent="0.35">
      <c r="G557" s="106" t="s">
        <v>1731</v>
      </c>
      <c r="H557" s="106" t="s">
        <v>2926</v>
      </c>
    </row>
    <row r="558" spans="7:8" ht="38.450000000000003" x14ac:dyDescent="0.35">
      <c r="G558" s="106" t="s">
        <v>1732</v>
      </c>
      <c r="H558" s="106" t="s">
        <v>2927</v>
      </c>
    </row>
    <row r="559" spans="7:8" ht="38.450000000000003" x14ac:dyDescent="0.35">
      <c r="G559" s="106" t="s">
        <v>1733</v>
      </c>
      <c r="H559" s="106" t="s">
        <v>2928</v>
      </c>
    </row>
    <row r="560" spans="7:8" ht="38.450000000000003" x14ac:dyDescent="0.35">
      <c r="G560" s="106" t="s">
        <v>1734</v>
      </c>
      <c r="H560" s="106" t="s">
        <v>2929</v>
      </c>
    </row>
    <row r="561" spans="7:8" ht="38.450000000000003" x14ac:dyDescent="0.35">
      <c r="G561" s="106" t="s">
        <v>1735</v>
      </c>
      <c r="H561" s="106" t="s">
        <v>2930</v>
      </c>
    </row>
    <row r="562" spans="7:8" ht="38.450000000000003" x14ac:dyDescent="0.35">
      <c r="G562" s="106" t="s">
        <v>1736</v>
      </c>
      <c r="H562" s="106" t="s">
        <v>2931</v>
      </c>
    </row>
    <row r="563" spans="7:8" ht="38.450000000000003" x14ac:dyDescent="0.35">
      <c r="G563" s="106" t="s">
        <v>1737</v>
      </c>
      <c r="H563" s="106" t="s">
        <v>2932</v>
      </c>
    </row>
    <row r="564" spans="7:8" ht="38.450000000000003" x14ac:dyDescent="0.35">
      <c r="G564" s="106" t="s">
        <v>162</v>
      </c>
      <c r="H564" s="106" t="s">
        <v>2933</v>
      </c>
    </row>
    <row r="565" spans="7:8" ht="38.450000000000003" x14ac:dyDescent="0.35">
      <c r="G565" s="106" t="s">
        <v>163</v>
      </c>
      <c r="H565" s="106" t="s">
        <v>557</v>
      </c>
    </row>
    <row r="566" spans="7:8" ht="38.450000000000003" x14ac:dyDescent="0.35">
      <c r="G566" s="106" t="s">
        <v>164</v>
      </c>
      <c r="H566" s="106" t="s">
        <v>558</v>
      </c>
    </row>
    <row r="567" spans="7:8" ht="38.450000000000003" x14ac:dyDescent="0.35">
      <c r="G567" s="106" t="s">
        <v>165</v>
      </c>
      <c r="H567" s="106" t="s">
        <v>559</v>
      </c>
    </row>
    <row r="568" spans="7:8" ht="38.450000000000003" x14ac:dyDescent="0.35">
      <c r="G568" s="106" t="s">
        <v>166</v>
      </c>
      <c r="H568" s="106" t="s">
        <v>560</v>
      </c>
    </row>
    <row r="569" spans="7:8" ht="38.450000000000003" x14ac:dyDescent="0.35">
      <c r="G569" s="106" t="s">
        <v>167</v>
      </c>
      <c r="H569" s="106" t="s">
        <v>561</v>
      </c>
    </row>
    <row r="570" spans="7:8" ht="38.450000000000003" x14ac:dyDescent="0.35">
      <c r="G570" s="106" t="s">
        <v>168</v>
      </c>
      <c r="H570" s="106" t="s">
        <v>1520</v>
      </c>
    </row>
    <row r="571" spans="7:8" ht="38.450000000000003" x14ac:dyDescent="0.35">
      <c r="G571" s="106" t="s">
        <v>169</v>
      </c>
      <c r="H571" s="106" t="s">
        <v>1521</v>
      </c>
    </row>
    <row r="572" spans="7:8" ht="38.450000000000003" x14ac:dyDescent="0.35">
      <c r="G572" s="106" t="s">
        <v>170</v>
      </c>
      <c r="H572" s="106" t="s">
        <v>2762</v>
      </c>
    </row>
    <row r="573" spans="7:8" ht="38.450000000000003" x14ac:dyDescent="0.35">
      <c r="G573" s="106" t="s">
        <v>171</v>
      </c>
      <c r="H573" s="106" t="s">
        <v>2763</v>
      </c>
    </row>
    <row r="574" spans="7:8" ht="38.450000000000003" x14ac:dyDescent="0.35">
      <c r="G574" s="106" t="s">
        <v>172</v>
      </c>
      <c r="H574" s="106" t="s">
        <v>2764</v>
      </c>
    </row>
    <row r="575" spans="7:8" ht="38.450000000000003" x14ac:dyDescent="0.35">
      <c r="G575" s="106" t="s">
        <v>4211</v>
      </c>
      <c r="H575" s="106" t="s">
        <v>3704</v>
      </c>
    </row>
    <row r="576" spans="7:8" ht="38.450000000000003" x14ac:dyDescent="0.35">
      <c r="G576" s="106" t="s">
        <v>4212</v>
      </c>
      <c r="H576" s="106" t="s">
        <v>1374</v>
      </c>
    </row>
    <row r="577" spans="7:8" ht="38.450000000000003" x14ac:dyDescent="0.35">
      <c r="G577" s="106" t="s">
        <v>4213</v>
      </c>
      <c r="H577" s="106" t="s">
        <v>518</v>
      </c>
    </row>
    <row r="578" spans="7:8" ht="38.450000000000003" x14ac:dyDescent="0.35">
      <c r="G578" s="106" t="s">
        <v>4214</v>
      </c>
      <c r="H578" s="106" t="s">
        <v>519</v>
      </c>
    </row>
    <row r="579" spans="7:8" ht="38.450000000000003" x14ac:dyDescent="0.35">
      <c r="G579" s="106" t="s">
        <v>59</v>
      </c>
      <c r="H579" s="106" t="s">
        <v>520</v>
      </c>
    </row>
    <row r="580" spans="7:8" ht="38.450000000000003" x14ac:dyDescent="0.35">
      <c r="G580" s="106" t="s">
        <v>60</v>
      </c>
      <c r="H580" s="106" t="s">
        <v>521</v>
      </c>
    </row>
    <row r="581" spans="7:8" ht="38.450000000000003" x14ac:dyDescent="0.35">
      <c r="G581" s="106" t="s">
        <v>61</v>
      </c>
      <c r="H581" s="106" t="s">
        <v>522</v>
      </c>
    </row>
    <row r="582" spans="7:8" ht="38.450000000000003" x14ac:dyDescent="0.35">
      <c r="G582" s="106" t="s">
        <v>62</v>
      </c>
      <c r="H582" s="106" t="s">
        <v>523</v>
      </c>
    </row>
    <row r="583" spans="7:8" ht="38.450000000000003" x14ac:dyDescent="0.35">
      <c r="G583" s="106" t="s">
        <v>63</v>
      </c>
      <c r="H583" s="106" t="s">
        <v>524</v>
      </c>
    </row>
    <row r="584" spans="7:8" ht="38.450000000000003" x14ac:dyDescent="0.35">
      <c r="G584" s="106" t="s">
        <v>1903</v>
      </c>
      <c r="H584" s="106" t="s">
        <v>525</v>
      </c>
    </row>
    <row r="585" spans="7:8" ht="38.450000000000003" x14ac:dyDescent="0.35">
      <c r="G585" s="106" t="s">
        <v>1904</v>
      </c>
      <c r="H585" s="106" t="s">
        <v>526</v>
      </c>
    </row>
    <row r="586" spans="7:8" ht="38.450000000000003" x14ac:dyDescent="0.35">
      <c r="G586" s="106" t="s">
        <v>1905</v>
      </c>
      <c r="H586" s="106" t="s">
        <v>527</v>
      </c>
    </row>
    <row r="587" spans="7:8" ht="38.450000000000003" x14ac:dyDescent="0.35">
      <c r="G587" s="106" t="s">
        <v>189</v>
      </c>
      <c r="H587" s="106" t="s">
        <v>528</v>
      </c>
    </row>
    <row r="588" spans="7:8" ht="38.450000000000003" x14ac:dyDescent="0.35">
      <c r="G588" s="106" t="s">
        <v>190</v>
      </c>
      <c r="H588" s="106" t="s">
        <v>529</v>
      </c>
    </row>
    <row r="589" spans="7:8" ht="38.450000000000003" x14ac:dyDescent="0.35">
      <c r="G589" s="106" t="s">
        <v>191</v>
      </c>
      <c r="H589" s="106" t="s">
        <v>530</v>
      </c>
    </row>
    <row r="590" spans="7:8" ht="38.450000000000003" x14ac:dyDescent="0.35">
      <c r="G590" s="106" t="s">
        <v>192</v>
      </c>
      <c r="H590" s="106" t="s">
        <v>531</v>
      </c>
    </row>
    <row r="591" spans="7:8" ht="38.450000000000003" x14ac:dyDescent="0.35">
      <c r="G591" s="106" t="s">
        <v>2649</v>
      </c>
      <c r="H591" s="106" t="s">
        <v>532</v>
      </c>
    </row>
    <row r="592" spans="7:8" ht="38.450000000000003" x14ac:dyDescent="0.35">
      <c r="G592" s="106" t="s">
        <v>2650</v>
      </c>
      <c r="H592" s="106" t="s">
        <v>533</v>
      </c>
    </row>
    <row r="593" spans="7:8" ht="38.450000000000003" x14ac:dyDescent="0.35">
      <c r="G593" s="106" t="s">
        <v>2651</v>
      </c>
      <c r="H593" s="106" t="s">
        <v>534</v>
      </c>
    </row>
    <row r="594" spans="7:8" ht="38.450000000000003" x14ac:dyDescent="0.35">
      <c r="G594" s="106" t="s">
        <v>2652</v>
      </c>
      <c r="H594" s="106" t="s">
        <v>535</v>
      </c>
    </row>
    <row r="595" spans="7:8" ht="38.450000000000003" x14ac:dyDescent="0.35">
      <c r="G595" s="106" t="s">
        <v>2765</v>
      </c>
      <c r="H595" s="106" t="s">
        <v>2766</v>
      </c>
    </row>
    <row r="596" spans="7:8" ht="38.450000000000003" x14ac:dyDescent="0.35">
      <c r="G596" s="106" t="s">
        <v>2767</v>
      </c>
      <c r="H596" s="106" t="s">
        <v>2768</v>
      </c>
    </row>
    <row r="597" spans="7:8" ht="38.450000000000003" x14ac:dyDescent="0.35">
      <c r="G597" s="106" t="s">
        <v>2769</v>
      </c>
      <c r="H597" s="106" t="s">
        <v>2770</v>
      </c>
    </row>
    <row r="598" spans="7:8" ht="38.450000000000003" x14ac:dyDescent="0.35">
      <c r="G598" s="106" t="s">
        <v>2771</v>
      </c>
      <c r="H598" s="106" t="s">
        <v>2772</v>
      </c>
    </row>
    <row r="599" spans="7:8" ht="38.450000000000003" x14ac:dyDescent="0.35">
      <c r="G599" s="106" t="s">
        <v>2773</v>
      </c>
      <c r="H599" s="106" t="s">
        <v>2774</v>
      </c>
    </row>
    <row r="600" spans="7:8" ht="38.450000000000003" x14ac:dyDescent="0.35">
      <c r="G600" s="106" t="s">
        <v>2775</v>
      </c>
      <c r="H600" s="106" t="s">
        <v>2776</v>
      </c>
    </row>
    <row r="601" spans="7:8" ht="38.450000000000003" x14ac:dyDescent="0.35">
      <c r="G601" s="106" t="s">
        <v>2777</v>
      </c>
      <c r="H601" s="106" t="s">
        <v>2778</v>
      </c>
    </row>
    <row r="602" spans="7:8" ht="38.450000000000003" x14ac:dyDescent="0.35">
      <c r="G602" s="106" t="s">
        <v>2779</v>
      </c>
      <c r="H602" s="106" t="s">
        <v>628</v>
      </c>
    </row>
    <row r="603" spans="7:8" ht="38.450000000000003" x14ac:dyDescent="0.35">
      <c r="G603" s="106" t="s">
        <v>629</v>
      </c>
      <c r="H603" s="106" t="s">
        <v>630</v>
      </c>
    </row>
    <row r="604" spans="7:8" ht="38.450000000000003" x14ac:dyDescent="0.35">
      <c r="G604" s="106" t="s">
        <v>631</v>
      </c>
      <c r="H604" s="106" t="s">
        <v>64</v>
      </c>
    </row>
    <row r="605" spans="7:8" ht="38.450000000000003" x14ac:dyDescent="0.35">
      <c r="G605" s="106" t="s">
        <v>4102</v>
      </c>
      <c r="H605" s="106" t="s">
        <v>4103</v>
      </c>
    </row>
    <row r="606" spans="7:8" ht="38.450000000000003" x14ac:dyDescent="0.35">
      <c r="G606" s="106" t="s">
        <v>4104</v>
      </c>
      <c r="H606" s="106" t="s">
        <v>1173</v>
      </c>
    </row>
    <row r="607" spans="7:8" ht="38.450000000000003" x14ac:dyDescent="0.35">
      <c r="G607" s="106" t="s">
        <v>1174</v>
      </c>
      <c r="H607" s="106" t="s">
        <v>1175</v>
      </c>
    </row>
    <row r="608" spans="7:8" ht="38.450000000000003" x14ac:dyDescent="0.35">
      <c r="G608" s="106" t="s">
        <v>1176</v>
      </c>
      <c r="H608" s="106" t="s">
        <v>1177</v>
      </c>
    </row>
    <row r="609" spans="7:8" ht="38.450000000000003" x14ac:dyDescent="0.35">
      <c r="G609" s="106" t="s">
        <v>1178</v>
      </c>
      <c r="H609" s="106" t="s">
        <v>1179</v>
      </c>
    </row>
    <row r="610" spans="7:8" ht="38.450000000000003" x14ac:dyDescent="0.35">
      <c r="G610" s="106" t="s">
        <v>1180</v>
      </c>
      <c r="H610" s="106" t="s">
        <v>1181</v>
      </c>
    </row>
    <row r="611" spans="7:8" ht="38.450000000000003" x14ac:dyDescent="0.35">
      <c r="G611" s="106" t="s">
        <v>1182</v>
      </c>
      <c r="H611" s="106" t="s">
        <v>1183</v>
      </c>
    </row>
    <row r="612" spans="7:8" ht="38.450000000000003" x14ac:dyDescent="0.35">
      <c r="G612" s="106" t="s">
        <v>1184</v>
      </c>
      <c r="H612" s="106" t="s">
        <v>1185</v>
      </c>
    </row>
    <row r="613" spans="7:8" ht="38.450000000000003" x14ac:dyDescent="0.35">
      <c r="G613" s="106" t="s">
        <v>1186</v>
      </c>
      <c r="H613" s="106" t="s">
        <v>1187</v>
      </c>
    </row>
    <row r="614" spans="7:8" ht="38.450000000000003" x14ac:dyDescent="0.35">
      <c r="G614" s="106" t="s">
        <v>1188</v>
      </c>
      <c r="H614" s="106" t="s">
        <v>1189</v>
      </c>
    </row>
    <row r="615" spans="7:8" ht="38.450000000000003" x14ac:dyDescent="0.35">
      <c r="G615" s="106" t="s">
        <v>1190</v>
      </c>
      <c r="H615" s="106" t="s">
        <v>2879</v>
      </c>
    </row>
    <row r="616" spans="7:8" ht="38.450000000000003" x14ac:dyDescent="0.35">
      <c r="G616" s="106" t="s">
        <v>2880</v>
      </c>
      <c r="H616" s="106" t="s">
        <v>2881</v>
      </c>
    </row>
    <row r="617" spans="7:8" ht="38.450000000000003" x14ac:dyDescent="0.35">
      <c r="G617" s="106" t="s">
        <v>2882</v>
      </c>
      <c r="H617" s="106" t="s">
        <v>2883</v>
      </c>
    </row>
    <row r="618" spans="7:8" ht="38.450000000000003" x14ac:dyDescent="0.35">
      <c r="G618" s="106" t="s">
        <v>2884</v>
      </c>
      <c r="H618" s="106" t="s">
        <v>2885</v>
      </c>
    </row>
    <row r="619" spans="7:8" ht="38.450000000000003" x14ac:dyDescent="0.35">
      <c r="G619" s="106" t="s">
        <v>3407</v>
      </c>
      <c r="H619" s="106" t="s">
        <v>3408</v>
      </c>
    </row>
    <row r="620" spans="7:8" ht="38.450000000000003" x14ac:dyDescent="0.35">
      <c r="G620" s="106" t="s">
        <v>3409</v>
      </c>
      <c r="H620" s="106" t="s">
        <v>3410</v>
      </c>
    </row>
    <row r="621" spans="7:8" ht="38.450000000000003" x14ac:dyDescent="0.35">
      <c r="G621" s="106" t="s">
        <v>3411</v>
      </c>
      <c r="H621" s="106" t="s">
        <v>3412</v>
      </c>
    </row>
    <row r="622" spans="7:8" ht="38.450000000000003" x14ac:dyDescent="0.35">
      <c r="G622" s="106" t="s">
        <v>3413</v>
      </c>
      <c r="H622" s="106" t="s">
        <v>3414</v>
      </c>
    </row>
    <row r="623" spans="7:8" ht="38.450000000000003" x14ac:dyDescent="0.35">
      <c r="G623" s="106" t="s">
        <v>3415</v>
      </c>
      <c r="H623" s="106" t="s">
        <v>3416</v>
      </c>
    </row>
    <row r="624" spans="7:8" ht="38.450000000000003" x14ac:dyDescent="0.35">
      <c r="G624" s="106" t="s">
        <v>3417</v>
      </c>
      <c r="H624" s="106" t="s">
        <v>3418</v>
      </c>
    </row>
    <row r="625" spans="7:8" ht="38.450000000000003" x14ac:dyDescent="0.35">
      <c r="G625" s="106" t="s">
        <v>3419</v>
      </c>
      <c r="H625" s="106" t="s">
        <v>3420</v>
      </c>
    </row>
    <row r="626" spans="7:8" ht="38.450000000000003" x14ac:dyDescent="0.35">
      <c r="G626" s="106" t="s">
        <v>3421</v>
      </c>
      <c r="H626" s="106" t="s">
        <v>3422</v>
      </c>
    </row>
    <row r="627" spans="7:8" ht="38.450000000000003" x14ac:dyDescent="0.35">
      <c r="G627" s="106" t="s">
        <v>3423</v>
      </c>
      <c r="H627" s="106" t="s">
        <v>3424</v>
      </c>
    </row>
    <row r="628" spans="7:8" ht="25.65" x14ac:dyDescent="0.35">
      <c r="G628" s="106" t="s">
        <v>3620</v>
      </c>
      <c r="H628" s="106" t="s">
        <v>3425</v>
      </c>
    </row>
    <row r="629" spans="7:8" ht="25.65" x14ac:dyDescent="0.35">
      <c r="G629" s="106" t="s">
        <v>3626</v>
      </c>
      <c r="H629" s="106" t="s">
        <v>3426</v>
      </c>
    </row>
    <row r="630" spans="7:8" ht="25.65" x14ac:dyDescent="0.35">
      <c r="G630" s="106" t="s">
        <v>3625</v>
      </c>
      <c r="H630" s="106" t="s">
        <v>3427</v>
      </c>
    </row>
    <row r="631" spans="7:8" ht="25.65" x14ac:dyDescent="0.35">
      <c r="G631" s="106" t="s">
        <v>3614</v>
      </c>
      <c r="H631" s="106" t="s">
        <v>3428</v>
      </c>
    </row>
    <row r="632" spans="7:8" ht="25.65" x14ac:dyDescent="0.35">
      <c r="G632" s="106" t="s">
        <v>3612</v>
      </c>
      <c r="H632" s="106" t="s">
        <v>2921</v>
      </c>
    </row>
    <row r="633" spans="7:8" ht="25.65" x14ac:dyDescent="0.35">
      <c r="G633" s="106" t="s">
        <v>3619</v>
      </c>
      <c r="H633" s="106" t="s">
        <v>2922</v>
      </c>
    </row>
    <row r="634" spans="7:8" ht="25.65" x14ac:dyDescent="0.35">
      <c r="G634" s="106" t="s">
        <v>3594</v>
      </c>
      <c r="H634" s="106" t="s">
        <v>2923</v>
      </c>
    </row>
    <row r="635" spans="7:8" ht="25.65" x14ac:dyDescent="0.35">
      <c r="G635" s="106" t="s">
        <v>2316</v>
      </c>
      <c r="H635" s="106" t="s">
        <v>632</v>
      </c>
    </row>
    <row r="636" spans="7:8" ht="25.65" x14ac:dyDescent="0.35">
      <c r="G636" s="106" t="s">
        <v>2213</v>
      </c>
      <c r="H636" s="106" t="s">
        <v>633</v>
      </c>
    </row>
    <row r="637" spans="7:8" ht="25.65" x14ac:dyDescent="0.35">
      <c r="G637" s="106" t="s">
        <v>3881</v>
      </c>
      <c r="H637" s="106" t="s">
        <v>634</v>
      </c>
    </row>
    <row r="638" spans="7:8" ht="25.65" x14ac:dyDescent="0.35">
      <c r="G638" s="106" t="s">
        <v>2318</v>
      </c>
      <c r="H638" s="106" t="s">
        <v>635</v>
      </c>
    </row>
    <row r="639" spans="7:8" ht="25.65" x14ac:dyDescent="0.35">
      <c r="G639" s="106" t="s">
        <v>3621</v>
      </c>
      <c r="H639" s="106" t="s">
        <v>636</v>
      </c>
    </row>
    <row r="640" spans="7:8" ht="25.65" x14ac:dyDescent="0.35">
      <c r="G640" s="106" t="s">
        <v>2162</v>
      </c>
      <c r="H640" s="106" t="s">
        <v>637</v>
      </c>
    </row>
    <row r="641" spans="7:8" ht="25.65" x14ac:dyDescent="0.35">
      <c r="G641" s="106" t="s">
        <v>3882</v>
      </c>
      <c r="H641" s="106" t="s">
        <v>638</v>
      </c>
    </row>
    <row r="642" spans="7:8" ht="25.65" x14ac:dyDescent="0.35">
      <c r="G642" s="106" t="s">
        <v>3883</v>
      </c>
      <c r="H642" s="106" t="s">
        <v>639</v>
      </c>
    </row>
    <row r="643" spans="7:8" ht="25.65" x14ac:dyDescent="0.35">
      <c r="G643" s="106" t="s">
        <v>1602</v>
      </c>
      <c r="H643" s="106" t="s">
        <v>640</v>
      </c>
    </row>
    <row r="644" spans="7:8" ht="25.65" x14ac:dyDescent="0.35">
      <c r="G644" s="106" t="s">
        <v>3398</v>
      </c>
      <c r="H644" s="106" t="s">
        <v>641</v>
      </c>
    </row>
    <row r="645" spans="7:8" ht="25.65" x14ac:dyDescent="0.35">
      <c r="G645" s="106" t="s">
        <v>3399</v>
      </c>
      <c r="H645" s="106" t="s">
        <v>642</v>
      </c>
    </row>
    <row r="646" spans="7:8" ht="25.65" x14ac:dyDescent="0.35">
      <c r="G646" s="106" t="s">
        <v>2168</v>
      </c>
      <c r="H646" s="106" t="s">
        <v>643</v>
      </c>
    </row>
    <row r="647" spans="7:8" ht="25.65" x14ac:dyDescent="0.35">
      <c r="G647" s="106" t="s">
        <v>2160</v>
      </c>
      <c r="H647" s="106" t="s">
        <v>644</v>
      </c>
    </row>
    <row r="648" spans="7:8" ht="25.65" x14ac:dyDescent="0.35">
      <c r="G648" s="106" t="s">
        <v>2945</v>
      </c>
      <c r="H648" s="106" t="s">
        <v>645</v>
      </c>
    </row>
    <row r="649" spans="7:8" ht="25.65" x14ac:dyDescent="0.35">
      <c r="G649" s="106" t="s">
        <v>4208</v>
      </c>
      <c r="H649" s="106" t="s">
        <v>646</v>
      </c>
    </row>
  </sheetData>
  <phoneticPr fontId="26" type="noConversion"/>
  <printOptions gridLines="1"/>
  <pageMargins left="0.75" right="0.75" top="1" bottom="1" header="0.5" footer="0.5"/>
  <pageSetup paperSize="9" orientation="portrait" horizontalDpi="4294967292" r:id="rId1"/>
  <headerFooter alignWithMargins="0"/>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take">
    <outlinePr showOutlineSymbols="0"/>
    <pageSetUpPr autoPageBreaks="0"/>
  </sheetPr>
  <dimension ref="A1:V35"/>
  <sheetViews>
    <sheetView showGridLines="0" showRowColHeaders="0" showZeros="0" showOutlineSymbols="0" zoomScale="91" workbookViewId="0">
      <pane ySplit="4" topLeftCell="A5" activePane="bottomLeft" state="frozen"/>
      <selection pane="bottomLeft" activeCell="D29" sqref="D29"/>
    </sheetView>
  </sheetViews>
  <sheetFormatPr defaultColWidth="9.1328125" defaultRowHeight="12.85" x14ac:dyDescent="0.35"/>
  <cols>
    <col min="1" max="1" width="2.265625" style="29" customWidth="1"/>
    <col min="2" max="2" width="3.1328125" style="26" customWidth="1"/>
    <col min="3" max="3" width="14.265625" style="26" customWidth="1"/>
    <col min="4" max="4" width="14.3984375" style="26" customWidth="1"/>
    <col min="5" max="5" width="12.1328125" style="26" customWidth="1"/>
    <col min="6" max="6" width="15" style="26" customWidth="1"/>
    <col min="7" max="7" width="13.86328125" style="26" customWidth="1"/>
    <col min="8" max="8" width="15.265625" style="26" customWidth="1"/>
    <col min="9" max="9" width="15.1328125" style="26" customWidth="1"/>
    <col min="10" max="15" width="9.1328125" style="26"/>
    <col min="16" max="16" width="10.73046875" style="26" bestFit="1" customWidth="1"/>
    <col min="17" max="18" width="9.1328125" style="26"/>
    <col min="19" max="19" width="10.73046875" style="26" bestFit="1" customWidth="1"/>
    <col min="20" max="16384" width="9.1328125" style="26"/>
  </cols>
  <sheetData>
    <row r="1" spans="1:22" s="216" customFormat="1" x14ac:dyDescent="0.35">
      <c r="A1" s="252"/>
    </row>
    <row r="2" spans="1:22" s="216" customFormat="1" ht="13.2" x14ac:dyDescent="0.4">
      <c r="A2" s="252"/>
      <c r="B2" s="217" t="s">
        <v>2977</v>
      </c>
      <c r="D2" s="218" t="e">
        <f ca="1">AfspraakDatum</f>
        <v>#NAME?</v>
      </c>
      <c r="E2" s="219"/>
      <c r="F2" s="217" t="s">
        <v>2978</v>
      </c>
      <c r="G2" s="220">
        <f>OpnDatum</f>
        <v>41363</v>
      </c>
      <c r="H2" s="217" t="e">
        <f ca="1">"ICU-dag: "&amp;AfspraakDatum-OpnDatum+1</f>
        <v>#NAME?</v>
      </c>
      <c r="I2" s="217"/>
      <c r="J2" s="217"/>
      <c r="K2" s="217"/>
    </row>
    <row r="3" spans="1:22" s="216" customFormat="1" ht="13.2" x14ac:dyDescent="0.4">
      <c r="A3" s="252"/>
      <c r="B3" s="217" t="s">
        <v>288</v>
      </c>
      <c r="D3" s="221" t="str">
        <f>AchterNaam&amp;", "&amp;VoorNaam</f>
        <v>Achternaam, Voornaam</v>
      </c>
      <c r="E3" s="221"/>
      <c r="F3" s="217" t="s">
        <v>3073</v>
      </c>
      <c r="G3" s="220">
        <f>GebDatum</f>
        <v>40909</v>
      </c>
      <c r="H3" s="222" t="str">
        <f>"Gewicht: "&amp;Gewicht/10&amp;" kg"</f>
        <v>Gewicht: 10 kg</v>
      </c>
      <c r="I3" s="217"/>
      <c r="J3" s="222" t="str">
        <f>"Lengte: "&amp;Lengte&amp;" cm"</f>
        <v>Lengte: 80 cm</v>
      </c>
      <c r="K3" s="217"/>
    </row>
    <row r="4" spans="1:22" s="216" customFormat="1" ht="13.2" x14ac:dyDescent="0.4">
      <c r="A4" s="252"/>
      <c r="B4" s="217" t="s">
        <v>3443</v>
      </c>
      <c r="D4" s="222">
        <f>PatNummer</f>
        <v>0</v>
      </c>
      <c r="E4" s="219"/>
      <c r="F4" s="217" t="s">
        <v>2746</v>
      </c>
      <c r="G4" s="224" t="e">
        <f ca="1">TRUNC((AfspraakDatum-GebDatum)/365,0)&amp;" jaar en "&amp;TRUNC(((AfspraakDatum-GebDatum)-365*TRUNC((AfspraakDatum-GebDatum)/365,0))/30,0)&amp;" maand(-en)"</f>
        <v>#NAME?</v>
      </c>
      <c r="H4" s="217"/>
      <c r="I4" s="217" t="str">
        <f>"Lichamelijk oppervlak: "&amp;ROUND(POWER(Gewicht/10,0.425)*POWER(((Lengte/100)*100),0.725)*0.007184,2)&amp;" m2"</f>
        <v>Lichamelijk oppervlak: 0.46 m2</v>
      </c>
      <c r="J4" s="217"/>
      <c r="K4" s="217"/>
    </row>
    <row r="5" spans="1:22" ht="13.2" x14ac:dyDescent="0.4">
      <c r="C5" s="122"/>
      <c r="D5" s="228"/>
      <c r="E5" s="109"/>
      <c r="F5" s="122"/>
      <c r="G5" s="229"/>
      <c r="H5" s="122"/>
      <c r="I5" s="122"/>
      <c r="J5" s="122"/>
      <c r="K5" s="122"/>
    </row>
    <row r="6" spans="1:22" ht="17.25" customHeight="1" x14ac:dyDescent="0.4">
      <c r="C6" s="292" t="s">
        <v>1807</v>
      </c>
      <c r="D6" s="26" t="str">
        <f>INDEX(tblSonde,ber_PO!P22,1)</f>
        <v>Geen sonde</v>
      </c>
      <c r="I6" s="29"/>
      <c r="J6" s="29"/>
      <c r="K6" s="29"/>
      <c r="L6" s="29"/>
    </row>
    <row r="7" spans="1:22" ht="19.55" customHeight="1" x14ac:dyDescent="0.4">
      <c r="B7" s="29"/>
      <c r="C7" s="305" t="s">
        <v>2756</v>
      </c>
      <c r="D7" s="29"/>
      <c r="E7" s="29"/>
      <c r="F7" s="29"/>
      <c r="G7" s="29"/>
      <c r="H7" s="29"/>
      <c r="I7" s="29"/>
      <c r="J7" s="29"/>
      <c r="K7" s="29"/>
      <c r="L7" s="305" t="s">
        <v>1898</v>
      </c>
      <c r="N7" s="283"/>
    </row>
    <row r="8" spans="1:22" ht="19.55" customHeight="1" x14ac:dyDescent="0.35">
      <c r="B8" s="286"/>
      <c r="C8" s="294" t="str">
        <f>IF(ber_PO!O22&lt;&gt;0,ber_PO!L22&amp;" dd","")</f>
        <v/>
      </c>
      <c r="D8" s="295" t="str">
        <f>IF(ber_PO!O22&lt;&gt;0,ber_PO!N22&amp;" ml","")</f>
        <v/>
      </c>
      <c r="E8" s="286"/>
      <c r="F8" s="286"/>
      <c r="G8" s="286" t="str">
        <f>IF(C8="24 dd","continue drip","")</f>
        <v/>
      </c>
      <c r="H8" s="286" t="str">
        <f>IF(ber_PO!P22&gt;1,ber_PO!O22&amp;" ml per dag","")</f>
        <v/>
      </c>
      <c r="I8" s="286"/>
      <c r="J8" s="29"/>
      <c r="L8" s="26" t="s">
        <v>1248</v>
      </c>
      <c r="O8" s="29"/>
      <c r="P8" s="38"/>
      <c r="Q8" s="38"/>
      <c r="R8" s="38"/>
      <c r="S8" s="38"/>
      <c r="T8" s="38"/>
      <c r="U8" s="38"/>
      <c r="V8" s="38"/>
    </row>
    <row r="9" spans="1:22" ht="19.55" customHeight="1" x14ac:dyDescent="0.35">
      <c r="B9" s="286"/>
      <c r="C9" s="294" t="str">
        <f>IF(ber_PO!P23&gt;1,ber_PO!L23&amp;" dd","")</f>
        <v/>
      </c>
      <c r="D9" s="295" t="str">
        <f>IF(ber_PO!P23&gt;1,ber_PO!N23&amp;" gram","")</f>
        <v/>
      </c>
      <c r="E9" s="286"/>
      <c r="F9" s="286"/>
      <c r="G9" s="286"/>
      <c r="H9" s="286" t="str">
        <f>IF(ber_PO!P23&gt;1,ber_PO!O23&amp;" gram/dag","")</f>
        <v/>
      </c>
      <c r="I9" s="287" t="str">
        <f>IF(AND(ber_PO!O23&lt;&gt;0,ber_PO!O22&lt;&gt;0),"= "&amp;ROUND(ber_PO!O23*100/ber_PO!O22,1)&amp;"% extra","")</f>
        <v/>
      </c>
      <c r="J9" s="29"/>
      <c r="L9" s="216"/>
      <c r="M9" s="280" t="s">
        <v>1899</v>
      </c>
      <c r="N9" s="316">
        <f>ber_PO!AF12</f>
        <v>0</v>
      </c>
      <c r="O9" s="29"/>
      <c r="P9" s="38"/>
      <c r="Q9" s="38"/>
      <c r="R9" s="38"/>
      <c r="S9" s="38"/>
      <c r="T9" s="38"/>
      <c r="U9" s="38"/>
      <c r="V9" s="38"/>
    </row>
    <row r="10" spans="1:22" ht="19.55" customHeight="1" x14ac:dyDescent="0.35">
      <c r="B10" s="286"/>
      <c r="C10" s="294" t="str">
        <f>IF(ber_PO!P24&gt;1,ber_PO!L24&amp;" dd","")</f>
        <v/>
      </c>
      <c r="D10" s="295" t="str">
        <f>IF(ber_PO!P24&gt;1,ber_PO!N24&amp;" gram","")</f>
        <v/>
      </c>
      <c r="E10" s="286"/>
      <c r="F10" s="286"/>
      <c r="G10" s="286"/>
      <c r="H10" s="286" t="str">
        <f>IF(ber_PO!P24&gt;1,ber_PO!O24&amp;" gram per dag","")</f>
        <v/>
      </c>
      <c r="I10" s="287" t="str">
        <f>IF(AND(ber_PO!O24&lt;&gt;0,ber_PO!O23&lt;&gt;0),"= "&amp;ROUND(ber_PO!O24*100/ber_PO!O22,1)&amp;"% extra","")</f>
        <v/>
      </c>
      <c r="J10" s="29"/>
      <c r="L10" s="216"/>
      <c r="M10" s="280" t="s">
        <v>2200</v>
      </c>
      <c r="N10" s="319">
        <f>ber_PO!AF13</f>
        <v>0</v>
      </c>
      <c r="O10" s="38" t="s">
        <v>372</v>
      </c>
      <c r="P10" s="38"/>
      <c r="Q10" s="38"/>
      <c r="R10" s="38"/>
      <c r="S10" s="38"/>
      <c r="T10" s="38"/>
      <c r="U10" s="38"/>
      <c r="V10" s="38"/>
    </row>
    <row r="11" spans="1:22" ht="19.55" customHeight="1" x14ac:dyDescent="0.35">
      <c r="B11" s="286"/>
      <c r="C11" s="294" t="str">
        <f>IF(ber_PO!P25&gt;1,ber_PO!L25&amp;" dd","")</f>
        <v/>
      </c>
      <c r="D11" s="295" t="str">
        <f>IF(ber_PO!P25&gt;1,ber_PO!N25&amp;" gram","")</f>
        <v/>
      </c>
      <c r="E11" s="286"/>
      <c r="F11" s="286"/>
      <c r="G11" s="286"/>
      <c r="H11" s="286" t="str">
        <f>IF(ber_PO!P25&gt;1,ber_PO!O25&amp;" gram per dag","")</f>
        <v/>
      </c>
      <c r="I11" s="287" t="str">
        <f>IF(AND(ber_PO!O25&lt;&gt;0,ber_PO!O24&lt;&gt;0),"= "&amp;ROUND(ber_PO!O25*100/ber_PO!O22,1)&amp;"% extra","")</f>
        <v/>
      </c>
      <c r="J11" s="29"/>
      <c r="L11" s="216"/>
      <c r="M11" s="280" t="s">
        <v>1900</v>
      </c>
      <c r="N11" s="319">
        <f>ber_PO!AF14</f>
        <v>0</v>
      </c>
      <c r="O11" s="38" t="s">
        <v>372</v>
      </c>
      <c r="P11" s="38"/>
      <c r="Q11" s="38"/>
      <c r="R11" s="38"/>
      <c r="S11" s="38"/>
      <c r="T11" s="38"/>
      <c r="U11" s="38"/>
      <c r="V11" s="38"/>
    </row>
    <row r="12" spans="1:22" ht="19.55" customHeight="1" x14ac:dyDescent="0.35">
      <c r="B12" s="29"/>
      <c r="C12" s="227"/>
      <c r="D12" s="122"/>
      <c r="E12" s="29"/>
      <c r="F12" s="29"/>
      <c r="G12" s="29"/>
      <c r="H12" s="29"/>
      <c r="I12" s="29"/>
      <c r="J12" s="29"/>
      <c r="L12" s="216"/>
      <c r="M12" s="309" t="s">
        <v>2201</v>
      </c>
      <c r="N12" s="319">
        <f>ber_PO!AF15</f>
        <v>0</v>
      </c>
      <c r="O12" s="38" t="s">
        <v>372</v>
      </c>
      <c r="P12" s="38"/>
      <c r="Q12" s="38"/>
      <c r="R12" s="38"/>
      <c r="S12" s="38"/>
      <c r="T12" s="38"/>
      <c r="U12" s="38"/>
      <c r="V12" s="38"/>
    </row>
    <row r="13" spans="1:22" ht="19.55" customHeight="1" x14ac:dyDescent="0.35">
      <c r="B13" s="314"/>
      <c r="C13" s="281" t="s">
        <v>2864</v>
      </c>
      <c r="D13" s="315">
        <f>ber_Opm!C15</f>
        <v>0</v>
      </c>
      <c r="E13" s="316"/>
      <c r="F13" s="316"/>
      <c r="G13" s="316"/>
      <c r="H13" s="316"/>
      <c r="I13" s="316"/>
      <c r="J13" s="316"/>
      <c r="K13" s="316"/>
      <c r="L13" s="216"/>
      <c r="M13" s="309" t="s">
        <v>1901</v>
      </c>
      <c r="N13" s="319">
        <f>ber_PO!AF16</f>
        <v>0</v>
      </c>
      <c r="O13" s="38" t="s">
        <v>1836</v>
      </c>
      <c r="P13" s="38"/>
      <c r="Q13" s="38"/>
      <c r="R13" s="38"/>
      <c r="S13" s="38"/>
      <c r="T13" s="38"/>
      <c r="U13" s="38"/>
      <c r="V13" s="38"/>
    </row>
    <row r="14" spans="1:22" ht="21.8" customHeight="1" x14ac:dyDescent="0.4">
      <c r="B14" s="29"/>
      <c r="C14" s="305" t="s">
        <v>2757</v>
      </c>
      <c r="H14" s="293"/>
      <c r="J14" s="38"/>
      <c r="K14" s="38"/>
      <c r="L14" s="310"/>
      <c r="M14" s="309" t="s">
        <v>2750</v>
      </c>
      <c r="N14" s="319">
        <f>ber_PO!AF17</f>
        <v>0</v>
      </c>
      <c r="O14" s="38" t="s">
        <v>1836</v>
      </c>
      <c r="P14" s="38"/>
      <c r="Q14" s="38"/>
      <c r="R14" s="38"/>
      <c r="S14" s="38"/>
      <c r="T14" s="38"/>
      <c r="U14" s="38"/>
      <c r="V14" s="38"/>
    </row>
    <row r="15" spans="1:22" ht="23.3" customHeight="1" x14ac:dyDescent="0.4">
      <c r="B15" s="252"/>
      <c r="C15" s="318" t="s">
        <v>3372</v>
      </c>
      <c r="D15" s="283" t="str">
        <f>IF(ber_TPN!F3&lt;&gt;0,IF(ber_TPN!F3/24&gt;=10,ROUND(ber_TPN!F3/24,1),ROUND(ber_TPN!F3/24,1))&amp;" ml/uur","")</f>
        <v/>
      </c>
      <c r="E15" s="122" t="str">
        <f>IF(D15&lt;&gt;"",ber_TPN!F3&amp;" ml per dag","")</f>
        <v/>
      </c>
      <c r="F15" s="29"/>
      <c r="G15" s="286"/>
      <c r="H15" s="318" t="s">
        <v>3373</v>
      </c>
      <c r="I15" s="283" t="str">
        <f>IF(ber_TPN!D18&lt;&gt;0,ber_TPN!E18&amp;" ml/uur","")</f>
        <v/>
      </c>
      <c r="J15" s="122" t="str">
        <f>IF(I15&lt;&gt;"",ber_TPN!F18&amp;" ml per dag","")</f>
        <v/>
      </c>
      <c r="K15" s="29"/>
      <c r="L15" s="310"/>
      <c r="M15" s="309" t="s">
        <v>2202</v>
      </c>
      <c r="N15" s="319">
        <f>ber_PO!AF18</f>
        <v>0</v>
      </c>
      <c r="O15" s="38" t="s">
        <v>1836</v>
      </c>
      <c r="P15" s="38"/>
      <c r="T15" s="38"/>
      <c r="U15" s="38"/>
      <c r="V15" s="38"/>
    </row>
    <row r="16" spans="1:22" ht="23.3" customHeight="1" x14ac:dyDescent="0.4">
      <c r="B16" s="252"/>
      <c r="C16" s="318"/>
      <c r="D16" s="29"/>
      <c r="E16" s="283" t="str">
        <f>IF(AND(ber_TPN!E4&lt;&gt;0,ber_TPN!E4&lt;&gt;"",ber_TPN!B4&lt;&gt;1,ber_TPN!F4&lt;&gt;0),ber_TPN!F4&amp;" ml","")</f>
        <v/>
      </c>
      <c r="F16" s="282" t="str">
        <f>IF(AND(Gewicht/10&gt;=16,TPN=2),"Peditrace","")</f>
        <v/>
      </c>
      <c r="G16" s="298" t="str">
        <f>IF(AND(Gewicht/10&gt;=16,ber_TPN!F5&gt;0),ber_TPN!F5&amp;" ml","")</f>
        <v/>
      </c>
      <c r="H16" s="252"/>
      <c r="I16" s="29"/>
      <c r="J16" s="300"/>
      <c r="K16" s="301"/>
      <c r="L16" s="310"/>
      <c r="M16" s="311" t="s">
        <v>1902</v>
      </c>
      <c r="N16" s="319">
        <f>ber_PO!AF19</f>
        <v>0</v>
      </c>
      <c r="O16" s="38" t="s">
        <v>1836</v>
      </c>
      <c r="P16" s="38"/>
      <c r="T16" s="38"/>
      <c r="U16" s="38"/>
      <c r="V16" s="38"/>
    </row>
    <row r="17" spans="2:22" ht="23.3" customHeight="1" x14ac:dyDescent="0.4">
      <c r="B17" s="252"/>
      <c r="C17" s="252"/>
      <c r="D17" s="29"/>
      <c r="E17" s="283" t="str">
        <f>IF(ber_TPN!F6&lt;&gt;0,ROUND(ber_TPN!F6,1)&amp;" ml","")</f>
        <v/>
      </c>
      <c r="F17" s="403" t="str">
        <f>IF(AND(Gewicht/10&gt;50,TPN=2),"in 100 ml glucose 10%, "&amp;ROUND((ber_TPN!F5+ber_TPN!F16)/24,1)&amp;" ml/uur","")</f>
        <v/>
      </c>
      <c r="G17" s="403"/>
      <c r="H17" s="252"/>
      <c r="I17" s="29"/>
      <c r="J17" s="283" t="str">
        <f>IF(ber_TPN!F19&lt;&gt;0,ROUND(ber_TPN!F19,1)&amp;" ml","")</f>
        <v/>
      </c>
      <c r="K17" s="299"/>
      <c r="L17" s="252"/>
      <c r="M17" s="309" t="s">
        <v>3094</v>
      </c>
      <c r="N17" s="319">
        <f>ber_PO!AF20</f>
        <v>0</v>
      </c>
      <c r="O17" s="38" t="s">
        <v>1836</v>
      </c>
      <c r="P17" s="38"/>
      <c r="T17" s="38"/>
      <c r="U17" s="38"/>
      <c r="V17" s="38"/>
    </row>
    <row r="18" spans="2:22" ht="19.55" customHeight="1" x14ac:dyDescent="0.4">
      <c r="B18" s="252"/>
      <c r="C18" s="252" t="s">
        <v>3351</v>
      </c>
      <c r="D18" s="29"/>
      <c r="E18" s="283" t="str">
        <f>IF(ber_TPN!C7,ber_TPN!F7&amp;" ml","")</f>
        <v/>
      </c>
      <c r="F18" s="29"/>
      <c r="G18" s="29"/>
      <c r="H18" s="308" t="s">
        <v>3351</v>
      </c>
      <c r="I18" s="29"/>
      <c r="J18" s="283" t="str">
        <f>IF(ber_TPN!C20,ber_TPN!F20&amp;" ml","")</f>
        <v/>
      </c>
      <c r="K18" s="299"/>
      <c r="L18" s="29"/>
      <c r="P18" s="38"/>
      <c r="T18" s="38"/>
      <c r="U18" s="38"/>
      <c r="V18" s="38"/>
    </row>
    <row r="19" spans="2:22" ht="19.55" customHeight="1" x14ac:dyDescent="0.4">
      <c r="B19" s="252"/>
      <c r="C19" s="252" t="s">
        <v>2204</v>
      </c>
      <c r="D19" s="29"/>
      <c r="E19" s="283" t="str">
        <f>IF(ber_TPN!C8,ber_TPN!F8&amp;" ml","")</f>
        <v/>
      </c>
      <c r="F19" s="29"/>
      <c r="G19" s="29"/>
      <c r="H19" s="308" t="s">
        <v>2204</v>
      </c>
      <c r="I19" s="29"/>
      <c r="J19" s="283" t="str">
        <f>IF(ber_TPN!C21,ber_TPN!F21&amp;" ml","")</f>
        <v/>
      </c>
      <c r="K19" s="299"/>
      <c r="L19" s="29"/>
      <c r="P19" s="38"/>
      <c r="T19" s="38"/>
      <c r="U19" s="38"/>
      <c r="V19" s="38"/>
    </row>
    <row r="20" spans="2:22" ht="19.55" customHeight="1" x14ac:dyDescent="0.4">
      <c r="B20" s="29"/>
      <c r="C20" s="29"/>
      <c r="D20" s="29"/>
      <c r="E20" s="283"/>
      <c r="F20" s="29"/>
      <c r="G20" s="29"/>
      <c r="H20" s="227"/>
      <c r="I20" s="29"/>
      <c r="J20" s="283"/>
      <c r="K20" s="299"/>
      <c r="L20" s="29"/>
      <c r="P20" s="38"/>
      <c r="T20" s="38"/>
      <c r="U20" s="38"/>
      <c r="V20" s="38"/>
    </row>
    <row r="21" spans="2:22" ht="19.55" customHeight="1" x14ac:dyDescent="0.4">
      <c r="B21" s="252"/>
      <c r="C21" s="252" t="s">
        <v>3352</v>
      </c>
      <c r="D21" s="29"/>
      <c r="E21" s="283" t="str">
        <f>IF(ber_TPN!C9,ber_TPN!D9&amp;" ml","")</f>
        <v/>
      </c>
      <c r="F21" s="29"/>
      <c r="G21" s="283" t="str">
        <f>IF(AND(Gewicht/10&lt;=50,SSTglucose&lt;11,TPN=2),"in "&amp;ber_TPN!F16&amp;" ml glucose 10% ="&amp;ROUND((ber_TPN!F16+ber_TPN!F10+ber_TPN!F9)/24,1)&amp;" ml/uur","")</f>
        <v/>
      </c>
      <c r="H21" s="227"/>
      <c r="I21" s="29"/>
      <c r="J21" s="300"/>
      <c r="K21" s="301"/>
      <c r="L21" s="38"/>
      <c r="M21" s="29"/>
      <c r="N21" s="38"/>
      <c r="O21" s="38"/>
      <c r="P21" s="38"/>
      <c r="T21" s="38"/>
      <c r="U21" s="38"/>
      <c r="V21" s="38"/>
    </row>
    <row r="22" spans="2:22" s="29" customFormat="1" ht="19.55" customHeight="1" x14ac:dyDescent="0.4">
      <c r="B22" s="252"/>
      <c r="C22" s="252" t="s">
        <v>3095</v>
      </c>
      <c r="E22" s="283" t="str">
        <f>IF(ber_TPN!C10,ber_TPN!D10&amp;" ml","")</f>
        <v/>
      </c>
      <c r="J22" s="300"/>
      <c r="K22" s="301"/>
      <c r="L22" s="300"/>
      <c r="M22" s="300"/>
      <c r="N22" s="300"/>
      <c r="O22" s="300"/>
      <c r="P22" s="300"/>
      <c r="T22" s="300"/>
      <c r="U22" s="300"/>
      <c r="V22" s="300"/>
    </row>
    <row r="23" spans="2:22" ht="24.05" customHeight="1" x14ac:dyDescent="0.4">
      <c r="B23" s="306"/>
      <c r="C23" s="306" t="s">
        <v>3093</v>
      </c>
      <c r="D23" s="286"/>
      <c r="E23" s="296" t="str">
        <f>IF(ber_TPN!C11,ber_TPN!F11&amp;" ml","")</f>
        <v/>
      </c>
      <c r="F23" s="286"/>
      <c r="G23" s="286" t="str">
        <f>IF(ber_TPN!F11&gt;0,ROUND(ber_TPN!F11*1.5/(Gewicht/10),2)&amp;" mmol/kg","")</f>
        <v/>
      </c>
      <c r="H23" s="286" t="str">
        <f>IF(ber_TPN!F11&gt;0,"plus "&amp;(ROUND(ber_TPN!F11*1.5/(Gewicht/10)/24/0.01,1)*24-ber_TPN!F11)&amp;" ml gluc 5%, "&amp;((ROUND(ber_TPN!F11*1.5/(Gewicht/10)/24/0.01,1)*24-ber_TPN!F11)+ber_TPN!F11)/24&amp;" ml/uur","")</f>
        <v/>
      </c>
      <c r="I23" s="286"/>
      <c r="J23" s="38"/>
      <c r="K23" s="38"/>
      <c r="L23" s="38"/>
      <c r="M23" s="38"/>
      <c r="N23" s="38"/>
      <c r="O23" s="38"/>
      <c r="P23" s="38"/>
      <c r="T23" s="38"/>
      <c r="U23" s="38"/>
      <c r="V23" s="38"/>
    </row>
    <row r="24" spans="2:22" ht="23.3" customHeight="1" x14ac:dyDescent="0.4">
      <c r="B24" s="29"/>
      <c r="C24" s="283" t="s">
        <v>2105</v>
      </c>
      <c r="D24" s="283" t="str">
        <f>IF(ber_TPN!D12&lt;&gt;0,ber_TPN!E12&amp;" ml/uur","")</f>
        <v/>
      </c>
      <c r="E24" s="283"/>
      <c r="F24" s="29"/>
      <c r="G24" s="29"/>
      <c r="H24" s="29" t="str">
        <f>IF(ber_TPN!F12&lt;&gt;0,ber_TPN!F12&amp;" ml per dag","")</f>
        <v/>
      </c>
      <c r="I24" s="29"/>
      <c r="J24" s="38"/>
      <c r="K24" s="38"/>
      <c r="L24" s="38"/>
      <c r="M24" s="38"/>
      <c r="N24" s="38"/>
      <c r="O24" s="38"/>
      <c r="P24" s="38"/>
      <c r="T24" s="38"/>
      <c r="U24" s="38"/>
      <c r="V24" s="38"/>
    </row>
    <row r="25" spans="2:22" ht="19.55" customHeight="1" x14ac:dyDescent="0.4">
      <c r="B25" s="307"/>
      <c r="C25" s="307" t="s">
        <v>2106</v>
      </c>
      <c r="D25" s="298"/>
      <c r="E25" s="297" t="str">
        <f>IF(ber_TPN!F13&lt;&gt;0,ROUND(ber_TPN!F13,0)&amp;" ml","")</f>
        <v/>
      </c>
      <c r="F25" s="298"/>
      <c r="G25" s="298"/>
      <c r="H25" s="298"/>
      <c r="I25" s="302"/>
      <c r="J25" s="38"/>
      <c r="K25" s="38"/>
      <c r="L25" s="38"/>
      <c r="M25" s="38"/>
      <c r="N25" s="38"/>
      <c r="O25" s="38"/>
      <c r="P25" s="38"/>
      <c r="T25" s="38"/>
      <c r="U25" s="38"/>
      <c r="V25" s="38"/>
    </row>
    <row r="26" spans="2:22" ht="18.75" customHeight="1" x14ac:dyDescent="0.4">
      <c r="B26" s="252"/>
      <c r="C26" s="252" t="s">
        <v>2107</v>
      </c>
      <c r="D26" s="29"/>
      <c r="E26" s="283" t="str">
        <f>IF(ber_TPN!C14,ber_TPN!F14&amp;" ml","")</f>
        <v/>
      </c>
      <c r="F26" s="29"/>
      <c r="G26" s="29"/>
      <c r="H26" s="29"/>
      <c r="I26" s="303"/>
      <c r="J26" s="38"/>
      <c r="K26" s="38"/>
      <c r="L26" s="38"/>
      <c r="M26" s="38"/>
      <c r="N26" s="38"/>
      <c r="O26" s="38"/>
      <c r="P26" s="38"/>
      <c r="Q26" s="38"/>
      <c r="R26" s="38"/>
      <c r="S26" s="38"/>
      <c r="T26" s="38"/>
      <c r="U26" s="38"/>
      <c r="V26" s="38"/>
    </row>
    <row r="27" spans="2:22" ht="19.55" customHeight="1" x14ac:dyDescent="0.4">
      <c r="B27" s="306"/>
      <c r="C27" s="306" t="s">
        <v>2108</v>
      </c>
      <c r="D27" s="286"/>
      <c r="E27" s="296" t="str">
        <f>IF(ber_TPN!C15,ber_TPN!F15&amp;" ml","")</f>
        <v/>
      </c>
      <c r="F27" s="286"/>
      <c r="G27" s="286"/>
      <c r="H27" s="286"/>
      <c r="I27" s="304"/>
      <c r="J27" s="38"/>
      <c r="K27" s="38"/>
      <c r="L27" s="38"/>
      <c r="M27" s="38"/>
      <c r="N27" s="38"/>
      <c r="O27" s="38"/>
      <c r="P27" s="38"/>
      <c r="Q27" s="38"/>
      <c r="R27" s="38"/>
      <c r="S27" s="38"/>
      <c r="T27" s="38"/>
      <c r="U27" s="38"/>
      <c r="V27" s="38"/>
    </row>
    <row r="28" spans="2:22" ht="19.55" customHeight="1" x14ac:dyDescent="0.4">
      <c r="B28" s="29"/>
      <c r="C28" s="29"/>
      <c r="D28" s="29"/>
      <c r="E28" s="283"/>
      <c r="F28" s="29"/>
      <c r="G28" s="29"/>
      <c r="H28" s="29"/>
      <c r="I28" s="29"/>
      <c r="J28" s="38"/>
      <c r="K28" s="38"/>
      <c r="L28" s="38"/>
      <c r="M28" s="38"/>
      <c r="N28" s="38"/>
      <c r="O28" s="38"/>
      <c r="P28" s="38"/>
      <c r="Q28" s="38"/>
      <c r="R28" s="38"/>
      <c r="S28" s="38"/>
      <c r="T28" s="38"/>
      <c r="U28" s="38"/>
      <c r="V28" s="38"/>
    </row>
    <row r="29" spans="2:22" ht="19.55" customHeight="1" x14ac:dyDescent="0.35">
      <c r="B29" s="314"/>
      <c r="C29" s="281" t="s">
        <v>2864</v>
      </c>
      <c r="D29" s="315">
        <f>ber_Opm!C9</f>
        <v>0</v>
      </c>
      <c r="E29" s="316"/>
      <c r="F29" s="316"/>
      <c r="G29" s="316"/>
      <c r="H29" s="316"/>
      <c r="I29" s="316"/>
      <c r="J29" s="317"/>
      <c r="K29" s="317"/>
      <c r="L29" s="317"/>
      <c r="M29" s="317"/>
      <c r="N29" s="317"/>
      <c r="O29" s="317"/>
      <c r="P29" s="317"/>
      <c r="Q29" s="38"/>
      <c r="R29" s="38"/>
      <c r="S29" s="38"/>
      <c r="T29" s="38"/>
      <c r="U29" s="38"/>
      <c r="V29" s="38"/>
    </row>
    <row r="30" spans="2:22" ht="10.5" customHeight="1" x14ac:dyDescent="0.4">
      <c r="B30" s="29"/>
      <c r="C30" s="283"/>
      <c r="D30" s="29"/>
      <c r="E30" s="283"/>
      <c r="F30" s="29"/>
      <c r="G30" s="29"/>
      <c r="H30" s="29"/>
      <c r="I30" s="29"/>
      <c r="J30" s="38"/>
      <c r="K30" s="38"/>
      <c r="L30" s="38"/>
      <c r="M30" s="38"/>
      <c r="N30" s="38"/>
      <c r="O30" s="38"/>
      <c r="P30" s="38"/>
      <c r="Q30" s="38"/>
      <c r="R30" s="38"/>
      <c r="S30" s="38"/>
      <c r="T30" s="38"/>
      <c r="U30" s="38"/>
      <c r="V30" s="38"/>
    </row>
    <row r="31" spans="2:22" ht="13.2" x14ac:dyDescent="0.4">
      <c r="B31" s="312" t="s">
        <v>2747</v>
      </c>
      <c r="C31" s="312"/>
      <c r="D31" s="313" t="str">
        <f>ROUND(ber_totalen!C2,0)&amp;" ml/kg"</f>
        <v>0 ml/kg</v>
      </c>
      <c r="E31" s="312" t="str">
        <f ca="1">ROUND(ber_normaal!$A$18,0)&amp;" ml/kg"</f>
        <v>100 ml/kg</v>
      </c>
      <c r="F31" s="312" t="str">
        <f>"= "&amp;ROUND(ber_totalen!C2*Gewicht/10,0)&amp;" ml/dag"</f>
        <v>= 0 ml/dag</v>
      </c>
      <c r="G31" s="312"/>
      <c r="H31" s="312" t="s">
        <v>2200</v>
      </c>
      <c r="I31" s="313" t="str">
        <f>ROUND(ber_totalen!$C$9,1)&amp;"  gram/kg"</f>
        <v>0  gram/kg</v>
      </c>
      <c r="J31" s="312" t="str">
        <f>IF(Gewicht/10&lt;30,"2-2,5 g/kg","1,5 g/kg")</f>
        <v>2-2,5 g/kg</v>
      </c>
      <c r="K31" s="312"/>
      <c r="L31" s="341"/>
      <c r="M31" s="342"/>
      <c r="N31" s="342"/>
      <c r="O31" s="342"/>
      <c r="P31" s="342"/>
    </row>
    <row r="32" spans="2:22" ht="13.2" x14ac:dyDescent="0.4">
      <c r="B32" s="312" t="s">
        <v>2748</v>
      </c>
      <c r="C32" s="312"/>
      <c r="D32" s="313" t="str">
        <f>ROUND(ber_totalen!E38,0)&amp;" kCal/kg"</f>
        <v>0 kCal/kg</v>
      </c>
      <c r="E32" s="312" t="str">
        <f ca="1">ber_normaal!$A$21&amp;" kCal/kg"</f>
        <v>90 kCal/kg</v>
      </c>
      <c r="F32" s="312"/>
      <c r="G32" s="312"/>
      <c r="H32" s="312" t="s">
        <v>2201</v>
      </c>
      <c r="I32" s="313" t="str">
        <f>ROUND(ber_totalen!$C$13,1)&amp;" gram/kg"</f>
        <v>0 gram/kg</v>
      </c>
      <c r="J32" s="312" t="str">
        <f>IF(Gewicht/10&lt;30,"4 g/kg","2 g/kg")</f>
        <v>4 g/kg</v>
      </c>
      <c r="K32" s="312"/>
      <c r="L32" s="341"/>
      <c r="M32" s="342"/>
      <c r="N32" s="342"/>
      <c r="O32" s="342"/>
      <c r="P32" s="342"/>
    </row>
    <row r="33" spans="2:16" ht="13.2" x14ac:dyDescent="0.4">
      <c r="B33" s="312" t="s">
        <v>2312</v>
      </c>
      <c r="C33" s="312"/>
      <c r="D33" s="313" t="str">
        <f>ROUND(ber_totalen!C5,1)&amp;" g/kg"</f>
        <v>0 g/kg</v>
      </c>
      <c r="E33" s="312" t="s">
        <v>3481</v>
      </c>
      <c r="F33" s="312" t="str">
        <f>"= "&amp;ROUND(ber_totalen!C5/1.4,1)&amp;" mg/kg/min"</f>
        <v>= 0 mg/kg/min</v>
      </c>
      <c r="G33" s="312"/>
      <c r="H33" s="312" t="s">
        <v>2202</v>
      </c>
      <c r="I33" s="313" t="str">
        <f>ROUND(ber_totalen!$C$27,1)&amp;" mmol/kg"</f>
        <v>0 mmol/kg</v>
      </c>
      <c r="J33" s="312" t="s">
        <v>4466</v>
      </c>
      <c r="K33" s="312"/>
      <c r="L33" s="341"/>
      <c r="M33" s="342"/>
      <c r="N33" s="342"/>
      <c r="O33" s="342"/>
      <c r="P33" s="342"/>
    </row>
    <row r="34" spans="2:16" ht="13.2" x14ac:dyDescent="0.4">
      <c r="B34" s="312" t="s">
        <v>2749</v>
      </c>
      <c r="C34" s="312"/>
      <c r="D34" s="313" t="str">
        <f>ROUND(ber_totalen!C17,1)&amp;" mmol/kg"</f>
        <v>0 mmol/kg</v>
      </c>
      <c r="E34" s="312" t="s">
        <v>3475</v>
      </c>
      <c r="F34" s="312"/>
      <c r="G34" s="312"/>
      <c r="H34" s="312" t="s">
        <v>3094</v>
      </c>
      <c r="I34" s="313" t="str">
        <f>ROUND(ber_totalen!$C$33,1)&amp;" mmol/kg"</f>
        <v>0 mmol/kg</v>
      </c>
      <c r="J34" s="312" t="s">
        <v>3480</v>
      </c>
      <c r="K34" s="312"/>
      <c r="L34" s="341"/>
      <c r="M34" s="342"/>
      <c r="N34" s="342"/>
      <c r="O34" s="342"/>
      <c r="P34" s="342"/>
    </row>
    <row r="35" spans="2:16" ht="13.2" x14ac:dyDescent="0.4">
      <c r="B35" s="312" t="s">
        <v>2750</v>
      </c>
      <c r="C35" s="312"/>
      <c r="D35" s="313" t="str">
        <f>ROUND(ber_totalen!C23,1)&amp;" mmol/kg"</f>
        <v>0 mmol/kg</v>
      </c>
      <c r="E35" s="312" t="s">
        <v>3474</v>
      </c>
      <c r="F35" s="312"/>
      <c r="G35" s="312"/>
      <c r="H35" s="312" t="s">
        <v>2203</v>
      </c>
      <c r="I35" s="313" t="str">
        <f>ROUND(ber_totalen!$C$30,1)&amp;" mmol/kg"</f>
        <v>0 mmol/kg</v>
      </c>
      <c r="J35" s="312" t="s">
        <v>3479</v>
      </c>
      <c r="K35" s="312"/>
      <c r="L35" s="341"/>
      <c r="M35" s="342"/>
      <c r="N35" s="342"/>
      <c r="O35" s="342"/>
      <c r="P35" s="342"/>
    </row>
  </sheetData>
  <sheetProtection password="CC20" sheet="1" objects="1" scenarios="1" selectLockedCells="1" selectUnlockedCells="1"/>
  <mergeCells count="1">
    <mergeCell ref="F17:G17"/>
  </mergeCells>
  <phoneticPr fontId="26" type="noConversion"/>
  <pageMargins left="0.75" right="0.75" top="1" bottom="1" header="0.5" footer="0.5"/>
  <pageSetup paperSize="9" orientation="portrait" blackAndWhite="1" horizont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4" r:id="rId4" name="Spinner 2">
              <controlPr defaultSize="0" autoPict="0">
                <anchor moveWithCells="1" sizeWithCells="1">
                  <from>
                    <xdr:col>2</xdr:col>
                    <xdr:colOff>732477</xdr:colOff>
                    <xdr:row>7</xdr:row>
                    <xdr:rowOff>76599</xdr:rowOff>
                  </from>
                  <to>
                    <xdr:col>2</xdr:col>
                    <xdr:colOff>856951</xdr:colOff>
                    <xdr:row>8</xdr:row>
                    <xdr:rowOff>0</xdr:rowOff>
                  </to>
                </anchor>
              </controlPr>
            </control>
          </mc:Choice>
        </mc:AlternateContent>
        <mc:AlternateContent xmlns:mc="http://schemas.openxmlformats.org/markup-compatibility/2006">
          <mc:Choice Requires="x14">
            <control shapeId="8195" r:id="rId5" name="Spinner 3">
              <controlPr defaultSize="0" autoPict="0">
                <anchor moveWithCells="1" sizeWithCells="1">
                  <from>
                    <xdr:col>3</xdr:col>
                    <xdr:colOff>502681</xdr:colOff>
                    <xdr:row>7</xdr:row>
                    <xdr:rowOff>67024</xdr:rowOff>
                  </from>
                  <to>
                    <xdr:col>3</xdr:col>
                    <xdr:colOff>627154</xdr:colOff>
                    <xdr:row>7</xdr:row>
                    <xdr:rowOff>239372</xdr:rowOff>
                  </to>
                </anchor>
              </controlPr>
            </control>
          </mc:Choice>
        </mc:AlternateContent>
        <mc:AlternateContent xmlns:mc="http://schemas.openxmlformats.org/markup-compatibility/2006">
          <mc:Choice Requires="x14">
            <control shapeId="8196" r:id="rId6" name="Drop Down 4">
              <controlPr defaultSize="0" print="0" autoLine="0" autoPict="0">
                <anchor moveWithCells="1">
                  <from>
                    <xdr:col>4</xdr:col>
                    <xdr:colOff>0</xdr:colOff>
                    <xdr:row>7</xdr:row>
                    <xdr:rowOff>38299</xdr:rowOff>
                  </from>
                  <to>
                    <xdr:col>5</xdr:col>
                    <xdr:colOff>837801</xdr:colOff>
                    <xdr:row>7</xdr:row>
                    <xdr:rowOff>239372</xdr:rowOff>
                  </to>
                </anchor>
              </controlPr>
            </control>
          </mc:Choice>
        </mc:AlternateContent>
        <mc:AlternateContent xmlns:mc="http://schemas.openxmlformats.org/markup-compatibility/2006">
          <mc:Choice Requires="x14">
            <control shapeId="8198" r:id="rId7" name="Spinner 6">
              <controlPr defaultSize="0" autoPict="0">
                <anchor moveWithCells="1" sizeWithCells="1">
                  <from>
                    <xdr:col>3</xdr:col>
                    <xdr:colOff>770777</xdr:colOff>
                    <xdr:row>14</xdr:row>
                    <xdr:rowOff>67024</xdr:rowOff>
                  </from>
                  <to>
                    <xdr:col>3</xdr:col>
                    <xdr:colOff>933550</xdr:colOff>
                    <xdr:row>14</xdr:row>
                    <xdr:rowOff>258521</xdr:rowOff>
                  </to>
                </anchor>
              </controlPr>
            </control>
          </mc:Choice>
        </mc:AlternateContent>
        <mc:AlternateContent xmlns:mc="http://schemas.openxmlformats.org/markup-compatibility/2006">
          <mc:Choice Requires="x14">
            <control shapeId="8207" r:id="rId8" name="Spinner 15">
              <controlPr defaultSize="0" autoPict="0">
                <anchor moveWithCells="1" sizeWithCells="1">
                  <from>
                    <xdr:col>5</xdr:col>
                    <xdr:colOff>67024</xdr:colOff>
                    <xdr:row>17</xdr:row>
                    <xdr:rowOff>28725</xdr:rowOff>
                  </from>
                  <to>
                    <xdr:col>5</xdr:col>
                    <xdr:colOff>229797</xdr:colOff>
                    <xdr:row>17</xdr:row>
                    <xdr:rowOff>220222</xdr:rowOff>
                  </to>
                </anchor>
              </controlPr>
            </control>
          </mc:Choice>
        </mc:AlternateContent>
        <mc:AlternateContent xmlns:mc="http://schemas.openxmlformats.org/markup-compatibility/2006">
          <mc:Choice Requires="x14">
            <control shapeId="8208" r:id="rId9" name="Spinner 16">
              <controlPr defaultSize="0" autoPict="0">
                <anchor moveWithCells="1" sizeWithCells="1">
                  <from>
                    <xdr:col>5</xdr:col>
                    <xdr:colOff>67024</xdr:colOff>
                    <xdr:row>18</xdr:row>
                    <xdr:rowOff>28725</xdr:rowOff>
                  </from>
                  <to>
                    <xdr:col>5</xdr:col>
                    <xdr:colOff>229797</xdr:colOff>
                    <xdr:row>18</xdr:row>
                    <xdr:rowOff>220222</xdr:rowOff>
                  </to>
                </anchor>
              </controlPr>
            </control>
          </mc:Choice>
        </mc:AlternateContent>
        <mc:AlternateContent xmlns:mc="http://schemas.openxmlformats.org/markup-compatibility/2006">
          <mc:Choice Requires="x14">
            <control shapeId="8209" r:id="rId10" name="Spinner 17">
              <controlPr defaultSize="0" autoPict="0">
                <anchor moveWithCells="1" sizeWithCells="1">
                  <from>
                    <xdr:col>5</xdr:col>
                    <xdr:colOff>67024</xdr:colOff>
                    <xdr:row>20</xdr:row>
                    <xdr:rowOff>28725</xdr:rowOff>
                  </from>
                  <to>
                    <xdr:col>5</xdr:col>
                    <xdr:colOff>229797</xdr:colOff>
                    <xdr:row>20</xdr:row>
                    <xdr:rowOff>220222</xdr:rowOff>
                  </to>
                </anchor>
              </controlPr>
            </control>
          </mc:Choice>
        </mc:AlternateContent>
        <mc:AlternateContent xmlns:mc="http://schemas.openxmlformats.org/markup-compatibility/2006">
          <mc:Choice Requires="x14">
            <control shapeId="8210" r:id="rId11" name="Check Box 18">
              <controlPr defaultSize="0" autoFill="0" autoLine="0" autoPict="0">
                <anchor moveWithCells="1">
                  <from>
                    <xdr:col>1</xdr:col>
                    <xdr:colOff>28725</xdr:colOff>
                    <xdr:row>17</xdr:row>
                    <xdr:rowOff>47874</xdr:rowOff>
                  </from>
                  <to>
                    <xdr:col>2</xdr:col>
                    <xdr:colOff>124473</xdr:colOff>
                    <xdr:row>18</xdr:row>
                    <xdr:rowOff>19150</xdr:rowOff>
                  </to>
                </anchor>
              </controlPr>
            </control>
          </mc:Choice>
        </mc:AlternateContent>
        <mc:AlternateContent xmlns:mc="http://schemas.openxmlformats.org/markup-compatibility/2006">
          <mc:Choice Requires="x14">
            <control shapeId="8211" r:id="rId12" name="Check Box 19">
              <controlPr defaultSize="0" autoFill="0" autoLine="0" autoPict="0">
                <anchor moveWithCells="1">
                  <from>
                    <xdr:col>1</xdr:col>
                    <xdr:colOff>28725</xdr:colOff>
                    <xdr:row>18</xdr:row>
                    <xdr:rowOff>47874</xdr:rowOff>
                  </from>
                  <to>
                    <xdr:col>2</xdr:col>
                    <xdr:colOff>124473</xdr:colOff>
                    <xdr:row>19</xdr:row>
                    <xdr:rowOff>19150</xdr:rowOff>
                  </to>
                </anchor>
              </controlPr>
            </control>
          </mc:Choice>
        </mc:AlternateContent>
        <mc:AlternateContent xmlns:mc="http://schemas.openxmlformats.org/markup-compatibility/2006">
          <mc:Choice Requires="x14">
            <control shapeId="8212" r:id="rId13" name="Check Box 20">
              <controlPr defaultSize="0" autoFill="0" autoLine="0" autoPict="0">
                <anchor moveWithCells="1">
                  <from>
                    <xdr:col>1</xdr:col>
                    <xdr:colOff>28725</xdr:colOff>
                    <xdr:row>20</xdr:row>
                    <xdr:rowOff>47874</xdr:rowOff>
                  </from>
                  <to>
                    <xdr:col>2</xdr:col>
                    <xdr:colOff>124473</xdr:colOff>
                    <xdr:row>21</xdr:row>
                    <xdr:rowOff>19150</xdr:rowOff>
                  </to>
                </anchor>
              </controlPr>
            </control>
          </mc:Choice>
        </mc:AlternateContent>
        <mc:AlternateContent xmlns:mc="http://schemas.openxmlformats.org/markup-compatibility/2006">
          <mc:Choice Requires="x14">
            <control shapeId="8213" r:id="rId14" name="Spinner 21">
              <controlPr defaultSize="0" autoPict="0">
                <anchor moveWithCells="1" sizeWithCells="1">
                  <from>
                    <xdr:col>3</xdr:col>
                    <xdr:colOff>933550</xdr:colOff>
                    <xdr:row>23</xdr:row>
                    <xdr:rowOff>76599</xdr:rowOff>
                  </from>
                  <to>
                    <xdr:col>4</xdr:col>
                    <xdr:colOff>134048</xdr:colOff>
                    <xdr:row>23</xdr:row>
                    <xdr:rowOff>268096</xdr:rowOff>
                  </to>
                </anchor>
              </controlPr>
            </control>
          </mc:Choice>
        </mc:AlternateContent>
        <mc:AlternateContent xmlns:mc="http://schemas.openxmlformats.org/markup-compatibility/2006">
          <mc:Choice Requires="x14">
            <control shapeId="8215" r:id="rId15" name="Check Box 23">
              <controlPr defaultSize="0" autoFill="0" autoLine="0" autoPict="0">
                <anchor moveWithCells="1">
                  <from>
                    <xdr:col>1</xdr:col>
                    <xdr:colOff>28725</xdr:colOff>
                    <xdr:row>25</xdr:row>
                    <xdr:rowOff>47874</xdr:rowOff>
                  </from>
                  <to>
                    <xdr:col>2</xdr:col>
                    <xdr:colOff>124473</xdr:colOff>
                    <xdr:row>26</xdr:row>
                    <xdr:rowOff>28725</xdr:rowOff>
                  </to>
                </anchor>
              </controlPr>
            </control>
          </mc:Choice>
        </mc:AlternateContent>
        <mc:AlternateContent xmlns:mc="http://schemas.openxmlformats.org/markup-compatibility/2006">
          <mc:Choice Requires="x14">
            <control shapeId="8216" r:id="rId16" name="Check Box 24">
              <controlPr defaultSize="0" autoFill="0" autoLine="0" autoPict="0">
                <anchor moveWithCells="1">
                  <from>
                    <xdr:col>1</xdr:col>
                    <xdr:colOff>28725</xdr:colOff>
                    <xdr:row>26</xdr:row>
                    <xdr:rowOff>47874</xdr:rowOff>
                  </from>
                  <to>
                    <xdr:col>2</xdr:col>
                    <xdr:colOff>124473</xdr:colOff>
                    <xdr:row>27</xdr:row>
                    <xdr:rowOff>19150</xdr:rowOff>
                  </to>
                </anchor>
              </controlPr>
            </control>
          </mc:Choice>
        </mc:AlternateContent>
        <mc:AlternateContent xmlns:mc="http://schemas.openxmlformats.org/markup-compatibility/2006">
          <mc:Choice Requires="x14">
            <control shapeId="8217" r:id="rId17" name="Spinner 25">
              <controlPr defaultSize="0" autoPict="0">
                <anchor moveWithCells="1" sizeWithCells="1">
                  <from>
                    <xdr:col>5</xdr:col>
                    <xdr:colOff>67024</xdr:colOff>
                    <xdr:row>25</xdr:row>
                    <xdr:rowOff>28725</xdr:rowOff>
                  </from>
                  <to>
                    <xdr:col>5</xdr:col>
                    <xdr:colOff>229797</xdr:colOff>
                    <xdr:row>25</xdr:row>
                    <xdr:rowOff>220222</xdr:rowOff>
                  </to>
                </anchor>
              </controlPr>
            </control>
          </mc:Choice>
        </mc:AlternateContent>
        <mc:AlternateContent xmlns:mc="http://schemas.openxmlformats.org/markup-compatibility/2006">
          <mc:Choice Requires="x14">
            <control shapeId="8218" r:id="rId18" name="Spinner 26">
              <controlPr defaultSize="0" autoPict="0">
                <anchor moveWithCells="1" sizeWithCells="1">
                  <from>
                    <xdr:col>5</xdr:col>
                    <xdr:colOff>67024</xdr:colOff>
                    <xdr:row>26</xdr:row>
                    <xdr:rowOff>28725</xdr:rowOff>
                  </from>
                  <to>
                    <xdr:col>5</xdr:col>
                    <xdr:colOff>229797</xdr:colOff>
                    <xdr:row>26</xdr:row>
                    <xdr:rowOff>220222</xdr:rowOff>
                  </to>
                </anchor>
              </controlPr>
            </control>
          </mc:Choice>
        </mc:AlternateContent>
        <mc:AlternateContent xmlns:mc="http://schemas.openxmlformats.org/markup-compatibility/2006">
          <mc:Choice Requires="x14">
            <control shapeId="8219" r:id="rId19" name="Drop Down 27">
              <controlPr defaultSize="0" print="0" autoLine="0" autoPict="0">
                <anchor moveWithCells="1">
                  <from>
                    <xdr:col>3</xdr:col>
                    <xdr:colOff>0</xdr:colOff>
                    <xdr:row>5</xdr:row>
                    <xdr:rowOff>38299</xdr:rowOff>
                  </from>
                  <to>
                    <xdr:col>4</xdr:col>
                    <xdr:colOff>296821</xdr:colOff>
                    <xdr:row>6</xdr:row>
                    <xdr:rowOff>19150</xdr:rowOff>
                  </to>
                </anchor>
              </controlPr>
            </control>
          </mc:Choice>
        </mc:AlternateContent>
        <mc:AlternateContent xmlns:mc="http://schemas.openxmlformats.org/markup-compatibility/2006">
          <mc:Choice Requires="x14">
            <control shapeId="8230" r:id="rId20" name="Check Box 38">
              <controlPr defaultSize="0" autoFill="0" autoLine="0" autoPict="0">
                <anchor moveWithCells="1">
                  <from>
                    <xdr:col>1</xdr:col>
                    <xdr:colOff>28725</xdr:colOff>
                    <xdr:row>21</xdr:row>
                    <xdr:rowOff>47874</xdr:rowOff>
                  </from>
                  <to>
                    <xdr:col>2</xdr:col>
                    <xdr:colOff>124473</xdr:colOff>
                    <xdr:row>22</xdr:row>
                    <xdr:rowOff>19150</xdr:rowOff>
                  </to>
                </anchor>
              </controlPr>
            </control>
          </mc:Choice>
        </mc:AlternateContent>
        <mc:AlternateContent xmlns:mc="http://schemas.openxmlformats.org/markup-compatibility/2006">
          <mc:Choice Requires="x14">
            <control shapeId="8231" r:id="rId21" name="Check Box 39">
              <controlPr defaultSize="0" autoFill="0" autoLine="0" autoPict="0">
                <anchor moveWithCells="1">
                  <from>
                    <xdr:col>1</xdr:col>
                    <xdr:colOff>19150</xdr:colOff>
                    <xdr:row>22</xdr:row>
                    <xdr:rowOff>95749</xdr:rowOff>
                  </from>
                  <to>
                    <xdr:col>2</xdr:col>
                    <xdr:colOff>114898</xdr:colOff>
                    <xdr:row>23</xdr:row>
                    <xdr:rowOff>9575</xdr:rowOff>
                  </to>
                </anchor>
              </controlPr>
            </control>
          </mc:Choice>
        </mc:AlternateContent>
        <mc:AlternateContent xmlns:mc="http://schemas.openxmlformats.org/markup-compatibility/2006">
          <mc:Choice Requires="x14">
            <control shapeId="8232" r:id="rId22" name="Spinner 40">
              <controlPr defaultSize="0" autoPict="0">
                <anchor moveWithCells="1" sizeWithCells="1">
                  <from>
                    <xdr:col>5</xdr:col>
                    <xdr:colOff>67024</xdr:colOff>
                    <xdr:row>21</xdr:row>
                    <xdr:rowOff>28725</xdr:rowOff>
                  </from>
                  <to>
                    <xdr:col>5</xdr:col>
                    <xdr:colOff>229797</xdr:colOff>
                    <xdr:row>21</xdr:row>
                    <xdr:rowOff>220222</xdr:rowOff>
                  </to>
                </anchor>
              </controlPr>
            </control>
          </mc:Choice>
        </mc:AlternateContent>
        <mc:AlternateContent xmlns:mc="http://schemas.openxmlformats.org/markup-compatibility/2006">
          <mc:Choice Requires="x14">
            <control shapeId="8233" r:id="rId23" name="Spinner 41">
              <controlPr defaultSize="0" autoPict="0">
                <anchor moveWithCells="1" sizeWithCells="1">
                  <from>
                    <xdr:col>5</xdr:col>
                    <xdr:colOff>67024</xdr:colOff>
                    <xdr:row>22</xdr:row>
                    <xdr:rowOff>124473</xdr:rowOff>
                  </from>
                  <to>
                    <xdr:col>5</xdr:col>
                    <xdr:colOff>229797</xdr:colOff>
                    <xdr:row>23</xdr:row>
                    <xdr:rowOff>9575</xdr:rowOff>
                  </to>
                </anchor>
              </controlPr>
            </control>
          </mc:Choice>
        </mc:AlternateContent>
        <mc:AlternateContent xmlns:mc="http://schemas.openxmlformats.org/markup-compatibility/2006">
          <mc:Choice Requires="x14">
            <control shapeId="8243" r:id="rId24" name="Drop Down 51">
              <controlPr defaultSize="0" print="0" autoLine="0" autoPict="0">
                <anchor moveWithCells="1">
                  <from>
                    <xdr:col>1</xdr:col>
                    <xdr:colOff>86174</xdr:colOff>
                    <xdr:row>15</xdr:row>
                    <xdr:rowOff>67024</xdr:rowOff>
                  </from>
                  <to>
                    <xdr:col>3</xdr:col>
                    <xdr:colOff>440444</xdr:colOff>
                    <xdr:row>15</xdr:row>
                    <xdr:rowOff>268096</xdr:rowOff>
                  </to>
                </anchor>
              </controlPr>
            </control>
          </mc:Choice>
        </mc:AlternateContent>
        <mc:AlternateContent xmlns:mc="http://schemas.openxmlformats.org/markup-compatibility/2006">
          <mc:Choice Requires="x14">
            <control shapeId="8244" r:id="rId25" name="Drop Down 52">
              <controlPr defaultSize="0" print="0" autoLine="0" autoPict="0">
                <anchor moveWithCells="1">
                  <from>
                    <xdr:col>1</xdr:col>
                    <xdr:colOff>76599</xdr:colOff>
                    <xdr:row>16</xdr:row>
                    <xdr:rowOff>67024</xdr:rowOff>
                  </from>
                  <to>
                    <xdr:col>3</xdr:col>
                    <xdr:colOff>430869</xdr:colOff>
                    <xdr:row>16</xdr:row>
                    <xdr:rowOff>268096</xdr:rowOff>
                  </to>
                </anchor>
              </controlPr>
            </control>
          </mc:Choice>
        </mc:AlternateContent>
        <mc:AlternateContent xmlns:mc="http://schemas.openxmlformats.org/markup-compatibility/2006">
          <mc:Choice Requires="x14">
            <control shapeId="8245" r:id="rId26" name="Spinner 53">
              <controlPr defaultSize="0" autoPict="0">
                <anchor moveWithCells="1" sizeWithCells="1">
                  <from>
                    <xdr:col>5</xdr:col>
                    <xdr:colOff>57449</xdr:colOff>
                    <xdr:row>15</xdr:row>
                    <xdr:rowOff>76599</xdr:rowOff>
                  </from>
                  <to>
                    <xdr:col>5</xdr:col>
                    <xdr:colOff>220222</xdr:colOff>
                    <xdr:row>15</xdr:row>
                    <xdr:rowOff>268096</xdr:rowOff>
                  </to>
                </anchor>
              </controlPr>
            </control>
          </mc:Choice>
        </mc:AlternateContent>
        <mc:AlternateContent xmlns:mc="http://schemas.openxmlformats.org/markup-compatibility/2006">
          <mc:Choice Requires="x14">
            <control shapeId="8247" r:id="rId27" name="Spinner 55">
              <controlPr defaultSize="0" autoPict="0">
                <anchor moveWithCells="1" sizeWithCells="1">
                  <from>
                    <xdr:col>2</xdr:col>
                    <xdr:colOff>732477</xdr:colOff>
                    <xdr:row>8</xdr:row>
                    <xdr:rowOff>76599</xdr:rowOff>
                  </from>
                  <to>
                    <xdr:col>2</xdr:col>
                    <xdr:colOff>856951</xdr:colOff>
                    <xdr:row>9</xdr:row>
                    <xdr:rowOff>0</xdr:rowOff>
                  </to>
                </anchor>
              </controlPr>
            </control>
          </mc:Choice>
        </mc:AlternateContent>
        <mc:AlternateContent xmlns:mc="http://schemas.openxmlformats.org/markup-compatibility/2006">
          <mc:Choice Requires="x14">
            <control shapeId="8248" r:id="rId28" name="Spinner 56">
              <controlPr defaultSize="0" autoPict="0">
                <anchor moveWithCells="1" sizeWithCells="1">
                  <from>
                    <xdr:col>3</xdr:col>
                    <xdr:colOff>675028</xdr:colOff>
                    <xdr:row>8</xdr:row>
                    <xdr:rowOff>67024</xdr:rowOff>
                  </from>
                  <to>
                    <xdr:col>3</xdr:col>
                    <xdr:colOff>799502</xdr:colOff>
                    <xdr:row>8</xdr:row>
                    <xdr:rowOff>239372</xdr:rowOff>
                  </to>
                </anchor>
              </controlPr>
            </control>
          </mc:Choice>
        </mc:AlternateContent>
        <mc:AlternateContent xmlns:mc="http://schemas.openxmlformats.org/markup-compatibility/2006">
          <mc:Choice Requires="x14">
            <control shapeId="8249" r:id="rId29" name="Drop Down 57">
              <controlPr defaultSize="0" print="0" autoLine="0" autoPict="0">
                <anchor moveWithCells="1">
                  <from>
                    <xdr:col>4</xdr:col>
                    <xdr:colOff>0</xdr:colOff>
                    <xdr:row>8</xdr:row>
                    <xdr:rowOff>38299</xdr:rowOff>
                  </from>
                  <to>
                    <xdr:col>5</xdr:col>
                    <xdr:colOff>837801</xdr:colOff>
                    <xdr:row>8</xdr:row>
                    <xdr:rowOff>239372</xdr:rowOff>
                  </to>
                </anchor>
              </controlPr>
            </control>
          </mc:Choice>
        </mc:AlternateContent>
        <mc:AlternateContent xmlns:mc="http://schemas.openxmlformats.org/markup-compatibility/2006">
          <mc:Choice Requires="x14">
            <control shapeId="8250" r:id="rId30" name="Spinner 58">
              <controlPr defaultSize="0" autoPict="0">
                <anchor moveWithCells="1" sizeWithCells="1">
                  <from>
                    <xdr:col>6</xdr:col>
                    <xdr:colOff>493106</xdr:colOff>
                    <xdr:row>15</xdr:row>
                    <xdr:rowOff>76599</xdr:rowOff>
                  </from>
                  <to>
                    <xdr:col>6</xdr:col>
                    <xdr:colOff>655879</xdr:colOff>
                    <xdr:row>15</xdr:row>
                    <xdr:rowOff>268096</xdr:rowOff>
                  </to>
                </anchor>
              </controlPr>
            </control>
          </mc:Choice>
        </mc:AlternateContent>
        <mc:AlternateContent xmlns:mc="http://schemas.openxmlformats.org/markup-compatibility/2006">
          <mc:Choice Requires="x14">
            <control shapeId="8252" r:id="rId31" name="Spinner 60">
              <controlPr defaultSize="0" autoPict="0">
                <anchor moveWithCells="1" sizeWithCells="1">
                  <from>
                    <xdr:col>2</xdr:col>
                    <xdr:colOff>732477</xdr:colOff>
                    <xdr:row>9</xdr:row>
                    <xdr:rowOff>76599</xdr:rowOff>
                  </from>
                  <to>
                    <xdr:col>2</xdr:col>
                    <xdr:colOff>856951</xdr:colOff>
                    <xdr:row>10</xdr:row>
                    <xdr:rowOff>0</xdr:rowOff>
                  </to>
                </anchor>
              </controlPr>
            </control>
          </mc:Choice>
        </mc:AlternateContent>
        <mc:AlternateContent xmlns:mc="http://schemas.openxmlformats.org/markup-compatibility/2006">
          <mc:Choice Requires="x14">
            <control shapeId="8253" r:id="rId32" name="Spinner 61">
              <controlPr defaultSize="0" autoPict="0">
                <anchor moveWithCells="1" sizeWithCells="1">
                  <from>
                    <xdr:col>3</xdr:col>
                    <xdr:colOff>675028</xdr:colOff>
                    <xdr:row>9</xdr:row>
                    <xdr:rowOff>67024</xdr:rowOff>
                  </from>
                  <to>
                    <xdr:col>3</xdr:col>
                    <xdr:colOff>799502</xdr:colOff>
                    <xdr:row>9</xdr:row>
                    <xdr:rowOff>239372</xdr:rowOff>
                  </to>
                </anchor>
              </controlPr>
            </control>
          </mc:Choice>
        </mc:AlternateContent>
        <mc:AlternateContent xmlns:mc="http://schemas.openxmlformats.org/markup-compatibility/2006">
          <mc:Choice Requires="x14">
            <control shapeId="8254" r:id="rId33" name="Drop Down 62">
              <controlPr defaultSize="0" print="0" autoLine="0" autoPict="0">
                <anchor moveWithCells="1">
                  <from>
                    <xdr:col>4</xdr:col>
                    <xdr:colOff>0</xdr:colOff>
                    <xdr:row>9</xdr:row>
                    <xdr:rowOff>38299</xdr:rowOff>
                  </from>
                  <to>
                    <xdr:col>5</xdr:col>
                    <xdr:colOff>837801</xdr:colOff>
                    <xdr:row>9</xdr:row>
                    <xdr:rowOff>239372</xdr:rowOff>
                  </to>
                </anchor>
              </controlPr>
            </control>
          </mc:Choice>
        </mc:AlternateContent>
        <mc:AlternateContent xmlns:mc="http://schemas.openxmlformats.org/markup-compatibility/2006">
          <mc:Choice Requires="x14">
            <control shapeId="8255" r:id="rId34" name="Spinner 63">
              <controlPr defaultSize="0" autoPict="0">
                <anchor moveWithCells="1" sizeWithCells="1">
                  <from>
                    <xdr:col>2</xdr:col>
                    <xdr:colOff>732477</xdr:colOff>
                    <xdr:row>10</xdr:row>
                    <xdr:rowOff>76599</xdr:rowOff>
                  </from>
                  <to>
                    <xdr:col>2</xdr:col>
                    <xdr:colOff>856951</xdr:colOff>
                    <xdr:row>11</xdr:row>
                    <xdr:rowOff>0</xdr:rowOff>
                  </to>
                </anchor>
              </controlPr>
            </control>
          </mc:Choice>
        </mc:AlternateContent>
        <mc:AlternateContent xmlns:mc="http://schemas.openxmlformats.org/markup-compatibility/2006">
          <mc:Choice Requires="x14">
            <control shapeId="8256" r:id="rId35" name="Spinner 64">
              <controlPr defaultSize="0" autoPict="0">
                <anchor moveWithCells="1" sizeWithCells="1">
                  <from>
                    <xdr:col>3</xdr:col>
                    <xdr:colOff>675028</xdr:colOff>
                    <xdr:row>10</xdr:row>
                    <xdr:rowOff>67024</xdr:rowOff>
                  </from>
                  <to>
                    <xdr:col>3</xdr:col>
                    <xdr:colOff>799502</xdr:colOff>
                    <xdr:row>10</xdr:row>
                    <xdr:rowOff>239372</xdr:rowOff>
                  </to>
                </anchor>
              </controlPr>
            </control>
          </mc:Choice>
        </mc:AlternateContent>
        <mc:AlternateContent xmlns:mc="http://schemas.openxmlformats.org/markup-compatibility/2006">
          <mc:Choice Requires="x14">
            <control shapeId="8257" r:id="rId36" name="Drop Down 65">
              <controlPr defaultSize="0" print="0" autoLine="0" autoPict="0">
                <anchor moveWithCells="1">
                  <from>
                    <xdr:col>4</xdr:col>
                    <xdr:colOff>0</xdr:colOff>
                    <xdr:row>10</xdr:row>
                    <xdr:rowOff>38299</xdr:rowOff>
                  </from>
                  <to>
                    <xdr:col>5</xdr:col>
                    <xdr:colOff>837801</xdr:colOff>
                    <xdr:row>10</xdr:row>
                    <xdr:rowOff>239372</xdr:rowOff>
                  </to>
                </anchor>
              </controlPr>
            </control>
          </mc:Choice>
        </mc:AlternateContent>
        <mc:AlternateContent xmlns:mc="http://schemas.openxmlformats.org/markup-compatibility/2006">
          <mc:Choice Requires="x14">
            <control shapeId="8258" r:id="rId37" name="Spinner 66">
              <controlPr defaultSize="0" autoPict="0">
                <anchor moveWithCells="1" sizeWithCells="1">
                  <from>
                    <xdr:col>8</xdr:col>
                    <xdr:colOff>770777</xdr:colOff>
                    <xdr:row>14</xdr:row>
                    <xdr:rowOff>67024</xdr:rowOff>
                  </from>
                  <to>
                    <xdr:col>8</xdr:col>
                    <xdr:colOff>933550</xdr:colOff>
                    <xdr:row>14</xdr:row>
                    <xdr:rowOff>258521</xdr:rowOff>
                  </to>
                </anchor>
              </controlPr>
            </control>
          </mc:Choice>
        </mc:AlternateContent>
        <mc:AlternateContent xmlns:mc="http://schemas.openxmlformats.org/markup-compatibility/2006">
          <mc:Choice Requires="x14">
            <control shapeId="8259" r:id="rId38" name="Spinner 67">
              <controlPr defaultSize="0" autoPict="0">
                <anchor moveWithCells="1" sizeWithCells="1">
                  <from>
                    <xdr:col>10</xdr:col>
                    <xdr:colOff>287246</xdr:colOff>
                    <xdr:row>17</xdr:row>
                    <xdr:rowOff>38299</xdr:rowOff>
                  </from>
                  <to>
                    <xdr:col>10</xdr:col>
                    <xdr:colOff>450019</xdr:colOff>
                    <xdr:row>17</xdr:row>
                    <xdr:rowOff>229797</xdr:rowOff>
                  </to>
                </anchor>
              </controlPr>
            </control>
          </mc:Choice>
        </mc:AlternateContent>
        <mc:AlternateContent xmlns:mc="http://schemas.openxmlformats.org/markup-compatibility/2006">
          <mc:Choice Requires="x14">
            <control shapeId="8260" r:id="rId39" name="Spinner 68">
              <controlPr defaultSize="0" autoPict="0">
                <anchor moveWithCells="1" sizeWithCells="1">
                  <from>
                    <xdr:col>10</xdr:col>
                    <xdr:colOff>296821</xdr:colOff>
                    <xdr:row>18</xdr:row>
                    <xdr:rowOff>28725</xdr:rowOff>
                  </from>
                  <to>
                    <xdr:col>10</xdr:col>
                    <xdr:colOff>459594</xdr:colOff>
                    <xdr:row>18</xdr:row>
                    <xdr:rowOff>220222</xdr:rowOff>
                  </to>
                </anchor>
              </controlPr>
            </control>
          </mc:Choice>
        </mc:AlternateContent>
        <mc:AlternateContent xmlns:mc="http://schemas.openxmlformats.org/markup-compatibility/2006">
          <mc:Choice Requires="x14">
            <control shapeId="8261" r:id="rId40" name="Check Box 69">
              <controlPr defaultSize="0" autoFill="0" autoLine="0" autoPict="0">
                <anchor moveWithCells="1">
                  <from>
                    <xdr:col>7</xdr:col>
                    <xdr:colOff>28725</xdr:colOff>
                    <xdr:row>17</xdr:row>
                    <xdr:rowOff>47874</xdr:rowOff>
                  </from>
                  <to>
                    <xdr:col>7</xdr:col>
                    <xdr:colOff>335120</xdr:colOff>
                    <xdr:row>18</xdr:row>
                    <xdr:rowOff>19150</xdr:rowOff>
                  </to>
                </anchor>
              </controlPr>
            </control>
          </mc:Choice>
        </mc:AlternateContent>
        <mc:AlternateContent xmlns:mc="http://schemas.openxmlformats.org/markup-compatibility/2006">
          <mc:Choice Requires="x14">
            <control shapeId="8262" r:id="rId41" name="Check Box 70">
              <controlPr defaultSize="0" autoFill="0" autoLine="0" autoPict="0">
                <anchor moveWithCells="1">
                  <from>
                    <xdr:col>7</xdr:col>
                    <xdr:colOff>28725</xdr:colOff>
                    <xdr:row>18</xdr:row>
                    <xdr:rowOff>47874</xdr:rowOff>
                  </from>
                  <to>
                    <xdr:col>7</xdr:col>
                    <xdr:colOff>335120</xdr:colOff>
                    <xdr:row>19</xdr:row>
                    <xdr:rowOff>19150</xdr:rowOff>
                  </to>
                </anchor>
              </controlPr>
            </control>
          </mc:Choice>
        </mc:AlternateContent>
        <mc:AlternateContent xmlns:mc="http://schemas.openxmlformats.org/markup-compatibility/2006">
          <mc:Choice Requires="x14">
            <control shapeId="8263" r:id="rId42" name="Drop Down 71">
              <controlPr defaultSize="0" print="0" autoLine="0" autoPict="0">
                <anchor moveWithCells="1">
                  <from>
                    <xdr:col>7</xdr:col>
                    <xdr:colOff>76599</xdr:colOff>
                    <xdr:row>16</xdr:row>
                    <xdr:rowOff>67024</xdr:rowOff>
                  </from>
                  <to>
                    <xdr:col>8</xdr:col>
                    <xdr:colOff>569705</xdr:colOff>
                    <xdr:row>16</xdr:row>
                    <xdr:rowOff>268096</xdr:rowOff>
                  </to>
                </anchor>
              </controlPr>
            </control>
          </mc:Choice>
        </mc:AlternateContent>
        <mc:AlternateContent xmlns:mc="http://schemas.openxmlformats.org/markup-compatibility/2006">
          <mc:Choice Requires="x14">
            <control shapeId="8267" r:id="rId43" name="Spinner 75">
              <controlPr defaultSize="0" autoPict="0">
                <anchor moveWithCells="1" sizeWithCells="1">
                  <from>
                    <xdr:col>8</xdr:col>
                    <xdr:colOff>124473</xdr:colOff>
                    <xdr:row>2</xdr:row>
                    <xdr:rowOff>9575</xdr:rowOff>
                  </from>
                  <to>
                    <xdr:col>8</xdr:col>
                    <xdr:colOff>287246</xdr:colOff>
                    <xdr:row>2</xdr:row>
                    <xdr:rowOff>181923</xdr:rowOff>
                  </to>
                </anchor>
              </controlPr>
            </control>
          </mc:Choice>
        </mc:AlternateContent>
        <mc:AlternateContent xmlns:mc="http://schemas.openxmlformats.org/markup-compatibility/2006">
          <mc:Choice Requires="x14">
            <control shapeId="8268" r:id="rId44" name="Spinner 76">
              <controlPr defaultSize="0" autoPict="0">
                <anchor moveWithCells="1" sizeWithCells="1">
                  <from>
                    <xdr:col>10</xdr:col>
                    <xdr:colOff>450019</xdr:colOff>
                    <xdr:row>1</xdr:row>
                    <xdr:rowOff>143623</xdr:rowOff>
                  </from>
                  <to>
                    <xdr:col>11</xdr:col>
                    <xdr:colOff>0</xdr:colOff>
                    <xdr:row>2</xdr:row>
                    <xdr:rowOff>143623</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PN"/>
  <dimension ref="A1:O39"/>
  <sheetViews>
    <sheetView topLeftCell="E1" workbookViewId="0">
      <selection activeCell="A27" sqref="A27:I27"/>
    </sheetView>
  </sheetViews>
  <sheetFormatPr defaultRowHeight="12.85" x14ac:dyDescent="0.35"/>
  <cols>
    <col min="1" max="1" width="16.3984375" customWidth="1"/>
    <col min="2" max="2" width="12" bestFit="1" customWidth="1"/>
    <col min="3" max="3" width="9.3984375" bestFit="1" customWidth="1"/>
    <col min="4" max="9" width="12" bestFit="1" customWidth="1"/>
    <col min="10" max="10" width="8.1328125" bestFit="1" customWidth="1"/>
    <col min="11" max="11" width="24.59765625" customWidth="1"/>
    <col min="12" max="13" width="8.1328125" bestFit="1" customWidth="1"/>
    <col min="14" max="14" width="8.3984375" bestFit="1" customWidth="1"/>
    <col min="15" max="15" width="4" bestFit="1" customWidth="1"/>
    <col min="16" max="17" width="7.73046875" customWidth="1"/>
  </cols>
  <sheetData>
    <row r="1" spans="1:15" x14ac:dyDescent="0.35">
      <c r="G1">
        <v>3</v>
      </c>
      <c r="H1">
        <v>2</v>
      </c>
      <c r="I1">
        <v>4</v>
      </c>
      <c r="J1">
        <v>5</v>
      </c>
      <c r="K1">
        <v>6</v>
      </c>
      <c r="L1">
        <v>7</v>
      </c>
      <c r="M1">
        <v>8</v>
      </c>
      <c r="N1">
        <v>9</v>
      </c>
      <c r="O1">
        <v>10</v>
      </c>
    </row>
    <row r="2" spans="1:15" ht="25.65" x14ac:dyDescent="0.35">
      <c r="B2" t="s">
        <v>2321</v>
      </c>
      <c r="C2" t="s">
        <v>1274</v>
      </c>
      <c r="D2" s="37" t="s">
        <v>2867</v>
      </c>
      <c r="E2" s="37" t="s">
        <v>1268</v>
      </c>
      <c r="F2" t="s">
        <v>3061</v>
      </c>
      <c r="G2" t="s">
        <v>2098</v>
      </c>
      <c r="H2" t="s">
        <v>1270</v>
      </c>
      <c r="I2" t="s">
        <v>2207</v>
      </c>
      <c r="J2" t="s">
        <v>2208</v>
      </c>
      <c r="K2" t="s">
        <v>2209</v>
      </c>
      <c r="L2" t="s">
        <v>2210</v>
      </c>
      <c r="M2" t="s">
        <v>2101</v>
      </c>
      <c r="N2" t="s">
        <v>1271</v>
      </c>
      <c r="O2" t="s">
        <v>2104</v>
      </c>
    </row>
    <row r="3" spans="1:15" x14ac:dyDescent="0.35">
      <c r="A3" t="s">
        <v>3370</v>
      </c>
      <c r="E3">
        <f>IF(D3&lt;50,D3/10,IF(D3&lt;146,D3-45,(D3-125)*5))</f>
        <v>0</v>
      </c>
      <c r="F3">
        <f>ROUND(E3*24+ROUND(IF(AND(TPN=2,Gewicht/10&lt;=50,SSTglucose&lt;11),F4*2+2*(F7+F8),2*(F7+F8)+4*(F9+F10))/24,0)*24,0)</f>
        <v>0</v>
      </c>
    </row>
    <row r="4" spans="1:15" x14ac:dyDescent="0.35">
      <c r="A4" t="s">
        <v>2213</v>
      </c>
      <c r="B4">
        <v>1</v>
      </c>
      <c r="D4">
        <f>F4/24</f>
        <v>0</v>
      </c>
      <c r="F4">
        <f>IF(AND(OR(SSTglucose&lt;11,Gewicht/10&gt;50),B4&lt;&gt;1),TPNVol,0)</f>
        <v>0</v>
      </c>
      <c r="G4">
        <f t="shared" ref="G4:N4" si="0">INDEX(tblTPN,$B$4,G1)*$F$4</f>
        <v>0</v>
      </c>
      <c r="H4">
        <f t="shared" si="0"/>
        <v>0</v>
      </c>
      <c r="I4">
        <f t="shared" si="0"/>
        <v>0</v>
      </c>
      <c r="J4">
        <f t="shared" si="0"/>
        <v>0</v>
      </c>
      <c r="K4">
        <f t="shared" si="0"/>
        <v>0</v>
      </c>
      <c r="L4">
        <f t="shared" si="0"/>
        <v>0</v>
      </c>
      <c r="M4">
        <f t="shared" si="0"/>
        <v>0</v>
      </c>
      <c r="N4">
        <f t="shared" si="0"/>
        <v>0</v>
      </c>
    </row>
    <row r="5" spans="1:15" x14ac:dyDescent="0.35">
      <c r="A5" t="s">
        <v>3039</v>
      </c>
      <c r="F5">
        <f>IF(AND(Gewicht/10&gt;=16,TPN&gt;1,OR(SSTglucose&lt;11,Gewicht/10&gt;50)),E5,0)</f>
        <v>0</v>
      </c>
    </row>
    <row r="6" spans="1:15" x14ac:dyDescent="0.35">
      <c r="A6" t="s">
        <v>2868</v>
      </c>
      <c r="B6">
        <v>1</v>
      </c>
      <c r="F6">
        <f>IF(Gewicht/10&gt;50,F3-F7-F8-F9-F10,IF(OR(TPN=1,SSTglucose&gt;=11),F3-F7-F8-F9-F10,F3-F4-F5-F7-F8))</f>
        <v>0</v>
      </c>
      <c r="G6">
        <f>INDEX(J26:L39,B6,3)*F6</f>
        <v>0</v>
      </c>
      <c r="I6">
        <f>INDEX(J26:M39,B6,4)*F6</f>
        <v>0</v>
      </c>
      <c r="J6">
        <f>INDEX(J26:N39,B6,5)*F6</f>
        <v>0</v>
      </c>
      <c r="N6">
        <f>4*G6</f>
        <v>0</v>
      </c>
    </row>
    <row r="7" spans="1:15" x14ac:dyDescent="0.35">
      <c r="A7" t="s">
        <v>3351</v>
      </c>
      <c r="C7" t="b">
        <v>0</v>
      </c>
      <c r="D7">
        <f>IF(E7&lt;50,E7/10,E7-45)</f>
        <v>0</v>
      </c>
      <c r="F7">
        <f>ROUND(IF(C7,E7,0),0)</f>
        <v>0</v>
      </c>
      <c r="I7">
        <f>F7*0.5</f>
        <v>0</v>
      </c>
    </row>
    <row r="8" spans="1:15" x14ac:dyDescent="0.35">
      <c r="A8" t="s">
        <v>2204</v>
      </c>
      <c r="C8" t="b">
        <v>0</v>
      </c>
      <c r="D8">
        <f>IF(E8&lt;50,E8/10,E8-45)</f>
        <v>0</v>
      </c>
      <c r="F8">
        <f>ROUND(IF(C8,E8,0),0)</f>
        <v>0</v>
      </c>
      <c r="J8">
        <f>F8</f>
        <v>0</v>
      </c>
    </row>
    <row r="9" spans="1:15" x14ac:dyDescent="0.35">
      <c r="A9" t="s">
        <v>3352</v>
      </c>
      <c r="C9" t="b">
        <v>0</v>
      </c>
      <c r="D9">
        <f>CaGlucVol</f>
        <v>0</v>
      </c>
      <c r="F9">
        <f>ROUND(IF(C9,D9,0),0)</f>
        <v>0</v>
      </c>
      <c r="K9">
        <f>F9*0.225</f>
        <v>0</v>
      </c>
    </row>
    <row r="10" spans="1:15" x14ac:dyDescent="0.35">
      <c r="A10" t="s">
        <v>3095</v>
      </c>
      <c r="C10" t="b">
        <v>0</v>
      </c>
      <c r="D10">
        <f>MgClVol</f>
        <v>0</v>
      </c>
      <c r="F10">
        <f>ROUND(IF(C10,D10,0),0)</f>
        <v>0</v>
      </c>
      <c r="L10">
        <f>F10*0.5</f>
        <v>0</v>
      </c>
    </row>
    <row r="11" spans="1:15" x14ac:dyDescent="0.35">
      <c r="A11" t="s">
        <v>3093</v>
      </c>
      <c r="C11" t="b">
        <v>0</v>
      </c>
      <c r="D11">
        <f>IF(E11&lt;50,E11/10,E11-45)</f>
        <v>0</v>
      </c>
      <c r="F11">
        <f>IF(C11,D11,0)</f>
        <v>0</v>
      </c>
      <c r="I11">
        <f>0.5*F11</f>
        <v>0</v>
      </c>
      <c r="J11">
        <f>1.25*F11</f>
        <v>0</v>
      </c>
      <c r="M11">
        <f>F11*1.5</f>
        <v>0</v>
      </c>
    </row>
    <row r="12" spans="1:15" x14ac:dyDescent="0.35">
      <c r="A12" t="s">
        <v>2105</v>
      </c>
      <c r="D12">
        <v>0</v>
      </c>
      <c r="E12">
        <f>ROUND(IF(D12&lt;50,D12/10,D12-45),1)</f>
        <v>0</v>
      </c>
      <c r="F12">
        <f>E12*24</f>
        <v>0</v>
      </c>
    </row>
    <row r="13" spans="1:15" x14ac:dyDescent="0.35">
      <c r="A13" t="s">
        <v>2106</v>
      </c>
      <c r="F13">
        <f>F12-F14-F15</f>
        <v>0</v>
      </c>
      <c r="N13">
        <f>9*O13</f>
        <v>0</v>
      </c>
      <c r="O13">
        <f>0.2*F13</f>
        <v>0</v>
      </c>
    </row>
    <row r="14" spans="1:15" x14ac:dyDescent="0.35">
      <c r="A14" t="s">
        <v>2107</v>
      </c>
      <c r="C14" t="b">
        <v>0</v>
      </c>
      <c r="D14">
        <f>IF(E14&lt;50,E14/10,E14-45)</f>
        <v>0.1</v>
      </c>
      <c r="E14">
        <v>1</v>
      </c>
      <c r="F14">
        <f>IF(C14,D14,0)</f>
        <v>0</v>
      </c>
    </row>
    <row r="15" spans="1:15" x14ac:dyDescent="0.35">
      <c r="A15" t="s">
        <v>2108</v>
      </c>
      <c r="C15" t="b">
        <v>0</v>
      </c>
      <c r="D15">
        <f>IF(E15&lt;50,E15/10,E15-45)</f>
        <v>0.1</v>
      </c>
      <c r="E15">
        <v>1</v>
      </c>
      <c r="F15">
        <f>IF(AND(C15,Gewicht/10&gt;=7),D15,0)</f>
        <v>0</v>
      </c>
    </row>
    <row r="16" spans="1:15" x14ac:dyDescent="0.35">
      <c r="A16" t="s">
        <v>1784</v>
      </c>
      <c r="F16">
        <f>IF(AND(TPN=2,Gewicht/10&lt;=50,SSTglucose&lt;11),ROUND((F9*4+F10*4)/10,0)*10,IF(AND(TPN=2,Gewicht/10&gt;50),100,0))</f>
        <v>0</v>
      </c>
      <c r="G16">
        <f>F16*0.1</f>
        <v>0</v>
      </c>
    </row>
    <row r="17" spans="1:15" x14ac:dyDescent="0.35">
      <c r="A17" t="s">
        <v>1269</v>
      </c>
      <c r="F17">
        <f>(ROUND(ber_TPN!F11*1.5/(Gewicht/10)/24/0.01,1)*24-ber_TPN!F11)</f>
        <v>0</v>
      </c>
      <c r="G17">
        <f>F17*0.05</f>
        <v>0</v>
      </c>
      <c r="N17">
        <f>4*G17</f>
        <v>0</v>
      </c>
    </row>
    <row r="18" spans="1:15" x14ac:dyDescent="0.35">
      <c r="A18" t="s">
        <v>3371</v>
      </c>
      <c r="D18">
        <v>0</v>
      </c>
      <c r="E18">
        <f>IF(D18&lt;50,D18/10,D18-45)</f>
        <v>0</v>
      </c>
      <c r="F18">
        <f>E18*24</f>
        <v>0</v>
      </c>
    </row>
    <row r="19" spans="1:15" x14ac:dyDescent="0.35">
      <c r="A19" t="s">
        <v>2868</v>
      </c>
      <c r="B19">
        <v>1</v>
      </c>
      <c r="F19">
        <f>IF(F18-F20-F21&lt;0,0,F18-F20-F21)</f>
        <v>0</v>
      </c>
      <c r="G19">
        <f>INDEX(J26:L39,B19,3)*F19</f>
        <v>0</v>
      </c>
      <c r="I19">
        <f>INDEX(J26:M39,B19,4)*F19</f>
        <v>0</v>
      </c>
      <c r="J19">
        <f>INDEX(J26:N39,B6,5)*F19</f>
        <v>0</v>
      </c>
      <c r="N19">
        <f>4*G19</f>
        <v>0</v>
      </c>
    </row>
    <row r="20" spans="1:15" x14ac:dyDescent="0.35">
      <c r="A20" t="s">
        <v>3351</v>
      </c>
      <c r="D20">
        <f>IF(E20&lt;50,E20/10,E20-45)</f>
        <v>0</v>
      </c>
      <c r="F20">
        <f>IF(AND(D20+D21&lt;F18,C20),D20,0)</f>
        <v>0</v>
      </c>
      <c r="I20">
        <f>F20*0.5</f>
        <v>0</v>
      </c>
    </row>
    <row r="21" spans="1:15" x14ac:dyDescent="0.35">
      <c r="A21" t="s">
        <v>2204</v>
      </c>
      <c r="D21">
        <f>IF(E21&lt;50,E21/10,E21-45)</f>
        <v>0</v>
      </c>
      <c r="F21">
        <f>IF(AND(C21,D20+D21&lt;F18),D21,0)</f>
        <v>0</v>
      </c>
      <c r="J21">
        <f>F21</f>
        <v>0</v>
      </c>
    </row>
    <row r="23" spans="1:15" x14ac:dyDescent="0.35">
      <c r="A23" t="s">
        <v>1272</v>
      </c>
      <c r="F23">
        <f>IF(Gewicht/10&gt;50,SUM(F3+F4+F12+F17+F16+F18),IF(TPN=1,SUM(F3+F12+F16+F17+F18),SUM(F3+F9+F10+F12+F16+F17+F18)))</f>
        <v>0</v>
      </c>
      <c r="G23">
        <f t="shared" ref="G23:N23" si="1">SUM(G3:G21)</f>
        <v>0</v>
      </c>
      <c r="H23">
        <f t="shared" si="1"/>
        <v>0</v>
      </c>
      <c r="I23">
        <f t="shared" si="1"/>
        <v>0</v>
      </c>
      <c r="J23">
        <f t="shared" si="1"/>
        <v>0</v>
      </c>
      <c r="K23">
        <f t="shared" si="1"/>
        <v>0</v>
      </c>
      <c r="L23">
        <f t="shared" si="1"/>
        <v>0</v>
      </c>
      <c r="M23">
        <f t="shared" si="1"/>
        <v>0</v>
      </c>
      <c r="N23">
        <f t="shared" si="1"/>
        <v>0</v>
      </c>
      <c r="O23">
        <f>SUM(O4:O21)</f>
        <v>0</v>
      </c>
    </row>
    <row r="25" spans="1:15" x14ac:dyDescent="0.35">
      <c r="A25" s="107"/>
      <c r="B25" s="107" t="s">
        <v>2205</v>
      </c>
      <c r="C25" s="107" t="s">
        <v>2206</v>
      </c>
      <c r="D25" s="107" t="s">
        <v>2207</v>
      </c>
      <c r="E25" s="107" t="s">
        <v>2208</v>
      </c>
      <c r="F25" s="107" t="s">
        <v>2209</v>
      </c>
      <c r="G25" s="107" t="s">
        <v>2210</v>
      </c>
      <c r="H25" s="107" t="s">
        <v>2211</v>
      </c>
      <c r="I25" s="107" t="s">
        <v>2212</v>
      </c>
      <c r="L25" t="s">
        <v>1266</v>
      </c>
      <c r="M25" t="s">
        <v>1267</v>
      </c>
      <c r="N25" t="s">
        <v>986</v>
      </c>
    </row>
    <row r="26" spans="1:15" x14ac:dyDescent="0.35">
      <c r="J26">
        <v>1</v>
      </c>
      <c r="K26" t="s">
        <v>2965</v>
      </c>
      <c r="L26">
        <v>0.05</v>
      </c>
      <c r="M26">
        <v>0</v>
      </c>
    </row>
    <row r="27" spans="1:15" x14ac:dyDescent="0.35">
      <c r="A27" s="107" t="s">
        <v>3350</v>
      </c>
      <c r="B27" s="107">
        <v>0.08</v>
      </c>
      <c r="C27" s="107">
        <v>0</v>
      </c>
      <c r="D27" s="107">
        <v>8.0000000000000002E-3</v>
      </c>
      <c r="E27" s="107">
        <v>0.02</v>
      </c>
      <c r="F27" s="107">
        <v>2.8000000000000001E-2</v>
      </c>
      <c r="G27" s="107">
        <v>8.0000000000000002E-3</v>
      </c>
      <c r="H27" s="107">
        <v>2.4E-2</v>
      </c>
      <c r="I27" s="107">
        <v>0.32</v>
      </c>
      <c r="J27">
        <v>2</v>
      </c>
      <c r="K27" t="s">
        <v>2966</v>
      </c>
      <c r="L27">
        <v>0.1</v>
      </c>
      <c r="M27">
        <v>0</v>
      </c>
    </row>
    <row r="28" spans="1:15" x14ac:dyDescent="0.35">
      <c r="A28" s="107" t="s">
        <v>3349</v>
      </c>
      <c r="B28" s="107">
        <v>7.3999999999999996E-2</v>
      </c>
      <c r="C28" s="107">
        <v>0</v>
      </c>
      <c r="D28" s="107">
        <f>(0.5*0.5)/35</f>
        <v>7.1428571428571426E-3</v>
      </c>
      <c r="E28" s="107">
        <f>1.7/100</f>
        <v>1.7000000000000001E-2</v>
      </c>
      <c r="F28" s="107">
        <v>2.5000000000000001E-2</v>
      </c>
      <c r="G28" s="107">
        <f>0.6/100</f>
        <v>6.0000000000000001E-3</v>
      </c>
      <c r="H28" s="107">
        <v>2.1000000000000001E-2</v>
      </c>
      <c r="I28" s="107">
        <v>0.28999999999999998</v>
      </c>
      <c r="J28">
        <v>3</v>
      </c>
      <c r="K28" t="s">
        <v>985</v>
      </c>
      <c r="L28">
        <v>0.125</v>
      </c>
    </row>
    <row r="29" spans="1:15" x14ac:dyDescent="0.35">
      <c r="A29" s="107" t="s">
        <v>3350</v>
      </c>
      <c r="B29" s="107">
        <v>0.08</v>
      </c>
      <c r="C29" s="107">
        <v>0</v>
      </c>
      <c r="D29" s="107">
        <f>0.4*0.5/25</f>
        <v>8.0000000000000002E-3</v>
      </c>
      <c r="E29" s="107">
        <f>0.5/25</f>
        <v>0.02</v>
      </c>
      <c r="F29" s="107">
        <v>2.8000000000000001E-2</v>
      </c>
      <c r="G29" s="107">
        <v>8.0000000000000002E-3</v>
      </c>
      <c r="H29" s="107">
        <v>2.4E-2</v>
      </c>
      <c r="I29" s="107">
        <v>0.32</v>
      </c>
      <c r="J29">
        <v>4</v>
      </c>
      <c r="K29" t="s">
        <v>1036</v>
      </c>
      <c r="L29">
        <v>0.15</v>
      </c>
      <c r="M29">
        <v>0</v>
      </c>
    </row>
    <row r="30" spans="1:15" x14ac:dyDescent="0.35">
      <c r="A30" s="107" t="s">
        <v>571</v>
      </c>
      <c r="B30" s="107">
        <v>8.7999999999999995E-2</v>
      </c>
      <c r="C30" s="107">
        <v>0</v>
      </c>
      <c r="D30" s="107">
        <f>0.5*0.4/20</f>
        <v>0.01</v>
      </c>
      <c r="E30" s="107">
        <v>2.5000000000000001E-2</v>
      </c>
      <c r="F30" s="107">
        <v>1.7999999999999999E-2</v>
      </c>
      <c r="G30" s="107">
        <v>0.01</v>
      </c>
      <c r="H30" s="107">
        <v>0.03</v>
      </c>
      <c r="I30" s="107">
        <v>0.35</v>
      </c>
      <c r="J30">
        <v>5</v>
      </c>
      <c r="K30" t="s">
        <v>984</v>
      </c>
      <c r="L30">
        <v>0.17499999999999999</v>
      </c>
    </row>
    <row r="31" spans="1:15" x14ac:dyDescent="0.35">
      <c r="A31" s="107" t="s">
        <v>572</v>
      </c>
      <c r="B31" s="107">
        <v>8.3000000000000004E-2</v>
      </c>
      <c r="C31" s="107">
        <v>0</v>
      </c>
      <c r="D31" s="107">
        <f>0.3*0.5/12</f>
        <v>1.2499999999999999E-2</v>
      </c>
      <c r="E31" s="107">
        <v>3.1E-2</v>
      </c>
      <c r="F31" s="107">
        <v>2.5999999999999999E-2</v>
      </c>
      <c r="G31" s="107">
        <v>1.2500000000000001E-2</v>
      </c>
      <c r="H31" s="107">
        <v>3.7999999999999999E-2</v>
      </c>
      <c r="I31" s="107">
        <v>0.33</v>
      </c>
      <c r="J31">
        <v>6</v>
      </c>
      <c r="K31" t="s">
        <v>1034</v>
      </c>
      <c r="L31">
        <v>0.2</v>
      </c>
      <c r="M31">
        <v>0</v>
      </c>
    </row>
    <row r="32" spans="1:15" x14ac:dyDescent="0.35">
      <c r="A32" s="107" t="s">
        <v>917</v>
      </c>
      <c r="B32" s="107">
        <v>7.0000000000000007E-2</v>
      </c>
      <c r="C32" s="107">
        <v>0.24</v>
      </c>
      <c r="D32" s="107">
        <v>4.0500000000000001E-2</v>
      </c>
      <c r="E32" s="107">
        <v>2.5700000000000001E-2</v>
      </c>
      <c r="F32" s="107">
        <v>4.1000000000000003E-3</v>
      </c>
      <c r="G32" s="107">
        <v>5.0000000000000001E-3</v>
      </c>
      <c r="H32" s="107">
        <v>1.47E-2</v>
      </c>
      <c r="I32" s="107">
        <v>0.96</v>
      </c>
      <c r="J32">
        <v>7</v>
      </c>
      <c r="K32" t="s">
        <v>2194</v>
      </c>
      <c r="L32">
        <v>0.25</v>
      </c>
      <c r="M32">
        <v>0</v>
      </c>
    </row>
    <row r="33" spans="1:15" x14ac:dyDescent="0.35">
      <c r="J33">
        <v>8</v>
      </c>
      <c r="K33" t="s">
        <v>2193</v>
      </c>
      <c r="L33">
        <v>0.3</v>
      </c>
      <c r="M33">
        <v>0</v>
      </c>
    </row>
    <row r="34" spans="1:15" x14ac:dyDescent="0.35">
      <c r="J34">
        <v>9</v>
      </c>
      <c r="K34" t="s">
        <v>2659</v>
      </c>
      <c r="L34">
        <v>0.4</v>
      </c>
      <c r="M34">
        <v>0</v>
      </c>
      <c r="N34">
        <v>0</v>
      </c>
    </row>
    <row r="35" spans="1:15" x14ac:dyDescent="0.35">
      <c r="A35" s="107" t="s">
        <v>3349</v>
      </c>
      <c r="J35">
        <v>10</v>
      </c>
      <c r="K35" t="s">
        <v>1035</v>
      </c>
      <c r="L35">
        <v>0.5</v>
      </c>
      <c r="M35">
        <v>0</v>
      </c>
    </row>
    <row r="36" spans="1:15" x14ac:dyDescent="0.35">
      <c r="A36" s="107" t="s">
        <v>3350</v>
      </c>
      <c r="J36">
        <v>11</v>
      </c>
      <c r="K36" t="s">
        <v>5094</v>
      </c>
      <c r="L36">
        <v>0.05</v>
      </c>
      <c r="M36">
        <v>7.6999999999999999E-2</v>
      </c>
      <c r="O36">
        <v>0</v>
      </c>
    </row>
    <row r="37" spans="1:15" x14ac:dyDescent="0.35">
      <c r="A37" s="107" t="s">
        <v>571</v>
      </c>
      <c r="J37">
        <v>12</v>
      </c>
      <c r="K37" t="s">
        <v>5095</v>
      </c>
      <c r="L37">
        <v>0.05</v>
      </c>
      <c r="M37">
        <v>0.155</v>
      </c>
      <c r="O37">
        <v>0</v>
      </c>
    </row>
    <row r="38" spans="1:15" x14ac:dyDescent="0.35">
      <c r="A38" s="107" t="s">
        <v>572</v>
      </c>
      <c r="J38">
        <v>13</v>
      </c>
      <c r="K38" t="s">
        <v>3020</v>
      </c>
      <c r="L38">
        <v>0</v>
      </c>
      <c r="M38">
        <v>0.155</v>
      </c>
      <c r="O38">
        <v>0</v>
      </c>
    </row>
    <row r="39" spans="1:15" x14ac:dyDescent="0.35">
      <c r="A39" s="107" t="s">
        <v>917</v>
      </c>
      <c r="J39">
        <v>14</v>
      </c>
      <c r="K39" s="11" t="s">
        <v>5096</v>
      </c>
      <c r="L39">
        <v>0</v>
      </c>
      <c r="M39">
        <v>0.13100000000000001</v>
      </c>
      <c r="N39">
        <v>5.4000000000000003E-3</v>
      </c>
      <c r="O39">
        <v>0</v>
      </c>
    </row>
  </sheetData>
  <phoneticPr fontId="26" type="noConversion"/>
  <printOptions gridLines="1"/>
  <pageMargins left="0.18" right="0" top="0" bottom="0" header="0" footer="0"/>
  <pageSetup paperSize="9" orientation="landscape"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_Lab"/>
  <dimension ref="B4:P31"/>
  <sheetViews>
    <sheetView workbookViewId="0">
      <selection activeCell="I5" sqref="I5"/>
    </sheetView>
  </sheetViews>
  <sheetFormatPr defaultRowHeight="12.85" x14ac:dyDescent="0.35"/>
  <sheetData>
    <row r="4" spans="2:16" x14ac:dyDescent="0.35">
      <c r="B4" t="s">
        <v>3783</v>
      </c>
      <c r="D4" t="s">
        <v>1554</v>
      </c>
      <c r="F4" t="s">
        <v>1555</v>
      </c>
      <c r="H4" t="s">
        <v>1556</v>
      </c>
      <c r="J4" t="s">
        <v>1557</v>
      </c>
      <c r="L4" t="s">
        <v>119</v>
      </c>
      <c r="N4" t="s">
        <v>120</v>
      </c>
      <c r="P4" t="s">
        <v>121</v>
      </c>
    </row>
    <row r="5" spans="2:16" x14ac:dyDescent="0.35">
      <c r="B5" t="str">
        <f>IF(C5,"A","")</f>
        <v/>
      </c>
      <c r="D5" t="str">
        <f>IF(E5,"A","")</f>
        <v/>
      </c>
      <c r="F5" t="str">
        <f>IF(G5,"A","")</f>
        <v/>
      </c>
      <c r="H5" t="str">
        <f>IF(I5,"A","")</f>
        <v/>
      </c>
      <c r="J5" t="str">
        <f>IF(K5,"A","")</f>
        <v/>
      </c>
      <c r="L5" t="str">
        <f>IF(M5,"A","")</f>
        <v/>
      </c>
      <c r="N5" t="str">
        <f>IF(O5,"A","")</f>
        <v/>
      </c>
      <c r="P5" t="str">
        <f>IF(Q5,"A","")</f>
        <v/>
      </c>
    </row>
    <row r="6" spans="2:16" x14ac:dyDescent="0.35">
      <c r="B6" t="str">
        <f>IF(C6,"Na K","")</f>
        <v/>
      </c>
      <c r="D6" t="str">
        <f>IF(E6,"Na K","")</f>
        <v/>
      </c>
      <c r="F6" t="str">
        <f>IF(G6,"Na K","")</f>
        <v/>
      </c>
      <c r="H6" t="str">
        <f>IF(I6,"Na K","")</f>
        <v/>
      </c>
      <c r="J6" t="str">
        <f>IF(K6,"Na K","")</f>
        <v/>
      </c>
      <c r="L6" t="str">
        <f>IF(M6,"Na K","")</f>
        <v/>
      </c>
      <c r="N6" t="str">
        <f>IF(O6,"Na K","")</f>
        <v/>
      </c>
      <c r="P6" t="str">
        <f>IF(Q6,"Na K","")</f>
        <v/>
      </c>
    </row>
    <row r="7" spans="2:16" x14ac:dyDescent="0.35">
      <c r="B7" t="str">
        <f>IF(C7,"Cl","")</f>
        <v/>
      </c>
      <c r="D7" t="str">
        <f>IF(E7,"Cl","")</f>
        <v/>
      </c>
      <c r="F7" t="str">
        <f>IF(G7,"Cl","")</f>
        <v/>
      </c>
      <c r="H7" t="str">
        <f>IF(I7,"Cl","")</f>
        <v/>
      </c>
      <c r="J7" t="str">
        <f>IF(K7,"Cl","")</f>
        <v/>
      </c>
      <c r="L7" t="str">
        <f>IF(M7,"Cl","")</f>
        <v/>
      </c>
      <c r="N7" t="str">
        <f>IF(O7,"Cl","")</f>
        <v/>
      </c>
      <c r="P7" t="str">
        <f>IF(Q7,"Cl","")</f>
        <v/>
      </c>
    </row>
    <row r="8" spans="2:16" x14ac:dyDescent="0.35">
      <c r="B8" t="str">
        <f>IF(C8,"Gluc","")</f>
        <v/>
      </c>
      <c r="D8" t="str">
        <f>IF(E8,"Gluc","")</f>
        <v/>
      </c>
      <c r="F8" t="str">
        <f>IF(G8,"Gluc","")</f>
        <v/>
      </c>
      <c r="H8" t="str">
        <f>IF(I8,"Gluc","")</f>
        <v/>
      </c>
      <c r="J8" t="str">
        <f>IF(K8,"Gluc","")</f>
        <v/>
      </c>
      <c r="L8" t="str">
        <f>IF(M8,"Gluc","")</f>
        <v/>
      </c>
      <c r="N8" t="str">
        <f>IF(O8,"Gluc","")</f>
        <v/>
      </c>
      <c r="P8" t="str">
        <f>IF(Q8,"Gluc","")</f>
        <v/>
      </c>
    </row>
    <row r="9" spans="2:16" x14ac:dyDescent="0.35">
      <c r="B9" t="str">
        <f>IF(C9,"Hb Ht","")</f>
        <v/>
      </c>
      <c r="D9" t="str">
        <f>IF(E9,"Hb Ht","")</f>
        <v/>
      </c>
      <c r="F9" t="str">
        <f>IF(G9,"Hb Ht","")</f>
        <v/>
      </c>
      <c r="H9" t="str">
        <f>IF(I9,"Hb Ht","")</f>
        <v/>
      </c>
      <c r="J9" t="str">
        <f>IF(K9,"Hb Ht","")</f>
        <v/>
      </c>
      <c r="L9" t="str">
        <f>IF(M9,"Hb Ht","")</f>
        <v/>
      </c>
      <c r="N9" t="str">
        <f>IF(O9,"Hb Ht","")</f>
        <v/>
      </c>
      <c r="P9" t="str">
        <f>IF(Q9,"Hb Ht","")</f>
        <v/>
      </c>
    </row>
    <row r="10" spans="2:16" x14ac:dyDescent="0.35">
      <c r="B10" t="str">
        <f>IF(C10,"L","")</f>
        <v/>
      </c>
      <c r="D10" t="str">
        <f>IF(E10,"L","")</f>
        <v/>
      </c>
      <c r="F10" t="str">
        <f>IF(G10,"L","")</f>
        <v/>
      </c>
      <c r="H10" t="str">
        <f>IF(I10,"L","")</f>
        <v/>
      </c>
      <c r="J10" t="str">
        <f>IF(K10,"L","")</f>
        <v/>
      </c>
      <c r="L10" t="str">
        <f>IF(M10,"L","")</f>
        <v/>
      </c>
      <c r="N10" t="str">
        <f>IF(O10,"L","")</f>
        <v/>
      </c>
      <c r="P10" t="str">
        <f>IF(Q10,"L","")</f>
        <v/>
      </c>
    </row>
    <row r="11" spans="2:16" x14ac:dyDescent="0.35">
      <c r="B11" t="str">
        <f>IF(C11,"T","")</f>
        <v/>
      </c>
      <c r="D11" t="str">
        <f>IF(E11,"T","")</f>
        <v/>
      </c>
      <c r="F11" t="str">
        <f>IF(G11,"T","")</f>
        <v/>
      </c>
      <c r="H11" t="str">
        <f>IF(I11,"T","")</f>
        <v/>
      </c>
      <c r="J11" t="str">
        <f>IF(K11,"T","")</f>
        <v/>
      </c>
      <c r="L11" t="str">
        <f>IF(M11,"T","")</f>
        <v/>
      </c>
      <c r="N11" t="str">
        <f>IF(O11,"T","")</f>
        <v/>
      </c>
      <c r="P11" t="str">
        <f>IF(Q11,"T","")</f>
        <v/>
      </c>
    </row>
    <row r="12" spans="2:16" x14ac:dyDescent="0.35">
      <c r="B12" t="str">
        <f>IF(C12,"CRP","")</f>
        <v/>
      </c>
      <c r="D12" t="str">
        <f>IF(E12,"CRP","")</f>
        <v/>
      </c>
      <c r="F12" t="str">
        <f>IF(G12,"CRP","")</f>
        <v/>
      </c>
      <c r="H12" t="str">
        <f>IF(I12,"CRP","")</f>
        <v/>
      </c>
      <c r="J12" t="str">
        <f>IF(K12,"CRP","")</f>
        <v/>
      </c>
      <c r="L12" t="str">
        <f>IF(M12,"CRP","")</f>
        <v/>
      </c>
      <c r="N12" t="str">
        <f>IF(O12,"CRP","")</f>
        <v/>
      </c>
      <c r="P12" t="str">
        <f>IF(Q12,"CRP","")</f>
        <v/>
      </c>
    </row>
    <row r="13" spans="2:16" x14ac:dyDescent="0.35">
      <c r="B13" t="str">
        <f>IF(C13,"Lac","")</f>
        <v/>
      </c>
      <c r="D13" t="str">
        <f>IF(E13,"Lac","")</f>
        <v/>
      </c>
      <c r="F13" t="str">
        <f>IF(G13,"Lac","")</f>
        <v/>
      </c>
      <c r="H13" t="str">
        <f>IF(I13,"Lac","")</f>
        <v/>
      </c>
      <c r="J13" t="str">
        <f>IF(K13,"Lac","")</f>
        <v/>
      </c>
      <c r="L13" t="str">
        <f>IF(M13,"Lac","")</f>
        <v/>
      </c>
      <c r="N13" t="str">
        <f>IF(O13,"Lac","")</f>
        <v/>
      </c>
      <c r="P13" t="str">
        <f>IF(Q13,"Lac","")</f>
        <v/>
      </c>
    </row>
    <row r="14" spans="2:16" x14ac:dyDescent="0.35">
      <c r="B14" t="str">
        <f>IF(C14,"Ur","")</f>
        <v/>
      </c>
      <c r="D14" t="str">
        <f>IF(E14,"Ur","")</f>
        <v/>
      </c>
      <c r="F14" t="str">
        <f>IF(G14,"Ur","")</f>
        <v/>
      </c>
      <c r="H14" t="str">
        <f>IF(I14,"Ur","")</f>
        <v/>
      </c>
      <c r="J14" t="str">
        <f>IF(K14,"Ur","")</f>
        <v/>
      </c>
      <c r="L14" t="str">
        <f>IF(M14,"Ur","")</f>
        <v/>
      </c>
      <c r="N14" t="str">
        <f>IF(O14,"Ur","")</f>
        <v/>
      </c>
      <c r="P14" t="str">
        <f>IF(Q14,"Ur","")</f>
        <v/>
      </c>
    </row>
    <row r="15" spans="2:16" x14ac:dyDescent="0.35">
      <c r="B15" t="str">
        <f>IF(C15,"Kr","")</f>
        <v/>
      </c>
      <c r="D15" t="str">
        <f>IF(E15,"Kr","")</f>
        <v/>
      </c>
      <c r="F15" t="str">
        <f>IF(G15,"Kr","")</f>
        <v/>
      </c>
      <c r="H15" t="str">
        <f>IF(I15,"Kr","")</f>
        <v/>
      </c>
      <c r="J15" t="str">
        <f>IF(K15,"Kr","")</f>
        <v/>
      </c>
      <c r="L15" t="str">
        <f>IF(M15,"Kr","")</f>
        <v/>
      </c>
      <c r="N15" t="str">
        <f>IF(O15,"Kr","")</f>
        <v/>
      </c>
      <c r="P15" t="str">
        <f>IF(Q15,"Kr","")</f>
        <v/>
      </c>
    </row>
    <row r="16" spans="2:16" x14ac:dyDescent="0.35">
      <c r="B16" t="str">
        <f>IF(C16,"Ca++","")</f>
        <v/>
      </c>
      <c r="D16" t="str">
        <f>IF(E16,"Ca++","")</f>
        <v/>
      </c>
      <c r="F16" t="str">
        <f>IF(G16,"Ca++","")</f>
        <v/>
      </c>
      <c r="H16" t="str">
        <f>IF(I16,"Ca++","")</f>
        <v/>
      </c>
      <c r="J16" t="str">
        <f>IF(K16,"Ca++","")</f>
        <v/>
      </c>
      <c r="L16" t="str">
        <f>IF(M16,"Ca++","")</f>
        <v/>
      </c>
      <c r="N16" t="str">
        <f>IF(O16,"Ca++","")</f>
        <v/>
      </c>
      <c r="P16" t="str">
        <f>IF(Q16,"Ca++","")</f>
        <v/>
      </c>
    </row>
    <row r="17" spans="2:16" x14ac:dyDescent="0.35">
      <c r="B17" t="str">
        <f>IF(C17,"Mg++","")</f>
        <v/>
      </c>
      <c r="D17" t="str">
        <f>IF(E17,"Mg++","")</f>
        <v/>
      </c>
      <c r="F17" t="str">
        <f>IF(G17,"Mg++","")</f>
        <v/>
      </c>
      <c r="H17" t="str">
        <f>IF(I17,"Mg++","")</f>
        <v/>
      </c>
      <c r="J17" t="str">
        <f>IF(K17,"Mg++","")</f>
        <v/>
      </c>
      <c r="L17" t="str">
        <f>IF(M17,"Mg++","")</f>
        <v/>
      </c>
      <c r="N17" t="str">
        <f>IF(O17,"Mg++","")</f>
        <v/>
      </c>
      <c r="P17" t="str">
        <f>IF(Q17,"Mg++","")</f>
        <v/>
      </c>
    </row>
    <row r="18" spans="2:16" x14ac:dyDescent="0.35">
      <c r="B18" t="str">
        <f>IF(C18,"Alb","")</f>
        <v/>
      </c>
      <c r="D18" t="str">
        <f>IF(E18,"Alb","")</f>
        <v/>
      </c>
      <c r="F18" t="str">
        <f>IF(G18,"Alb","")</f>
        <v/>
      </c>
      <c r="H18" t="str">
        <f>IF(I18,"Alb","")</f>
        <v/>
      </c>
      <c r="J18" t="str">
        <f>IF(K18,"Alb","")</f>
        <v/>
      </c>
      <c r="L18" t="str">
        <f>IF(M18,"Alb","")</f>
        <v/>
      </c>
      <c r="N18" t="str">
        <f>IF(O18,"Alb","")</f>
        <v/>
      </c>
      <c r="P18" t="str">
        <f>IF(Q18,"Alb","")</f>
        <v/>
      </c>
    </row>
    <row r="19" spans="2:16" x14ac:dyDescent="0.35">
      <c r="B19" t="str">
        <f>IF(C19,"Ca","")</f>
        <v/>
      </c>
      <c r="D19" t="str">
        <f>IF(E19,"Ca","")</f>
        <v/>
      </c>
      <c r="F19" t="str">
        <f>IF(G19,"Ca","")</f>
        <v/>
      </c>
      <c r="H19" t="str">
        <f>IF(I19,"Ca","")</f>
        <v/>
      </c>
      <c r="J19" t="str">
        <f>IF(K19,"Ca","")</f>
        <v/>
      </c>
      <c r="L19" t="str">
        <f>IF(M19,"Ca","")</f>
        <v/>
      </c>
      <c r="N19" t="str">
        <f>IF(O19,"Ca","")</f>
        <v/>
      </c>
      <c r="P19" t="str">
        <f>IF(Q19,"Ca","")</f>
        <v/>
      </c>
    </row>
    <row r="20" spans="2:16" x14ac:dyDescent="0.35">
      <c r="B20" t="str">
        <f>IF(C20,"ASAT","")</f>
        <v/>
      </c>
      <c r="D20" t="str">
        <f>IF(E20,"ASAT","")</f>
        <v/>
      </c>
      <c r="F20" t="str">
        <f>IF(G20,"ASAT","")</f>
        <v/>
      </c>
      <c r="H20" t="str">
        <f>IF(I20,"ASAT","")</f>
        <v/>
      </c>
      <c r="J20" t="str">
        <f>IF(K20,"ASAT","")</f>
        <v/>
      </c>
      <c r="L20" t="str">
        <f>IF(M20,"ASAT","")</f>
        <v/>
      </c>
      <c r="N20" t="str">
        <f>IF(O20,"ASAT","")</f>
        <v/>
      </c>
      <c r="P20" t="str">
        <f>IF(Q20,"ASAT","")</f>
        <v/>
      </c>
    </row>
    <row r="21" spans="2:16" x14ac:dyDescent="0.35">
      <c r="B21" t="str">
        <f>IF(C21,"ALAT","")</f>
        <v/>
      </c>
      <c r="D21" t="str">
        <f>IF(E21,"ALAT","")</f>
        <v/>
      </c>
      <c r="F21" t="str">
        <f>IF(G21,"ALAT","")</f>
        <v/>
      </c>
      <c r="H21" t="str">
        <f>IF(I21,"ALAT","")</f>
        <v/>
      </c>
      <c r="J21" t="str">
        <f>IF(K21,"ALAT","")</f>
        <v/>
      </c>
      <c r="L21" t="str">
        <f>IF(M21,"ALAT","")</f>
        <v/>
      </c>
      <c r="N21" t="str">
        <f>IF(O21,"ALAT","")</f>
        <v/>
      </c>
      <c r="P21" t="str">
        <f>IF(Q21,"ALAT","")</f>
        <v/>
      </c>
    </row>
    <row r="22" spans="2:16" x14ac:dyDescent="0.35">
      <c r="B22" t="str">
        <f>IF(C22,"GGT","")</f>
        <v/>
      </c>
      <c r="D22" t="str">
        <f>IF(E22,"GGT","")</f>
        <v/>
      </c>
      <c r="F22" t="str">
        <f>IF(G22,"GGT","")</f>
        <v/>
      </c>
      <c r="H22" t="str">
        <f>IF(I22,"GGT","")</f>
        <v/>
      </c>
      <c r="J22" t="str">
        <f>IF(K22,"GGT","")</f>
        <v/>
      </c>
      <c r="L22" t="str">
        <f>IF(M22,"GGT","")</f>
        <v/>
      </c>
      <c r="N22" t="str">
        <f>IF(O22,"GGT","")</f>
        <v/>
      </c>
      <c r="P22" t="str">
        <f>IF(Q22,"GGT","")</f>
        <v/>
      </c>
    </row>
    <row r="23" spans="2:16" x14ac:dyDescent="0.35">
      <c r="B23" t="str">
        <f>IF(C23,"AF","")</f>
        <v/>
      </c>
      <c r="D23" t="str">
        <f>IF(E23,"AF","")</f>
        <v/>
      </c>
      <c r="F23" t="str">
        <f>IF(G23,"AF","")</f>
        <v/>
      </c>
      <c r="H23" t="str">
        <f>IF(I23,"AF","")</f>
        <v/>
      </c>
      <c r="J23" t="str">
        <f>IF(K23,"AF","")</f>
        <v/>
      </c>
      <c r="L23" t="str">
        <f>IF(M23,"AF","")</f>
        <v/>
      </c>
      <c r="N23" t="str">
        <f>IF(O23,"AF","")</f>
        <v/>
      </c>
      <c r="P23" t="str">
        <f>IF(Q23,"AF","")</f>
        <v/>
      </c>
    </row>
    <row r="24" spans="2:16" x14ac:dyDescent="0.35">
      <c r="B24" t="str">
        <f>IF(C24,"LDH","")</f>
        <v/>
      </c>
      <c r="D24" t="str">
        <f>IF(E24,"LDH","")</f>
        <v/>
      </c>
      <c r="F24" t="str">
        <f>IF(G24,"LDH","")</f>
        <v/>
      </c>
      <c r="H24" t="str">
        <f>IF(I24,"LDH","")</f>
        <v/>
      </c>
      <c r="J24" t="str">
        <f>IF(K24,"LDH","")</f>
        <v/>
      </c>
      <c r="L24" t="str">
        <f>IF(M24,"LDH","")</f>
        <v/>
      </c>
      <c r="N24" t="str">
        <f>IF(O24,"LDH","")</f>
        <v/>
      </c>
      <c r="P24" t="str">
        <f>IF(Q24,"LDH","")</f>
        <v/>
      </c>
    </row>
    <row r="25" spans="2:16" x14ac:dyDescent="0.35">
      <c r="B25" t="str">
        <f>IF(C25,"Bili","")</f>
        <v/>
      </c>
      <c r="D25" t="str">
        <f>IF(E25,"Bili","")</f>
        <v/>
      </c>
      <c r="F25" t="str">
        <f>IF(G25,"Bili","")</f>
        <v/>
      </c>
      <c r="H25" t="str">
        <f>IF(I25,"Bili","")</f>
        <v/>
      </c>
      <c r="J25" t="str">
        <f>IF(K25,"Bili","")</f>
        <v/>
      </c>
      <c r="L25" t="str">
        <f>IF(M25,"Bili","")</f>
        <v/>
      </c>
      <c r="N25" t="str">
        <f>IF(O25,"Bili","")</f>
        <v/>
      </c>
      <c r="P25" t="str">
        <f>IF(Q25,"Bili","")</f>
        <v/>
      </c>
    </row>
    <row r="26" spans="2:16" x14ac:dyDescent="0.35">
      <c r="B26" t="str">
        <f>IF(C26,"PT","")</f>
        <v/>
      </c>
      <c r="D26" t="str">
        <f>IF(E26,"PT","")</f>
        <v/>
      </c>
      <c r="F26" t="str">
        <f>IF(G26,"PT","")</f>
        <v/>
      </c>
      <c r="H26" t="str">
        <f>IF(I26,"PT","")</f>
        <v/>
      </c>
      <c r="J26" t="str">
        <f>IF(K26,"PT","")</f>
        <v/>
      </c>
      <c r="L26" t="str">
        <f>IF(M26,"PT","")</f>
        <v/>
      </c>
      <c r="N26" t="str">
        <f>IF(O26,"PT","")</f>
        <v/>
      </c>
      <c r="P26" t="str">
        <f>IF(Q26,"PT","")</f>
        <v/>
      </c>
    </row>
    <row r="27" spans="2:16" x14ac:dyDescent="0.35">
      <c r="B27" t="str">
        <f>IF(C27,"APTT","")</f>
        <v/>
      </c>
      <c r="D27" t="str">
        <f>IF(E27,"APTT","")</f>
        <v/>
      </c>
      <c r="F27" t="str">
        <f>IF(G27,"APTT","")</f>
        <v/>
      </c>
      <c r="H27" t="str">
        <f>IF(I27,"APTT","")</f>
        <v/>
      </c>
      <c r="J27" t="str">
        <f>IF(K27,"APTT","")</f>
        <v/>
      </c>
      <c r="L27" t="str">
        <f>IF(M27,"APTT","")</f>
        <v/>
      </c>
      <c r="N27" t="str">
        <f>IF(O27,"APTT","")</f>
        <v/>
      </c>
      <c r="P27" t="str">
        <f>IF(Q27,"APTT","")</f>
        <v/>
      </c>
    </row>
    <row r="28" spans="2:16" x14ac:dyDescent="0.35">
      <c r="B28" t="str">
        <f>IF(C28,"BG","")</f>
        <v/>
      </c>
      <c r="D28" t="str">
        <f>IF(E28,"BG","")</f>
        <v/>
      </c>
      <c r="F28" t="str">
        <f>IF(G28,"BG","")</f>
        <v/>
      </c>
      <c r="H28" t="str">
        <f>IF(I28,"BG","")</f>
        <v/>
      </c>
      <c r="J28" t="str">
        <f>IF(K28,"BG","")</f>
        <v/>
      </c>
      <c r="L28" t="str">
        <f>IF(M28,"BG","")</f>
        <v/>
      </c>
      <c r="N28" t="str">
        <f>IF(O28,"BG","")</f>
        <v/>
      </c>
      <c r="P28" t="str">
        <f>IF(Q28,"BG","")</f>
        <v/>
      </c>
    </row>
    <row r="29" spans="2:16" x14ac:dyDescent="0.35">
      <c r="B29" t="str">
        <f>IF(C29,"TG","")</f>
        <v/>
      </c>
      <c r="D29" t="str">
        <f>IF(E29,"TG","")</f>
        <v/>
      </c>
      <c r="F29" t="str">
        <f>IF(G29,"TG","")</f>
        <v/>
      </c>
      <c r="H29" t="str">
        <f>IF(I29,"TG","")</f>
        <v/>
      </c>
      <c r="J29" t="str">
        <f>IF(K29,"TG","")</f>
        <v/>
      </c>
      <c r="L29" t="str">
        <f>IF(M29,"TG","")</f>
        <v/>
      </c>
      <c r="N29" t="str">
        <f>IF(O29,"TG","")</f>
        <v/>
      </c>
      <c r="P29" t="str">
        <f>IF(Q29,"TG","")</f>
        <v/>
      </c>
    </row>
    <row r="30" spans="2:16" x14ac:dyDescent="0.35">
      <c r="B30" t="str">
        <f>IF(C30,"CK","")</f>
        <v/>
      </c>
      <c r="D30" t="str">
        <f>IF(E30,"CK","")</f>
        <v/>
      </c>
      <c r="F30" t="str">
        <f>IF(G30,"CK","")</f>
        <v/>
      </c>
      <c r="H30" t="str">
        <f>IF(I30,"CK","")</f>
        <v/>
      </c>
      <c r="J30" t="str">
        <f>IF(K30,"CK","")</f>
        <v/>
      </c>
      <c r="L30" t="str">
        <f>IF(M30,"CK","")</f>
        <v/>
      </c>
      <c r="N30" t="str">
        <f>IF(O30,"CK","")</f>
        <v/>
      </c>
      <c r="P30" t="str">
        <f>IF(Q30,"CK","")</f>
        <v/>
      </c>
    </row>
    <row r="31" spans="2:16" x14ac:dyDescent="0.35">
      <c r="B31" t="str">
        <f>IF(C31,"INR","")</f>
        <v/>
      </c>
      <c r="D31" t="str">
        <f>IF(E31,"INR","")</f>
        <v/>
      </c>
      <c r="F31" t="str">
        <f>IF(G31,"INR","")</f>
        <v/>
      </c>
      <c r="H31" t="str">
        <f>IF(I31,"INR","")</f>
        <v/>
      </c>
      <c r="J31" t="str">
        <f>IF(K31,"INR","")</f>
        <v/>
      </c>
      <c r="L31" t="str">
        <f>IF(M31,"INR","")</f>
        <v/>
      </c>
      <c r="N31" t="str">
        <f>IF(O31,"INR","")</f>
        <v/>
      </c>
      <c r="P31" t="str">
        <f>IF(Q31,"INR","")</f>
        <v/>
      </c>
    </row>
  </sheetData>
  <phoneticPr fontId="26" type="noConversion"/>
  <pageMargins left="0.75" right="0.75" top="1" bottom="1" header="0.5" footer="0.5"/>
  <headerFooter alignWithMargins="0"/>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Lab">
    <outlinePr showOutlineSymbols="0"/>
    <pageSetUpPr autoPageBreaks="0"/>
  </sheetPr>
  <dimension ref="A1:Q33"/>
  <sheetViews>
    <sheetView showGridLines="0" showRowColHeaders="0" showZeros="0" showOutlineSymbols="0" zoomScale="85" workbookViewId="0">
      <selection activeCell="T8" sqref="T8"/>
    </sheetView>
  </sheetViews>
  <sheetFormatPr defaultColWidth="9.1328125" defaultRowHeight="12.85" x14ac:dyDescent="0.35"/>
  <cols>
    <col min="1" max="1" width="3.73046875" style="26" customWidth="1"/>
    <col min="2" max="9" width="10.73046875" style="26" customWidth="1"/>
    <col min="10" max="11" width="2.1328125" style="26" customWidth="1"/>
    <col min="12" max="14" width="10.73046875" style="26" customWidth="1"/>
    <col min="15" max="15" width="10.86328125" style="26" customWidth="1"/>
    <col min="16" max="17" width="10.73046875" style="26" customWidth="1"/>
    <col min="18" max="16384" width="9.1328125" style="26"/>
  </cols>
  <sheetData>
    <row r="1" spans="1:17" ht="11.25" customHeight="1" x14ac:dyDescent="0.4">
      <c r="A1" s="29"/>
      <c r="B1" s="305" t="s">
        <v>1553</v>
      </c>
      <c r="C1" s="327"/>
      <c r="D1" s="340" t="s">
        <v>5065</v>
      </c>
      <c r="E1" s="327"/>
      <c r="F1" s="327"/>
      <c r="G1" s="29"/>
      <c r="H1" s="122"/>
      <c r="I1" s="29"/>
      <c r="J1" s="29"/>
    </row>
    <row r="2" spans="1:17" ht="13.2" x14ac:dyDescent="0.4">
      <c r="A2" s="29"/>
      <c r="B2" s="292"/>
    </row>
    <row r="3" spans="1:17" ht="18.75" customHeight="1" x14ac:dyDescent="0.4">
      <c r="A3" s="29"/>
      <c r="B3" s="318" t="s">
        <v>3783</v>
      </c>
      <c r="C3" s="252"/>
      <c r="D3" s="318" t="s">
        <v>5066</v>
      </c>
      <c r="E3" s="252"/>
      <c r="F3" s="318" t="s">
        <v>5067</v>
      </c>
      <c r="G3" s="252"/>
      <c r="H3" s="318" t="s">
        <v>1557</v>
      </c>
      <c r="I3" s="252"/>
      <c r="J3" s="318"/>
      <c r="K3" s="252"/>
      <c r="L3" s="318" t="s">
        <v>119</v>
      </c>
      <c r="M3" s="252"/>
      <c r="N3" s="318" t="s">
        <v>120</v>
      </c>
      <c r="O3" s="252"/>
      <c r="P3" s="318" t="s">
        <v>121</v>
      </c>
      <c r="Q3" s="252"/>
    </row>
    <row r="4" spans="1:17" ht="26.3" customHeight="1" x14ac:dyDescent="0.35">
      <c r="B4" s="338"/>
      <c r="C4" s="339"/>
      <c r="D4" s="338"/>
      <c r="E4" s="338"/>
      <c r="F4" s="338"/>
      <c r="G4" s="338"/>
      <c r="H4" s="338"/>
      <c r="I4" s="338"/>
      <c r="J4" s="338"/>
      <c r="K4" s="338"/>
      <c r="L4" s="338"/>
      <c r="M4" s="338"/>
      <c r="N4" s="338"/>
      <c r="O4" s="338"/>
      <c r="P4" s="338"/>
      <c r="Q4" s="338"/>
    </row>
    <row r="5" spans="1:17" ht="26.3" customHeight="1" x14ac:dyDescent="0.35">
      <c r="B5" s="338"/>
      <c r="C5" s="339"/>
      <c r="D5" s="338"/>
      <c r="E5" s="338"/>
      <c r="F5" s="338"/>
      <c r="G5" s="338"/>
      <c r="H5" s="338"/>
      <c r="I5" s="338"/>
      <c r="J5" s="338"/>
      <c r="K5" s="338"/>
      <c r="L5" s="338"/>
      <c r="M5" s="338"/>
      <c r="N5" s="338"/>
      <c r="O5" s="338"/>
      <c r="P5" s="338"/>
      <c r="Q5" s="338"/>
    </row>
    <row r="6" spans="1:17" ht="26.3" customHeight="1" x14ac:dyDescent="0.35">
      <c r="B6" s="338"/>
      <c r="C6" s="339"/>
      <c r="D6" s="338"/>
      <c r="E6" s="338"/>
      <c r="F6" s="338"/>
      <c r="G6" s="338"/>
      <c r="H6" s="338"/>
      <c r="I6" s="338"/>
      <c r="J6" s="338"/>
      <c r="K6" s="338"/>
      <c r="L6" s="338"/>
      <c r="M6" s="338"/>
      <c r="N6" s="338"/>
      <c r="O6" s="338"/>
      <c r="P6" s="338"/>
      <c r="Q6" s="338"/>
    </row>
    <row r="7" spans="1:17" ht="26.3" customHeight="1" x14ac:dyDescent="0.35">
      <c r="B7" s="338"/>
      <c r="C7" s="339"/>
      <c r="D7" s="338"/>
      <c r="E7" s="338"/>
      <c r="F7" s="338"/>
      <c r="G7" s="338"/>
      <c r="H7" s="338"/>
      <c r="I7" s="338"/>
      <c r="J7" s="338"/>
      <c r="K7" s="338"/>
      <c r="L7" s="338"/>
      <c r="M7" s="338"/>
      <c r="N7" s="338"/>
      <c r="O7" s="338"/>
      <c r="P7" s="338"/>
      <c r="Q7" s="338"/>
    </row>
    <row r="8" spans="1:17" ht="26.3" customHeight="1" x14ac:dyDescent="0.35">
      <c r="B8" s="338"/>
      <c r="C8" s="339"/>
      <c r="D8" s="338"/>
      <c r="E8" s="338"/>
      <c r="F8" s="338"/>
      <c r="G8" s="338"/>
      <c r="H8" s="338"/>
      <c r="I8" s="338"/>
      <c r="J8" s="338"/>
      <c r="K8" s="338"/>
      <c r="L8" s="338"/>
      <c r="M8" s="338"/>
      <c r="N8" s="338"/>
      <c r="O8" s="338"/>
      <c r="P8" s="338"/>
      <c r="Q8" s="338"/>
    </row>
    <row r="9" spans="1:17" ht="26.3" customHeight="1" x14ac:dyDescent="0.35">
      <c r="B9" s="338"/>
      <c r="C9" s="339"/>
      <c r="D9" s="338"/>
      <c r="E9" s="338"/>
      <c r="F9" s="338"/>
      <c r="G9" s="338"/>
      <c r="H9" s="338"/>
      <c r="I9" s="338"/>
      <c r="J9" s="338"/>
      <c r="K9" s="338"/>
      <c r="L9" s="338"/>
      <c r="M9" s="338"/>
      <c r="N9" s="338"/>
      <c r="O9" s="338"/>
      <c r="P9" s="338"/>
      <c r="Q9" s="338"/>
    </row>
    <row r="10" spans="1:17" ht="26.3" customHeight="1" x14ac:dyDescent="0.35">
      <c r="B10" s="338"/>
      <c r="C10" s="339"/>
      <c r="D10" s="338"/>
      <c r="E10" s="338"/>
      <c r="F10" s="338"/>
      <c r="G10" s="338"/>
      <c r="H10" s="338"/>
      <c r="I10" s="338"/>
      <c r="J10" s="338"/>
      <c r="K10" s="338"/>
      <c r="L10" s="338"/>
      <c r="M10" s="338"/>
      <c r="N10" s="338"/>
      <c r="O10" s="338"/>
      <c r="P10" s="338"/>
      <c r="Q10" s="338"/>
    </row>
    <row r="11" spans="1:17" ht="26.3" customHeight="1" x14ac:dyDescent="0.35">
      <c r="B11" s="338"/>
      <c r="C11" s="339"/>
      <c r="D11" s="338"/>
      <c r="E11" s="338"/>
      <c r="F11" s="338"/>
      <c r="G11" s="338"/>
      <c r="H11" s="338"/>
      <c r="I11" s="338"/>
      <c r="J11" s="338"/>
      <c r="K11" s="338"/>
      <c r="L11" s="338"/>
      <c r="M11" s="338"/>
      <c r="N11" s="338"/>
      <c r="O11" s="338"/>
      <c r="P11" s="338"/>
      <c r="Q11" s="338"/>
    </row>
    <row r="12" spans="1:17" ht="26.3" customHeight="1" x14ac:dyDescent="0.35">
      <c r="B12" s="338"/>
      <c r="C12" s="339"/>
      <c r="D12" s="338"/>
      <c r="E12" s="338"/>
      <c r="F12" s="338"/>
      <c r="G12" s="338"/>
      <c r="H12" s="338"/>
      <c r="I12" s="338"/>
      <c r="J12" s="338"/>
      <c r="K12" s="338"/>
      <c r="L12" s="338"/>
      <c r="M12" s="338"/>
      <c r="N12" s="338"/>
      <c r="O12" s="338"/>
      <c r="P12" s="338"/>
      <c r="Q12" s="338"/>
    </row>
    <row r="13" spans="1:17" ht="26.3" customHeight="1" x14ac:dyDescent="0.35">
      <c r="B13" s="338"/>
      <c r="C13" s="339"/>
      <c r="D13" s="338"/>
      <c r="E13" s="338"/>
      <c r="F13" s="338"/>
      <c r="G13" s="338"/>
      <c r="H13" s="338"/>
      <c r="I13" s="338"/>
      <c r="J13" s="338"/>
      <c r="K13" s="338"/>
      <c r="L13" s="338"/>
      <c r="M13" s="338"/>
      <c r="N13" s="338"/>
      <c r="O13" s="338"/>
      <c r="P13" s="338"/>
      <c r="Q13" s="338"/>
    </row>
    <row r="14" spans="1:17" ht="26.3" customHeight="1" x14ac:dyDescent="0.35">
      <c r="B14" s="338"/>
      <c r="C14" s="339"/>
      <c r="D14" s="338"/>
      <c r="E14" s="338"/>
      <c r="F14" s="338"/>
      <c r="G14" s="338"/>
      <c r="H14" s="338"/>
      <c r="I14" s="338"/>
      <c r="J14" s="338"/>
      <c r="K14" s="338"/>
      <c r="L14" s="338"/>
      <c r="M14" s="338"/>
      <c r="N14" s="338"/>
      <c r="O14" s="338"/>
      <c r="P14" s="338"/>
      <c r="Q14" s="338"/>
    </row>
    <row r="15" spans="1:17" ht="26.3" customHeight="1" x14ac:dyDescent="0.35">
      <c r="B15" s="338"/>
      <c r="C15" s="339"/>
      <c r="D15" s="338"/>
      <c r="E15" s="338"/>
      <c r="F15" s="338"/>
      <c r="G15" s="338"/>
      <c r="H15" s="338"/>
      <c r="I15" s="338"/>
      <c r="J15" s="338"/>
      <c r="K15" s="338"/>
      <c r="L15" s="338"/>
      <c r="M15" s="338"/>
      <c r="N15" s="338"/>
      <c r="O15" s="338"/>
      <c r="P15" s="338"/>
      <c r="Q15" s="338"/>
    </row>
    <row r="16" spans="1:17" ht="26.3" customHeight="1" x14ac:dyDescent="0.35">
      <c r="B16" s="338"/>
      <c r="C16" s="339"/>
      <c r="D16" s="338"/>
      <c r="E16" s="338"/>
      <c r="F16" s="338"/>
      <c r="G16" s="338"/>
      <c r="H16" s="338"/>
      <c r="I16" s="338"/>
      <c r="J16" s="338"/>
      <c r="K16" s="338"/>
      <c r="L16" s="338"/>
      <c r="M16" s="338"/>
      <c r="N16" s="338"/>
      <c r="O16" s="338"/>
      <c r="P16" s="338"/>
      <c r="Q16" s="338"/>
    </row>
    <row r="17" spans="2:17" ht="26.3" customHeight="1" x14ac:dyDescent="0.35">
      <c r="B17" s="338"/>
      <c r="C17" s="339"/>
      <c r="D17" s="338"/>
      <c r="E17" s="338"/>
      <c r="F17" s="338"/>
      <c r="G17" s="338"/>
      <c r="H17" s="338"/>
      <c r="I17" s="338"/>
      <c r="J17" s="338"/>
      <c r="K17" s="338"/>
      <c r="L17" s="338"/>
      <c r="M17" s="338"/>
      <c r="N17" s="338"/>
      <c r="O17" s="338"/>
      <c r="P17" s="338"/>
      <c r="Q17" s="338"/>
    </row>
    <row r="18" spans="2:17" ht="26.3" customHeight="1" x14ac:dyDescent="0.35">
      <c r="B18" s="338"/>
      <c r="C18" s="339"/>
      <c r="D18" s="338"/>
      <c r="E18" s="338"/>
      <c r="F18" s="338"/>
      <c r="G18" s="338"/>
      <c r="H18" s="338"/>
      <c r="I18" s="338"/>
      <c r="J18" s="338"/>
      <c r="K18" s="338"/>
      <c r="L18" s="338"/>
      <c r="M18" s="338"/>
      <c r="N18" s="338"/>
      <c r="O18" s="338"/>
      <c r="P18" s="338"/>
      <c r="Q18" s="338"/>
    </row>
    <row r="19" spans="2:17" ht="26.3" customHeight="1" x14ac:dyDescent="0.35">
      <c r="B19" s="338"/>
      <c r="C19" s="339"/>
      <c r="D19" s="338"/>
      <c r="E19" s="338"/>
      <c r="F19" s="338"/>
      <c r="G19" s="338"/>
      <c r="H19" s="338"/>
      <c r="I19" s="338"/>
      <c r="J19" s="338"/>
      <c r="K19" s="338"/>
      <c r="L19" s="338"/>
      <c r="M19" s="338"/>
      <c r="N19" s="338"/>
      <c r="O19" s="338"/>
      <c r="P19" s="338"/>
      <c r="Q19" s="338"/>
    </row>
    <row r="20" spans="2:17" ht="26.3" customHeight="1" x14ac:dyDescent="0.35">
      <c r="B20" s="338"/>
      <c r="C20" s="339"/>
      <c r="D20" s="338"/>
      <c r="E20" s="338"/>
      <c r="F20" s="338"/>
      <c r="G20" s="338"/>
      <c r="H20" s="338"/>
      <c r="I20" s="338"/>
      <c r="J20" s="338"/>
      <c r="K20" s="338"/>
      <c r="L20" s="338"/>
      <c r="M20" s="338"/>
      <c r="N20" s="338"/>
      <c r="O20" s="338"/>
      <c r="P20" s="338"/>
      <c r="Q20" s="338"/>
    </row>
    <row r="21" spans="2:17" ht="26.3" customHeight="1" x14ac:dyDescent="0.35">
      <c r="B21" s="338"/>
      <c r="C21" s="339"/>
      <c r="D21" s="338"/>
      <c r="E21" s="338"/>
      <c r="F21" s="338"/>
      <c r="G21" s="338"/>
      <c r="H21" s="338"/>
      <c r="I21" s="338"/>
      <c r="J21" s="338"/>
      <c r="K21" s="338"/>
      <c r="L21" s="338"/>
      <c r="M21" s="338"/>
      <c r="N21" s="338"/>
      <c r="O21" s="338"/>
      <c r="P21" s="338"/>
      <c r="Q21" s="338"/>
    </row>
    <row r="22" spans="2:17" ht="26.3" customHeight="1" x14ac:dyDescent="0.35">
      <c r="B22" s="338"/>
      <c r="C22" s="339"/>
      <c r="D22" s="338"/>
      <c r="E22" s="338"/>
      <c r="F22" s="338"/>
      <c r="G22" s="338"/>
      <c r="H22" s="338"/>
      <c r="I22" s="338"/>
      <c r="J22" s="338"/>
      <c r="K22" s="338"/>
      <c r="L22" s="338"/>
      <c r="M22" s="338"/>
      <c r="N22" s="338"/>
      <c r="O22" s="338"/>
      <c r="P22" s="338"/>
      <c r="Q22" s="338"/>
    </row>
    <row r="23" spans="2:17" ht="26.3" customHeight="1" x14ac:dyDescent="0.35">
      <c r="B23" s="338"/>
      <c r="C23" s="339"/>
      <c r="D23" s="338"/>
      <c r="E23" s="338"/>
      <c r="F23" s="338"/>
      <c r="G23" s="338"/>
      <c r="H23" s="338"/>
      <c r="I23" s="338"/>
      <c r="J23" s="338"/>
      <c r="K23" s="338"/>
      <c r="L23" s="338"/>
      <c r="M23" s="338"/>
      <c r="N23" s="338"/>
      <c r="O23" s="338"/>
      <c r="P23" s="338"/>
      <c r="Q23" s="338"/>
    </row>
    <row r="24" spans="2:17" ht="26.3" customHeight="1" x14ac:dyDescent="0.35">
      <c r="B24" s="338"/>
      <c r="C24" s="339"/>
      <c r="D24" s="338"/>
      <c r="E24" s="338"/>
      <c r="F24" s="338"/>
      <c r="G24" s="338"/>
      <c r="H24" s="338"/>
      <c r="I24" s="338"/>
      <c r="J24" s="338"/>
      <c r="K24" s="338"/>
      <c r="L24" s="338"/>
      <c r="M24" s="338"/>
      <c r="N24" s="338"/>
      <c r="O24" s="338"/>
      <c r="P24" s="338"/>
      <c r="Q24" s="338"/>
    </row>
    <row r="25" spans="2:17" ht="26.3" customHeight="1" x14ac:dyDescent="0.35">
      <c r="B25" s="338"/>
      <c r="C25" s="339"/>
      <c r="D25" s="338"/>
      <c r="E25" s="338"/>
      <c r="F25" s="338"/>
      <c r="G25" s="338"/>
      <c r="H25" s="338"/>
      <c r="I25" s="338"/>
      <c r="J25" s="338"/>
      <c r="K25" s="338"/>
      <c r="L25" s="338"/>
      <c r="M25" s="338"/>
      <c r="N25" s="338"/>
      <c r="O25" s="338"/>
      <c r="P25" s="338"/>
      <c r="Q25" s="338"/>
    </row>
    <row r="26" spans="2:17" ht="26.3" customHeight="1" x14ac:dyDescent="0.35">
      <c r="B26" s="338"/>
      <c r="C26" s="339"/>
      <c r="D26" s="338"/>
      <c r="E26" s="338"/>
      <c r="F26" s="338"/>
      <c r="G26" s="338"/>
      <c r="H26" s="338"/>
      <c r="I26" s="338"/>
      <c r="J26" s="338"/>
      <c r="K26" s="338"/>
      <c r="L26" s="338"/>
      <c r="M26" s="338"/>
      <c r="N26" s="338"/>
      <c r="O26" s="338"/>
      <c r="P26" s="338"/>
      <c r="Q26" s="338"/>
    </row>
    <row r="27" spans="2:17" ht="26.3" customHeight="1" x14ac:dyDescent="0.35">
      <c r="B27" s="338"/>
      <c r="C27" s="339"/>
      <c r="D27" s="338"/>
      <c r="E27" s="338"/>
      <c r="F27" s="338"/>
      <c r="G27" s="338"/>
      <c r="H27" s="338"/>
      <c r="I27" s="338"/>
      <c r="J27" s="338"/>
      <c r="K27" s="338"/>
      <c r="L27" s="338"/>
      <c r="M27" s="338"/>
      <c r="N27" s="338"/>
      <c r="O27" s="338"/>
      <c r="P27" s="338"/>
      <c r="Q27" s="338"/>
    </row>
    <row r="28" spans="2:17" ht="26.3" customHeight="1" x14ac:dyDescent="0.35">
      <c r="B28" s="338"/>
      <c r="C28" s="339"/>
      <c r="D28" s="338"/>
      <c r="E28" s="338"/>
      <c r="F28" s="338"/>
      <c r="G28" s="338"/>
      <c r="H28" s="338"/>
      <c r="I28" s="338"/>
      <c r="J28" s="338"/>
      <c r="K28" s="338"/>
      <c r="L28" s="338"/>
      <c r="M28" s="338"/>
      <c r="N28" s="338"/>
      <c r="O28" s="338"/>
      <c r="P28" s="338"/>
      <c r="Q28" s="338"/>
    </row>
    <row r="29" spans="2:17" ht="26.3" customHeight="1" x14ac:dyDescent="0.35">
      <c r="B29" s="338"/>
      <c r="C29" s="339"/>
      <c r="D29" s="338"/>
      <c r="E29" s="338"/>
      <c r="F29" s="338"/>
      <c r="G29" s="338"/>
      <c r="H29" s="338"/>
      <c r="I29" s="338"/>
      <c r="J29" s="338"/>
      <c r="K29" s="338"/>
      <c r="L29" s="338"/>
      <c r="M29" s="338"/>
      <c r="N29" s="338"/>
      <c r="O29" s="338"/>
      <c r="P29" s="338"/>
      <c r="Q29" s="338"/>
    </row>
    <row r="30" spans="2:17" ht="26.3" customHeight="1" x14ac:dyDescent="0.35">
      <c r="B30" s="338"/>
      <c r="C30" s="339"/>
      <c r="D30" s="338"/>
      <c r="E30" s="338"/>
      <c r="F30" s="338"/>
      <c r="G30" s="338"/>
      <c r="H30" s="338"/>
      <c r="I30" s="338"/>
      <c r="J30" s="338"/>
      <c r="K30" s="338"/>
      <c r="L30" s="338"/>
      <c r="M30" s="338"/>
      <c r="N30" s="338"/>
      <c r="O30" s="338"/>
      <c r="P30" s="338"/>
      <c r="Q30" s="338"/>
    </row>
    <row r="33" spans="2:3" x14ac:dyDescent="0.35">
      <c r="B33" s="216" t="s">
        <v>2864</v>
      </c>
      <c r="C33" s="26">
        <f>opmAfsprBlad__9</f>
        <v>0</v>
      </c>
    </row>
  </sheetData>
  <sheetProtection algorithmName="SHA-512" hashValue="khY/n8vTj4TrLHWkBMEq+g9lBKtrLtPrGoYZ1wHzYA57kr41b/EQVgCxaY3mJALXE07gR94vFLbeLawY5Cpiww==" saltValue="FSyyGpzaZX7WtjdTgBELiQ==" spinCount="100000" sheet="1" objects="1" scenarios="1" selectLockedCells="1" selectUnlockedCells="1"/>
  <phoneticPr fontId="26" type="noConversion"/>
  <pageMargins left="0.75" right="0.75" top="1" bottom="1" header="0.5" footer="0.5"/>
  <pageSetup paperSize="9" orientation="portrait" r:id="rId1"/>
  <headerFooter alignWithMargins="0">
    <oddHeader>&amp;CBed 1.7</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defaultSize="0" autoFill="0" autoLine="0" autoPict="0">
                <anchor moveWithCells="1">
                  <from>
                    <xdr:col>1</xdr:col>
                    <xdr:colOff>47874</xdr:colOff>
                    <xdr:row>3</xdr:row>
                    <xdr:rowOff>0</xdr:rowOff>
                  </from>
                  <to>
                    <xdr:col>2</xdr:col>
                    <xdr:colOff>627154</xdr:colOff>
                    <xdr:row>3</xdr:row>
                    <xdr:rowOff>220222</xdr:rowOff>
                  </to>
                </anchor>
              </controlPr>
            </control>
          </mc:Choice>
        </mc:AlternateContent>
        <mc:AlternateContent xmlns:mc="http://schemas.openxmlformats.org/markup-compatibility/2006">
          <mc:Choice Requires="x14">
            <control shapeId="12290" r:id="rId5" name="Check Box 2">
              <controlPr defaultSize="0" autoFill="0" autoLine="0" autoPict="0">
                <anchor moveWithCells="1">
                  <from>
                    <xdr:col>1</xdr:col>
                    <xdr:colOff>47874</xdr:colOff>
                    <xdr:row>4</xdr:row>
                    <xdr:rowOff>0</xdr:rowOff>
                  </from>
                  <to>
                    <xdr:col>2</xdr:col>
                    <xdr:colOff>627154</xdr:colOff>
                    <xdr:row>4</xdr:row>
                    <xdr:rowOff>220222</xdr:rowOff>
                  </to>
                </anchor>
              </controlPr>
            </control>
          </mc:Choice>
        </mc:AlternateContent>
        <mc:AlternateContent xmlns:mc="http://schemas.openxmlformats.org/markup-compatibility/2006">
          <mc:Choice Requires="x14">
            <control shapeId="12291" r:id="rId6" name="Check Box 3">
              <controlPr defaultSize="0" autoFill="0" autoLine="0" autoPict="0">
                <anchor moveWithCells="1">
                  <from>
                    <xdr:col>1</xdr:col>
                    <xdr:colOff>47874</xdr:colOff>
                    <xdr:row>6</xdr:row>
                    <xdr:rowOff>0</xdr:rowOff>
                  </from>
                  <to>
                    <xdr:col>2</xdr:col>
                    <xdr:colOff>627154</xdr:colOff>
                    <xdr:row>6</xdr:row>
                    <xdr:rowOff>220222</xdr:rowOff>
                  </to>
                </anchor>
              </controlPr>
            </control>
          </mc:Choice>
        </mc:AlternateContent>
        <mc:AlternateContent xmlns:mc="http://schemas.openxmlformats.org/markup-compatibility/2006">
          <mc:Choice Requires="x14">
            <control shapeId="12292" r:id="rId7" name="Check Box 4">
              <controlPr defaultSize="0" autoFill="0" autoLine="0" autoPict="0">
                <anchor moveWithCells="1">
                  <from>
                    <xdr:col>1</xdr:col>
                    <xdr:colOff>47874</xdr:colOff>
                    <xdr:row>7</xdr:row>
                    <xdr:rowOff>0</xdr:rowOff>
                  </from>
                  <to>
                    <xdr:col>2</xdr:col>
                    <xdr:colOff>627154</xdr:colOff>
                    <xdr:row>7</xdr:row>
                    <xdr:rowOff>220222</xdr:rowOff>
                  </to>
                </anchor>
              </controlPr>
            </control>
          </mc:Choice>
        </mc:AlternateContent>
        <mc:AlternateContent xmlns:mc="http://schemas.openxmlformats.org/markup-compatibility/2006">
          <mc:Choice Requires="x14">
            <control shapeId="12293" r:id="rId8" name="Check Box 5">
              <controlPr defaultSize="0" autoFill="0" autoLine="0" autoPict="0">
                <anchor moveWithCells="1">
                  <from>
                    <xdr:col>1</xdr:col>
                    <xdr:colOff>38299</xdr:colOff>
                    <xdr:row>12</xdr:row>
                    <xdr:rowOff>0</xdr:rowOff>
                  </from>
                  <to>
                    <xdr:col>2</xdr:col>
                    <xdr:colOff>617579</xdr:colOff>
                    <xdr:row>12</xdr:row>
                    <xdr:rowOff>220222</xdr:rowOff>
                  </to>
                </anchor>
              </controlPr>
            </control>
          </mc:Choice>
        </mc:AlternateContent>
        <mc:AlternateContent xmlns:mc="http://schemas.openxmlformats.org/markup-compatibility/2006">
          <mc:Choice Requires="x14">
            <control shapeId="12294" r:id="rId9" name="Check Box 6">
              <controlPr defaultSize="0" autoFill="0" autoLine="0" autoPict="0">
                <anchor moveWithCells="1">
                  <from>
                    <xdr:col>1</xdr:col>
                    <xdr:colOff>47874</xdr:colOff>
                    <xdr:row>11</xdr:row>
                    <xdr:rowOff>0</xdr:rowOff>
                  </from>
                  <to>
                    <xdr:col>2</xdr:col>
                    <xdr:colOff>627154</xdr:colOff>
                    <xdr:row>11</xdr:row>
                    <xdr:rowOff>220222</xdr:rowOff>
                  </to>
                </anchor>
              </controlPr>
            </control>
          </mc:Choice>
        </mc:AlternateContent>
        <mc:AlternateContent xmlns:mc="http://schemas.openxmlformats.org/markup-compatibility/2006">
          <mc:Choice Requires="x14">
            <control shapeId="12295" r:id="rId10" name="Check Box 7">
              <controlPr defaultSize="0" autoFill="0" autoLine="0" autoPict="0">
                <anchor moveWithCells="1">
                  <from>
                    <xdr:col>1</xdr:col>
                    <xdr:colOff>47874</xdr:colOff>
                    <xdr:row>25</xdr:row>
                    <xdr:rowOff>0</xdr:rowOff>
                  </from>
                  <to>
                    <xdr:col>2</xdr:col>
                    <xdr:colOff>627154</xdr:colOff>
                    <xdr:row>25</xdr:row>
                    <xdr:rowOff>220222</xdr:rowOff>
                  </to>
                </anchor>
              </controlPr>
            </control>
          </mc:Choice>
        </mc:AlternateContent>
        <mc:AlternateContent xmlns:mc="http://schemas.openxmlformats.org/markup-compatibility/2006">
          <mc:Choice Requires="x14">
            <control shapeId="12296" r:id="rId11" name="Check Box 8">
              <controlPr defaultSize="0" autoFill="0" autoLine="0" autoPict="0">
                <anchor moveWithCells="1">
                  <from>
                    <xdr:col>1</xdr:col>
                    <xdr:colOff>47874</xdr:colOff>
                    <xdr:row>14</xdr:row>
                    <xdr:rowOff>0</xdr:rowOff>
                  </from>
                  <to>
                    <xdr:col>2</xdr:col>
                    <xdr:colOff>627154</xdr:colOff>
                    <xdr:row>14</xdr:row>
                    <xdr:rowOff>220222</xdr:rowOff>
                  </to>
                </anchor>
              </controlPr>
            </control>
          </mc:Choice>
        </mc:AlternateContent>
        <mc:AlternateContent xmlns:mc="http://schemas.openxmlformats.org/markup-compatibility/2006">
          <mc:Choice Requires="x14">
            <control shapeId="12297" r:id="rId12" name="Check Box 9">
              <controlPr defaultSize="0" autoFill="0" autoLine="0" autoPict="0">
                <anchor moveWithCells="1">
                  <from>
                    <xdr:col>1</xdr:col>
                    <xdr:colOff>47874</xdr:colOff>
                    <xdr:row>16</xdr:row>
                    <xdr:rowOff>0</xdr:rowOff>
                  </from>
                  <to>
                    <xdr:col>2</xdr:col>
                    <xdr:colOff>627154</xdr:colOff>
                    <xdr:row>16</xdr:row>
                    <xdr:rowOff>220222</xdr:rowOff>
                  </to>
                </anchor>
              </controlPr>
            </control>
          </mc:Choice>
        </mc:AlternateContent>
        <mc:AlternateContent xmlns:mc="http://schemas.openxmlformats.org/markup-compatibility/2006">
          <mc:Choice Requires="x14">
            <control shapeId="12298" r:id="rId13" name="Check Box 10">
              <controlPr defaultSize="0" autoFill="0" autoLine="0" autoPict="0">
                <anchor moveWithCells="1">
                  <from>
                    <xdr:col>1</xdr:col>
                    <xdr:colOff>47874</xdr:colOff>
                    <xdr:row>17</xdr:row>
                    <xdr:rowOff>0</xdr:rowOff>
                  </from>
                  <to>
                    <xdr:col>2</xdr:col>
                    <xdr:colOff>627154</xdr:colOff>
                    <xdr:row>17</xdr:row>
                    <xdr:rowOff>220222</xdr:rowOff>
                  </to>
                </anchor>
              </controlPr>
            </control>
          </mc:Choice>
        </mc:AlternateContent>
        <mc:AlternateContent xmlns:mc="http://schemas.openxmlformats.org/markup-compatibility/2006">
          <mc:Choice Requires="x14">
            <control shapeId="12299" r:id="rId14" name="Check Box 11">
              <controlPr defaultSize="0" autoFill="0" autoLine="0" autoPict="0">
                <anchor moveWithCells="1">
                  <from>
                    <xdr:col>1</xdr:col>
                    <xdr:colOff>47874</xdr:colOff>
                    <xdr:row>18</xdr:row>
                    <xdr:rowOff>0</xdr:rowOff>
                  </from>
                  <to>
                    <xdr:col>2</xdr:col>
                    <xdr:colOff>627154</xdr:colOff>
                    <xdr:row>18</xdr:row>
                    <xdr:rowOff>220222</xdr:rowOff>
                  </to>
                </anchor>
              </controlPr>
            </control>
          </mc:Choice>
        </mc:AlternateContent>
        <mc:AlternateContent xmlns:mc="http://schemas.openxmlformats.org/markup-compatibility/2006">
          <mc:Choice Requires="x14">
            <control shapeId="12300" r:id="rId15" name="Check Box 12">
              <controlPr defaultSize="0" autoFill="0" autoLine="0" autoPict="0">
                <anchor moveWithCells="1">
                  <from>
                    <xdr:col>1</xdr:col>
                    <xdr:colOff>38299</xdr:colOff>
                    <xdr:row>10</xdr:row>
                    <xdr:rowOff>0</xdr:rowOff>
                  </from>
                  <to>
                    <xdr:col>2</xdr:col>
                    <xdr:colOff>617579</xdr:colOff>
                    <xdr:row>10</xdr:row>
                    <xdr:rowOff>220222</xdr:rowOff>
                  </to>
                </anchor>
              </controlPr>
            </control>
          </mc:Choice>
        </mc:AlternateContent>
        <mc:AlternateContent xmlns:mc="http://schemas.openxmlformats.org/markup-compatibility/2006">
          <mc:Choice Requires="x14">
            <control shapeId="12301" r:id="rId16" name="Check Box 13">
              <controlPr defaultSize="0" autoFill="0" autoLine="0" autoPict="0">
                <anchor moveWithCells="1">
                  <from>
                    <xdr:col>1</xdr:col>
                    <xdr:colOff>47874</xdr:colOff>
                    <xdr:row>26</xdr:row>
                    <xdr:rowOff>19150</xdr:rowOff>
                  </from>
                  <to>
                    <xdr:col>2</xdr:col>
                    <xdr:colOff>627154</xdr:colOff>
                    <xdr:row>26</xdr:row>
                    <xdr:rowOff>239372</xdr:rowOff>
                  </to>
                </anchor>
              </controlPr>
            </control>
          </mc:Choice>
        </mc:AlternateContent>
        <mc:AlternateContent xmlns:mc="http://schemas.openxmlformats.org/markup-compatibility/2006">
          <mc:Choice Requires="x14">
            <control shapeId="12302" r:id="rId17" name="Check Box 14">
              <controlPr defaultSize="0" autoFill="0" autoLine="0" autoPict="0">
                <anchor moveWithCells="1">
                  <from>
                    <xdr:col>5</xdr:col>
                    <xdr:colOff>47874</xdr:colOff>
                    <xdr:row>3</xdr:row>
                    <xdr:rowOff>0</xdr:rowOff>
                  </from>
                  <to>
                    <xdr:col>6</xdr:col>
                    <xdr:colOff>627154</xdr:colOff>
                    <xdr:row>3</xdr:row>
                    <xdr:rowOff>220222</xdr:rowOff>
                  </to>
                </anchor>
              </controlPr>
            </control>
          </mc:Choice>
        </mc:AlternateContent>
        <mc:AlternateContent xmlns:mc="http://schemas.openxmlformats.org/markup-compatibility/2006">
          <mc:Choice Requires="x14">
            <control shapeId="12303" r:id="rId18" name="Check Box 15">
              <controlPr defaultSize="0" autoFill="0" autoLine="0" autoPict="0">
                <anchor moveWithCells="1">
                  <from>
                    <xdr:col>5</xdr:col>
                    <xdr:colOff>47874</xdr:colOff>
                    <xdr:row>4</xdr:row>
                    <xdr:rowOff>0</xdr:rowOff>
                  </from>
                  <to>
                    <xdr:col>6</xdr:col>
                    <xdr:colOff>627154</xdr:colOff>
                    <xdr:row>4</xdr:row>
                    <xdr:rowOff>220222</xdr:rowOff>
                  </to>
                </anchor>
              </controlPr>
            </control>
          </mc:Choice>
        </mc:AlternateContent>
        <mc:AlternateContent xmlns:mc="http://schemas.openxmlformats.org/markup-compatibility/2006">
          <mc:Choice Requires="x14">
            <control shapeId="12304" r:id="rId19" name="Check Box 16">
              <controlPr defaultSize="0" autoFill="0" autoLine="0" autoPict="0">
                <anchor moveWithCells="1">
                  <from>
                    <xdr:col>5</xdr:col>
                    <xdr:colOff>47874</xdr:colOff>
                    <xdr:row>6</xdr:row>
                    <xdr:rowOff>0</xdr:rowOff>
                  </from>
                  <to>
                    <xdr:col>6</xdr:col>
                    <xdr:colOff>627154</xdr:colOff>
                    <xdr:row>6</xdr:row>
                    <xdr:rowOff>220222</xdr:rowOff>
                  </to>
                </anchor>
              </controlPr>
            </control>
          </mc:Choice>
        </mc:AlternateContent>
        <mc:AlternateContent xmlns:mc="http://schemas.openxmlformats.org/markup-compatibility/2006">
          <mc:Choice Requires="x14">
            <control shapeId="12305" r:id="rId20" name="Check Box 17">
              <controlPr defaultSize="0" autoFill="0" autoLine="0" autoPict="0">
                <anchor moveWithCells="1">
                  <from>
                    <xdr:col>5</xdr:col>
                    <xdr:colOff>47874</xdr:colOff>
                    <xdr:row>7</xdr:row>
                    <xdr:rowOff>0</xdr:rowOff>
                  </from>
                  <to>
                    <xdr:col>6</xdr:col>
                    <xdr:colOff>627154</xdr:colOff>
                    <xdr:row>7</xdr:row>
                    <xdr:rowOff>220222</xdr:rowOff>
                  </to>
                </anchor>
              </controlPr>
            </control>
          </mc:Choice>
        </mc:AlternateContent>
        <mc:AlternateContent xmlns:mc="http://schemas.openxmlformats.org/markup-compatibility/2006">
          <mc:Choice Requires="x14">
            <control shapeId="12306" r:id="rId21" name="Check Box 18">
              <controlPr defaultSize="0" autoFill="0" autoLine="0" autoPict="0">
                <anchor moveWithCells="1">
                  <from>
                    <xdr:col>5</xdr:col>
                    <xdr:colOff>38299</xdr:colOff>
                    <xdr:row>12</xdr:row>
                    <xdr:rowOff>0</xdr:rowOff>
                  </from>
                  <to>
                    <xdr:col>6</xdr:col>
                    <xdr:colOff>617579</xdr:colOff>
                    <xdr:row>12</xdr:row>
                    <xdr:rowOff>220222</xdr:rowOff>
                  </to>
                </anchor>
              </controlPr>
            </control>
          </mc:Choice>
        </mc:AlternateContent>
        <mc:AlternateContent xmlns:mc="http://schemas.openxmlformats.org/markup-compatibility/2006">
          <mc:Choice Requires="x14">
            <control shapeId="12307" r:id="rId22" name="Check Box 19">
              <controlPr defaultSize="0" autoFill="0" autoLine="0" autoPict="0">
                <anchor moveWithCells="1">
                  <from>
                    <xdr:col>5</xdr:col>
                    <xdr:colOff>47874</xdr:colOff>
                    <xdr:row>11</xdr:row>
                    <xdr:rowOff>0</xdr:rowOff>
                  </from>
                  <to>
                    <xdr:col>6</xdr:col>
                    <xdr:colOff>627154</xdr:colOff>
                    <xdr:row>11</xdr:row>
                    <xdr:rowOff>220222</xdr:rowOff>
                  </to>
                </anchor>
              </controlPr>
            </control>
          </mc:Choice>
        </mc:AlternateContent>
        <mc:AlternateContent xmlns:mc="http://schemas.openxmlformats.org/markup-compatibility/2006">
          <mc:Choice Requires="x14">
            <control shapeId="12308" r:id="rId23" name="Check Box 20">
              <controlPr defaultSize="0" autoFill="0" autoLine="0" autoPict="0">
                <anchor moveWithCells="1">
                  <from>
                    <xdr:col>5</xdr:col>
                    <xdr:colOff>47874</xdr:colOff>
                    <xdr:row>25</xdr:row>
                    <xdr:rowOff>0</xdr:rowOff>
                  </from>
                  <to>
                    <xdr:col>6</xdr:col>
                    <xdr:colOff>627154</xdr:colOff>
                    <xdr:row>25</xdr:row>
                    <xdr:rowOff>220222</xdr:rowOff>
                  </to>
                </anchor>
              </controlPr>
            </control>
          </mc:Choice>
        </mc:AlternateContent>
        <mc:AlternateContent xmlns:mc="http://schemas.openxmlformats.org/markup-compatibility/2006">
          <mc:Choice Requires="x14">
            <control shapeId="12309" r:id="rId24" name="Check Box 21">
              <controlPr defaultSize="0" autoFill="0" autoLine="0" autoPict="0">
                <anchor moveWithCells="1">
                  <from>
                    <xdr:col>5</xdr:col>
                    <xdr:colOff>47874</xdr:colOff>
                    <xdr:row>14</xdr:row>
                    <xdr:rowOff>0</xdr:rowOff>
                  </from>
                  <to>
                    <xdr:col>6</xdr:col>
                    <xdr:colOff>627154</xdr:colOff>
                    <xdr:row>14</xdr:row>
                    <xdr:rowOff>220222</xdr:rowOff>
                  </to>
                </anchor>
              </controlPr>
            </control>
          </mc:Choice>
        </mc:AlternateContent>
        <mc:AlternateContent xmlns:mc="http://schemas.openxmlformats.org/markup-compatibility/2006">
          <mc:Choice Requires="x14">
            <control shapeId="12310" r:id="rId25" name="Check Box 22">
              <controlPr defaultSize="0" autoFill="0" autoLine="0" autoPict="0">
                <anchor moveWithCells="1">
                  <from>
                    <xdr:col>5</xdr:col>
                    <xdr:colOff>47874</xdr:colOff>
                    <xdr:row>16</xdr:row>
                    <xdr:rowOff>0</xdr:rowOff>
                  </from>
                  <to>
                    <xdr:col>6</xdr:col>
                    <xdr:colOff>627154</xdr:colOff>
                    <xdr:row>16</xdr:row>
                    <xdr:rowOff>220222</xdr:rowOff>
                  </to>
                </anchor>
              </controlPr>
            </control>
          </mc:Choice>
        </mc:AlternateContent>
        <mc:AlternateContent xmlns:mc="http://schemas.openxmlformats.org/markup-compatibility/2006">
          <mc:Choice Requires="x14">
            <control shapeId="12311" r:id="rId26" name="Check Box 23">
              <controlPr defaultSize="0" autoFill="0" autoLine="0" autoPict="0">
                <anchor moveWithCells="1">
                  <from>
                    <xdr:col>5</xdr:col>
                    <xdr:colOff>47874</xdr:colOff>
                    <xdr:row>17</xdr:row>
                    <xdr:rowOff>0</xdr:rowOff>
                  </from>
                  <to>
                    <xdr:col>6</xdr:col>
                    <xdr:colOff>627154</xdr:colOff>
                    <xdr:row>17</xdr:row>
                    <xdr:rowOff>220222</xdr:rowOff>
                  </to>
                </anchor>
              </controlPr>
            </control>
          </mc:Choice>
        </mc:AlternateContent>
        <mc:AlternateContent xmlns:mc="http://schemas.openxmlformats.org/markup-compatibility/2006">
          <mc:Choice Requires="x14">
            <control shapeId="12312" r:id="rId27" name="Check Box 24">
              <controlPr defaultSize="0" autoFill="0" autoLine="0" autoPict="0">
                <anchor moveWithCells="1">
                  <from>
                    <xdr:col>5</xdr:col>
                    <xdr:colOff>47874</xdr:colOff>
                    <xdr:row>18</xdr:row>
                    <xdr:rowOff>0</xdr:rowOff>
                  </from>
                  <to>
                    <xdr:col>6</xdr:col>
                    <xdr:colOff>627154</xdr:colOff>
                    <xdr:row>18</xdr:row>
                    <xdr:rowOff>220222</xdr:rowOff>
                  </to>
                </anchor>
              </controlPr>
            </control>
          </mc:Choice>
        </mc:AlternateContent>
        <mc:AlternateContent xmlns:mc="http://schemas.openxmlformats.org/markup-compatibility/2006">
          <mc:Choice Requires="x14">
            <control shapeId="12313" r:id="rId28" name="Check Box 25">
              <controlPr defaultSize="0" autoFill="0" autoLine="0" autoPict="0">
                <anchor moveWithCells="1">
                  <from>
                    <xdr:col>5</xdr:col>
                    <xdr:colOff>38299</xdr:colOff>
                    <xdr:row>10</xdr:row>
                    <xdr:rowOff>0</xdr:rowOff>
                  </from>
                  <to>
                    <xdr:col>6</xdr:col>
                    <xdr:colOff>617579</xdr:colOff>
                    <xdr:row>10</xdr:row>
                    <xdr:rowOff>220222</xdr:rowOff>
                  </to>
                </anchor>
              </controlPr>
            </control>
          </mc:Choice>
        </mc:AlternateContent>
        <mc:AlternateContent xmlns:mc="http://schemas.openxmlformats.org/markup-compatibility/2006">
          <mc:Choice Requires="x14">
            <control shapeId="12314" r:id="rId29" name="Check Box 26">
              <controlPr defaultSize="0" autoFill="0" autoLine="0" autoPict="0">
                <anchor moveWithCells="1">
                  <from>
                    <xdr:col>5</xdr:col>
                    <xdr:colOff>47874</xdr:colOff>
                    <xdr:row>26</xdr:row>
                    <xdr:rowOff>19150</xdr:rowOff>
                  </from>
                  <to>
                    <xdr:col>6</xdr:col>
                    <xdr:colOff>627154</xdr:colOff>
                    <xdr:row>26</xdr:row>
                    <xdr:rowOff>239372</xdr:rowOff>
                  </to>
                </anchor>
              </controlPr>
            </control>
          </mc:Choice>
        </mc:AlternateContent>
        <mc:AlternateContent xmlns:mc="http://schemas.openxmlformats.org/markup-compatibility/2006">
          <mc:Choice Requires="x14">
            <control shapeId="12315" r:id="rId30" name="Check Box 27">
              <controlPr defaultSize="0" autoFill="0" autoLine="0" autoPict="0">
                <anchor moveWithCells="1">
                  <from>
                    <xdr:col>7</xdr:col>
                    <xdr:colOff>47874</xdr:colOff>
                    <xdr:row>3</xdr:row>
                    <xdr:rowOff>0</xdr:rowOff>
                  </from>
                  <to>
                    <xdr:col>8</xdr:col>
                    <xdr:colOff>627154</xdr:colOff>
                    <xdr:row>3</xdr:row>
                    <xdr:rowOff>220222</xdr:rowOff>
                  </to>
                </anchor>
              </controlPr>
            </control>
          </mc:Choice>
        </mc:AlternateContent>
        <mc:AlternateContent xmlns:mc="http://schemas.openxmlformats.org/markup-compatibility/2006">
          <mc:Choice Requires="x14">
            <control shapeId="12316" r:id="rId31" name="Check Box 28">
              <controlPr defaultSize="0" autoFill="0" autoLine="0" autoPict="0">
                <anchor moveWithCells="1">
                  <from>
                    <xdr:col>7</xdr:col>
                    <xdr:colOff>47874</xdr:colOff>
                    <xdr:row>4</xdr:row>
                    <xdr:rowOff>0</xdr:rowOff>
                  </from>
                  <to>
                    <xdr:col>8</xdr:col>
                    <xdr:colOff>627154</xdr:colOff>
                    <xdr:row>4</xdr:row>
                    <xdr:rowOff>220222</xdr:rowOff>
                  </to>
                </anchor>
              </controlPr>
            </control>
          </mc:Choice>
        </mc:AlternateContent>
        <mc:AlternateContent xmlns:mc="http://schemas.openxmlformats.org/markup-compatibility/2006">
          <mc:Choice Requires="x14">
            <control shapeId="12317" r:id="rId32" name="Check Box 29">
              <controlPr defaultSize="0" autoFill="0" autoLine="0" autoPict="0">
                <anchor moveWithCells="1">
                  <from>
                    <xdr:col>7</xdr:col>
                    <xdr:colOff>47874</xdr:colOff>
                    <xdr:row>6</xdr:row>
                    <xdr:rowOff>0</xdr:rowOff>
                  </from>
                  <to>
                    <xdr:col>8</xdr:col>
                    <xdr:colOff>627154</xdr:colOff>
                    <xdr:row>6</xdr:row>
                    <xdr:rowOff>220222</xdr:rowOff>
                  </to>
                </anchor>
              </controlPr>
            </control>
          </mc:Choice>
        </mc:AlternateContent>
        <mc:AlternateContent xmlns:mc="http://schemas.openxmlformats.org/markup-compatibility/2006">
          <mc:Choice Requires="x14">
            <control shapeId="12318" r:id="rId33" name="Check Box 30">
              <controlPr defaultSize="0" autoFill="0" autoLine="0" autoPict="0">
                <anchor moveWithCells="1">
                  <from>
                    <xdr:col>7</xdr:col>
                    <xdr:colOff>47874</xdr:colOff>
                    <xdr:row>7</xdr:row>
                    <xdr:rowOff>0</xdr:rowOff>
                  </from>
                  <to>
                    <xdr:col>8</xdr:col>
                    <xdr:colOff>627154</xdr:colOff>
                    <xdr:row>7</xdr:row>
                    <xdr:rowOff>220222</xdr:rowOff>
                  </to>
                </anchor>
              </controlPr>
            </control>
          </mc:Choice>
        </mc:AlternateContent>
        <mc:AlternateContent xmlns:mc="http://schemas.openxmlformats.org/markup-compatibility/2006">
          <mc:Choice Requires="x14">
            <control shapeId="12319" r:id="rId34" name="Check Box 31">
              <controlPr defaultSize="0" autoFill="0" autoLine="0" autoPict="0">
                <anchor moveWithCells="1">
                  <from>
                    <xdr:col>7</xdr:col>
                    <xdr:colOff>38299</xdr:colOff>
                    <xdr:row>12</xdr:row>
                    <xdr:rowOff>0</xdr:rowOff>
                  </from>
                  <to>
                    <xdr:col>8</xdr:col>
                    <xdr:colOff>617579</xdr:colOff>
                    <xdr:row>12</xdr:row>
                    <xdr:rowOff>220222</xdr:rowOff>
                  </to>
                </anchor>
              </controlPr>
            </control>
          </mc:Choice>
        </mc:AlternateContent>
        <mc:AlternateContent xmlns:mc="http://schemas.openxmlformats.org/markup-compatibility/2006">
          <mc:Choice Requires="x14">
            <control shapeId="12320" r:id="rId35" name="Check Box 32">
              <controlPr defaultSize="0" autoFill="0" autoLine="0" autoPict="0">
                <anchor moveWithCells="1">
                  <from>
                    <xdr:col>7</xdr:col>
                    <xdr:colOff>47874</xdr:colOff>
                    <xdr:row>11</xdr:row>
                    <xdr:rowOff>0</xdr:rowOff>
                  </from>
                  <to>
                    <xdr:col>8</xdr:col>
                    <xdr:colOff>627154</xdr:colOff>
                    <xdr:row>11</xdr:row>
                    <xdr:rowOff>220222</xdr:rowOff>
                  </to>
                </anchor>
              </controlPr>
            </control>
          </mc:Choice>
        </mc:AlternateContent>
        <mc:AlternateContent xmlns:mc="http://schemas.openxmlformats.org/markup-compatibility/2006">
          <mc:Choice Requires="x14">
            <control shapeId="12321" r:id="rId36" name="Check Box 33">
              <controlPr defaultSize="0" autoFill="0" autoLine="0" autoPict="0">
                <anchor moveWithCells="1">
                  <from>
                    <xdr:col>7</xdr:col>
                    <xdr:colOff>47874</xdr:colOff>
                    <xdr:row>25</xdr:row>
                    <xdr:rowOff>0</xdr:rowOff>
                  </from>
                  <to>
                    <xdr:col>8</xdr:col>
                    <xdr:colOff>627154</xdr:colOff>
                    <xdr:row>25</xdr:row>
                    <xdr:rowOff>220222</xdr:rowOff>
                  </to>
                </anchor>
              </controlPr>
            </control>
          </mc:Choice>
        </mc:AlternateContent>
        <mc:AlternateContent xmlns:mc="http://schemas.openxmlformats.org/markup-compatibility/2006">
          <mc:Choice Requires="x14">
            <control shapeId="12322" r:id="rId37" name="Check Box 34">
              <controlPr defaultSize="0" autoFill="0" autoLine="0" autoPict="0">
                <anchor moveWithCells="1">
                  <from>
                    <xdr:col>7</xdr:col>
                    <xdr:colOff>47874</xdr:colOff>
                    <xdr:row>14</xdr:row>
                    <xdr:rowOff>0</xdr:rowOff>
                  </from>
                  <to>
                    <xdr:col>8</xdr:col>
                    <xdr:colOff>627154</xdr:colOff>
                    <xdr:row>14</xdr:row>
                    <xdr:rowOff>220222</xdr:rowOff>
                  </to>
                </anchor>
              </controlPr>
            </control>
          </mc:Choice>
        </mc:AlternateContent>
        <mc:AlternateContent xmlns:mc="http://schemas.openxmlformats.org/markup-compatibility/2006">
          <mc:Choice Requires="x14">
            <control shapeId="12323" r:id="rId38" name="Check Box 35">
              <controlPr defaultSize="0" autoFill="0" autoLine="0" autoPict="0">
                <anchor moveWithCells="1">
                  <from>
                    <xdr:col>7</xdr:col>
                    <xdr:colOff>47874</xdr:colOff>
                    <xdr:row>16</xdr:row>
                    <xdr:rowOff>0</xdr:rowOff>
                  </from>
                  <to>
                    <xdr:col>8</xdr:col>
                    <xdr:colOff>627154</xdr:colOff>
                    <xdr:row>16</xdr:row>
                    <xdr:rowOff>220222</xdr:rowOff>
                  </to>
                </anchor>
              </controlPr>
            </control>
          </mc:Choice>
        </mc:AlternateContent>
        <mc:AlternateContent xmlns:mc="http://schemas.openxmlformats.org/markup-compatibility/2006">
          <mc:Choice Requires="x14">
            <control shapeId="12324" r:id="rId39" name="Check Box 36">
              <controlPr defaultSize="0" autoFill="0" autoLine="0" autoPict="0">
                <anchor moveWithCells="1">
                  <from>
                    <xdr:col>7</xdr:col>
                    <xdr:colOff>47874</xdr:colOff>
                    <xdr:row>17</xdr:row>
                    <xdr:rowOff>0</xdr:rowOff>
                  </from>
                  <to>
                    <xdr:col>8</xdr:col>
                    <xdr:colOff>627154</xdr:colOff>
                    <xdr:row>17</xdr:row>
                    <xdr:rowOff>220222</xdr:rowOff>
                  </to>
                </anchor>
              </controlPr>
            </control>
          </mc:Choice>
        </mc:AlternateContent>
        <mc:AlternateContent xmlns:mc="http://schemas.openxmlformats.org/markup-compatibility/2006">
          <mc:Choice Requires="x14">
            <control shapeId="12325" r:id="rId40" name="Check Box 37">
              <controlPr defaultSize="0" autoFill="0" autoLine="0" autoPict="0">
                <anchor moveWithCells="1">
                  <from>
                    <xdr:col>7</xdr:col>
                    <xdr:colOff>47874</xdr:colOff>
                    <xdr:row>18</xdr:row>
                    <xdr:rowOff>0</xdr:rowOff>
                  </from>
                  <to>
                    <xdr:col>8</xdr:col>
                    <xdr:colOff>627154</xdr:colOff>
                    <xdr:row>18</xdr:row>
                    <xdr:rowOff>220222</xdr:rowOff>
                  </to>
                </anchor>
              </controlPr>
            </control>
          </mc:Choice>
        </mc:AlternateContent>
        <mc:AlternateContent xmlns:mc="http://schemas.openxmlformats.org/markup-compatibility/2006">
          <mc:Choice Requires="x14">
            <control shapeId="12326" r:id="rId41" name="Check Box 38">
              <controlPr defaultSize="0" autoFill="0" autoLine="0" autoPict="0">
                <anchor moveWithCells="1">
                  <from>
                    <xdr:col>7</xdr:col>
                    <xdr:colOff>38299</xdr:colOff>
                    <xdr:row>10</xdr:row>
                    <xdr:rowOff>0</xdr:rowOff>
                  </from>
                  <to>
                    <xdr:col>8</xdr:col>
                    <xdr:colOff>617579</xdr:colOff>
                    <xdr:row>10</xdr:row>
                    <xdr:rowOff>220222</xdr:rowOff>
                  </to>
                </anchor>
              </controlPr>
            </control>
          </mc:Choice>
        </mc:AlternateContent>
        <mc:AlternateContent xmlns:mc="http://schemas.openxmlformats.org/markup-compatibility/2006">
          <mc:Choice Requires="x14">
            <control shapeId="12327" r:id="rId42" name="Check Box 39">
              <controlPr defaultSize="0" autoFill="0" autoLine="0" autoPict="0">
                <anchor moveWithCells="1">
                  <from>
                    <xdr:col>7</xdr:col>
                    <xdr:colOff>47874</xdr:colOff>
                    <xdr:row>26</xdr:row>
                    <xdr:rowOff>19150</xdr:rowOff>
                  </from>
                  <to>
                    <xdr:col>8</xdr:col>
                    <xdr:colOff>627154</xdr:colOff>
                    <xdr:row>26</xdr:row>
                    <xdr:rowOff>239372</xdr:rowOff>
                  </to>
                </anchor>
              </controlPr>
            </control>
          </mc:Choice>
        </mc:AlternateContent>
        <mc:AlternateContent xmlns:mc="http://schemas.openxmlformats.org/markup-compatibility/2006">
          <mc:Choice Requires="x14">
            <control shapeId="12351" r:id="rId43" name="Check Box 63">
              <controlPr defaultSize="0" autoFill="0" autoLine="0" autoPict="0">
                <anchor moveWithCells="1">
                  <from>
                    <xdr:col>11</xdr:col>
                    <xdr:colOff>47874</xdr:colOff>
                    <xdr:row>3</xdr:row>
                    <xdr:rowOff>0</xdr:rowOff>
                  </from>
                  <to>
                    <xdr:col>12</xdr:col>
                    <xdr:colOff>627154</xdr:colOff>
                    <xdr:row>3</xdr:row>
                    <xdr:rowOff>220222</xdr:rowOff>
                  </to>
                </anchor>
              </controlPr>
            </control>
          </mc:Choice>
        </mc:AlternateContent>
        <mc:AlternateContent xmlns:mc="http://schemas.openxmlformats.org/markup-compatibility/2006">
          <mc:Choice Requires="x14">
            <control shapeId="12352" r:id="rId44" name="Check Box 64">
              <controlPr defaultSize="0" autoFill="0" autoLine="0" autoPict="0">
                <anchor moveWithCells="1">
                  <from>
                    <xdr:col>11</xdr:col>
                    <xdr:colOff>47874</xdr:colOff>
                    <xdr:row>4</xdr:row>
                    <xdr:rowOff>0</xdr:rowOff>
                  </from>
                  <to>
                    <xdr:col>12</xdr:col>
                    <xdr:colOff>627154</xdr:colOff>
                    <xdr:row>4</xdr:row>
                    <xdr:rowOff>220222</xdr:rowOff>
                  </to>
                </anchor>
              </controlPr>
            </control>
          </mc:Choice>
        </mc:AlternateContent>
        <mc:AlternateContent xmlns:mc="http://schemas.openxmlformats.org/markup-compatibility/2006">
          <mc:Choice Requires="x14">
            <control shapeId="12353" r:id="rId45" name="Check Box 65">
              <controlPr defaultSize="0" autoFill="0" autoLine="0" autoPict="0">
                <anchor moveWithCells="1">
                  <from>
                    <xdr:col>11</xdr:col>
                    <xdr:colOff>47874</xdr:colOff>
                    <xdr:row>6</xdr:row>
                    <xdr:rowOff>0</xdr:rowOff>
                  </from>
                  <to>
                    <xdr:col>12</xdr:col>
                    <xdr:colOff>627154</xdr:colOff>
                    <xdr:row>6</xdr:row>
                    <xdr:rowOff>220222</xdr:rowOff>
                  </to>
                </anchor>
              </controlPr>
            </control>
          </mc:Choice>
        </mc:AlternateContent>
        <mc:AlternateContent xmlns:mc="http://schemas.openxmlformats.org/markup-compatibility/2006">
          <mc:Choice Requires="x14">
            <control shapeId="12354" r:id="rId46" name="Check Box 66">
              <controlPr defaultSize="0" autoFill="0" autoLine="0" autoPict="0">
                <anchor moveWithCells="1">
                  <from>
                    <xdr:col>11</xdr:col>
                    <xdr:colOff>47874</xdr:colOff>
                    <xdr:row>7</xdr:row>
                    <xdr:rowOff>0</xdr:rowOff>
                  </from>
                  <to>
                    <xdr:col>12</xdr:col>
                    <xdr:colOff>627154</xdr:colOff>
                    <xdr:row>7</xdr:row>
                    <xdr:rowOff>220222</xdr:rowOff>
                  </to>
                </anchor>
              </controlPr>
            </control>
          </mc:Choice>
        </mc:AlternateContent>
        <mc:AlternateContent xmlns:mc="http://schemas.openxmlformats.org/markup-compatibility/2006">
          <mc:Choice Requires="x14">
            <control shapeId="12355" r:id="rId47" name="Check Box 67">
              <controlPr defaultSize="0" autoFill="0" autoLine="0" autoPict="0">
                <anchor moveWithCells="1">
                  <from>
                    <xdr:col>11</xdr:col>
                    <xdr:colOff>38299</xdr:colOff>
                    <xdr:row>12</xdr:row>
                    <xdr:rowOff>0</xdr:rowOff>
                  </from>
                  <to>
                    <xdr:col>12</xdr:col>
                    <xdr:colOff>617579</xdr:colOff>
                    <xdr:row>12</xdr:row>
                    <xdr:rowOff>220222</xdr:rowOff>
                  </to>
                </anchor>
              </controlPr>
            </control>
          </mc:Choice>
        </mc:AlternateContent>
        <mc:AlternateContent xmlns:mc="http://schemas.openxmlformats.org/markup-compatibility/2006">
          <mc:Choice Requires="x14">
            <control shapeId="12356" r:id="rId48" name="Check Box 68">
              <controlPr defaultSize="0" autoFill="0" autoLine="0" autoPict="0">
                <anchor moveWithCells="1">
                  <from>
                    <xdr:col>11</xdr:col>
                    <xdr:colOff>47874</xdr:colOff>
                    <xdr:row>11</xdr:row>
                    <xdr:rowOff>0</xdr:rowOff>
                  </from>
                  <to>
                    <xdr:col>12</xdr:col>
                    <xdr:colOff>627154</xdr:colOff>
                    <xdr:row>11</xdr:row>
                    <xdr:rowOff>220222</xdr:rowOff>
                  </to>
                </anchor>
              </controlPr>
            </control>
          </mc:Choice>
        </mc:AlternateContent>
        <mc:AlternateContent xmlns:mc="http://schemas.openxmlformats.org/markup-compatibility/2006">
          <mc:Choice Requires="x14">
            <control shapeId="12357" r:id="rId49" name="Check Box 69">
              <controlPr defaultSize="0" autoFill="0" autoLine="0" autoPict="0">
                <anchor moveWithCells="1">
                  <from>
                    <xdr:col>11</xdr:col>
                    <xdr:colOff>47874</xdr:colOff>
                    <xdr:row>25</xdr:row>
                    <xdr:rowOff>0</xdr:rowOff>
                  </from>
                  <to>
                    <xdr:col>12</xdr:col>
                    <xdr:colOff>627154</xdr:colOff>
                    <xdr:row>25</xdr:row>
                    <xdr:rowOff>220222</xdr:rowOff>
                  </to>
                </anchor>
              </controlPr>
            </control>
          </mc:Choice>
        </mc:AlternateContent>
        <mc:AlternateContent xmlns:mc="http://schemas.openxmlformats.org/markup-compatibility/2006">
          <mc:Choice Requires="x14">
            <control shapeId="12358" r:id="rId50" name="Check Box 70">
              <controlPr defaultSize="0" autoFill="0" autoLine="0" autoPict="0">
                <anchor moveWithCells="1">
                  <from>
                    <xdr:col>11</xdr:col>
                    <xdr:colOff>47874</xdr:colOff>
                    <xdr:row>14</xdr:row>
                    <xdr:rowOff>0</xdr:rowOff>
                  </from>
                  <to>
                    <xdr:col>12</xdr:col>
                    <xdr:colOff>627154</xdr:colOff>
                    <xdr:row>14</xdr:row>
                    <xdr:rowOff>220222</xdr:rowOff>
                  </to>
                </anchor>
              </controlPr>
            </control>
          </mc:Choice>
        </mc:AlternateContent>
        <mc:AlternateContent xmlns:mc="http://schemas.openxmlformats.org/markup-compatibility/2006">
          <mc:Choice Requires="x14">
            <control shapeId="12359" r:id="rId51" name="Check Box 71">
              <controlPr defaultSize="0" autoFill="0" autoLine="0" autoPict="0">
                <anchor moveWithCells="1">
                  <from>
                    <xdr:col>11</xdr:col>
                    <xdr:colOff>47874</xdr:colOff>
                    <xdr:row>16</xdr:row>
                    <xdr:rowOff>0</xdr:rowOff>
                  </from>
                  <to>
                    <xdr:col>12</xdr:col>
                    <xdr:colOff>627154</xdr:colOff>
                    <xdr:row>16</xdr:row>
                    <xdr:rowOff>220222</xdr:rowOff>
                  </to>
                </anchor>
              </controlPr>
            </control>
          </mc:Choice>
        </mc:AlternateContent>
        <mc:AlternateContent xmlns:mc="http://schemas.openxmlformats.org/markup-compatibility/2006">
          <mc:Choice Requires="x14">
            <control shapeId="12360" r:id="rId52" name="Check Box 72">
              <controlPr defaultSize="0" autoFill="0" autoLine="0" autoPict="0">
                <anchor moveWithCells="1">
                  <from>
                    <xdr:col>11</xdr:col>
                    <xdr:colOff>47874</xdr:colOff>
                    <xdr:row>17</xdr:row>
                    <xdr:rowOff>0</xdr:rowOff>
                  </from>
                  <to>
                    <xdr:col>12</xdr:col>
                    <xdr:colOff>627154</xdr:colOff>
                    <xdr:row>17</xdr:row>
                    <xdr:rowOff>220222</xdr:rowOff>
                  </to>
                </anchor>
              </controlPr>
            </control>
          </mc:Choice>
        </mc:AlternateContent>
        <mc:AlternateContent xmlns:mc="http://schemas.openxmlformats.org/markup-compatibility/2006">
          <mc:Choice Requires="x14">
            <control shapeId="12361" r:id="rId53" name="Check Box 73">
              <controlPr defaultSize="0" autoFill="0" autoLine="0" autoPict="0">
                <anchor moveWithCells="1">
                  <from>
                    <xdr:col>11</xdr:col>
                    <xdr:colOff>47874</xdr:colOff>
                    <xdr:row>18</xdr:row>
                    <xdr:rowOff>0</xdr:rowOff>
                  </from>
                  <to>
                    <xdr:col>12</xdr:col>
                    <xdr:colOff>627154</xdr:colOff>
                    <xdr:row>18</xdr:row>
                    <xdr:rowOff>220222</xdr:rowOff>
                  </to>
                </anchor>
              </controlPr>
            </control>
          </mc:Choice>
        </mc:AlternateContent>
        <mc:AlternateContent xmlns:mc="http://schemas.openxmlformats.org/markup-compatibility/2006">
          <mc:Choice Requires="x14">
            <control shapeId="12362" r:id="rId54" name="Check Box 74">
              <controlPr defaultSize="0" autoFill="0" autoLine="0" autoPict="0">
                <anchor moveWithCells="1">
                  <from>
                    <xdr:col>11</xdr:col>
                    <xdr:colOff>38299</xdr:colOff>
                    <xdr:row>10</xdr:row>
                    <xdr:rowOff>0</xdr:rowOff>
                  </from>
                  <to>
                    <xdr:col>12</xdr:col>
                    <xdr:colOff>617579</xdr:colOff>
                    <xdr:row>10</xdr:row>
                    <xdr:rowOff>220222</xdr:rowOff>
                  </to>
                </anchor>
              </controlPr>
            </control>
          </mc:Choice>
        </mc:AlternateContent>
        <mc:AlternateContent xmlns:mc="http://schemas.openxmlformats.org/markup-compatibility/2006">
          <mc:Choice Requires="x14">
            <control shapeId="12363" r:id="rId55" name="Check Box 75">
              <controlPr defaultSize="0" autoFill="0" autoLine="0" autoPict="0">
                <anchor moveWithCells="1">
                  <from>
                    <xdr:col>11</xdr:col>
                    <xdr:colOff>47874</xdr:colOff>
                    <xdr:row>26</xdr:row>
                    <xdr:rowOff>19150</xdr:rowOff>
                  </from>
                  <to>
                    <xdr:col>12</xdr:col>
                    <xdr:colOff>627154</xdr:colOff>
                    <xdr:row>26</xdr:row>
                    <xdr:rowOff>239372</xdr:rowOff>
                  </to>
                </anchor>
              </controlPr>
            </control>
          </mc:Choice>
        </mc:AlternateContent>
        <mc:AlternateContent xmlns:mc="http://schemas.openxmlformats.org/markup-compatibility/2006">
          <mc:Choice Requires="x14">
            <control shapeId="12364" r:id="rId56" name="Check Box 76">
              <controlPr defaultSize="0" autoFill="0" autoLine="0" autoPict="0">
                <anchor moveWithCells="1">
                  <from>
                    <xdr:col>1</xdr:col>
                    <xdr:colOff>47874</xdr:colOff>
                    <xdr:row>27</xdr:row>
                    <xdr:rowOff>19150</xdr:rowOff>
                  </from>
                  <to>
                    <xdr:col>2</xdr:col>
                    <xdr:colOff>627154</xdr:colOff>
                    <xdr:row>27</xdr:row>
                    <xdr:rowOff>239372</xdr:rowOff>
                  </to>
                </anchor>
              </controlPr>
            </control>
          </mc:Choice>
        </mc:AlternateContent>
        <mc:AlternateContent xmlns:mc="http://schemas.openxmlformats.org/markup-compatibility/2006">
          <mc:Choice Requires="x14">
            <control shapeId="12365" r:id="rId57" name="Check Box 77">
              <controlPr defaultSize="0" autoFill="0" autoLine="0" autoPict="0">
                <anchor moveWithCells="1">
                  <from>
                    <xdr:col>5</xdr:col>
                    <xdr:colOff>47874</xdr:colOff>
                    <xdr:row>27</xdr:row>
                    <xdr:rowOff>19150</xdr:rowOff>
                  </from>
                  <to>
                    <xdr:col>6</xdr:col>
                    <xdr:colOff>627154</xdr:colOff>
                    <xdr:row>27</xdr:row>
                    <xdr:rowOff>239372</xdr:rowOff>
                  </to>
                </anchor>
              </controlPr>
            </control>
          </mc:Choice>
        </mc:AlternateContent>
        <mc:AlternateContent xmlns:mc="http://schemas.openxmlformats.org/markup-compatibility/2006">
          <mc:Choice Requires="x14">
            <control shapeId="12366" r:id="rId58" name="Check Box 78">
              <controlPr defaultSize="0" autoFill="0" autoLine="0" autoPict="0">
                <anchor moveWithCells="1">
                  <from>
                    <xdr:col>7</xdr:col>
                    <xdr:colOff>47874</xdr:colOff>
                    <xdr:row>27</xdr:row>
                    <xdr:rowOff>19150</xdr:rowOff>
                  </from>
                  <to>
                    <xdr:col>8</xdr:col>
                    <xdr:colOff>627154</xdr:colOff>
                    <xdr:row>27</xdr:row>
                    <xdr:rowOff>239372</xdr:rowOff>
                  </to>
                </anchor>
              </controlPr>
            </control>
          </mc:Choice>
        </mc:AlternateContent>
        <mc:AlternateContent xmlns:mc="http://schemas.openxmlformats.org/markup-compatibility/2006">
          <mc:Choice Requires="x14">
            <control shapeId="12368" r:id="rId59" name="Check Box 80">
              <controlPr defaultSize="0" autoFill="0" autoLine="0" autoPict="0">
                <anchor moveWithCells="1">
                  <from>
                    <xdr:col>11</xdr:col>
                    <xdr:colOff>47874</xdr:colOff>
                    <xdr:row>27</xdr:row>
                    <xdr:rowOff>19150</xdr:rowOff>
                  </from>
                  <to>
                    <xdr:col>12</xdr:col>
                    <xdr:colOff>627154</xdr:colOff>
                    <xdr:row>27</xdr:row>
                    <xdr:rowOff>239372</xdr:rowOff>
                  </to>
                </anchor>
              </controlPr>
            </control>
          </mc:Choice>
        </mc:AlternateContent>
        <mc:AlternateContent xmlns:mc="http://schemas.openxmlformats.org/markup-compatibility/2006">
          <mc:Choice Requires="x14">
            <control shapeId="12369" r:id="rId60" name="Check Box 81">
              <controlPr defaultSize="0" autoFill="0" autoLine="0" autoPict="0">
                <anchor moveWithCells="1">
                  <from>
                    <xdr:col>1</xdr:col>
                    <xdr:colOff>47874</xdr:colOff>
                    <xdr:row>5</xdr:row>
                    <xdr:rowOff>0</xdr:rowOff>
                  </from>
                  <to>
                    <xdr:col>2</xdr:col>
                    <xdr:colOff>627154</xdr:colOff>
                    <xdr:row>5</xdr:row>
                    <xdr:rowOff>220222</xdr:rowOff>
                  </to>
                </anchor>
              </controlPr>
            </control>
          </mc:Choice>
        </mc:AlternateContent>
        <mc:AlternateContent xmlns:mc="http://schemas.openxmlformats.org/markup-compatibility/2006">
          <mc:Choice Requires="x14">
            <control shapeId="12370" r:id="rId61" name="Check Box 82">
              <controlPr defaultSize="0" autoFill="0" autoLine="0" autoPict="0">
                <anchor moveWithCells="1">
                  <from>
                    <xdr:col>5</xdr:col>
                    <xdr:colOff>47874</xdr:colOff>
                    <xdr:row>5</xdr:row>
                    <xdr:rowOff>0</xdr:rowOff>
                  </from>
                  <to>
                    <xdr:col>6</xdr:col>
                    <xdr:colOff>627154</xdr:colOff>
                    <xdr:row>5</xdr:row>
                    <xdr:rowOff>220222</xdr:rowOff>
                  </to>
                </anchor>
              </controlPr>
            </control>
          </mc:Choice>
        </mc:AlternateContent>
        <mc:AlternateContent xmlns:mc="http://schemas.openxmlformats.org/markup-compatibility/2006">
          <mc:Choice Requires="x14">
            <control shapeId="12371" r:id="rId62" name="Check Box 83">
              <controlPr defaultSize="0" autoFill="0" autoLine="0" autoPict="0">
                <anchor moveWithCells="1">
                  <from>
                    <xdr:col>7</xdr:col>
                    <xdr:colOff>47874</xdr:colOff>
                    <xdr:row>5</xdr:row>
                    <xdr:rowOff>0</xdr:rowOff>
                  </from>
                  <to>
                    <xdr:col>8</xdr:col>
                    <xdr:colOff>627154</xdr:colOff>
                    <xdr:row>5</xdr:row>
                    <xdr:rowOff>220222</xdr:rowOff>
                  </to>
                </anchor>
              </controlPr>
            </control>
          </mc:Choice>
        </mc:AlternateContent>
        <mc:AlternateContent xmlns:mc="http://schemas.openxmlformats.org/markup-compatibility/2006">
          <mc:Choice Requires="x14">
            <control shapeId="12373" r:id="rId63" name="Check Box 85">
              <controlPr defaultSize="0" autoFill="0" autoLine="0" autoPict="0">
                <anchor moveWithCells="1">
                  <from>
                    <xdr:col>11</xdr:col>
                    <xdr:colOff>47874</xdr:colOff>
                    <xdr:row>5</xdr:row>
                    <xdr:rowOff>0</xdr:rowOff>
                  </from>
                  <to>
                    <xdr:col>12</xdr:col>
                    <xdr:colOff>627154</xdr:colOff>
                    <xdr:row>5</xdr:row>
                    <xdr:rowOff>220222</xdr:rowOff>
                  </to>
                </anchor>
              </controlPr>
            </control>
          </mc:Choice>
        </mc:AlternateContent>
        <mc:AlternateContent xmlns:mc="http://schemas.openxmlformats.org/markup-compatibility/2006">
          <mc:Choice Requires="x14">
            <control shapeId="12374" r:id="rId64" name="Check Box 86">
              <controlPr defaultSize="0" autoFill="0" autoLine="0" autoPict="0">
                <anchor moveWithCells="1">
                  <from>
                    <xdr:col>1</xdr:col>
                    <xdr:colOff>47874</xdr:colOff>
                    <xdr:row>15</xdr:row>
                    <xdr:rowOff>0</xdr:rowOff>
                  </from>
                  <to>
                    <xdr:col>2</xdr:col>
                    <xdr:colOff>627154</xdr:colOff>
                    <xdr:row>15</xdr:row>
                    <xdr:rowOff>220222</xdr:rowOff>
                  </to>
                </anchor>
              </controlPr>
            </control>
          </mc:Choice>
        </mc:AlternateContent>
        <mc:AlternateContent xmlns:mc="http://schemas.openxmlformats.org/markup-compatibility/2006">
          <mc:Choice Requires="x14">
            <control shapeId="12375" r:id="rId65" name="Check Box 87">
              <controlPr defaultSize="0" autoFill="0" autoLine="0" autoPict="0">
                <anchor moveWithCells="1">
                  <from>
                    <xdr:col>5</xdr:col>
                    <xdr:colOff>47874</xdr:colOff>
                    <xdr:row>15</xdr:row>
                    <xdr:rowOff>0</xdr:rowOff>
                  </from>
                  <to>
                    <xdr:col>6</xdr:col>
                    <xdr:colOff>627154</xdr:colOff>
                    <xdr:row>15</xdr:row>
                    <xdr:rowOff>220222</xdr:rowOff>
                  </to>
                </anchor>
              </controlPr>
            </control>
          </mc:Choice>
        </mc:AlternateContent>
        <mc:AlternateContent xmlns:mc="http://schemas.openxmlformats.org/markup-compatibility/2006">
          <mc:Choice Requires="x14">
            <control shapeId="12376" r:id="rId66" name="Check Box 88">
              <controlPr defaultSize="0" autoFill="0" autoLine="0" autoPict="0">
                <anchor moveWithCells="1">
                  <from>
                    <xdr:col>7</xdr:col>
                    <xdr:colOff>47874</xdr:colOff>
                    <xdr:row>15</xdr:row>
                    <xdr:rowOff>0</xdr:rowOff>
                  </from>
                  <to>
                    <xdr:col>8</xdr:col>
                    <xdr:colOff>627154</xdr:colOff>
                    <xdr:row>15</xdr:row>
                    <xdr:rowOff>220222</xdr:rowOff>
                  </to>
                </anchor>
              </controlPr>
            </control>
          </mc:Choice>
        </mc:AlternateContent>
        <mc:AlternateContent xmlns:mc="http://schemas.openxmlformats.org/markup-compatibility/2006">
          <mc:Choice Requires="x14">
            <control shapeId="12378" r:id="rId67" name="Check Box 90">
              <controlPr defaultSize="0" autoFill="0" autoLine="0" autoPict="0">
                <anchor moveWithCells="1">
                  <from>
                    <xdr:col>11</xdr:col>
                    <xdr:colOff>47874</xdr:colOff>
                    <xdr:row>15</xdr:row>
                    <xdr:rowOff>0</xdr:rowOff>
                  </from>
                  <to>
                    <xdr:col>12</xdr:col>
                    <xdr:colOff>627154</xdr:colOff>
                    <xdr:row>15</xdr:row>
                    <xdr:rowOff>220222</xdr:rowOff>
                  </to>
                </anchor>
              </controlPr>
            </control>
          </mc:Choice>
        </mc:AlternateContent>
        <mc:AlternateContent xmlns:mc="http://schemas.openxmlformats.org/markup-compatibility/2006">
          <mc:Choice Requires="x14">
            <control shapeId="12395" r:id="rId68" name="Check Box 107">
              <controlPr defaultSize="0" autoFill="0" autoLine="0" autoPict="0">
                <anchor moveWithCells="1">
                  <from>
                    <xdr:col>3</xdr:col>
                    <xdr:colOff>47874</xdr:colOff>
                    <xdr:row>3</xdr:row>
                    <xdr:rowOff>0</xdr:rowOff>
                  </from>
                  <to>
                    <xdr:col>4</xdr:col>
                    <xdr:colOff>627154</xdr:colOff>
                    <xdr:row>3</xdr:row>
                    <xdr:rowOff>220222</xdr:rowOff>
                  </to>
                </anchor>
              </controlPr>
            </control>
          </mc:Choice>
        </mc:AlternateContent>
        <mc:AlternateContent xmlns:mc="http://schemas.openxmlformats.org/markup-compatibility/2006">
          <mc:Choice Requires="x14">
            <control shapeId="12396" r:id="rId69" name="Check Box 108">
              <controlPr defaultSize="0" autoFill="0" autoLine="0" autoPict="0">
                <anchor moveWithCells="1">
                  <from>
                    <xdr:col>3</xdr:col>
                    <xdr:colOff>47874</xdr:colOff>
                    <xdr:row>4</xdr:row>
                    <xdr:rowOff>0</xdr:rowOff>
                  </from>
                  <to>
                    <xdr:col>4</xdr:col>
                    <xdr:colOff>627154</xdr:colOff>
                    <xdr:row>4</xdr:row>
                    <xdr:rowOff>220222</xdr:rowOff>
                  </to>
                </anchor>
              </controlPr>
            </control>
          </mc:Choice>
        </mc:AlternateContent>
        <mc:AlternateContent xmlns:mc="http://schemas.openxmlformats.org/markup-compatibility/2006">
          <mc:Choice Requires="x14">
            <control shapeId="12397" r:id="rId70" name="Check Box 109">
              <controlPr defaultSize="0" autoFill="0" autoLine="0" autoPict="0">
                <anchor moveWithCells="1">
                  <from>
                    <xdr:col>3</xdr:col>
                    <xdr:colOff>47874</xdr:colOff>
                    <xdr:row>6</xdr:row>
                    <xdr:rowOff>0</xdr:rowOff>
                  </from>
                  <to>
                    <xdr:col>4</xdr:col>
                    <xdr:colOff>627154</xdr:colOff>
                    <xdr:row>6</xdr:row>
                    <xdr:rowOff>220222</xdr:rowOff>
                  </to>
                </anchor>
              </controlPr>
            </control>
          </mc:Choice>
        </mc:AlternateContent>
        <mc:AlternateContent xmlns:mc="http://schemas.openxmlformats.org/markup-compatibility/2006">
          <mc:Choice Requires="x14">
            <control shapeId="12398" r:id="rId71" name="Check Box 110">
              <controlPr defaultSize="0" autoFill="0" autoLine="0" autoPict="0">
                <anchor moveWithCells="1">
                  <from>
                    <xdr:col>3</xdr:col>
                    <xdr:colOff>47874</xdr:colOff>
                    <xdr:row>7</xdr:row>
                    <xdr:rowOff>0</xdr:rowOff>
                  </from>
                  <to>
                    <xdr:col>4</xdr:col>
                    <xdr:colOff>627154</xdr:colOff>
                    <xdr:row>7</xdr:row>
                    <xdr:rowOff>220222</xdr:rowOff>
                  </to>
                </anchor>
              </controlPr>
            </control>
          </mc:Choice>
        </mc:AlternateContent>
        <mc:AlternateContent xmlns:mc="http://schemas.openxmlformats.org/markup-compatibility/2006">
          <mc:Choice Requires="x14">
            <control shapeId="12399" r:id="rId72" name="Check Box 111">
              <controlPr defaultSize="0" autoFill="0" autoLine="0" autoPict="0">
                <anchor moveWithCells="1">
                  <from>
                    <xdr:col>3</xdr:col>
                    <xdr:colOff>38299</xdr:colOff>
                    <xdr:row>12</xdr:row>
                    <xdr:rowOff>0</xdr:rowOff>
                  </from>
                  <to>
                    <xdr:col>4</xdr:col>
                    <xdr:colOff>617579</xdr:colOff>
                    <xdr:row>12</xdr:row>
                    <xdr:rowOff>220222</xdr:rowOff>
                  </to>
                </anchor>
              </controlPr>
            </control>
          </mc:Choice>
        </mc:AlternateContent>
        <mc:AlternateContent xmlns:mc="http://schemas.openxmlformats.org/markup-compatibility/2006">
          <mc:Choice Requires="x14">
            <control shapeId="12400" r:id="rId73" name="Check Box 112">
              <controlPr defaultSize="0" autoFill="0" autoLine="0" autoPict="0">
                <anchor moveWithCells="1">
                  <from>
                    <xdr:col>3</xdr:col>
                    <xdr:colOff>47874</xdr:colOff>
                    <xdr:row>11</xdr:row>
                    <xdr:rowOff>0</xdr:rowOff>
                  </from>
                  <to>
                    <xdr:col>4</xdr:col>
                    <xdr:colOff>627154</xdr:colOff>
                    <xdr:row>11</xdr:row>
                    <xdr:rowOff>220222</xdr:rowOff>
                  </to>
                </anchor>
              </controlPr>
            </control>
          </mc:Choice>
        </mc:AlternateContent>
        <mc:AlternateContent xmlns:mc="http://schemas.openxmlformats.org/markup-compatibility/2006">
          <mc:Choice Requires="x14">
            <control shapeId="12401" r:id="rId74" name="Check Box 113">
              <controlPr defaultSize="0" autoFill="0" autoLine="0" autoPict="0">
                <anchor moveWithCells="1">
                  <from>
                    <xdr:col>3</xdr:col>
                    <xdr:colOff>47874</xdr:colOff>
                    <xdr:row>25</xdr:row>
                    <xdr:rowOff>0</xdr:rowOff>
                  </from>
                  <to>
                    <xdr:col>4</xdr:col>
                    <xdr:colOff>627154</xdr:colOff>
                    <xdr:row>25</xdr:row>
                    <xdr:rowOff>220222</xdr:rowOff>
                  </to>
                </anchor>
              </controlPr>
            </control>
          </mc:Choice>
        </mc:AlternateContent>
        <mc:AlternateContent xmlns:mc="http://schemas.openxmlformats.org/markup-compatibility/2006">
          <mc:Choice Requires="x14">
            <control shapeId="12402" r:id="rId75" name="Check Box 114">
              <controlPr defaultSize="0" autoFill="0" autoLine="0" autoPict="0">
                <anchor moveWithCells="1">
                  <from>
                    <xdr:col>3</xdr:col>
                    <xdr:colOff>47874</xdr:colOff>
                    <xdr:row>14</xdr:row>
                    <xdr:rowOff>0</xdr:rowOff>
                  </from>
                  <to>
                    <xdr:col>4</xdr:col>
                    <xdr:colOff>627154</xdr:colOff>
                    <xdr:row>14</xdr:row>
                    <xdr:rowOff>220222</xdr:rowOff>
                  </to>
                </anchor>
              </controlPr>
            </control>
          </mc:Choice>
        </mc:AlternateContent>
        <mc:AlternateContent xmlns:mc="http://schemas.openxmlformats.org/markup-compatibility/2006">
          <mc:Choice Requires="x14">
            <control shapeId="12403" r:id="rId76" name="Check Box 115">
              <controlPr defaultSize="0" autoFill="0" autoLine="0" autoPict="0">
                <anchor moveWithCells="1">
                  <from>
                    <xdr:col>3</xdr:col>
                    <xdr:colOff>47874</xdr:colOff>
                    <xdr:row>16</xdr:row>
                    <xdr:rowOff>0</xdr:rowOff>
                  </from>
                  <to>
                    <xdr:col>4</xdr:col>
                    <xdr:colOff>627154</xdr:colOff>
                    <xdr:row>16</xdr:row>
                    <xdr:rowOff>220222</xdr:rowOff>
                  </to>
                </anchor>
              </controlPr>
            </control>
          </mc:Choice>
        </mc:AlternateContent>
        <mc:AlternateContent xmlns:mc="http://schemas.openxmlformats.org/markup-compatibility/2006">
          <mc:Choice Requires="x14">
            <control shapeId="12404" r:id="rId77" name="Check Box 116">
              <controlPr defaultSize="0" autoFill="0" autoLine="0" autoPict="0">
                <anchor moveWithCells="1">
                  <from>
                    <xdr:col>3</xdr:col>
                    <xdr:colOff>47874</xdr:colOff>
                    <xdr:row>17</xdr:row>
                    <xdr:rowOff>0</xdr:rowOff>
                  </from>
                  <to>
                    <xdr:col>4</xdr:col>
                    <xdr:colOff>627154</xdr:colOff>
                    <xdr:row>17</xdr:row>
                    <xdr:rowOff>220222</xdr:rowOff>
                  </to>
                </anchor>
              </controlPr>
            </control>
          </mc:Choice>
        </mc:AlternateContent>
        <mc:AlternateContent xmlns:mc="http://schemas.openxmlformats.org/markup-compatibility/2006">
          <mc:Choice Requires="x14">
            <control shapeId="12405" r:id="rId78" name="Check Box 117">
              <controlPr defaultSize="0" autoFill="0" autoLine="0" autoPict="0">
                <anchor moveWithCells="1">
                  <from>
                    <xdr:col>3</xdr:col>
                    <xdr:colOff>47874</xdr:colOff>
                    <xdr:row>18</xdr:row>
                    <xdr:rowOff>0</xdr:rowOff>
                  </from>
                  <to>
                    <xdr:col>4</xdr:col>
                    <xdr:colOff>627154</xdr:colOff>
                    <xdr:row>18</xdr:row>
                    <xdr:rowOff>220222</xdr:rowOff>
                  </to>
                </anchor>
              </controlPr>
            </control>
          </mc:Choice>
        </mc:AlternateContent>
        <mc:AlternateContent xmlns:mc="http://schemas.openxmlformats.org/markup-compatibility/2006">
          <mc:Choice Requires="x14">
            <control shapeId="12406" r:id="rId79" name="Check Box 118">
              <controlPr defaultSize="0" autoFill="0" autoLine="0" autoPict="0">
                <anchor moveWithCells="1">
                  <from>
                    <xdr:col>3</xdr:col>
                    <xdr:colOff>38299</xdr:colOff>
                    <xdr:row>10</xdr:row>
                    <xdr:rowOff>0</xdr:rowOff>
                  </from>
                  <to>
                    <xdr:col>4</xdr:col>
                    <xdr:colOff>617579</xdr:colOff>
                    <xdr:row>10</xdr:row>
                    <xdr:rowOff>220222</xdr:rowOff>
                  </to>
                </anchor>
              </controlPr>
            </control>
          </mc:Choice>
        </mc:AlternateContent>
        <mc:AlternateContent xmlns:mc="http://schemas.openxmlformats.org/markup-compatibility/2006">
          <mc:Choice Requires="x14">
            <control shapeId="12407" r:id="rId80" name="Check Box 119">
              <controlPr defaultSize="0" autoFill="0" autoLine="0" autoPict="0">
                <anchor moveWithCells="1">
                  <from>
                    <xdr:col>3</xdr:col>
                    <xdr:colOff>47874</xdr:colOff>
                    <xdr:row>26</xdr:row>
                    <xdr:rowOff>19150</xdr:rowOff>
                  </from>
                  <to>
                    <xdr:col>4</xdr:col>
                    <xdr:colOff>627154</xdr:colOff>
                    <xdr:row>26</xdr:row>
                    <xdr:rowOff>239372</xdr:rowOff>
                  </to>
                </anchor>
              </controlPr>
            </control>
          </mc:Choice>
        </mc:AlternateContent>
        <mc:AlternateContent xmlns:mc="http://schemas.openxmlformats.org/markup-compatibility/2006">
          <mc:Choice Requires="x14">
            <control shapeId="12408" r:id="rId81" name="Check Box 120">
              <controlPr defaultSize="0" autoFill="0" autoLine="0" autoPict="0">
                <anchor moveWithCells="1">
                  <from>
                    <xdr:col>3</xdr:col>
                    <xdr:colOff>47874</xdr:colOff>
                    <xdr:row>27</xdr:row>
                    <xdr:rowOff>19150</xdr:rowOff>
                  </from>
                  <to>
                    <xdr:col>4</xdr:col>
                    <xdr:colOff>627154</xdr:colOff>
                    <xdr:row>27</xdr:row>
                    <xdr:rowOff>239372</xdr:rowOff>
                  </to>
                </anchor>
              </controlPr>
            </control>
          </mc:Choice>
        </mc:AlternateContent>
        <mc:AlternateContent xmlns:mc="http://schemas.openxmlformats.org/markup-compatibility/2006">
          <mc:Choice Requires="x14">
            <control shapeId="12409" r:id="rId82" name="Check Box 121">
              <controlPr defaultSize="0" autoFill="0" autoLine="0" autoPict="0">
                <anchor moveWithCells="1">
                  <from>
                    <xdr:col>3</xdr:col>
                    <xdr:colOff>47874</xdr:colOff>
                    <xdr:row>5</xdr:row>
                    <xdr:rowOff>0</xdr:rowOff>
                  </from>
                  <to>
                    <xdr:col>4</xdr:col>
                    <xdr:colOff>627154</xdr:colOff>
                    <xdr:row>5</xdr:row>
                    <xdr:rowOff>220222</xdr:rowOff>
                  </to>
                </anchor>
              </controlPr>
            </control>
          </mc:Choice>
        </mc:AlternateContent>
        <mc:AlternateContent xmlns:mc="http://schemas.openxmlformats.org/markup-compatibility/2006">
          <mc:Choice Requires="x14">
            <control shapeId="12410" r:id="rId83" name="Check Box 122">
              <controlPr defaultSize="0" autoFill="0" autoLine="0" autoPict="0">
                <anchor moveWithCells="1">
                  <from>
                    <xdr:col>3</xdr:col>
                    <xdr:colOff>47874</xdr:colOff>
                    <xdr:row>15</xdr:row>
                    <xdr:rowOff>0</xdr:rowOff>
                  </from>
                  <to>
                    <xdr:col>4</xdr:col>
                    <xdr:colOff>627154</xdr:colOff>
                    <xdr:row>15</xdr:row>
                    <xdr:rowOff>220222</xdr:rowOff>
                  </to>
                </anchor>
              </controlPr>
            </control>
          </mc:Choice>
        </mc:AlternateContent>
        <mc:AlternateContent xmlns:mc="http://schemas.openxmlformats.org/markup-compatibility/2006">
          <mc:Choice Requires="x14">
            <control shapeId="12414" r:id="rId84" name="Check Box 126">
              <controlPr defaultSize="0" autoFill="0" autoLine="0" autoPict="0">
                <anchor moveWithCells="1">
                  <from>
                    <xdr:col>13</xdr:col>
                    <xdr:colOff>47874</xdr:colOff>
                    <xdr:row>3</xdr:row>
                    <xdr:rowOff>0</xdr:rowOff>
                  </from>
                  <to>
                    <xdr:col>14</xdr:col>
                    <xdr:colOff>627154</xdr:colOff>
                    <xdr:row>3</xdr:row>
                    <xdr:rowOff>220222</xdr:rowOff>
                  </to>
                </anchor>
              </controlPr>
            </control>
          </mc:Choice>
        </mc:AlternateContent>
        <mc:AlternateContent xmlns:mc="http://schemas.openxmlformats.org/markup-compatibility/2006">
          <mc:Choice Requires="x14">
            <control shapeId="12415" r:id="rId85" name="Check Box 127">
              <controlPr defaultSize="0" autoFill="0" autoLine="0" autoPict="0">
                <anchor moveWithCells="1">
                  <from>
                    <xdr:col>13</xdr:col>
                    <xdr:colOff>47874</xdr:colOff>
                    <xdr:row>4</xdr:row>
                    <xdr:rowOff>0</xdr:rowOff>
                  </from>
                  <to>
                    <xdr:col>14</xdr:col>
                    <xdr:colOff>627154</xdr:colOff>
                    <xdr:row>4</xdr:row>
                    <xdr:rowOff>220222</xdr:rowOff>
                  </to>
                </anchor>
              </controlPr>
            </control>
          </mc:Choice>
        </mc:AlternateContent>
        <mc:AlternateContent xmlns:mc="http://schemas.openxmlformats.org/markup-compatibility/2006">
          <mc:Choice Requires="x14">
            <control shapeId="12416" r:id="rId86" name="Check Box 128">
              <controlPr defaultSize="0" autoFill="0" autoLine="0" autoPict="0">
                <anchor moveWithCells="1">
                  <from>
                    <xdr:col>13</xdr:col>
                    <xdr:colOff>47874</xdr:colOff>
                    <xdr:row>6</xdr:row>
                    <xdr:rowOff>0</xdr:rowOff>
                  </from>
                  <to>
                    <xdr:col>14</xdr:col>
                    <xdr:colOff>627154</xdr:colOff>
                    <xdr:row>6</xdr:row>
                    <xdr:rowOff>220222</xdr:rowOff>
                  </to>
                </anchor>
              </controlPr>
            </control>
          </mc:Choice>
        </mc:AlternateContent>
        <mc:AlternateContent xmlns:mc="http://schemas.openxmlformats.org/markup-compatibility/2006">
          <mc:Choice Requires="x14">
            <control shapeId="12417" r:id="rId87" name="Check Box 129">
              <controlPr defaultSize="0" autoFill="0" autoLine="0" autoPict="0">
                <anchor moveWithCells="1">
                  <from>
                    <xdr:col>13</xdr:col>
                    <xdr:colOff>47874</xdr:colOff>
                    <xdr:row>7</xdr:row>
                    <xdr:rowOff>0</xdr:rowOff>
                  </from>
                  <to>
                    <xdr:col>14</xdr:col>
                    <xdr:colOff>627154</xdr:colOff>
                    <xdr:row>7</xdr:row>
                    <xdr:rowOff>220222</xdr:rowOff>
                  </to>
                </anchor>
              </controlPr>
            </control>
          </mc:Choice>
        </mc:AlternateContent>
        <mc:AlternateContent xmlns:mc="http://schemas.openxmlformats.org/markup-compatibility/2006">
          <mc:Choice Requires="x14">
            <control shapeId="12418" r:id="rId88" name="Check Box 130">
              <controlPr defaultSize="0" autoFill="0" autoLine="0" autoPict="0">
                <anchor moveWithCells="1">
                  <from>
                    <xdr:col>13</xdr:col>
                    <xdr:colOff>38299</xdr:colOff>
                    <xdr:row>12</xdr:row>
                    <xdr:rowOff>0</xdr:rowOff>
                  </from>
                  <to>
                    <xdr:col>14</xdr:col>
                    <xdr:colOff>617579</xdr:colOff>
                    <xdr:row>12</xdr:row>
                    <xdr:rowOff>220222</xdr:rowOff>
                  </to>
                </anchor>
              </controlPr>
            </control>
          </mc:Choice>
        </mc:AlternateContent>
        <mc:AlternateContent xmlns:mc="http://schemas.openxmlformats.org/markup-compatibility/2006">
          <mc:Choice Requires="x14">
            <control shapeId="12419" r:id="rId89" name="Check Box 131">
              <controlPr defaultSize="0" autoFill="0" autoLine="0" autoPict="0">
                <anchor moveWithCells="1">
                  <from>
                    <xdr:col>13</xdr:col>
                    <xdr:colOff>47874</xdr:colOff>
                    <xdr:row>11</xdr:row>
                    <xdr:rowOff>0</xdr:rowOff>
                  </from>
                  <to>
                    <xdr:col>14</xdr:col>
                    <xdr:colOff>627154</xdr:colOff>
                    <xdr:row>11</xdr:row>
                    <xdr:rowOff>220222</xdr:rowOff>
                  </to>
                </anchor>
              </controlPr>
            </control>
          </mc:Choice>
        </mc:AlternateContent>
        <mc:AlternateContent xmlns:mc="http://schemas.openxmlformats.org/markup-compatibility/2006">
          <mc:Choice Requires="x14">
            <control shapeId="12420" r:id="rId90" name="Check Box 132">
              <controlPr defaultSize="0" autoFill="0" autoLine="0" autoPict="0">
                <anchor moveWithCells="1">
                  <from>
                    <xdr:col>13</xdr:col>
                    <xdr:colOff>47874</xdr:colOff>
                    <xdr:row>25</xdr:row>
                    <xdr:rowOff>0</xdr:rowOff>
                  </from>
                  <to>
                    <xdr:col>14</xdr:col>
                    <xdr:colOff>627154</xdr:colOff>
                    <xdr:row>25</xdr:row>
                    <xdr:rowOff>220222</xdr:rowOff>
                  </to>
                </anchor>
              </controlPr>
            </control>
          </mc:Choice>
        </mc:AlternateContent>
        <mc:AlternateContent xmlns:mc="http://schemas.openxmlformats.org/markup-compatibility/2006">
          <mc:Choice Requires="x14">
            <control shapeId="12421" r:id="rId91" name="Check Box 133">
              <controlPr defaultSize="0" autoFill="0" autoLine="0" autoPict="0">
                <anchor moveWithCells="1">
                  <from>
                    <xdr:col>13</xdr:col>
                    <xdr:colOff>47874</xdr:colOff>
                    <xdr:row>14</xdr:row>
                    <xdr:rowOff>0</xdr:rowOff>
                  </from>
                  <to>
                    <xdr:col>14</xdr:col>
                    <xdr:colOff>627154</xdr:colOff>
                    <xdr:row>14</xdr:row>
                    <xdr:rowOff>220222</xdr:rowOff>
                  </to>
                </anchor>
              </controlPr>
            </control>
          </mc:Choice>
        </mc:AlternateContent>
        <mc:AlternateContent xmlns:mc="http://schemas.openxmlformats.org/markup-compatibility/2006">
          <mc:Choice Requires="x14">
            <control shapeId="12422" r:id="rId92" name="Check Box 134">
              <controlPr defaultSize="0" autoFill="0" autoLine="0" autoPict="0">
                <anchor moveWithCells="1">
                  <from>
                    <xdr:col>13</xdr:col>
                    <xdr:colOff>47874</xdr:colOff>
                    <xdr:row>16</xdr:row>
                    <xdr:rowOff>0</xdr:rowOff>
                  </from>
                  <to>
                    <xdr:col>14</xdr:col>
                    <xdr:colOff>627154</xdr:colOff>
                    <xdr:row>16</xdr:row>
                    <xdr:rowOff>220222</xdr:rowOff>
                  </to>
                </anchor>
              </controlPr>
            </control>
          </mc:Choice>
        </mc:AlternateContent>
        <mc:AlternateContent xmlns:mc="http://schemas.openxmlformats.org/markup-compatibility/2006">
          <mc:Choice Requires="x14">
            <control shapeId="12423" r:id="rId93" name="Check Box 135">
              <controlPr defaultSize="0" autoFill="0" autoLine="0" autoPict="0">
                <anchor moveWithCells="1">
                  <from>
                    <xdr:col>13</xdr:col>
                    <xdr:colOff>47874</xdr:colOff>
                    <xdr:row>17</xdr:row>
                    <xdr:rowOff>0</xdr:rowOff>
                  </from>
                  <to>
                    <xdr:col>14</xdr:col>
                    <xdr:colOff>627154</xdr:colOff>
                    <xdr:row>17</xdr:row>
                    <xdr:rowOff>220222</xdr:rowOff>
                  </to>
                </anchor>
              </controlPr>
            </control>
          </mc:Choice>
        </mc:AlternateContent>
        <mc:AlternateContent xmlns:mc="http://schemas.openxmlformats.org/markup-compatibility/2006">
          <mc:Choice Requires="x14">
            <control shapeId="12424" r:id="rId94" name="Check Box 136">
              <controlPr defaultSize="0" autoFill="0" autoLine="0" autoPict="0">
                <anchor moveWithCells="1">
                  <from>
                    <xdr:col>13</xdr:col>
                    <xdr:colOff>47874</xdr:colOff>
                    <xdr:row>18</xdr:row>
                    <xdr:rowOff>0</xdr:rowOff>
                  </from>
                  <to>
                    <xdr:col>14</xdr:col>
                    <xdr:colOff>627154</xdr:colOff>
                    <xdr:row>18</xdr:row>
                    <xdr:rowOff>220222</xdr:rowOff>
                  </to>
                </anchor>
              </controlPr>
            </control>
          </mc:Choice>
        </mc:AlternateContent>
        <mc:AlternateContent xmlns:mc="http://schemas.openxmlformats.org/markup-compatibility/2006">
          <mc:Choice Requires="x14">
            <control shapeId="12425" r:id="rId95" name="Check Box 137">
              <controlPr defaultSize="0" autoFill="0" autoLine="0" autoPict="0">
                <anchor moveWithCells="1">
                  <from>
                    <xdr:col>13</xdr:col>
                    <xdr:colOff>38299</xdr:colOff>
                    <xdr:row>10</xdr:row>
                    <xdr:rowOff>0</xdr:rowOff>
                  </from>
                  <to>
                    <xdr:col>14</xdr:col>
                    <xdr:colOff>617579</xdr:colOff>
                    <xdr:row>10</xdr:row>
                    <xdr:rowOff>220222</xdr:rowOff>
                  </to>
                </anchor>
              </controlPr>
            </control>
          </mc:Choice>
        </mc:AlternateContent>
        <mc:AlternateContent xmlns:mc="http://schemas.openxmlformats.org/markup-compatibility/2006">
          <mc:Choice Requires="x14">
            <control shapeId="12426" r:id="rId96" name="Check Box 138">
              <controlPr defaultSize="0" autoFill="0" autoLine="0" autoPict="0">
                <anchor moveWithCells="1">
                  <from>
                    <xdr:col>13</xdr:col>
                    <xdr:colOff>47874</xdr:colOff>
                    <xdr:row>26</xdr:row>
                    <xdr:rowOff>19150</xdr:rowOff>
                  </from>
                  <to>
                    <xdr:col>14</xdr:col>
                    <xdr:colOff>627154</xdr:colOff>
                    <xdr:row>26</xdr:row>
                    <xdr:rowOff>239372</xdr:rowOff>
                  </to>
                </anchor>
              </controlPr>
            </control>
          </mc:Choice>
        </mc:AlternateContent>
        <mc:AlternateContent xmlns:mc="http://schemas.openxmlformats.org/markup-compatibility/2006">
          <mc:Choice Requires="x14">
            <control shapeId="12427" r:id="rId97" name="Check Box 139">
              <controlPr defaultSize="0" autoFill="0" autoLine="0" autoPict="0">
                <anchor moveWithCells="1">
                  <from>
                    <xdr:col>13</xdr:col>
                    <xdr:colOff>47874</xdr:colOff>
                    <xdr:row>27</xdr:row>
                    <xdr:rowOff>19150</xdr:rowOff>
                  </from>
                  <to>
                    <xdr:col>14</xdr:col>
                    <xdr:colOff>627154</xdr:colOff>
                    <xdr:row>27</xdr:row>
                    <xdr:rowOff>239372</xdr:rowOff>
                  </to>
                </anchor>
              </controlPr>
            </control>
          </mc:Choice>
        </mc:AlternateContent>
        <mc:AlternateContent xmlns:mc="http://schemas.openxmlformats.org/markup-compatibility/2006">
          <mc:Choice Requires="x14">
            <control shapeId="12428" r:id="rId98" name="Check Box 140">
              <controlPr defaultSize="0" autoFill="0" autoLine="0" autoPict="0">
                <anchor moveWithCells="1">
                  <from>
                    <xdr:col>13</xdr:col>
                    <xdr:colOff>47874</xdr:colOff>
                    <xdr:row>5</xdr:row>
                    <xdr:rowOff>0</xdr:rowOff>
                  </from>
                  <to>
                    <xdr:col>14</xdr:col>
                    <xdr:colOff>627154</xdr:colOff>
                    <xdr:row>5</xdr:row>
                    <xdr:rowOff>220222</xdr:rowOff>
                  </to>
                </anchor>
              </controlPr>
            </control>
          </mc:Choice>
        </mc:AlternateContent>
        <mc:AlternateContent xmlns:mc="http://schemas.openxmlformats.org/markup-compatibility/2006">
          <mc:Choice Requires="x14">
            <control shapeId="12429" r:id="rId99" name="Check Box 141">
              <controlPr defaultSize="0" autoFill="0" autoLine="0" autoPict="0">
                <anchor moveWithCells="1">
                  <from>
                    <xdr:col>13</xdr:col>
                    <xdr:colOff>47874</xdr:colOff>
                    <xdr:row>15</xdr:row>
                    <xdr:rowOff>0</xdr:rowOff>
                  </from>
                  <to>
                    <xdr:col>14</xdr:col>
                    <xdr:colOff>627154</xdr:colOff>
                    <xdr:row>15</xdr:row>
                    <xdr:rowOff>220222</xdr:rowOff>
                  </to>
                </anchor>
              </controlPr>
            </control>
          </mc:Choice>
        </mc:AlternateContent>
        <mc:AlternateContent xmlns:mc="http://schemas.openxmlformats.org/markup-compatibility/2006">
          <mc:Choice Requires="x14">
            <control shapeId="12430" r:id="rId100" name="Check Box 142">
              <controlPr defaultSize="0" autoFill="0" autoLine="0" autoPict="0">
                <anchor moveWithCells="1">
                  <from>
                    <xdr:col>15</xdr:col>
                    <xdr:colOff>47874</xdr:colOff>
                    <xdr:row>3</xdr:row>
                    <xdr:rowOff>0</xdr:rowOff>
                  </from>
                  <to>
                    <xdr:col>16</xdr:col>
                    <xdr:colOff>627154</xdr:colOff>
                    <xdr:row>3</xdr:row>
                    <xdr:rowOff>220222</xdr:rowOff>
                  </to>
                </anchor>
              </controlPr>
            </control>
          </mc:Choice>
        </mc:AlternateContent>
        <mc:AlternateContent xmlns:mc="http://schemas.openxmlformats.org/markup-compatibility/2006">
          <mc:Choice Requires="x14">
            <control shapeId="12431" r:id="rId101" name="Check Box 143">
              <controlPr defaultSize="0" autoFill="0" autoLine="0" autoPict="0">
                <anchor moveWithCells="1">
                  <from>
                    <xdr:col>15</xdr:col>
                    <xdr:colOff>47874</xdr:colOff>
                    <xdr:row>4</xdr:row>
                    <xdr:rowOff>0</xdr:rowOff>
                  </from>
                  <to>
                    <xdr:col>16</xdr:col>
                    <xdr:colOff>627154</xdr:colOff>
                    <xdr:row>4</xdr:row>
                    <xdr:rowOff>220222</xdr:rowOff>
                  </to>
                </anchor>
              </controlPr>
            </control>
          </mc:Choice>
        </mc:AlternateContent>
        <mc:AlternateContent xmlns:mc="http://schemas.openxmlformats.org/markup-compatibility/2006">
          <mc:Choice Requires="x14">
            <control shapeId="12432" r:id="rId102" name="Check Box 144">
              <controlPr defaultSize="0" autoFill="0" autoLine="0" autoPict="0">
                <anchor moveWithCells="1">
                  <from>
                    <xdr:col>15</xdr:col>
                    <xdr:colOff>47874</xdr:colOff>
                    <xdr:row>6</xdr:row>
                    <xdr:rowOff>0</xdr:rowOff>
                  </from>
                  <to>
                    <xdr:col>16</xdr:col>
                    <xdr:colOff>627154</xdr:colOff>
                    <xdr:row>6</xdr:row>
                    <xdr:rowOff>220222</xdr:rowOff>
                  </to>
                </anchor>
              </controlPr>
            </control>
          </mc:Choice>
        </mc:AlternateContent>
        <mc:AlternateContent xmlns:mc="http://schemas.openxmlformats.org/markup-compatibility/2006">
          <mc:Choice Requires="x14">
            <control shapeId="12433" r:id="rId103" name="Check Box 145">
              <controlPr defaultSize="0" autoFill="0" autoLine="0" autoPict="0">
                <anchor moveWithCells="1">
                  <from>
                    <xdr:col>15</xdr:col>
                    <xdr:colOff>47874</xdr:colOff>
                    <xdr:row>7</xdr:row>
                    <xdr:rowOff>0</xdr:rowOff>
                  </from>
                  <to>
                    <xdr:col>16</xdr:col>
                    <xdr:colOff>627154</xdr:colOff>
                    <xdr:row>7</xdr:row>
                    <xdr:rowOff>220222</xdr:rowOff>
                  </to>
                </anchor>
              </controlPr>
            </control>
          </mc:Choice>
        </mc:AlternateContent>
        <mc:AlternateContent xmlns:mc="http://schemas.openxmlformats.org/markup-compatibility/2006">
          <mc:Choice Requires="x14">
            <control shapeId="12434" r:id="rId104" name="Check Box 146">
              <controlPr defaultSize="0" autoFill="0" autoLine="0" autoPict="0">
                <anchor moveWithCells="1">
                  <from>
                    <xdr:col>15</xdr:col>
                    <xdr:colOff>38299</xdr:colOff>
                    <xdr:row>12</xdr:row>
                    <xdr:rowOff>0</xdr:rowOff>
                  </from>
                  <to>
                    <xdr:col>16</xdr:col>
                    <xdr:colOff>617579</xdr:colOff>
                    <xdr:row>12</xdr:row>
                    <xdr:rowOff>220222</xdr:rowOff>
                  </to>
                </anchor>
              </controlPr>
            </control>
          </mc:Choice>
        </mc:AlternateContent>
        <mc:AlternateContent xmlns:mc="http://schemas.openxmlformats.org/markup-compatibility/2006">
          <mc:Choice Requires="x14">
            <control shapeId="12435" r:id="rId105" name="Check Box 147">
              <controlPr defaultSize="0" autoFill="0" autoLine="0" autoPict="0">
                <anchor moveWithCells="1">
                  <from>
                    <xdr:col>15</xdr:col>
                    <xdr:colOff>47874</xdr:colOff>
                    <xdr:row>11</xdr:row>
                    <xdr:rowOff>0</xdr:rowOff>
                  </from>
                  <to>
                    <xdr:col>16</xdr:col>
                    <xdr:colOff>627154</xdr:colOff>
                    <xdr:row>11</xdr:row>
                    <xdr:rowOff>220222</xdr:rowOff>
                  </to>
                </anchor>
              </controlPr>
            </control>
          </mc:Choice>
        </mc:AlternateContent>
        <mc:AlternateContent xmlns:mc="http://schemas.openxmlformats.org/markup-compatibility/2006">
          <mc:Choice Requires="x14">
            <control shapeId="12436" r:id="rId106" name="Check Box 148">
              <controlPr defaultSize="0" autoFill="0" autoLine="0" autoPict="0">
                <anchor moveWithCells="1">
                  <from>
                    <xdr:col>15</xdr:col>
                    <xdr:colOff>47874</xdr:colOff>
                    <xdr:row>25</xdr:row>
                    <xdr:rowOff>0</xdr:rowOff>
                  </from>
                  <to>
                    <xdr:col>16</xdr:col>
                    <xdr:colOff>627154</xdr:colOff>
                    <xdr:row>25</xdr:row>
                    <xdr:rowOff>220222</xdr:rowOff>
                  </to>
                </anchor>
              </controlPr>
            </control>
          </mc:Choice>
        </mc:AlternateContent>
        <mc:AlternateContent xmlns:mc="http://schemas.openxmlformats.org/markup-compatibility/2006">
          <mc:Choice Requires="x14">
            <control shapeId="12437" r:id="rId107" name="Check Box 149">
              <controlPr defaultSize="0" autoFill="0" autoLine="0" autoPict="0">
                <anchor moveWithCells="1">
                  <from>
                    <xdr:col>15</xdr:col>
                    <xdr:colOff>47874</xdr:colOff>
                    <xdr:row>14</xdr:row>
                    <xdr:rowOff>0</xdr:rowOff>
                  </from>
                  <to>
                    <xdr:col>16</xdr:col>
                    <xdr:colOff>627154</xdr:colOff>
                    <xdr:row>14</xdr:row>
                    <xdr:rowOff>220222</xdr:rowOff>
                  </to>
                </anchor>
              </controlPr>
            </control>
          </mc:Choice>
        </mc:AlternateContent>
        <mc:AlternateContent xmlns:mc="http://schemas.openxmlformats.org/markup-compatibility/2006">
          <mc:Choice Requires="x14">
            <control shapeId="12438" r:id="rId108" name="Check Box 150">
              <controlPr defaultSize="0" autoFill="0" autoLine="0" autoPict="0">
                <anchor moveWithCells="1">
                  <from>
                    <xdr:col>15</xdr:col>
                    <xdr:colOff>47874</xdr:colOff>
                    <xdr:row>16</xdr:row>
                    <xdr:rowOff>0</xdr:rowOff>
                  </from>
                  <to>
                    <xdr:col>16</xdr:col>
                    <xdr:colOff>627154</xdr:colOff>
                    <xdr:row>16</xdr:row>
                    <xdr:rowOff>220222</xdr:rowOff>
                  </to>
                </anchor>
              </controlPr>
            </control>
          </mc:Choice>
        </mc:AlternateContent>
        <mc:AlternateContent xmlns:mc="http://schemas.openxmlformats.org/markup-compatibility/2006">
          <mc:Choice Requires="x14">
            <control shapeId="12439" r:id="rId109" name="Check Box 151">
              <controlPr defaultSize="0" autoFill="0" autoLine="0" autoPict="0">
                <anchor moveWithCells="1">
                  <from>
                    <xdr:col>15</xdr:col>
                    <xdr:colOff>47874</xdr:colOff>
                    <xdr:row>17</xdr:row>
                    <xdr:rowOff>0</xdr:rowOff>
                  </from>
                  <to>
                    <xdr:col>16</xdr:col>
                    <xdr:colOff>627154</xdr:colOff>
                    <xdr:row>17</xdr:row>
                    <xdr:rowOff>220222</xdr:rowOff>
                  </to>
                </anchor>
              </controlPr>
            </control>
          </mc:Choice>
        </mc:AlternateContent>
        <mc:AlternateContent xmlns:mc="http://schemas.openxmlformats.org/markup-compatibility/2006">
          <mc:Choice Requires="x14">
            <control shapeId="12440" r:id="rId110" name="Check Box 152">
              <controlPr defaultSize="0" autoFill="0" autoLine="0" autoPict="0">
                <anchor moveWithCells="1">
                  <from>
                    <xdr:col>15</xdr:col>
                    <xdr:colOff>47874</xdr:colOff>
                    <xdr:row>18</xdr:row>
                    <xdr:rowOff>0</xdr:rowOff>
                  </from>
                  <to>
                    <xdr:col>16</xdr:col>
                    <xdr:colOff>627154</xdr:colOff>
                    <xdr:row>18</xdr:row>
                    <xdr:rowOff>220222</xdr:rowOff>
                  </to>
                </anchor>
              </controlPr>
            </control>
          </mc:Choice>
        </mc:AlternateContent>
        <mc:AlternateContent xmlns:mc="http://schemas.openxmlformats.org/markup-compatibility/2006">
          <mc:Choice Requires="x14">
            <control shapeId="12441" r:id="rId111" name="Check Box 153">
              <controlPr defaultSize="0" autoFill="0" autoLine="0" autoPict="0">
                <anchor moveWithCells="1">
                  <from>
                    <xdr:col>15</xdr:col>
                    <xdr:colOff>38299</xdr:colOff>
                    <xdr:row>10</xdr:row>
                    <xdr:rowOff>0</xdr:rowOff>
                  </from>
                  <to>
                    <xdr:col>16</xdr:col>
                    <xdr:colOff>617579</xdr:colOff>
                    <xdr:row>10</xdr:row>
                    <xdr:rowOff>220222</xdr:rowOff>
                  </to>
                </anchor>
              </controlPr>
            </control>
          </mc:Choice>
        </mc:AlternateContent>
        <mc:AlternateContent xmlns:mc="http://schemas.openxmlformats.org/markup-compatibility/2006">
          <mc:Choice Requires="x14">
            <control shapeId="12442" r:id="rId112" name="Check Box 154">
              <controlPr defaultSize="0" autoFill="0" autoLine="0" autoPict="0">
                <anchor moveWithCells="1">
                  <from>
                    <xdr:col>15</xdr:col>
                    <xdr:colOff>47874</xdr:colOff>
                    <xdr:row>26</xdr:row>
                    <xdr:rowOff>19150</xdr:rowOff>
                  </from>
                  <to>
                    <xdr:col>16</xdr:col>
                    <xdr:colOff>627154</xdr:colOff>
                    <xdr:row>26</xdr:row>
                    <xdr:rowOff>239372</xdr:rowOff>
                  </to>
                </anchor>
              </controlPr>
            </control>
          </mc:Choice>
        </mc:AlternateContent>
        <mc:AlternateContent xmlns:mc="http://schemas.openxmlformats.org/markup-compatibility/2006">
          <mc:Choice Requires="x14">
            <control shapeId="12443" r:id="rId113" name="Check Box 155">
              <controlPr defaultSize="0" autoFill="0" autoLine="0" autoPict="0">
                <anchor moveWithCells="1">
                  <from>
                    <xdr:col>15</xdr:col>
                    <xdr:colOff>47874</xdr:colOff>
                    <xdr:row>27</xdr:row>
                    <xdr:rowOff>19150</xdr:rowOff>
                  </from>
                  <to>
                    <xdr:col>16</xdr:col>
                    <xdr:colOff>627154</xdr:colOff>
                    <xdr:row>27</xdr:row>
                    <xdr:rowOff>239372</xdr:rowOff>
                  </to>
                </anchor>
              </controlPr>
            </control>
          </mc:Choice>
        </mc:AlternateContent>
        <mc:AlternateContent xmlns:mc="http://schemas.openxmlformats.org/markup-compatibility/2006">
          <mc:Choice Requires="x14">
            <control shapeId="12444" r:id="rId114" name="Check Box 156">
              <controlPr defaultSize="0" autoFill="0" autoLine="0" autoPict="0">
                <anchor moveWithCells="1">
                  <from>
                    <xdr:col>15</xdr:col>
                    <xdr:colOff>47874</xdr:colOff>
                    <xdr:row>5</xdr:row>
                    <xdr:rowOff>0</xdr:rowOff>
                  </from>
                  <to>
                    <xdr:col>16</xdr:col>
                    <xdr:colOff>627154</xdr:colOff>
                    <xdr:row>5</xdr:row>
                    <xdr:rowOff>220222</xdr:rowOff>
                  </to>
                </anchor>
              </controlPr>
            </control>
          </mc:Choice>
        </mc:AlternateContent>
        <mc:AlternateContent xmlns:mc="http://schemas.openxmlformats.org/markup-compatibility/2006">
          <mc:Choice Requires="x14">
            <control shapeId="12445" r:id="rId115" name="Check Box 157">
              <controlPr defaultSize="0" autoFill="0" autoLine="0" autoPict="0">
                <anchor moveWithCells="1">
                  <from>
                    <xdr:col>15</xdr:col>
                    <xdr:colOff>47874</xdr:colOff>
                    <xdr:row>15</xdr:row>
                    <xdr:rowOff>0</xdr:rowOff>
                  </from>
                  <to>
                    <xdr:col>16</xdr:col>
                    <xdr:colOff>627154</xdr:colOff>
                    <xdr:row>15</xdr:row>
                    <xdr:rowOff>220222</xdr:rowOff>
                  </to>
                </anchor>
              </controlPr>
            </control>
          </mc:Choice>
        </mc:AlternateContent>
        <mc:AlternateContent xmlns:mc="http://schemas.openxmlformats.org/markup-compatibility/2006">
          <mc:Choice Requires="x14">
            <control shapeId="12486" r:id="rId116" name="Check Box 198">
              <controlPr defaultSize="0" autoFill="0" autoLine="0" autoPict="0">
                <anchor moveWithCells="1">
                  <from>
                    <xdr:col>1</xdr:col>
                    <xdr:colOff>47874</xdr:colOff>
                    <xdr:row>28</xdr:row>
                    <xdr:rowOff>19150</xdr:rowOff>
                  </from>
                  <to>
                    <xdr:col>2</xdr:col>
                    <xdr:colOff>627154</xdr:colOff>
                    <xdr:row>28</xdr:row>
                    <xdr:rowOff>239372</xdr:rowOff>
                  </to>
                </anchor>
              </controlPr>
            </control>
          </mc:Choice>
        </mc:AlternateContent>
        <mc:AlternateContent xmlns:mc="http://schemas.openxmlformats.org/markup-compatibility/2006">
          <mc:Choice Requires="x14">
            <control shapeId="12487" r:id="rId117" name="Check Box 199">
              <controlPr defaultSize="0" autoFill="0" autoLine="0" autoPict="0">
                <anchor moveWithCells="1">
                  <from>
                    <xdr:col>5</xdr:col>
                    <xdr:colOff>47874</xdr:colOff>
                    <xdr:row>28</xdr:row>
                    <xdr:rowOff>19150</xdr:rowOff>
                  </from>
                  <to>
                    <xdr:col>6</xdr:col>
                    <xdr:colOff>627154</xdr:colOff>
                    <xdr:row>28</xdr:row>
                    <xdr:rowOff>239372</xdr:rowOff>
                  </to>
                </anchor>
              </controlPr>
            </control>
          </mc:Choice>
        </mc:AlternateContent>
        <mc:AlternateContent xmlns:mc="http://schemas.openxmlformats.org/markup-compatibility/2006">
          <mc:Choice Requires="x14">
            <control shapeId="12488" r:id="rId118" name="Check Box 200">
              <controlPr defaultSize="0" autoFill="0" autoLine="0" autoPict="0">
                <anchor moveWithCells="1">
                  <from>
                    <xdr:col>7</xdr:col>
                    <xdr:colOff>47874</xdr:colOff>
                    <xdr:row>28</xdr:row>
                    <xdr:rowOff>19150</xdr:rowOff>
                  </from>
                  <to>
                    <xdr:col>8</xdr:col>
                    <xdr:colOff>627154</xdr:colOff>
                    <xdr:row>28</xdr:row>
                    <xdr:rowOff>239372</xdr:rowOff>
                  </to>
                </anchor>
              </controlPr>
            </control>
          </mc:Choice>
        </mc:AlternateContent>
        <mc:AlternateContent xmlns:mc="http://schemas.openxmlformats.org/markup-compatibility/2006">
          <mc:Choice Requires="x14">
            <control shapeId="12490" r:id="rId119" name="Check Box 202">
              <controlPr defaultSize="0" autoFill="0" autoLine="0" autoPict="0">
                <anchor moveWithCells="1">
                  <from>
                    <xdr:col>11</xdr:col>
                    <xdr:colOff>47874</xdr:colOff>
                    <xdr:row>28</xdr:row>
                    <xdr:rowOff>19150</xdr:rowOff>
                  </from>
                  <to>
                    <xdr:col>12</xdr:col>
                    <xdr:colOff>627154</xdr:colOff>
                    <xdr:row>28</xdr:row>
                    <xdr:rowOff>239372</xdr:rowOff>
                  </to>
                </anchor>
              </controlPr>
            </control>
          </mc:Choice>
        </mc:AlternateContent>
        <mc:AlternateContent xmlns:mc="http://schemas.openxmlformats.org/markup-compatibility/2006">
          <mc:Choice Requires="x14">
            <control shapeId="12491" r:id="rId120" name="Check Box 203">
              <controlPr defaultSize="0" autoFill="0" autoLine="0" autoPict="0">
                <anchor moveWithCells="1">
                  <from>
                    <xdr:col>3</xdr:col>
                    <xdr:colOff>47874</xdr:colOff>
                    <xdr:row>28</xdr:row>
                    <xdr:rowOff>19150</xdr:rowOff>
                  </from>
                  <to>
                    <xdr:col>4</xdr:col>
                    <xdr:colOff>627154</xdr:colOff>
                    <xdr:row>28</xdr:row>
                    <xdr:rowOff>239372</xdr:rowOff>
                  </to>
                </anchor>
              </controlPr>
            </control>
          </mc:Choice>
        </mc:AlternateContent>
        <mc:AlternateContent xmlns:mc="http://schemas.openxmlformats.org/markup-compatibility/2006">
          <mc:Choice Requires="x14">
            <control shapeId="12492" r:id="rId121" name="Check Box 204">
              <controlPr defaultSize="0" autoFill="0" autoLine="0" autoPict="0">
                <anchor moveWithCells="1">
                  <from>
                    <xdr:col>13</xdr:col>
                    <xdr:colOff>47874</xdr:colOff>
                    <xdr:row>28</xdr:row>
                    <xdr:rowOff>19150</xdr:rowOff>
                  </from>
                  <to>
                    <xdr:col>14</xdr:col>
                    <xdr:colOff>627154</xdr:colOff>
                    <xdr:row>28</xdr:row>
                    <xdr:rowOff>239372</xdr:rowOff>
                  </to>
                </anchor>
              </controlPr>
            </control>
          </mc:Choice>
        </mc:AlternateContent>
        <mc:AlternateContent xmlns:mc="http://schemas.openxmlformats.org/markup-compatibility/2006">
          <mc:Choice Requires="x14">
            <control shapeId="12493" r:id="rId122" name="Check Box 205">
              <controlPr defaultSize="0" autoFill="0" autoLine="0" autoPict="0">
                <anchor moveWithCells="1">
                  <from>
                    <xdr:col>15</xdr:col>
                    <xdr:colOff>47874</xdr:colOff>
                    <xdr:row>28</xdr:row>
                    <xdr:rowOff>19150</xdr:rowOff>
                  </from>
                  <to>
                    <xdr:col>16</xdr:col>
                    <xdr:colOff>627154</xdr:colOff>
                    <xdr:row>28</xdr:row>
                    <xdr:rowOff>239372</xdr:rowOff>
                  </to>
                </anchor>
              </controlPr>
            </control>
          </mc:Choice>
        </mc:AlternateContent>
        <mc:AlternateContent xmlns:mc="http://schemas.openxmlformats.org/markup-compatibility/2006">
          <mc:Choice Requires="x14">
            <control shapeId="12494" r:id="rId123" name="Check Box 206">
              <controlPr defaultSize="0" autoFill="0" autoLine="0" autoPict="0">
                <anchor moveWithCells="1">
                  <from>
                    <xdr:col>1</xdr:col>
                    <xdr:colOff>47874</xdr:colOff>
                    <xdr:row>29</xdr:row>
                    <xdr:rowOff>19150</xdr:rowOff>
                  </from>
                  <to>
                    <xdr:col>2</xdr:col>
                    <xdr:colOff>627154</xdr:colOff>
                    <xdr:row>29</xdr:row>
                    <xdr:rowOff>239372</xdr:rowOff>
                  </to>
                </anchor>
              </controlPr>
            </control>
          </mc:Choice>
        </mc:AlternateContent>
        <mc:AlternateContent xmlns:mc="http://schemas.openxmlformats.org/markup-compatibility/2006">
          <mc:Choice Requires="x14">
            <control shapeId="12495" r:id="rId124" name="Check Box 207">
              <controlPr defaultSize="0" autoFill="0" autoLine="0" autoPict="0">
                <anchor moveWithCells="1">
                  <from>
                    <xdr:col>5</xdr:col>
                    <xdr:colOff>47874</xdr:colOff>
                    <xdr:row>29</xdr:row>
                    <xdr:rowOff>19150</xdr:rowOff>
                  </from>
                  <to>
                    <xdr:col>6</xdr:col>
                    <xdr:colOff>627154</xdr:colOff>
                    <xdr:row>29</xdr:row>
                    <xdr:rowOff>239372</xdr:rowOff>
                  </to>
                </anchor>
              </controlPr>
            </control>
          </mc:Choice>
        </mc:AlternateContent>
        <mc:AlternateContent xmlns:mc="http://schemas.openxmlformats.org/markup-compatibility/2006">
          <mc:Choice Requires="x14">
            <control shapeId="12496" r:id="rId125" name="Check Box 208">
              <controlPr defaultSize="0" autoFill="0" autoLine="0" autoPict="0">
                <anchor moveWithCells="1">
                  <from>
                    <xdr:col>7</xdr:col>
                    <xdr:colOff>47874</xdr:colOff>
                    <xdr:row>29</xdr:row>
                    <xdr:rowOff>19150</xdr:rowOff>
                  </from>
                  <to>
                    <xdr:col>8</xdr:col>
                    <xdr:colOff>627154</xdr:colOff>
                    <xdr:row>29</xdr:row>
                    <xdr:rowOff>239372</xdr:rowOff>
                  </to>
                </anchor>
              </controlPr>
            </control>
          </mc:Choice>
        </mc:AlternateContent>
        <mc:AlternateContent xmlns:mc="http://schemas.openxmlformats.org/markup-compatibility/2006">
          <mc:Choice Requires="x14">
            <control shapeId="12498" r:id="rId126" name="Check Box 210">
              <controlPr defaultSize="0" autoFill="0" autoLine="0" autoPict="0">
                <anchor moveWithCells="1">
                  <from>
                    <xdr:col>11</xdr:col>
                    <xdr:colOff>47874</xdr:colOff>
                    <xdr:row>29</xdr:row>
                    <xdr:rowOff>19150</xdr:rowOff>
                  </from>
                  <to>
                    <xdr:col>12</xdr:col>
                    <xdr:colOff>627154</xdr:colOff>
                    <xdr:row>29</xdr:row>
                    <xdr:rowOff>239372</xdr:rowOff>
                  </to>
                </anchor>
              </controlPr>
            </control>
          </mc:Choice>
        </mc:AlternateContent>
        <mc:AlternateContent xmlns:mc="http://schemas.openxmlformats.org/markup-compatibility/2006">
          <mc:Choice Requires="x14">
            <control shapeId="12499" r:id="rId127" name="Check Box 211">
              <controlPr defaultSize="0" autoFill="0" autoLine="0" autoPict="0">
                <anchor moveWithCells="1">
                  <from>
                    <xdr:col>3</xdr:col>
                    <xdr:colOff>47874</xdr:colOff>
                    <xdr:row>29</xdr:row>
                    <xdr:rowOff>19150</xdr:rowOff>
                  </from>
                  <to>
                    <xdr:col>4</xdr:col>
                    <xdr:colOff>627154</xdr:colOff>
                    <xdr:row>29</xdr:row>
                    <xdr:rowOff>239372</xdr:rowOff>
                  </to>
                </anchor>
              </controlPr>
            </control>
          </mc:Choice>
        </mc:AlternateContent>
        <mc:AlternateContent xmlns:mc="http://schemas.openxmlformats.org/markup-compatibility/2006">
          <mc:Choice Requires="x14">
            <control shapeId="12500" r:id="rId128" name="Check Box 212">
              <controlPr defaultSize="0" autoFill="0" autoLine="0" autoPict="0">
                <anchor moveWithCells="1">
                  <from>
                    <xdr:col>13</xdr:col>
                    <xdr:colOff>47874</xdr:colOff>
                    <xdr:row>29</xdr:row>
                    <xdr:rowOff>19150</xdr:rowOff>
                  </from>
                  <to>
                    <xdr:col>14</xdr:col>
                    <xdr:colOff>627154</xdr:colOff>
                    <xdr:row>29</xdr:row>
                    <xdr:rowOff>239372</xdr:rowOff>
                  </to>
                </anchor>
              </controlPr>
            </control>
          </mc:Choice>
        </mc:AlternateContent>
        <mc:AlternateContent xmlns:mc="http://schemas.openxmlformats.org/markup-compatibility/2006">
          <mc:Choice Requires="x14">
            <control shapeId="12501" r:id="rId129" name="Check Box 213">
              <controlPr defaultSize="0" autoFill="0" autoLine="0" autoPict="0">
                <anchor moveWithCells="1">
                  <from>
                    <xdr:col>15</xdr:col>
                    <xdr:colOff>47874</xdr:colOff>
                    <xdr:row>29</xdr:row>
                    <xdr:rowOff>19150</xdr:rowOff>
                  </from>
                  <to>
                    <xdr:col>16</xdr:col>
                    <xdr:colOff>627154</xdr:colOff>
                    <xdr:row>29</xdr:row>
                    <xdr:rowOff>239372</xdr:rowOff>
                  </to>
                </anchor>
              </controlPr>
            </control>
          </mc:Choice>
        </mc:AlternateContent>
        <mc:AlternateContent xmlns:mc="http://schemas.openxmlformats.org/markup-compatibility/2006">
          <mc:Choice Requires="x14">
            <control shapeId="12502" r:id="rId130" name="Check Box 214">
              <controlPr defaultSize="0" autoFill="0" autoLine="0" autoPict="0">
                <anchor moveWithCells="1">
                  <from>
                    <xdr:col>1</xdr:col>
                    <xdr:colOff>47874</xdr:colOff>
                    <xdr:row>8</xdr:row>
                    <xdr:rowOff>0</xdr:rowOff>
                  </from>
                  <to>
                    <xdr:col>2</xdr:col>
                    <xdr:colOff>627154</xdr:colOff>
                    <xdr:row>8</xdr:row>
                    <xdr:rowOff>220222</xdr:rowOff>
                  </to>
                </anchor>
              </controlPr>
            </control>
          </mc:Choice>
        </mc:AlternateContent>
        <mc:AlternateContent xmlns:mc="http://schemas.openxmlformats.org/markup-compatibility/2006">
          <mc:Choice Requires="x14">
            <control shapeId="12503" r:id="rId131" name="Check Box 215">
              <controlPr defaultSize="0" autoFill="0" autoLine="0" autoPict="0">
                <anchor moveWithCells="1">
                  <from>
                    <xdr:col>5</xdr:col>
                    <xdr:colOff>47874</xdr:colOff>
                    <xdr:row>8</xdr:row>
                    <xdr:rowOff>0</xdr:rowOff>
                  </from>
                  <to>
                    <xdr:col>6</xdr:col>
                    <xdr:colOff>627154</xdr:colOff>
                    <xdr:row>8</xdr:row>
                    <xdr:rowOff>220222</xdr:rowOff>
                  </to>
                </anchor>
              </controlPr>
            </control>
          </mc:Choice>
        </mc:AlternateContent>
        <mc:AlternateContent xmlns:mc="http://schemas.openxmlformats.org/markup-compatibility/2006">
          <mc:Choice Requires="x14">
            <control shapeId="12504" r:id="rId132" name="Check Box 216">
              <controlPr defaultSize="0" autoFill="0" autoLine="0" autoPict="0">
                <anchor moveWithCells="1">
                  <from>
                    <xdr:col>7</xdr:col>
                    <xdr:colOff>47874</xdr:colOff>
                    <xdr:row>8</xdr:row>
                    <xdr:rowOff>0</xdr:rowOff>
                  </from>
                  <to>
                    <xdr:col>8</xdr:col>
                    <xdr:colOff>627154</xdr:colOff>
                    <xdr:row>8</xdr:row>
                    <xdr:rowOff>220222</xdr:rowOff>
                  </to>
                </anchor>
              </controlPr>
            </control>
          </mc:Choice>
        </mc:AlternateContent>
        <mc:AlternateContent xmlns:mc="http://schemas.openxmlformats.org/markup-compatibility/2006">
          <mc:Choice Requires="x14">
            <control shapeId="12506" r:id="rId133" name="Check Box 218">
              <controlPr defaultSize="0" autoFill="0" autoLine="0" autoPict="0">
                <anchor moveWithCells="1">
                  <from>
                    <xdr:col>11</xdr:col>
                    <xdr:colOff>47874</xdr:colOff>
                    <xdr:row>8</xdr:row>
                    <xdr:rowOff>0</xdr:rowOff>
                  </from>
                  <to>
                    <xdr:col>12</xdr:col>
                    <xdr:colOff>627154</xdr:colOff>
                    <xdr:row>8</xdr:row>
                    <xdr:rowOff>220222</xdr:rowOff>
                  </to>
                </anchor>
              </controlPr>
            </control>
          </mc:Choice>
        </mc:AlternateContent>
        <mc:AlternateContent xmlns:mc="http://schemas.openxmlformats.org/markup-compatibility/2006">
          <mc:Choice Requires="x14">
            <control shapeId="12507" r:id="rId134" name="Check Box 219">
              <controlPr defaultSize="0" autoFill="0" autoLine="0" autoPict="0">
                <anchor moveWithCells="1">
                  <from>
                    <xdr:col>3</xdr:col>
                    <xdr:colOff>47874</xdr:colOff>
                    <xdr:row>8</xdr:row>
                    <xdr:rowOff>0</xdr:rowOff>
                  </from>
                  <to>
                    <xdr:col>4</xdr:col>
                    <xdr:colOff>627154</xdr:colOff>
                    <xdr:row>8</xdr:row>
                    <xdr:rowOff>220222</xdr:rowOff>
                  </to>
                </anchor>
              </controlPr>
            </control>
          </mc:Choice>
        </mc:AlternateContent>
        <mc:AlternateContent xmlns:mc="http://schemas.openxmlformats.org/markup-compatibility/2006">
          <mc:Choice Requires="x14">
            <control shapeId="12508" r:id="rId135" name="Check Box 220">
              <controlPr defaultSize="0" autoFill="0" autoLine="0" autoPict="0">
                <anchor moveWithCells="1">
                  <from>
                    <xdr:col>13</xdr:col>
                    <xdr:colOff>47874</xdr:colOff>
                    <xdr:row>8</xdr:row>
                    <xdr:rowOff>0</xdr:rowOff>
                  </from>
                  <to>
                    <xdr:col>14</xdr:col>
                    <xdr:colOff>627154</xdr:colOff>
                    <xdr:row>8</xdr:row>
                    <xdr:rowOff>220222</xdr:rowOff>
                  </to>
                </anchor>
              </controlPr>
            </control>
          </mc:Choice>
        </mc:AlternateContent>
        <mc:AlternateContent xmlns:mc="http://schemas.openxmlformats.org/markup-compatibility/2006">
          <mc:Choice Requires="x14">
            <control shapeId="12509" r:id="rId136" name="Check Box 221">
              <controlPr defaultSize="0" autoFill="0" autoLine="0" autoPict="0">
                <anchor moveWithCells="1">
                  <from>
                    <xdr:col>15</xdr:col>
                    <xdr:colOff>47874</xdr:colOff>
                    <xdr:row>8</xdr:row>
                    <xdr:rowOff>0</xdr:rowOff>
                  </from>
                  <to>
                    <xdr:col>16</xdr:col>
                    <xdr:colOff>627154</xdr:colOff>
                    <xdr:row>8</xdr:row>
                    <xdr:rowOff>220222</xdr:rowOff>
                  </to>
                </anchor>
              </controlPr>
            </control>
          </mc:Choice>
        </mc:AlternateContent>
        <mc:AlternateContent xmlns:mc="http://schemas.openxmlformats.org/markup-compatibility/2006">
          <mc:Choice Requires="x14">
            <control shapeId="12510" r:id="rId137" name="Check Box 222">
              <controlPr defaultSize="0" autoFill="0" autoLine="0" autoPict="0">
                <anchor moveWithCells="1">
                  <from>
                    <xdr:col>1</xdr:col>
                    <xdr:colOff>47874</xdr:colOff>
                    <xdr:row>9</xdr:row>
                    <xdr:rowOff>0</xdr:rowOff>
                  </from>
                  <to>
                    <xdr:col>2</xdr:col>
                    <xdr:colOff>627154</xdr:colOff>
                    <xdr:row>9</xdr:row>
                    <xdr:rowOff>220222</xdr:rowOff>
                  </to>
                </anchor>
              </controlPr>
            </control>
          </mc:Choice>
        </mc:AlternateContent>
        <mc:AlternateContent xmlns:mc="http://schemas.openxmlformats.org/markup-compatibility/2006">
          <mc:Choice Requires="x14">
            <control shapeId="12511" r:id="rId138" name="Check Box 223">
              <controlPr defaultSize="0" autoFill="0" autoLine="0" autoPict="0">
                <anchor moveWithCells="1">
                  <from>
                    <xdr:col>5</xdr:col>
                    <xdr:colOff>47874</xdr:colOff>
                    <xdr:row>9</xdr:row>
                    <xdr:rowOff>0</xdr:rowOff>
                  </from>
                  <to>
                    <xdr:col>6</xdr:col>
                    <xdr:colOff>627154</xdr:colOff>
                    <xdr:row>9</xdr:row>
                    <xdr:rowOff>220222</xdr:rowOff>
                  </to>
                </anchor>
              </controlPr>
            </control>
          </mc:Choice>
        </mc:AlternateContent>
        <mc:AlternateContent xmlns:mc="http://schemas.openxmlformats.org/markup-compatibility/2006">
          <mc:Choice Requires="x14">
            <control shapeId="12512" r:id="rId139" name="Check Box 224">
              <controlPr defaultSize="0" autoFill="0" autoLine="0" autoPict="0">
                <anchor moveWithCells="1">
                  <from>
                    <xdr:col>7</xdr:col>
                    <xdr:colOff>47874</xdr:colOff>
                    <xdr:row>9</xdr:row>
                    <xdr:rowOff>0</xdr:rowOff>
                  </from>
                  <to>
                    <xdr:col>8</xdr:col>
                    <xdr:colOff>627154</xdr:colOff>
                    <xdr:row>9</xdr:row>
                    <xdr:rowOff>220222</xdr:rowOff>
                  </to>
                </anchor>
              </controlPr>
            </control>
          </mc:Choice>
        </mc:AlternateContent>
        <mc:AlternateContent xmlns:mc="http://schemas.openxmlformats.org/markup-compatibility/2006">
          <mc:Choice Requires="x14">
            <control shapeId="12514" r:id="rId140" name="Check Box 226">
              <controlPr defaultSize="0" autoFill="0" autoLine="0" autoPict="0">
                <anchor moveWithCells="1">
                  <from>
                    <xdr:col>11</xdr:col>
                    <xdr:colOff>47874</xdr:colOff>
                    <xdr:row>9</xdr:row>
                    <xdr:rowOff>0</xdr:rowOff>
                  </from>
                  <to>
                    <xdr:col>12</xdr:col>
                    <xdr:colOff>627154</xdr:colOff>
                    <xdr:row>9</xdr:row>
                    <xdr:rowOff>220222</xdr:rowOff>
                  </to>
                </anchor>
              </controlPr>
            </control>
          </mc:Choice>
        </mc:AlternateContent>
        <mc:AlternateContent xmlns:mc="http://schemas.openxmlformats.org/markup-compatibility/2006">
          <mc:Choice Requires="x14">
            <control shapeId="12515" r:id="rId141" name="Check Box 227">
              <controlPr defaultSize="0" autoFill="0" autoLine="0" autoPict="0">
                <anchor moveWithCells="1">
                  <from>
                    <xdr:col>3</xdr:col>
                    <xdr:colOff>47874</xdr:colOff>
                    <xdr:row>9</xdr:row>
                    <xdr:rowOff>0</xdr:rowOff>
                  </from>
                  <to>
                    <xdr:col>4</xdr:col>
                    <xdr:colOff>627154</xdr:colOff>
                    <xdr:row>9</xdr:row>
                    <xdr:rowOff>220222</xdr:rowOff>
                  </to>
                </anchor>
              </controlPr>
            </control>
          </mc:Choice>
        </mc:AlternateContent>
        <mc:AlternateContent xmlns:mc="http://schemas.openxmlformats.org/markup-compatibility/2006">
          <mc:Choice Requires="x14">
            <control shapeId="12516" r:id="rId142" name="Check Box 228">
              <controlPr defaultSize="0" autoFill="0" autoLine="0" autoPict="0">
                <anchor moveWithCells="1">
                  <from>
                    <xdr:col>13</xdr:col>
                    <xdr:colOff>47874</xdr:colOff>
                    <xdr:row>9</xdr:row>
                    <xdr:rowOff>0</xdr:rowOff>
                  </from>
                  <to>
                    <xdr:col>14</xdr:col>
                    <xdr:colOff>627154</xdr:colOff>
                    <xdr:row>9</xdr:row>
                    <xdr:rowOff>220222</xdr:rowOff>
                  </to>
                </anchor>
              </controlPr>
            </control>
          </mc:Choice>
        </mc:AlternateContent>
        <mc:AlternateContent xmlns:mc="http://schemas.openxmlformats.org/markup-compatibility/2006">
          <mc:Choice Requires="x14">
            <control shapeId="12517" r:id="rId143" name="Check Box 229">
              <controlPr defaultSize="0" autoFill="0" autoLine="0" autoPict="0">
                <anchor moveWithCells="1">
                  <from>
                    <xdr:col>15</xdr:col>
                    <xdr:colOff>47874</xdr:colOff>
                    <xdr:row>9</xdr:row>
                    <xdr:rowOff>0</xdr:rowOff>
                  </from>
                  <to>
                    <xdr:col>16</xdr:col>
                    <xdr:colOff>627154</xdr:colOff>
                    <xdr:row>9</xdr:row>
                    <xdr:rowOff>220222</xdr:rowOff>
                  </to>
                </anchor>
              </controlPr>
            </control>
          </mc:Choice>
        </mc:AlternateContent>
        <mc:AlternateContent xmlns:mc="http://schemas.openxmlformats.org/markup-compatibility/2006">
          <mc:Choice Requires="x14">
            <control shapeId="12518" r:id="rId144" name="Check Box 230">
              <controlPr defaultSize="0" autoFill="0" autoLine="0" autoPict="0">
                <anchor moveWithCells="1">
                  <from>
                    <xdr:col>1</xdr:col>
                    <xdr:colOff>38299</xdr:colOff>
                    <xdr:row>13</xdr:row>
                    <xdr:rowOff>0</xdr:rowOff>
                  </from>
                  <to>
                    <xdr:col>2</xdr:col>
                    <xdr:colOff>617579</xdr:colOff>
                    <xdr:row>13</xdr:row>
                    <xdr:rowOff>220222</xdr:rowOff>
                  </to>
                </anchor>
              </controlPr>
            </control>
          </mc:Choice>
        </mc:AlternateContent>
        <mc:AlternateContent xmlns:mc="http://schemas.openxmlformats.org/markup-compatibility/2006">
          <mc:Choice Requires="x14">
            <control shapeId="12519" r:id="rId145" name="Check Box 231">
              <controlPr defaultSize="0" autoFill="0" autoLine="0" autoPict="0">
                <anchor moveWithCells="1">
                  <from>
                    <xdr:col>5</xdr:col>
                    <xdr:colOff>38299</xdr:colOff>
                    <xdr:row>13</xdr:row>
                    <xdr:rowOff>0</xdr:rowOff>
                  </from>
                  <to>
                    <xdr:col>6</xdr:col>
                    <xdr:colOff>617579</xdr:colOff>
                    <xdr:row>13</xdr:row>
                    <xdr:rowOff>220222</xdr:rowOff>
                  </to>
                </anchor>
              </controlPr>
            </control>
          </mc:Choice>
        </mc:AlternateContent>
        <mc:AlternateContent xmlns:mc="http://schemas.openxmlformats.org/markup-compatibility/2006">
          <mc:Choice Requires="x14">
            <control shapeId="12520" r:id="rId146" name="Check Box 232">
              <controlPr defaultSize="0" autoFill="0" autoLine="0" autoPict="0">
                <anchor moveWithCells="1">
                  <from>
                    <xdr:col>7</xdr:col>
                    <xdr:colOff>38299</xdr:colOff>
                    <xdr:row>13</xdr:row>
                    <xdr:rowOff>0</xdr:rowOff>
                  </from>
                  <to>
                    <xdr:col>8</xdr:col>
                    <xdr:colOff>617579</xdr:colOff>
                    <xdr:row>13</xdr:row>
                    <xdr:rowOff>220222</xdr:rowOff>
                  </to>
                </anchor>
              </controlPr>
            </control>
          </mc:Choice>
        </mc:AlternateContent>
        <mc:AlternateContent xmlns:mc="http://schemas.openxmlformats.org/markup-compatibility/2006">
          <mc:Choice Requires="x14">
            <control shapeId="12522" r:id="rId147" name="Check Box 234">
              <controlPr defaultSize="0" autoFill="0" autoLine="0" autoPict="0">
                <anchor moveWithCells="1">
                  <from>
                    <xdr:col>11</xdr:col>
                    <xdr:colOff>38299</xdr:colOff>
                    <xdr:row>13</xdr:row>
                    <xdr:rowOff>0</xdr:rowOff>
                  </from>
                  <to>
                    <xdr:col>12</xdr:col>
                    <xdr:colOff>617579</xdr:colOff>
                    <xdr:row>13</xdr:row>
                    <xdr:rowOff>220222</xdr:rowOff>
                  </to>
                </anchor>
              </controlPr>
            </control>
          </mc:Choice>
        </mc:AlternateContent>
        <mc:AlternateContent xmlns:mc="http://schemas.openxmlformats.org/markup-compatibility/2006">
          <mc:Choice Requires="x14">
            <control shapeId="12523" r:id="rId148" name="Check Box 235">
              <controlPr defaultSize="0" autoFill="0" autoLine="0" autoPict="0">
                <anchor moveWithCells="1">
                  <from>
                    <xdr:col>3</xdr:col>
                    <xdr:colOff>38299</xdr:colOff>
                    <xdr:row>13</xdr:row>
                    <xdr:rowOff>0</xdr:rowOff>
                  </from>
                  <to>
                    <xdr:col>4</xdr:col>
                    <xdr:colOff>617579</xdr:colOff>
                    <xdr:row>13</xdr:row>
                    <xdr:rowOff>220222</xdr:rowOff>
                  </to>
                </anchor>
              </controlPr>
            </control>
          </mc:Choice>
        </mc:AlternateContent>
        <mc:AlternateContent xmlns:mc="http://schemas.openxmlformats.org/markup-compatibility/2006">
          <mc:Choice Requires="x14">
            <control shapeId="12524" r:id="rId149" name="Check Box 236">
              <controlPr defaultSize="0" autoFill="0" autoLine="0" autoPict="0">
                <anchor moveWithCells="1">
                  <from>
                    <xdr:col>13</xdr:col>
                    <xdr:colOff>38299</xdr:colOff>
                    <xdr:row>13</xdr:row>
                    <xdr:rowOff>0</xdr:rowOff>
                  </from>
                  <to>
                    <xdr:col>14</xdr:col>
                    <xdr:colOff>617579</xdr:colOff>
                    <xdr:row>13</xdr:row>
                    <xdr:rowOff>220222</xdr:rowOff>
                  </to>
                </anchor>
              </controlPr>
            </control>
          </mc:Choice>
        </mc:AlternateContent>
        <mc:AlternateContent xmlns:mc="http://schemas.openxmlformats.org/markup-compatibility/2006">
          <mc:Choice Requires="x14">
            <control shapeId="12525" r:id="rId150" name="Check Box 237">
              <controlPr defaultSize="0" autoFill="0" autoLine="0" autoPict="0">
                <anchor moveWithCells="1">
                  <from>
                    <xdr:col>15</xdr:col>
                    <xdr:colOff>38299</xdr:colOff>
                    <xdr:row>13</xdr:row>
                    <xdr:rowOff>0</xdr:rowOff>
                  </from>
                  <to>
                    <xdr:col>16</xdr:col>
                    <xdr:colOff>617579</xdr:colOff>
                    <xdr:row>13</xdr:row>
                    <xdr:rowOff>220222</xdr:rowOff>
                  </to>
                </anchor>
              </controlPr>
            </control>
          </mc:Choice>
        </mc:AlternateContent>
        <mc:AlternateContent xmlns:mc="http://schemas.openxmlformats.org/markup-compatibility/2006">
          <mc:Choice Requires="x14">
            <control shapeId="12526" r:id="rId151" name="Check Box 238">
              <controlPr defaultSize="0" autoFill="0" autoLine="0" autoPict="0">
                <anchor moveWithCells="1">
                  <from>
                    <xdr:col>1</xdr:col>
                    <xdr:colOff>47874</xdr:colOff>
                    <xdr:row>19</xdr:row>
                    <xdr:rowOff>0</xdr:rowOff>
                  </from>
                  <to>
                    <xdr:col>2</xdr:col>
                    <xdr:colOff>627154</xdr:colOff>
                    <xdr:row>19</xdr:row>
                    <xdr:rowOff>220222</xdr:rowOff>
                  </to>
                </anchor>
              </controlPr>
            </control>
          </mc:Choice>
        </mc:AlternateContent>
        <mc:AlternateContent xmlns:mc="http://schemas.openxmlformats.org/markup-compatibility/2006">
          <mc:Choice Requires="x14">
            <control shapeId="12527" r:id="rId152" name="Check Box 239">
              <controlPr defaultSize="0" autoFill="0" autoLine="0" autoPict="0">
                <anchor moveWithCells="1">
                  <from>
                    <xdr:col>5</xdr:col>
                    <xdr:colOff>47874</xdr:colOff>
                    <xdr:row>19</xdr:row>
                    <xdr:rowOff>0</xdr:rowOff>
                  </from>
                  <to>
                    <xdr:col>6</xdr:col>
                    <xdr:colOff>627154</xdr:colOff>
                    <xdr:row>19</xdr:row>
                    <xdr:rowOff>220222</xdr:rowOff>
                  </to>
                </anchor>
              </controlPr>
            </control>
          </mc:Choice>
        </mc:AlternateContent>
        <mc:AlternateContent xmlns:mc="http://schemas.openxmlformats.org/markup-compatibility/2006">
          <mc:Choice Requires="x14">
            <control shapeId="12528" r:id="rId153" name="Check Box 240">
              <controlPr defaultSize="0" autoFill="0" autoLine="0" autoPict="0">
                <anchor moveWithCells="1">
                  <from>
                    <xdr:col>7</xdr:col>
                    <xdr:colOff>47874</xdr:colOff>
                    <xdr:row>19</xdr:row>
                    <xdr:rowOff>0</xdr:rowOff>
                  </from>
                  <to>
                    <xdr:col>8</xdr:col>
                    <xdr:colOff>627154</xdr:colOff>
                    <xdr:row>19</xdr:row>
                    <xdr:rowOff>220222</xdr:rowOff>
                  </to>
                </anchor>
              </controlPr>
            </control>
          </mc:Choice>
        </mc:AlternateContent>
        <mc:AlternateContent xmlns:mc="http://schemas.openxmlformats.org/markup-compatibility/2006">
          <mc:Choice Requires="x14">
            <control shapeId="12530" r:id="rId154" name="Check Box 242">
              <controlPr defaultSize="0" autoFill="0" autoLine="0" autoPict="0">
                <anchor moveWithCells="1">
                  <from>
                    <xdr:col>11</xdr:col>
                    <xdr:colOff>47874</xdr:colOff>
                    <xdr:row>19</xdr:row>
                    <xdr:rowOff>0</xdr:rowOff>
                  </from>
                  <to>
                    <xdr:col>12</xdr:col>
                    <xdr:colOff>627154</xdr:colOff>
                    <xdr:row>19</xdr:row>
                    <xdr:rowOff>220222</xdr:rowOff>
                  </to>
                </anchor>
              </controlPr>
            </control>
          </mc:Choice>
        </mc:AlternateContent>
        <mc:AlternateContent xmlns:mc="http://schemas.openxmlformats.org/markup-compatibility/2006">
          <mc:Choice Requires="x14">
            <control shapeId="12531" r:id="rId155" name="Check Box 243">
              <controlPr defaultSize="0" autoFill="0" autoLine="0" autoPict="0">
                <anchor moveWithCells="1">
                  <from>
                    <xdr:col>3</xdr:col>
                    <xdr:colOff>47874</xdr:colOff>
                    <xdr:row>19</xdr:row>
                    <xdr:rowOff>0</xdr:rowOff>
                  </from>
                  <to>
                    <xdr:col>4</xdr:col>
                    <xdr:colOff>627154</xdr:colOff>
                    <xdr:row>19</xdr:row>
                    <xdr:rowOff>220222</xdr:rowOff>
                  </to>
                </anchor>
              </controlPr>
            </control>
          </mc:Choice>
        </mc:AlternateContent>
        <mc:AlternateContent xmlns:mc="http://schemas.openxmlformats.org/markup-compatibility/2006">
          <mc:Choice Requires="x14">
            <control shapeId="12532" r:id="rId156" name="Check Box 244">
              <controlPr defaultSize="0" autoFill="0" autoLine="0" autoPict="0">
                <anchor moveWithCells="1">
                  <from>
                    <xdr:col>13</xdr:col>
                    <xdr:colOff>47874</xdr:colOff>
                    <xdr:row>19</xdr:row>
                    <xdr:rowOff>0</xdr:rowOff>
                  </from>
                  <to>
                    <xdr:col>14</xdr:col>
                    <xdr:colOff>627154</xdr:colOff>
                    <xdr:row>19</xdr:row>
                    <xdr:rowOff>220222</xdr:rowOff>
                  </to>
                </anchor>
              </controlPr>
            </control>
          </mc:Choice>
        </mc:AlternateContent>
        <mc:AlternateContent xmlns:mc="http://schemas.openxmlformats.org/markup-compatibility/2006">
          <mc:Choice Requires="x14">
            <control shapeId="12533" r:id="rId157" name="Check Box 245">
              <controlPr defaultSize="0" autoFill="0" autoLine="0" autoPict="0">
                <anchor moveWithCells="1">
                  <from>
                    <xdr:col>15</xdr:col>
                    <xdr:colOff>47874</xdr:colOff>
                    <xdr:row>19</xdr:row>
                    <xdr:rowOff>0</xdr:rowOff>
                  </from>
                  <to>
                    <xdr:col>16</xdr:col>
                    <xdr:colOff>627154</xdr:colOff>
                    <xdr:row>19</xdr:row>
                    <xdr:rowOff>220222</xdr:rowOff>
                  </to>
                </anchor>
              </controlPr>
            </control>
          </mc:Choice>
        </mc:AlternateContent>
        <mc:AlternateContent xmlns:mc="http://schemas.openxmlformats.org/markup-compatibility/2006">
          <mc:Choice Requires="x14">
            <control shapeId="12534" r:id="rId158" name="Check Box 246">
              <controlPr defaultSize="0" autoFill="0" autoLine="0" autoPict="0">
                <anchor moveWithCells="1">
                  <from>
                    <xdr:col>1</xdr:col>
                    <xdr:colOff>47874</xdr:colOff>
                    <xdr:row>20</xdr:row>
                    <xdr:rowOff>0</xdr:rowOff>
                  </from>
                  <to>
                    <xdr:col>2</xdr:col>
                    <xdr:colOff>627154</xdr:colOff>
                    <xdr:row>20</xdr:row>
                    <xdr:rowOff>220222</xdr:rowOff>
                  </to>
                </anchor>
              </controlPr>
            </control>
          </mc:Choice>
        </mc:AlternateContent>
        <mc:AlternateContent xmlns:mc="http://schemas.openxmlformats.org/markup-compatibility/2006">
          <mc:Choice Requires="x14">
            <control shapeId="12535" r:id="rId159" name="Check Box 247">
              <controlPr defaultSize="0" autoFill="0" autoLine="0" autoPict="0">
                <anchor moveWithCells="1">
                  <from>
                    <xdr:col>5</xdr:col>
                    <xdr:colOff>47874</xdr:colOff>
                    <xdr:row>20</xdr:row>
                    <xdr:rowOff>0</xdr:rowOff>
                  </from>
                  <to>
                    <xdr:col>6</xdr:col>
                    <xdr:colOff>627154</xdr:colOff>
                    <xdr:row>20</xdr:row>
                    <xdr:rowOff>220222</xdr:rowOff>
                  </to>
                </anchor>
              </controlPr>
            </control>
          </mc:Choice>
        </mc:AlternateContent>
        <mc:AlternateContent xmlns:mc="http://schemas.openxmlformats.org/markup-compatibility/2006">
          <mc:Choice Requires="x14">
            <control shapeId="12536" r:id="rId160" name="Check Box 248">
              <controlPr defaultSize="0" autoFill="0" autoLine="0" autoPict="0">
                <anchor moveWithCells="1">
                  <from>
                    <xdr:col>7</xdr:col>
                    <xdr:colOff>47874</xdr:colOff>
                    <xdr:row>20</xdr:row>
                    <xdr:rowOff>0</xdr:rowOff>
                  </from>
                  <to>
                    <xdr:col>8</xdr:col>
                    <xdr:colOff>627154</xdr:colOff>
                    <xdr:row>20</xdr:row>
                    <xdr:rowOff>220222</xdr:rowOff>
                  </to>
                </anchor>
              </controlPr>
            </control>
          </mc:Choice>
        </mc:AlternateContent>
        <mc:AlternateContent xmlns:mc="http://schemas.openxmlformats.org/markup-compatibility/2006">
          <mc:Choice Requires="x14">
            <control shapeId="12538" r:id="rId161" name="Check Box 250">
              <controlPr defaultSize="0" autoFill="0" autoLine="0" autoPict="0">
                <anchor moveWithCells="1">
                  <from>
                    <xdr:col>11</xdr:col>
                    <xdr:colOff>47874</xdr:colOff>
                    <xdr:row>20</xdr:row>
                    <xdr:rowOff>0</xdr:rowOff>
                  </from>
                  <to>
                    <xdr:col>12</xdr:col>
                    <xdr:colOff>627154</xdr:colOff>
                    <xdr:row>20</xdr:row>
                    <xdr:rowOff>220222</xdr:rowOff>
                  </to>
                </anchor>
              </controlPr>
            </control>
          </mc:Choice>
        </mc:AlternateContent>
        <mc:AlternateContent xmlns:mc="http://schemas.openxmlformats.org/markup-compatibility/2006">
          <mc:Choice Requires="x14">
            <control shapeId="12539" r:id="rId162" name="Check Box 251">
              <controlPr defaultSize="0" autoFill="0" autoLine="0" autoPict="0">
                <anchor moveWithCells="1">
                  <from>
                    <xdr:col>3</xdr:col>
                    <xdr:colOff>47874</xdr:colOff>
                    <xdr:row>20</xdr:row>
                    <xdr:rowOff>0</xdr:rowOff>
                  </from>
                  <to>
                    <xdr:col>4</xdr:col>
                    <xdr:colOff>627154</xdr:colOff>
                    <xdr:row>20</xdr:row>
                    <xdr:rowOff>220222</xdr:rowOff>
                  </to>
                </anchor>
              </controlPr>
            </control>
          </mc:Choice>
        </mc:AlternateContent>
        <mc:AlternateContent xmlns:mc="http://schemas.openxmlformats.org/markup-compatibility/2006">
          <mc:Choice Requires="x14">
            <control shapeId="12540" r:id="rId163" name="Check Box 252">
              <controlPr defaultSize="0" autoFill="0" autoLine="0" autoPict="0">
                <anchor moveWithCells="1">
                  <from>
                    <xdr:col>13</xdr:col>
                    <xdr:colOff>47874</xdr:colOff>
                    <xdr:row>20</xdr:row>
                    <xdr:rowOff>0</xdr:rowOff>
                  </from>
                  <to>
                    <xdr:col>14</xdr:col>
                    <xdr:colOff>627154</xdr:colOff>
                    <xdr:row>20</xdr:row>
                    <xdr:rowOff>220222</xdr:rowOff>
                  </to>
                </anchor>
              </controlPr>
            </control>
          </mc:Choice>
        </mc:AlternateContent>
        <mc:AlternateContent xmlns:mc="http://schemas.openxmlformats.org/markup-compatibility/2006">
          <mc:Choice Requires="x14">
            <control shapeId="12541" r:id="rId164" name="Check Box 253">
              <controlPr defaultSize="0" autoFill="0" autoLine="0" autoPict="0">
                <anchor moveWithCells="1">
                  <from>
                    <xdr:col>15</xdr:col>
                    <xdr:colOff>47874</xdr:colOff>
                    <xdr:row>20</xdr:row>
                    <xdr:rowOff>0</xdr:rowOff>
                  </from>
                  <to>
                    <xdr:col>16</xdr:col>
                    <xdr:colOff>627154</xdr:colOff>
                    <xdr:row>20</xdr:row>
                    <xdr:rowOff>220222</xdr:rowOff>
                  </to>
                </anchor>
              </controlPr>
            </control>
          </mc:Choice>
        </mc:AlternateContent>
        <mc:AlternateContent xmlns:mc="http://schemas.openxmlformats.org/markup-compatibility/2006">
          <mc:Choice Requires="x14">
            <control shapeId="12542" r:id="rId165" name="Check Box 254">
              <controlPr defaultSize="0" autoFill="0" autoLine="0" autoPict="0">
                <anchor moveWithCells="1">
                  <from>
                    <xdr:col>1</xdr:col>
                    <xdr:colOff>47874</xdr:colOff>
                    <xdr:row>21</xdr:row>
                    <xdr:rowOff>0</xdr:rowOff>
                  </from>
                  <to>
                    <xdr:col>2</xdr:col>
                    <xdr:colOff>627154</xdr:colOff>
                    <xdr:row>21</xdr:row>
                    <xdr:rowOff>220222</xdr:rowOff>
                  </to>
                </anchor>
              </controlPr>
            </control>
          </mc:Choice>
        </mc:AlternateContent>
        <mc:AlternateContent xmlns:mc="http://schemas.openxmlformats.org/markup-compatibility/2006">
          <mc:Choice Requires="x14">
            <control shapeId="12543" r:id="rId166" name="Check Box 255">
              <controlPr defaultSize="0" autoFill="0" autoLine="0" autoPict="0">
                <anchor moveWithCells="1">
                  <from>
                    <xdr:col>5</xdr:col>
                    <xdr:colOff>47874</xdr:colOff>
                    <xdr:row>21</xdr:row>
                    <xdr:rowOff>0</xdr:rowOff>
                  </from>
                  <to>
                    <xdr:col>6</xdr:col>
                    <xdr:colOff>627154</xdr:colOff>
                    <xdr:row>21</xdr:row>
                    <xdr:rowOff>220222</xdr:rowOff>
                  </to>
                </anchor>
              </controlPr>
            </control>
          </mc:Choice>
        </mc:AlternateContent>
        <mc:AlternateContent xmlns:mc="http://schemas.openxmlformats.org/markup-compatibility/2006">
          <mc:Choice Requires="x14">
            <control shapeId="12544" r:id="rId167" name="Check Box 256">
              <controlPr defaultSize="0" autoFill="0" autoLine="0" autoPict="0">
                <anchor moveWithCells="1">
                  <from>
                    <xdr:col>7</xdr:col>
                    <xdr:colOff>47874</xdr:colOff>
                    <xdr:row>21</xdr:row>
                    <xdr:rowOff>0</xdr:rowOff>
                  </from>
                  <to>
                    <xdr:col>8</xdr:col>
                    <xdr:colOff>627154</xdr:colOff>
                    <xdr:row>21</xdr:row>
                    <xdr:rowOff>220222</xdr:rowOff>
                  </to>
                </anchor>
              </controlPr>
            </control>
          </mc:Choice>
        </mc:AlternateContent>
        <mc:AlternateContent xmlns:mc="http://schemas.openxmlformats.org/markup-compatibility/2006">
          <mc:Choice Requires="x14">
            <control shapeId="12546" r:id="rId168" name="Check Box 258">
              <controlPr defaultSize="0" autoFill="0" autoLine="0" autoPict="0">
                <anchor moveWithCells="1">
                  <from>
                    <xdr:col>11</xdr:col>
                    <xdr:colOff>47874</xdr:colOff>
                    <xdr:row>21</xdr:row>
                    <xdr:rowOff>0</xdr:rowOff>
                  </from>
                  <to>
                    <xdr:col>12</xdr:col>
                    <xdr:colOff>627154</xdr:colOff>
                    <xdr:row>21</xdr:row>
                    <xdr:rowOff>220222</xdr:rowOff>
                  </to>
                </anchor>
              </controlPr>
            </control>
          </mc:Choice>
        </mc:AlternateContent>
        <mc:AlternateContent xmlns:mc="http://schemas.openxmlformats.org/markup-compatibility/2006">
          <mc:Choice Requires="x14">
            <control shapeId="12547" r:id="rId169" name="Check Box 259">
              <controlPr defaultSize="0" autoFill="0" autoLine="0" autoPict="0">
                <anchor moveWithCells="1">
                  <from>
                    <xdr:col>3</xdr:col>
                    <xdr:colOff>47874</xdr:colOff>
                    <xdr:row>21</xdr:row>
                    <xdr:rowOff>0</xdr:rowOff>
                  </from>
                  <to>
                    <xdr:col>4</xdr:col>
                    <xdr:colOff>627154</xdr:colOff>
                    <xdr:row>21</xdr:row>
                    <xdr:rowOff>220222</xdr:rowOff>
                  </to>
                </anchor>
              </controlPr>
            </control>
          </mc:Choice>
        </mc:AlternateContent>
        <mc:AlternateContent xmlns:mc="http://schemas.openxmlformats.org/markup-compatibility/2006">
          <mc:Choice Requires="x14">
            <control shapeId="12548" r:id="rId170" name="Check Box 260">
              <controlPr defaultSize="0" autoFill="0" autoLine="0" autoPict="0">
                <anchor moveWithCells="1">
                  <from>
                    <xdr:col>13</xdr:col>
                    <xdr:colOff>47874</xdr:colOff>
                    <xdr:row>21</xdr:row>
                    <xdr:rowOff>0</xdr:rowOff>
                  </from>
                  <to>
                    <xdr:col>14</xdr:col>
                    <xdr:colOff>627154</xdr:colOff>
                    <xdr:row>21</xdr:row>
                    <xdr:rowOff>220222</xdr:rowOff>
                  </to>
                </anchor>
              </controlPr>
            </control>
          </mc:Choice>
        </mc:AlternateContent>
        <mc:AlternateContent xmlns:mc="http://schemas.openxmlformats.org/markup-compatibility/2006">
          <mc:Choice Requires="x14">
            <control shapeId="12549" r:id="rId171" name="Check Box 261">
              <controlPr defaultSize="0" autoFill="0" autoLine="0" autoPict="0">
                <anchor moveWithCells="1">
                  <from>
                    <xdr:col>15</xdr:col>
                    <xdr:colOff>47874</xdr:colOff>
                    <xdr:row>21</xdr:row>
                    <xdr:rowOff>0</xdr:rowOff>
                  </from>
                  <to>
                    <xdr:col>16</xdr:col>
                    <xdr:colOff>627154</xdr:colOff>
                    <xdr:row>21</xdr:row>
                    <xdr:rowOff>220222</xdr:rowOff>
                  </to>
                </anchor>
              </controlPr>
            </control>
          </mc:Choice>
        </mc:AlternateContent>
        <mc:AlternateContent xmlns:mc="http://schemas.openxmlformats.org/markup-compatibility/2006">
          <mc:Choice Requires="x14">
            <control shapeId="12550" r:id="rId172" name="Check Box 262">
              <controlPr defaultSize="0" autoFill="0" autoLine="0" autoPict="0">
                <anchor moveWithCells="1">
                  <from>
                    <xdr:col>1</xdr:col>
                    <xdr:colOff>47874</xdr:colOff>
                    <xdr:row>22</xdr:row>
                    <xdr:rowOff>0</xdr:rowOff>
                  </from>
                  <to>
                    <xdr:col>2</xdr:col>
                    <xdr:colOff>627154</xdr:colOff>
                    <xdr:row>22</xdr:row>
                    <xdr:rowOff>220222</xdr:rowOff>
                  </to>
                </anchor>
              </controlPr>
            </control>
          </mc:Choice>
        </mc:AlternateContent>
        <mc:AlternateContent xmlns:mc="http://schemas.openxmlformats.org/markup-compatibility/2006">
          <mc:Choice Requires="x14">
            <control shapeId="12551" r:id="rId173" name="Check Box 263">
              <controlPr defaultSize="0" autoFill="0" autoLine="0" autoPict="0">
                <anchor moveWithCells="1">
                  <from>
                    <xdr:col>5</xdr:col>
                    <xdr:colOff>47874</xdr:colOff>
                    <xdr:row>22</xdr:row>
                    <xdr:rowOff>0</xdr:rowOff>
                  </from>
                  <to>
                    <xdr:col>6</xdr:col>
                    <xdr:colOff>627154</xdr:colOff>
                    <xdr:row>22</xdr:row>
                    <xdr:rowOff>220222</xdr:rowOff>
                  </to>
                </anchor>
              </controlPr>
            </control>
          </mc:Choice>
        </mc:AlternateContent>
        <mc:AlternateContent xmlns:mc="http://schemas.openxmlformats.org/markup-compatibility/2006">
          <mc:Choice Requires="x14">
            <control shapeId="12552" r:id="rId174" name="Check Box 264">
              <controlPr defaultSize="0" autoFill="0" autoLine="0" autoPict="0">
                <anchor moveWithCells="1">
                  <from>
                    <xdr:col>7</xdr:col>
                    <xdr:colOff>47874</xdr:colOff>
                    <xdr:row>22</xdr:row>
                    <xdr:rowOff>0</xdr:rowOff>
                  </from>
                  <to>
                    <xdr:col>8</xdr:col>
                    <xdr:colOff>627154</xdr:colOff>
                    <xdr:row>22</xdr:row>
                    <xdr:rowOff>220222</xdr:rowOff>
                  </to>
                </anchor>
              </controlPr>
            </control>
          </mc:Choice>
        </mc:AlternateContent>
        <mc:AlternateContent xmlns:mc="http://schemas.openxmlformats.org/markup-compatibility/2006">
          <mc:Choice Requires="x14">
            <control shapeId="12554" r:id="rId175" name="Check Box 266">
              <controlPr defaultSize="0" autoFill="0" autoLine="0" autoPict="0">
                <anchor moveWithCells="1">
                  <from>
                    <xdr:col>11</xdr:col>
                    <xdr:colOff>47874</xdr:colOff>
                    <xdr:row>22</xdr:row>
                    <xdr:rowOff>0</xdr:rowOff>
                  </from>
                  <to>
                    <xdr:col>12</xdr:col>
                    <xdr:colOff>627154</xdr:colOff>
                    <xdr:row>22</xdr:row>
                    <xdr:rowOff>220222</xdr:rowOff>
                  </to>
                </anchor>
              </controlPr>
            </control>
          </mc:Choice>
        </mc:AlternateContent>
        <mc:AlternateContent xmlns:mc="http://schemas.openxmlformats.org/markup-compatibility/2006">
          <mc:Choice Requires="x14">
            <control shapeId="12555" r:id="rId176" name="Check Box 267">
              <controlPr defaultSize="0" autoFill="0" autoLine="0" autoPict="0">
                <anchor moveWithCells="1">
                  <from>
                    <xdr:col>3</xdr:col>
                    <xdr:colOff>47874</xdr:colOff>
                    <xdr:row>22</xdr:row>
                    <xdr:rowOff>0</xdr:rowOff>
                  </from>
                  <to>
                    <xdr:col>4</xdr:col>
                    <xdr:colOff>627154</xdr:colOff>
                    <xdr:row>22</xdr:row>
                    <xdr:rowOff>220222</xdr:rowOff>
                  </to>
                </anchor>
              </controlPr>
            </control>
          </mc:Choice>
        </mc:AlternateContent>
        <mc:AlternateContent xmlns:mc="http://schemas.openxmlformats.org/markup-compatibility/2006">
          <mc:Choice Requires="x14">
            <control shapeId="12556" r:id="rId177" name="Check Box 268">
              <controlPr defaultSize="0" autoFill="0" autoLine="0" autoPict="0">
                <anchor moveWithCells="1">
                  <from>
                    <xdr:col>13</xdr:col>
                    <xdr:colOff>47874</xdr:colOff>
                    <xdr:row>22</xdr:row>
                    <xdr:rowOff>0</xdr:rowOff>
                  </from>
                  <to>
                    <xdr:col>14</xdr:col>
                    <xdr:colOff>627154</xdr:colOff>
                    <xdr:row>22</xdr:row>
                    <xdr:rowOff>220222</xdr:rowOff>
                  </to>
                </anchor>
              </controlPr>
            </control>
          </mc:Choice>
        </mc:AlternateContent>
        <mc:AlternateContent xmlns:mc="http://schemas.openxmlformats.org/markup-compatibility/2006">
          <mc:Choice Requires="x14">
            <control shapeId="12557" r:id="rId178" name="Check Box 269">
              <controlPr defaultSize="0" autoFill="0" autoLine="0" autoPict="0">
                <anchor moveWithCells="1">
                  <from>
                    <xdr:col>15</xdr:col>
                    <xdr:colOff>47874</xdr:colOff>
                    <xdr:row>22</xdr:row>
                    <xdr:rowOff>0</xdr:rowOff>
                  </from>
                  <to>
                    <xdr:col>16</xdr:col>
                    <xdr:colOff>627154</xdr:colOff>
                    <xdr:row>22</xdr:row>
                    <xdr:rowOff>220222</xdr:rowOff>
                  </to>
                </anchor>
              </controlPr>
            </control>
          </mc:Choice>
        </mc:AlternateContent>
        <mc:AlternateContent xmlns:mc="http://schemas.openxmlformats.org/markup-compatibility/2006">
          <mc:Choice Requires="x14">
            <control shapeId="12558" r:id="rId179" name="Check Box 270">
              <controlPr defaultSize="0" autoFill="0" autoLine="0" autoPict="0">
                <anchor moveWithCells="1">
                  <from>
                    <xdr:col>1</xdr:col>
                    <xdr:colOff>47874</xdr:colOff>
                    <xdr:row>23</xdr:row>
                    <xdr:rowOff>0</xdr:rowOff>
                  </from>
                  <to>
                    <xdr:col>2</xdr:col>
                    <xdr:colOff>627154</xdr:colOff>
                    <xdr:row>23</xdr:row>
                    <xdr:rowOff>220222</xdr:rowOff>
                  </to>
                </anchor>
              </controlPr>
            </control>
          </mc:Choice>
        </mc:AlternateContent>
        <mc:AlternateContent xmlns:mc="http://schemas.openxmlformats.org/markup-compatibility/2006">
          <mc:Choice Requires="x14">
            <control shapeId="12559" r:id="rId180" name="Check Box 271">
              <controlPr defaultSize="0" autoFill="0" autoLine="0" autoPict="0">
                <anchor moveWithCells="1">
                  <from>
                    <xdr:col>5</xdr:col>
                    <xdr:colOff>47874</xdr:colOff>
                    <xdr:row>23</xdr:row>
                    <xdr:rowOff>0</xdr:rowOff>
                  </from>
                  <to>
                    <xdr:col>6</xdr:col>
                    <xdr:colOff>627154</xdr:colOff>
                    <xdr:row>23</xdr:row>
                    <xdr:rowOff>220222</xdr:rowOff>
                  </to>
                </anchor>
              </controlPr>
            </control>
          </mc:Choice>
        </mc:AlternateContent>
        <mc:AlternateContent xmlns:mc="http://schemas.openxmlformats.org/markup-compatibility/2006">
          <mc:Choice Requires="x14">
            <control shapeId="12560" r:id="rId181" name="Check Box 272">
              <controlPr defaultSize="0" autoFill="0" autoLine="0" autoPict="0">
                <anchor moveWithCells="1">
                  <from>
                    <xdr:col>7</xdr:col>
                    <xdr:colOff>47874</xdr:colOff>
                    <xdr:row>23</xdr:row>
                    <xdr:rowOff>0</xdr:rowOff>
                  </from>
                  <to>
                    <xdr:col>8</xdr:col>
                    <xdr:colOff>627154</xdr:colOff>
                    <xdr:row>23</xdr:row>
                    <xdr:rowOff>220222</xdr:rowOff>
                  </to>
                </anchor>
              </controlPr>
            </control>
          </mc:Choice>
        </mc:AlternateContent>
        <mc:AlternateContent xmlns:mc="http://schemas.openxmlformats.org/markup-compatibility/2006">
          <mc:Choice Requires="x14">
            <control shapeId="12562" r:id="rId182" name="Check Box 274">
              <controlPr defaultSize="0" autoFill="0" autoLine="0" autoPict="0">
                <anchor moveWithCells="1">
                  <from>
                    <xdr:col>11</xdr:col>
                    <xdr:colOff>47874</xdr:colOff>
                    <xdr:row>23</xdr:row>
                    <xdr:rowOff>0</xdr:rowOff>
                  </from>
                  <to>
                    <xdr:col>12</xdr:col>
                    <xdr:colOff>627154</xdr:colOff>
                    <xdr:row>23</xdr:row>
                    <xdr:rowOff>220222</xdr:rowOff>
                  </to>
                </anchor>
              </controlPr>
            </control>
          </mc:Choice>
        </mc:AlternateContent>
        <mc:AlternateContent xmlns:mc="http://schemas.openxmlformats.org/markup-compatibility/2006">
          <mc:Choice Requires="x14">
            <control shapeId="12563" r:id="rId183" name="Check Box 275">
              <controlPr defaultSize="0" autoFill="0" autoLine="0" autoPict="0">
                <anchor moveWithCells="1">
                  <from>
                    <xdr:col>3</xdr:col>
                    <xdr:colOff>47874</xdr:colOff>
                    <xdr:row>23</xdr:row>
                    <xdr:rowOff>0</xdr:rowOff>
                  </from>
                  <to>
                    <xdr:col>4</xdr:col>
                    <xdr:colOff>627154</xdr:colOff>
                    <xdr:row>23</xdr:row>
                    <xdr:rowOff>220222</xdr:rowOff>
                  </to>
                </anchor>
              </controlPr>
            </control>
          </mc:Choice>
        </mc:AlternateContent>
        <mc:AlternateContent xmlns:mc="http://schemas.openxmlformats.org/markup-compatibility/2006">
          <mc:Choice Requires="x14">
            <control shapeId="12564" r:id="rId184" name="Check Box 276">
              <controlPr defaultSize="0" autoFill="0" autoLine="0" autoPict="0">
                <anchor moveWithCells="1">
                  <from>
                    <xdr:col>13</xdr:col>
                    <xdr:colOff>47874</xdr:colOff>
                    <xdr:row>23</xdr:row>
                    <xdr:rowOff>0</xdr:rowOff>
                  </from>
                  <to>
                    <xdr:col>14</xdr:col>
                    <xdr:colOff>627154</xdr:colOff>
                    <xdr:row>23</xdr:row>
                    <xdr:rowOff>220222</xdr:rowOff>
                  </to>
                </anchor>
              </controlPr>
            </control>
          </mc:Choice>
        </mc:AlternateContent>
        <mc:AlternateContent xmlns:mc="http://schemas.openxmlformats.org/markup-compatibility/2006">
          <mc:Choice Requires="x14">
            <control shapeId="12565" r:id="rId185" name="Check Box 277">
              <controlPr defaultSize="0" autoFill="0" autoLine="0" autoPict="0">
                <anchor moveWithCells="1">
                  <from>
                    <xdr:col>15</xdr:col>
                    <xdr:colOff>47874</xdr:colOff>
                    <xdr:row>23</xdr:row>
                    <xdr:rowOff>0</xdr:rowOff>
                  </from>
                  <to>
                    <xdr:col>16</xdr:col>
                    <xdr:colOff>627154</xdr:colOff>
                    <xdr:row>23</xdr:row>
                    <xdr:rowOff>220222</xdr:rowOff>
                  </to>
                </anchor>
              </controlPr>
            </control>
          </mc:Choice>
        </mc:AlternateContent>
        <mc:AlternateContent xmlns:mc="http://schemas.openxmlformats.org/markup-compatibility/2006">
          <mc:Choice Requires="x14">
            <control shapeId="12566" r:id="rId186" name="Check Box 278">
              <controlPr defaultSize="0" autoFill="0" autoLine="0" autoPict="0">
                <anchor moveWithCells="1">
                  <from>
                    <xdr:col>1</xdr:col>
                    <xdr:colOff>47874</xdr:colOff>
                    <xdr:row>24</xdr:row>
                    <xdr:rowOff>0</xdr:rowOff>
                  </from>
                  <to>
                    <xdr:col>2</xdr:col>
                    <xdr:colOff>627154</xdr:colOff>
                    <xdr:row>24</xdr:row>
                    <xdr:rowOff>220222</xdr:rowOff>
                  </to>
                </anchor>
              </controlPr>
            </control>
          </mc:Choice>
        </mc:AlternateContent>
        <mc:AlternateContent xmlns:mc="http://schemas.openxmlformats.org/markup-compatibility/2006">
          <mc:Choice Requires="x14">
            <control shapeId="12567" r:id="rId187" name="Check Box 279">
              <controlPr defaultSize="0" autoFill="0" autoLine="0" autoPict="0">
                <anchor moveWithCells="1">
                  <from>
                    <xdr:col>5</xdr:col>
                    <xdr:colOff>47874</xdr:colOff>
                    <xdr:row>24</xdr:row>
                    <xdr:rowOff>0</xdr:rowOff>
                  </from>
                  <to>
                    <xdr:col>6</xdr:col>
                    <xdr:colOff>627154</xdr:colOff>
                    <xdr:row>24</xdr:row>
                    <xdr:rowOff>220222</xdr:rowOff>
                  </to>
                </anchor>
              </controlPr>
            </control>
          </mc:Choice>
        </mc:AlternateContent>
        <mc:AlternateContent xmlns:mc="http://schemas.openxmlformats.org/markup-compatibility/2006">
          <mc:Choice Requires="x14">
            <control shapeId="12568" r:id="rId188" name="Check Box 280">
              <controlPr defaultSize="0" autoFill="0" autoLine="0" autoPict="0">
                <anchor moveWithCells="1">
                  <from>
                    <xdr:col>7</xdr:col>
                    <xdr:colOff>47874</xdr:colOff>
                    <xdr:row>24</xdr:row>
                    <xdr:rowOff>0</xdr:rowOff>
                  </from>
                  <to>
                    <xdr:col>8</xdr:col>
                    <xdr:colOff>627154</xdr:colOff>
                    <xdr:row>24</xdr:row>
                    <xdr:rowOff>220222</xdr:rowOff>
                  </to>
                </anchor>
              </controlPr>
            </control>
          </mc:Choice>
        </mc:AlternateContent>
        <mc:AlternateContent xmlns:mc="http://schemas.openxmlformats.org/markup-compatibility/2006">
          <mc:Choice Requires="x14">
            <control shapeId="12570" r:id="rId189" name="Check Box 282">
              <controlPr defaultSize="0" autoFill="0" autoLine="0" autoPict="0">
                <anchor moveWithCells="1">
                  <from>
                    <xdr:col>11</xdr:col>
                    <xdr:colOff>47874</xdr:colOff>
                    <xdr:row>24</xdr:row>
                    <xdr:rowOff>0</xdr:rowOff>
                  </from>
                  <to>
                    <xdr:col>12</xdr:col>
                    <xdr:colOff>627154</xdr:colOff>
                    <xdr:row>24</xdr:row>
                    <xdr:rowOff>220222</xdr:rowOff>
                  </to>
                </anchor>
              </controlPr>
            </control>
          </mc:Choice>
        </mc:AlternateContent>
        <mc:AlternateContent xmlns:mc="http://schemas.openxmlformats.org/markup-compatibility/2006">
          <mc:Choice Requires="x14">
            <control shapeId="12571" r:id="rId190" name="Check Box 283">
              <controlPr defaultSize="0" autoFill="0" autoLine="0" autoPict="0">
                <anchor moveWithCells="1">
                  <from>
                    <xdr:col>3</xdr:col>
                    <xdr:colOff>47874</xdr:colOff>
                    <xdr:row>24</xdr:row>
                    <xdr:rowOff>0</xdr:rowOff>
                  </from>
                  <to>
                    <xdr:col>4</xdr:col>
                    <xdr:colOff>627154</xdr:colOff>
                    <xdr:row>24</xdr:row>
                    <xdr:rowOff>220222</xdr:rowOff>
                  </to>
                </anchor>
              </controlPr>
            </control>
          </mc:Choice>
        </mc:AlternateContent>
        <mc:AlternateContent xmlns:mc="http://schemas.openxmlformats.org/markup-compatibility/2006">
          <mc:Choice Requires="x14">
            <control shapeId="12572" r:id="rId191" name="Check Box 284">
              <controlPr defaultSize="0" autoFill="0" autoLine="0" autoPict="0">
                <anchor moveWithCells="1">
                  <from>
                    <xdr:col>13</xdr:col>
                    <xdr:colOff>47874</xdr:colOff>
                    <xdr:row>24</xdr:row>
                    <xdr:rowOff>0</xdr:rowOff>
                  </from>
                  <to>
                    <xdr:col>14</xdr:col>
                    <xdr:colOff>627154</xdr:colOff>
                    <xdr:row>24</xdr:row>
                    <xdr:rowOff>220222</xdr:rowOff>
                  </to>
                </anchor>
              </controlPr>
            </control>
          </mc:Choice>
        </mc:AlternateContent>
        <mc:AlternateContent xmlns:mc="http://schemas.openxmlformats.org/markup-compatibility/2006">
          <mc:Choice Requires="x14">
            <control shapeId="12573" r:id="rId192" name="Check Box 285">
              <controlPr defaultSize="0" autoFill="0" autoLine="0" autoPict="0">
                <anchor moveWithCells="1">
                  <from>
                    <xdr:col>15</xdr:col>
                    <xdr:colOff>47874</xdr:colOff>
                    <xdr:row>24</xdr:row>
                    <xdr:rowOff>0</xdr:rowOff>
                  </from>
                  <to>
                    <xdr:col>16</xdr:col>
                    <xdr:colOff>627154</xdr:colOff>
                    <xdr:row>24</xdr:row>
                    <xdr:rowOff>220222</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otalen"/>
  <dimension ref="A1:E38"/>
  <sheetViews>
    <sheetView workbookViewId="0">
      <selection activeCell="B12" sqref="B12"/>
    </sheetView>
  </sheetViews>
  <sheetFormatPr defaultRowHeight="12.85" x14ac:dyDescent="0.35"/>
  <cols>
    <col min="1" max="1" width="11" customWidth="1"/>
    <col min="2" max="2" width="9.73046875" customWidth="1"/>
  </cols>
  <sheetData>
    <row r="1" spans="1:5" x14ac:dyDescent="0.35">
      <c r="B1" t="s">
        <v>1808</v>
      </c>
      <c r="C1" t="s">
        <v>2099</v>
      </c>
      <c r="D1" t="s">
        <v>2748</v>
      </c>
      <c r="E1" t="s">
        <v>2099</v>
      </c>
    </row>
    <row r="2" spans="1:5" ht="13.2" x14ac:dyDescent="0.4">
      <c r="A2" s="12" t="s">
        <v>3353</v>
      </c>
      <c r="B2" s="13">
        <f>SUM(B3:B4)</f>
        <v>0</v>
      </c>
      <c r="C2" s="13">
        <f>10*B2/Gewicht</f>
        <v>0</v>
      </c>
      <c r="D2" s="13"/>
      <c r="E2" s="14"/>
    </row>
    <row r="3" spans="1:5" x14ac:dyDescent="0.35">
      <c r="A3" s="5" t="s">
        <v>2111</v>
      </c>
      <c r="B3">
        <f>ber_PO!O22</f>
        <v>0</v>
      </c>
    </row>
    <row r="4" spans="1:5" x14ac:dyDescent="0.35">
      <c r="A4" s="5" t="s">
        <v>2109</v>
      </c>
      <c r="B4">
        <f>(ber_IVmed!F46+ber_TPN!F23+Infusen!J15+ber_Med_disc!O23)</f>
        <v>0</v>
      </c>
    </row>
    <row r="5" spans="1:5" ht="13.2" x14ac:dyDescent="0.4">
      <c r="A5" s="12" t="s">
        <v>2098</v>
      </c>
      <c r="B5" s="13">
        <f>SUM(B6:B8)</f>
        <v>0</v>
      </c>
      <c r="C5" s="13">
        <f>B5/(Gewicht/10)</f>
        <v>0</v>
      </c>
      <c r="D5" s="13">
        <f>SUM(D7:D7)</f>
        <v>0</v>
      </c>
      <c r="E5" s="14">
        <f>D5/(Gewicht/10)</f>
        <v>0</v>
      </c>
    </row>
    <row r="6" spans="1:5" ht="13.2" x14ac:dyDescent="0.4">
      <c r="A6" s="5" t="s">
        <v>2111</v>
      </c>
      <c r="B6">
        <f>ber_PO!K25</f>
        <v>0</v>
      </c>
      <c r="C6" s="10" t="s">
        <v>2117</v>
      </c>
      <c r="D6" s="10" t="s">
        <v>2117</v>
      </c>
    </row>
    <row r="7" spans="1:5" x14ac:dyDescent="0.35">
      <c r="A7" s="5" t="s">
        <v>2116</v>
      </c>
      <c r="B7">
        <f>ber_Med_disc!S23+ber_IVmed!G46+ber_IVmed!H46</f>
        <v>0</v>
      </c>
      <c r="D7">
        <f>B7*4</f>
        <v>0</v>
      </c>
    </row>
    <row r="8" spans="1:5" ht="13.2" x14ac:dyDescent="0.4">
      <c r="A8" s="5" t="s">
        <v>2213</v>
      </c>
      <c r="B8">
        <f>ber_TPN!G23</f>
        <v>0</v>
      </c>
      <c r="C8" s="10" t="s">
        <v>2117</v>
      </c>
      <c r="D8" s="10" t="s">
        <v>2117</v>
      </c>
    </row>
    <row r="9" spans="1:5" ht="13.2" x14ac:dyDescent="0.4">
      <c r="A9" s="12" t="s">
        <v>2103</v>
      </c>
      <c r="B9" s="13">
        <f>SUM(B10:B12)</f>
        <v>0</v>
      </c>
      <c r="C9" s="13">
        <f>B9/(Gewicht/10)</f>
        <v>0</v>
      </c>
      <c r="D9" s="13">
        <f>SUM(D10:D11)</f>
        <v>0</v>
      </c>
      <c r="E9" s="14">
        <f>D9/(Gewicht/10)</f>
        <v>0</v>
      </c>
    </row>
    <row r="10" spans="1:5" ht="13.2" x14ac:dyDescent="0.4">
      <c r="A10" s="5" t="s">
        <v>2111</v>
      </c>
      <c r="B10">
        <f>ber_PO!K24</f>
        <v>0</v>
      </c>
      <c r="C10" s="10" t="s">
        <v>2117</v>
      </c>
      <c r="D10" s="10" t="s">
        <v>2117</v>
      </c>
    </row>
    <row r="11" spans="1:5" ht="13.2" x14ac:dyDescent="0.4">
      <c r="A11" s="5" t="s">
        <v>2109</v>
      </c>
      <c r="B11">
        <f>ber_TPN!H23</f>
        <v>0</v>
      </c>
      <c r="C11" s="10" t="s">
        <v>2117</v>
      </c>
      <c r="D11" s="10" t="s">
        <v>2117</v>
      </c>
    </row>
    <row r="12" spans="1:5" ht="13.2" x14ac:dyDescent="0.4">
      <c r="A12" s="5" t="s">
        <v>649</v>
      </c>
      <c r="B12">
        <f>ber_IVmed!L46</f>
        <v>0</v>
      </c>
      <c r="C12" s="10"/>
      <c r="D12" s="10"/>
    </row>
    <row r="13" spans="1:5" ht="13.2" x14ac:dyDescent="0.4">
      <c r="A13" s="12" t="s">
        <v>2104</v>
      </c>
      <c r="B13" s="13">
        <f>SUM(B14:B16)</f>
        <v>0</v>
      </c>
      <c r="C13" s="13">
        <f>SUM(C14:C16)</f>
        <v>0</v>
      </c>
      <c r="D13" s="13">
        <f>SUM(D14:D15)</f>
        <v>0</v>
      </c>
      <c r="E13" s="14">
        <f>D13/(Gewicht/10)</f>
        <v>0</v>
      </c>
    </row>
    <row r="14" spans="1:5" ht="13.2" x14ac:dyDescent="0.4">
      <c r="A14" s="5" t="s">
        <v>2111</v>
      </c>
      <c r="B14">
        <f>ber_PO!K26</f>
        <v>0</v>
      </c>
      <c r="C14">
        <f>B14/(Gewicht/10)</f>
        <v>0</v>
      </c>
      <c r="D14" s="10" t="s">
        <v>2117</v>
      </c>
    </row>
    <row r="15" spans="1:5" ht="13.2" x14ac:dyDescent="0.4">
      <c r="A15" s="5" t="s">
        <v>2109</v>
      </c>
      <c r="B15">
        <f>ber_TPN!O23</f>
        <v>0</v>
      </c>
      <c r="C15">
        <f>B15/(Gewicht/10)</f>
        <v>0</v>
      </c>
      <c r="D15" s="10" t="s">
        <v>2117</v>
      </c>
    </row>
    <row r="16" spans="1:5" x14ac:dyDescent="0.35">
      <c r="A16" s="5" t="s">
        <v>2110</v>
      </c>
      <c r="B16">
        <f>ber_IVmed!M46</f>
        <v>0</v>
      </c>
      <c r="D16">
        <f>B16*9</f>
        <v>0</v>
      </c>
    </row>
    <row r="17" spans="1:5" ht="13.2" x14ac:dyDescent="0.4">
      <c r="A17" s="12" t="s">
        <v>3354</v>
      </c>
      <c r="B17" s="13">
        <f>SUM(B18:B22)</f>
        <v>0</v>
      </c>
      <c r="C17" s="13">
        <f>SUM(C18:C22)</f>
        <v>0</v>
      </c>
      <c r="D17" s="13"/>
      <c r="E17" s="14"/>
    </row>
    <row r="18" spans="1:5" x14ac:dyDescent="0.35">
      <c r="A18" s="5" t="s">
        <v>2111</v>
      </c>
      <c r="B18">
        <f>ber_PO!K27</f>
        <v>0</v>
      </c>
      <c r="C18">
        <f>B18/(Gewicht/10)</f>
        <v>0</v>
      </c>
    </row>
    <row r="19" spans="1:5" x14ac:dyDescent="0.35">
      <c r="A19" s="5" t="s">
        <v>2323</v>
      </c>
      <c r="B19">
        <f>Infusen!I15</f>
        <v>0</v>
      </c>
      <c r="C19">
        <f>B19/(Gewicht/10)</f>
        <v>0</v>
      </c>
    </row>
    <row r="20" spans="1:5" x14ac:dyDescent="0.35">
      <c r="A20" s="5" t="s">
        <v>2116</v>
      </c>
      <c r="B20">
        <f>ber_Med_disc!Q23</f>
        <v>0</v>
      </c>
      <c r="C20">
        <f>B20/(Gewicht/10)</f>
        <v>0</v>
      </c>
    </row>
    <row r="21" spans="1:5" x14ac:dyDescent="0.35">
      <c r="A21" s="4">
        <v>8.9999999999999993E-3</v>
      </c>
      <c r="B21">
        <f>ber_IVmed!J46</f>
        <v>0</v>
      </c>
      <c r="C21">
        <f>B21/(Gewicht/10)</f>
        <v>0</v>
      </c>
    </row>
    <row r="22" spans="1:5" x14ac:dyDescent="0.35">
      <c r="A22" s="4" t="s">
        <v>2213</v>
      </c>
      <c r="B22">
        <f>ber_TPN!I23</f>
        <v>0</v>
      </c>
      <c r="C22">
        <f>B22/(Gewicht/10)</f>
        <v>0</v>
      </c>
    </row>
    <row r="23" spans="1:5" ht="13.2" x14ac:dyDescent="0.4">
      <c r="A23" s="12" t="s">
        <v>3355</v>
      </c>
      <c r="B23" s="13">
        <f>SUM(B24:B26)</f>
        <v>0</v>
      </c>
      <c r="C23" s="13">
        <f>SUM(C24:C26)</f>
        <v>0</v>
      </c>
      <c r="D23" s="13"/>
      <c r="E23" s="14"/>
    </row>
    <row r="24" spans="1:5" x14ac:dyDescent="0.35">
      <c r="A24" s="5" t="s">
        <v>2111</v>
      </c>
      <c r="B24">
        <f>ber_PO!K28</f>
        <v>0</v>
      </c>
      <c r="C24">
        <f>B24/(Gewicht/10)</f>
        <v>0</v>
      </c>
    </row>
    <row r="25" spans="1:5" x14ac:dyDescent="0.35">
      <c r="A25" s="5" t="s">
        <v>2213</v>
      </c>
      <c r="B25">
        <f>ber_TPN!J23</f>
        <v>0</v>
      </c>
      <c r="C25">
        <f>B25/(Gewicht/10)</f>
        <v>0</v>
      </c>
    </row>
    <row r="26" spans="1:5" x14ac:dyDescent="0.35">
      <c r="A26" s="5" t="s">
        <v>2116</v>
      </c>
      <c r="B26">
        <f>ber_IVmed!K46</f>
        <v>0</v>
      </c>
      <c r="C26">
        <f>B26/(Gewicht/10)</f>
        <v>0</v>
      </c>
    </row>
    <row r="27" spans="1:5" ht="13.2" x14ac:dyDescent="0.4">
      <c r="A27" s="12" t="s">
        <v>2100</v>
      </c>
      <c r="B27" s="13">
        <f>SUM(B28:B29)</f>
        <v>0</v>
      </c>
      <c r="C27" s="13">
        <f>SUM(C28:C29)</f>
        <v>0</v>
      </c>
      <c r="D27" s="13"/>
      <c r="E27" s="14"/>
    </row>
    <row r="28" spans="1:5" x14ac:dyDescent="0.35">
      <c r="A28" s="5" t="s">
        <v>2111</v>
      </c>
      <c r="B28">
        <f>ber_PO!K29</f>
        <v>0</v>
      </c>
      <c r="C28">
        <f>B28/(Gewicht/10)</f>
        <v>0</v>
      </c>
    </row>
    <row r="29" spans="1:5" x14ac:dyDescent="0.35">
      <c r="A29" s="5" t="s">
        <v>2213</v>
      </c>
      <c r="B29">
        <f>ber_TPN!K23</f>
        <v>0</v>
      </c>
      <c r="C29">
        <f>B29/(Gewicht/10)</f>
        <v>0</v>
      </c>
    </row>
    <row r="30" spans="1:5" ht="13.2" x14ac:dyDescent="0.4">
      <c r="A30" s="12" t="s">
        <v>2101</v>
      </c>
      <c r="B30" s="13">
        <f>SUM(B31:B32)</f>
        <v>0</v>
      </c>
      <c r="C30" s="13">
        <f>SUM(C31:C32)</f>
        <v>0</v>
      </c>
      <c r="D30" s="13"/>
      <c r="E30" s="14"/>
    </row>
    <row r="31" spans="1:5" x14ac:dyDescent="0.35">
      <c r="A31" s="5" t="s">
        <v>2111</v>
      </c>
      <c r="B31">
        <f>ber_PO!K30</f>
        <v>0</v>
      </c>
      <c r="C31">
        <f>B31/(Gewicht/10)</f>
        <v>0</v>
      </c>
    </row>
    <row r="32" spans="1:5" x14ac:dyDescent="0.35">
      <c r="A32" s="5" t="s">
        <v>2213</v>
      </c>
      <c r="B32">
        <f>ber_TPN!M23</f>
        <v>0</v>
      </c>
      <c r="C32">
        <f>B32/(Gewicht/10)</f>
        <v>0</v>
      </c>
    </row>
    <row r="33" spans="1:5" ht="13.2" x14ac:dyDescent="0.4">
      <c r="A33" s="12" t="s">
        <v>2102</v>
      </c>
      <c r="B33" s="13">
        <f>SUM(B34:B35)</f>
        <v>0</v>
      </c>
      <c r="C33" s="13">
        <f>SUM(C34:C35)</f>
        <v>0</v>
      </c>
      <c r="D33" s="13"/>
      <c r="E33" s="14"/>
    </row>
    <row r="34" spans="1:5" x14ac:dyDescent="0.35">
      <c r="A34" s="5" t="s">
        <v>2111</v>
      </c>
      <c r="B34">
        <f>ber_PO!K31</f>
        <v>0</v>
      </c>
      <c r="C34">
        <f>B34/(Gewicht/10)</f>
        <v>0</v>
      </c>
    </row>
    <row r="35" spans="1:5" x14ac:dyDescent="0.35">
      <c r="A35" s="5" t="s">
        <v>2109</v>
      </c>
      <c r="B35">
        <f>ber_TPN!L23</f>
        <v>0</v>
      </c>
      <c r="C35">
        <f>B35/(Gewicht/10)</f>
        <v>0</v>
      </c>
    </row>
    <row r="36" spans="1:5" ht="13.2" x14ac:dyDescent="0.4">
      <c r="A36" s="15" t="s">
        <v>2213</v>
      </c>
      <c r="B36" s="13"/>
      <c r="C36" s="13"/>
      <c r="D36" s="13">
        <f>ber_TPN!N23+ber_PO!K22</f>
        <v>0</v>
      </c>
      <c r="E36" s="14">
        <f>D36/(Gewicht/10)</f>
        <v>0</v>
      </c>
    </row>
    <row r="38" spans="1:5" x14ac:dyDescent="0.35">
      <c r="A38" s="5" t="s">
        <v>2199</v>
      </c>
      <c r="E38">
        <f>E5+E9+E13+E36</f>
        <v>0</v>
      </c>
    </row>
  </sheetData>
  <phoneticPr fontId="26" type="noConversion"/>
  <pageMargins left="0.75" right="0.75" top="1" bottom="1" header="0.5" footer="0.5"/>
  <pageSetup paperSize="9" orientation="portrait" verticalDpi="300"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Bead"/>
  <dimension ref="A1:Q35"/>
  <sheetViews>
    <sheetView workbookViewId="0">
      <selection activeCell="C5" sqref="C5"/>
    </sheetView>
  </sheetViews>
  <sheetFormatPr defaultRowHeight="12.85" x14ac:dyDescent="0.35"/>
  <cols>
    <col min="1" max="1" width="16.73046875" bestFit="1" customWidth="1"/>
    <col min="2" max="2" width="10.59765625" bestFit="1" customWidth="1"/>
    <col min="3" max="3" width="30.59765625" bestFit="1" customWidth="1"/>
    <col min="6" max="6" width="22.3984375" customWidth="1"/>
    <col min="8" max="8" width="18.59765625" customWidth="1"/>
    <col min="9" max="9" width="12.1328125" customWidth="1"/>
    <col min="10" max="10" width="13" customWidth="1"/>
    <col min="15" max="15" width="9.265625" customWidth="1"/>
  </cols>
  <sheetData>
    <row r="1" spans="1:17" x14ac:dyDescent="0.35">
      <c r="A1" t="s">
        <v>3594</v>
      </c>
      <c r="B1" t="s">
        <v>4208</v>
      </c>
      <c r="C1" t="s">
        <v>1342</v>
      </c>
      <c r="D1" t="s">
        <v>2163</v>
      </c>
      <c r="E1" t="s">
        <v>2875</v>
      </c>
      <c r="F1" t="s">
        <v>2118</v>
      </c>
      <c r="G1" t="s">
        <v>2874</v>
      </c>
      <c r="H1" t="s">
        <v>2123</v>
      </c>
      <c r="I1" t="s">
        <v>4930</v>
      </c>
      <c r="J1" t="s">
        <v>4931</v>
      </c>
      <c r="K1" t="s">
        <v>4467</v>
      </c>
    </row>
    <row r="2" spans="1:17" x14ac:dyDescent="0.35">
      <c r="A2" t="s">
        <v>3164</v>
      </c>
      <c r="B2" t="s">
        <v>3163</v>
      </c>
      <c r="D2" t="s">
        <v>3164</v>
      </c>
      <c r="E2" t="s">
        <v>2955</v>
      </c>
      <c r="H2" t="s">
        <v>2866</v>
      </c>
      <c r="I2" t="b">
        <v>0</v>
      </c>
      <c r="J2">
        <v>30</v>
      </c>
      <c r="K2">
        <v>3</v>
      </c>
    </row>
    <row r="3" spans="1:17" x14ac:dyDescent="0.35">
      <c r="A3" t="s">
        <v>3493</v>
      </c>
      <c r="B3" t="s">
        <v>1961</v>
      </c>
      <c r="C3" t="s">
        <v>4621</v>
      </c>
      <c r="D3" t="s">
        <v>2164</v>
      </c>
      <c r="E3" t="s">
        <v>2956</v>
      </c>
      <c r="F3" t="s">
        <v>2119</v>
      </c>
      <c r="G3" t="s">
        <v>3871</v>
      </c>
      <c r="H3" t="s">
        <v>2155</v>
      </c>
    </row>
    <row r="4" spans="1:17" x14ac:dyDescent="0.35">
      <c r="A4" t="s">
        <v>3595</v>
      </c>
      <c r="B4" t="s">
        <v>1962</v>
      </c>
      <c r="C4" t="s">
        <v>4622</v>
      </c>
      <c r="D4" t="s">
        <v>2165</v>
      </c>
      <c r="E4" t="s">
        <v>2957</v>
      </c>
      <c r="H4" t="s">
        <v>289</v>
      </c>
    </row>
    <row r="5" spans="1:17" x14ac:dyDescent="0.35">
      <c r="A5" t="s">
        <v>3041</v>
      </c>
      <c r="B5" t="s">
        <v>3161</v>
      </c>
      <c r="D5" t="s">
        <v>4929</v>
      </c>
      <c r="E5" t="s">
        <v>2958</v>
      </c>
      <c r="H5" t="s">
        <v>290</v>
      </c>
    </row>
    <row r="6" spans="1:17" x14ac:dyDescent="0.35">
      <c r="A6" t="s">
        <v>1340</v>
      </c>
      <c r="B6" t="s">
        <v>3162</v>
      </c>
      <c r="D6" t="s">
        <v>1333</v>
      </c>
      <c r="E6" t="s">
        <v>2959</v>
      </c>
    </row>
    <row r="7" spans="1:17" x14ac:dyDescent="0.35">
      <c r="Q7" s="1"/>
    </row>
    <row r="9" spans="1:17" x14ac:dyDescent="0.35">
      <c r="Q9" s="1"/>
    </row>
    <row r="35" ht="10.5" customHeight="1" x14ac:dyDescent="0.35"/>
  </sheetData>
  <phoneticPr fontId="26"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onversie"/>
  <dimension ref="B1:H20"/>
  <sheetViews>
    <sheetView workbookViewId="0">
      <selection activeCell="F4" sqref="F4"/>
    </sheetView>
  </sheetViews>
  <sheetFormatPr defaultRowHeight="12.85" x14ac:dyDescent="0.35"/>
  <cols>
    <col min="1" max="1" width="36.265625" customWidth="1"/>
    <col min="2" max="2" width="10.59765625" style="1" customWidth="1"/>
    <col min="4" max="4" width="13.265625" customWidth="1"/>
    <col min="5" max="5" width="12.3984375" style="1" customWidth="1"/>
    <col min="7" max="7" width="11.3984375" customWidth="1"/>
    <col min="8" max="8" width="11.73046875" customWidth="1"/>
  </cols>
  <sheetData>
    <row r="1" spans="3:8" x14ac:dyDescent="0.35">
      <c r="D1" t="s">
        <v>652</v>
      </c>
      <c r="E1" s="1" t="s">
        <v>1711</v>
      </c>
    </row>
    <row r="2" spans="3:8" x14ac:dyDescent="0.35">
      <c r="D2" t="s">
        <v>454</v>
      </c>
    </row>
    <row r="4" spans="3:8" x14ac:dyDescent="0.35">
      <c r="C4" s="6"/>
      <c r="D4" s="78" t="s">
        <v>2207</v>
      </c>
      <c r="E4" s="78">
        <v>4.3478000000000003E-2</v>
      </c>
      <c r="H4" s="78"/>
    </row>
    <row r="5" spans="3:8" x14ac:dyDescent="0.35">
      <c r="C5" s="6"/>
      <c r="D5" s="78" t="s">
        <v>2208</v>
      </c>
      <c r="E5" s="78">
        <v>2.5641000000000001E-2</v>
      </c>
      <c r="H5" s="78"/>
    </row>
    <row r="6" spans="3:8" x14ac:dyDescent="0.35">
      <c r="D6" s="78" t="s">
        <v>2209</v>
      </c>
      <c r="E6" s="78">
        <v>2.5000000000000001E-2</v>
      </c>
      <c r="H6" s="78"/>
    </row>
    <row r="7" spans="3:8" x14ac:dyDescent="0.35">
      <c r="D7" s="78" t="s">
        <v>2216</v>
      </c>
      <c r="E7" s="78">
        <v>3.2288999999999998E-2</v>
      </c>
      <c r="H7" s="78"/>
    </row>
    <row r="8" spans="3:8" x14ac:dyDescent="0.35">
      <c r="D8" s="78" t="s">
        <v>2210</v>
      </c>
      <c r="E8" s="78">
        <v>4.1140999999999997E-2</v>
      </c>
      <c r="H8" s="78"/>
    </row>
    <row r="9" spans="3:8" x14ac:dyDescent="0.35">
      <c r="D9" s="78"/>
      <c r="E9" s="78"/>
      <c r="H9" s="78"/>
    </row>
    <row r="10" spans="3:8" x14ac:dyDescent="0.35">
      <c r="D10" s="78"/>
      <c r="E10" s="78"/>
      <c r="H10" s="78"/>
    </row>
    <row r="11" spans="3:8" x14ac:dyDescent="0.35">
      <c r="D11" s="78"/>
      <c r="E11" s="78"/>
      <c r="H11" s="78"/>
    </row>
    <row r="12" spans="3:8" x14ac:dyDescent="0.35">
      <c r="D12" s="78"/>
      <c r="E12" s="78"/>
      <c r="H12" s="78"/>
    </row>
    <row r="13" spans="3:8" x14ac:dyDescent="0.35">
      <c r="D13" s="78"/>
      <c r="E13" s="78"/>
      <c r="H13" s="78"/>
    </row>
    <row r="14" spans="3:8" x14ac:dyDescent="0.35">
      <c r="D14" s="78"/>
      <c r="E14" s="78"/>
      <c r="H14" s="78"/>
    </row>
    <row r="15" spans="3:8" x14ac:dyDescent="0.35">
      <c r="D15" s="78"/>
      <c r="E15" s="78"/>
      <c r="H15" s="78"/>
    </row>
    <row r="16" spans="3:8" x14ac:dyDescent="0.35">
      <c r="D16" s="78"/>
      <c r="E16" s="78"/>
      <c r="H16" s="78"/>
    </row>
    <row r="17" spans="4:8" x14ac:dyDescent="0.35">
      <c r="D17" s="78"/>
      <c r="E17" s="78"/>
      <c r="H17" s="78"/>
    </row>
    <row r="18" spans="4:8" x14ac:dyDescent="0.35">
      <c r="D18" s="78"/>
      <c r="E18" s="78"/>
      <c r="H18" s="78"/>
    </row>
    <row r="19" spans="4:8" x14ac:dyDescent="0.35">
      <c r="D19" s="78"/>
      <c r="E19" s="78"/>
      <c r="H19" s="78"/>
    </row>
    <row r="20" spans="4:8" x14ac:dyDescent="0.35">
      <c r="D20" s="78"/>
      <c r="E20" s="78"/>
      <c r="H20" s="78"/>
    </row>
  </sheetData>
  <phoneticPr fontId="26" type="noConversion"/>
  <pageMargins left="0.75" right="0.75" top="1" bottom="1" header="0.5" footer="0.5"/>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PO"/>
  <dimension ref="A1:AX53"/>
  <sheetViews>
    <sheetView workbookViewId="0">
      <pane xSplit="1" ySplit="1" topLeftCell="B10" activePane="bottomRight" state="frozenSplit"/>
      <selection pane="topRight" activeCell="H1" sqref="H1"/>
      <selection pane="bottomLeft" activeCell="A17" sqref="A17"/>
      <selection pane="bottomRight" activeCell="B39" sqref="B39"/>
    </sheetView>
  </sheetViews>
  <sheetFormatPr defaultRowHeight="12.85" x14ac:dyDescent="0.35"/>
  <cols>
    <col min="1" max="1" width="22.1328125" customWidth="1"/>
    <col min="2" max="2" width="21.73046875" customWidth="1"/>
    <col min="9" max="9" width="10.265625" customWidth="1"/>
    <col min="10" max="10" width="11.86328125" customWidth="1"/>
    <col min="14" max="14" width="9.3984375" bestFit="1" customWidth="1"/>
  </cols>
  <sheetData>
    <row r="1" spans="1:50" s="37" customFormat="1" ht="38.450000000000003" x14ac:dyDescent="0.35">
      <c r="A1" s="37">
        <v>1</v>
      </c>
      <c r="B1" s="37" t="s">
        <v>1896</v>
      </c>
      <c r="C1" s="37" t="s">
        <v>74</v>
      </c>
      <c r="D1" s="37" t="s">
        <v>73</v>
      </c>
      <c r="E1" s="37" t="s">
        <v>72</v>
      </c>
      <c r="F1" s="37" t="s">
        <v>75</v>
      </c>
      <c r="G1" s="37" t="s">
        <v>76</v>
      </c>
      <c r="H1" s="37" t="s">
        <v>77</v>
      </c>
      <c r="I1" s="37" t="s">
        <v>1897</v>
      </c>
      <c r="J1" s="37" t="s">
        <v>78</v>
      </c>
      <c r="K1" s="37" t="s">
        <v>79</v>
      </c>
      <c r="L1" s="37" t="s">
        <v>80</v>
      </c>
      <c r="M1" s="37" t="s">
        <v>81</v>
      </c>
      <c r="N1" s="37" t="s">
        <v>82</v>
      </c>
      <c r="O1" s="37" t="s">
        <v>83</v>
      </c>
      <c r="P1" s="37" t="s">
        <v>84</v>
      </c>
      <c r="Q1" s="37" t="s">
        <v>85</v>
      </c>
      <c r="R1" s="37" t="s">
        <v>86</v>
      </c>
      <c r="S1" s="37" t="s">
        <v>87</v>
      </c>
      <c r="T1" s="37" t="s">
        <v>88</v>
      </c>
      <c r="U1" s="37" t="s">
        <v>2982</v>
      </c>
      <c r="V1" s="37" t="s">
        <v>89</v>
      </c>
      <c r="W1" s="37" t="s">
        <v>2983</v>
      </c>
      <c r="X1" s="37" t="s">
        <v>482</v>
      </c>
      <c r="Y1" s="37" t="s">
        <v>483</v>
      </c>
      <c r="Z1" s="37" t="s">
        <v>484</v>
      </c>
      <c r="AA1" s="37" t="s">
        <v>485</v>
      </c>
      <c r="AB1" s="37" t="s">
        <v>486</v>
      </c>
      <c r="AC1" s="37" t="s">
        <v>487</v>
      </c>
      <c r="AD1" s="37" t="s">
        <v>488</v>
      </c>
      <c r="AE1" s="37" t="s">
        <v>489</v>
      </c>
      <c r="AF1" s="37" t="s">
        <v>1898</v>
      </c>
      <c r="AH1" s="37" t="s">
        <v>490</v>
      </c>
      <c r="AI1" s="37" t="s">
        <v>491</v>
      </c>
      <c r="AJ1" s="37" t="s">
        <v>492</v>
      </c>
      <c r="AK1" s="37" t="s">
        <v>493</v>
      </c>
      <c r="AL1" s="37" t="s">
        <v>494</v>
      </c>
      <c r="AM1" s="37" t="s">
        <v>495</v>
      </c>
      <c r="AN1" s="37" t="s">
        <v>496</v>
      </c>
      <c r="AO1" s="37" t="s">
        <v>497</v>
      </c>
      <c r="AP1" s="37" t="s">
        <v>498</v>
      </c>
      <c r="AQ1" s="37" t="s">
        <v>499</v>
      </c>
      <c r="AR1" s="37" t="s">
        <v>500</v>
      </c>
      <c r="AS1" s="37" t="s">
        <v>501</v>
      </c>
      <c r="AT1" s="37" t="s">
        <v>502</v>
      </c>
      <c r="AU1" s="37" t="s">
        <v>503</v>
      </c>
      <c r="AV1" s="37" t="s">
        <v>504</v>
      </c>
      <c r="AW1" s="37" t="s">
        <v>505</v>
      </c>
      <c r="AX1" s="37" t="s">
        <v>506</v>
      </c>
    </row>
    <row r="2" spans="1:50" x14ac:dyDescent="0.35">
      <c r="A2" t="s">
        <v>2214</v>
      </c>
      <c r="B2">
        <f>B12/100</f>
        <v>0.68</v>
      </c>
      <c r="C2">
        <f t="shared" ref="C2:D5" si="0">C12/100</f>
        <v>0.67</v>
      </c>
      <c r="D2">
        <f t="shared" si="0"/>
        <v>0.74</v>
      </c>
      <c r="E2">
        <f>E12/100</f>
        <v>0.64</v>
      </c>
      <c r="F2">
        <f t="shared" ref="F2:L2" si="1">F12/100</f>
        <v>0.72</v>
      </c>
      <c r="G2">
        <f t="shared" si="1"/>
        <v>0.67</v>
      </c>
      <c r="H2">
        <f t="shared" si="1"/>
        <v>0.74</v>
      </c>
      <c r="I2">
        <f t="shared" si="1"/>
        <v>0.68</v>
      </c>
      <c r="J2">
        <f t="shared" si="1"/>
        <v>0.72</v>
      </c>
      <c r="K2">
        <f t="shared" si="1"/>
        <v>0.68</v>
      </c>
      <c r="L2">
        <f t="shared" si="1"/>
        <v>1</v>
      </c>
      <c r="M2">
        <f t="shared" ref="M2:N5" si="2">M12/100</f>
        <v>0.66</v>
      </c>
      <c r="N2">
        <f t="shared" si="2"/>
        <v>0.72</v>
      </c>
      <c r="O2">
        <f t="shared" ref="O2:Z2" si="3">O12/100</f>
        <v>1</v>
      </c>
      <c r="P2">
        <f t="shared" si="3"/>
        <v>1</v>
      </c>
      <c r="Q2">
        <f t="shared" si="3"/>
        <v>1</v>
      </c>
      <c r="R2">
        <f t="shared" si="3"/>
        <v>1.5</v>
      </c>
      <c r="S2">
        <f t="shared" si="3"/>
        <v>1</v>
      </c>
      <c r="T2">
        <f t="shared" si="3"/>
        <v>1.5</v>
      </c>
      <c r="U2">
        <f t="shared" si="3"/>
        <v>1</v>
      </c>
      <c r="V2">
        <f t="shared" si="3"/>
        <v>1</v>
      </c>
      <c r="W2">
        <f t="shared" si="3"/>
        <v>1.5</v>
      </c>
      <c r="X2">
        <f t="shared" si="3"/>
        <v>1</v>
      </c>
      <c r="Y2">
        <f t="shared" si="3"/>
        <v>1</v>
      </c>
      <c r="Z2">
        <f t="shared" si="3"/>
        <v>2</v>
      </c>
      <c r="AA2">
        <f t="shared" ref="AA2:AD5" si="4">AA12/100</f>
        <v>2</v>
      </c>
      <c r="AB2">
        <f t="shared" si="4"/>
        <v>0.66</v>
      </c>
      <c r="AC2">
        <f t="shared" si="4"/>
        <v>0.66</v>
      </c>
      <c r="AD2">
        <f t="shared" si="4"/>
        <v>4.32</v>
      </c>
      <c r="AF2">
        <f>AF12/100</f>
        <v>0</v>
      </c>
      <c r="AH2">
        <f t="shared" ref="AH2:AX2" si="5">AH12/100</f>
        <v>3.57</v>
      </c>
      <c r="AI2">
        <f t="shared" si="5"/>
        <v>3.4</v>
      </c>
      <c r="AJ2">
        <f t="shared" si="5"/>
        <v>5.15</v>
      </c>
      <c r="AK2">
        <f t="shared" si="5"/>
        <v>4.8499999999999996</v>
      </c>
      <c r="AL2">
        <f t="shared" si="5"/>
        <v>4.95</v>
      </c>
      <c r="AM2">
        <f t="shared" si="5"/>
        <v>4.7</v>
      </c>
      <c r="AN2">
        <f t="shared" si="5"/>
        <v>5.15</v>
      </c>
      <c r="AO2">
        <f t="shared" si="5"/>
        <v>4.8499999999999996</v>
      </c>
      <c r="AP2">
        <f t="shared" si="5"/>
        <v>5</v>
      </c>
      <c r="AQ2">
        <f t="shared" si="5"/>
        <v>4.9000000000000004</v>
      </c>
      <c r="AR2">
        <f t="shared" ref="AR2:AU5" si="6">AR12/100</f>
        <v>4.5</v>
      </c>
      <c r="AS2">
        <f t="shared" si="6"/>
        <v>5.22</v>
      </c>
      <c r="AT2">
        <f t="shared" si="6"/>
        <v>5.03</v>
      </c>
      <c r="AU2">
        <f t="shared" si="6"/>
        <v>4.0199999999999996</v>
      </c>
      <c r="AX2">
        <f t="shared" si="5"/>
        <v>3.8</v>
      </c>
    </row>
    <row r="3" spans="1:50" x14ac:dyDescent="0.35">
      <c r="A3" t="s">
        <v>2103</v>
      </c>
      <c r="B3">
        <f>B13/100</f>
        <v>0.01</v>
      </c>
      <c r="C3">
        <f t="shared" si="0"/>
        <v>1.3999999999999999E-2</v>
      </c>
      <c r="D3">
        <f t="shared" si="0"/>
        <v>1.8000000000000002E-2</v>
      </c>
      <c r="E3">
        <f>E13/100</f>
        <v>1.3999999999999999E-2</v>
      </c>
      <c r="F3">
        <f t="shared" ref="F3:L3" si="7">F13/100</f>
        <v>1.8000000000000002E-2</v>
      </c>
      <c r="G3">
        <f t="shared" si="7"/>
        <v>1.4999999999999999E-2</v>
      </c>
      <c r="H3">
        <f t="shared" si="7"/>
        <v>1.8000000000000002E-2</v>
      </c>
      <c r="I3">
        <f t="shared" si="7"/>
        <v>1.9E-2</v>
      </c>
      <c r="J3">
        <f t="shared" si="7"/>
        <v>2.3E-2</v>
      </c>
      <c r="K3">
        <f t="shared" si="7"/>
        <v>1.9E-2</v>
      </c>
      <c r="L3">
        <f t="shared" si="7"/>
        <v>3.2000000000000001E-2</v>
      </c>
      <c r="M3">
        <f t="shared" si="2"/>
        <v>1.8000000000000002E-2</v>
      </c>
      <c r="N3">
        <f t="shared" si="2"/>
        <v>2.2000000000000002E-2</v>
      </c>
      <c r="O3">
        <f t="shared" ref="O3:Z3" si="8">O13/100</f>
        <v>2.6000000000000002E-2</v>
      </c>
      <c r="P3">
        <f t="shared" si="8"/>
        <v>2.7999999999999997E-2</v>
      </c>
      <c r="Q3">
        <f t="shared" si="8"/>
        <v>2.7999999999999997E-2</v>
      </c>
      <c r="R3">
        <f t="shared" si="8"/>
        <v>4.0999999999999995E-2</v>
      </c>
      <c r="S3">
        <f t="shared" si="8"/>
        <v>3.3000000000000002E-2</v>
      </c>
      <c r="T3">
        <f t="shared" si="8"/>
        <v>4.9000000000000002E-2</v>
      </c>
      <c r="U3">
        <f t="shared" si="8"/>
        <v>0.04</v>
      </c>
      <c r="V3">
        <f t="shared" si="8"/>
        <v>0.04</v>
      </c>
      <c r="W3">
        <f t="shared" si="8"/>
        <v>0.06</v>
      </c>
      <c r="X3">
        <f t="shared" si="8"/>
        <v>0.04</v>
      </c>
      <c r="Y3">
        <f t="shared" si="8"/>
        <v>3.7000000000000005E-2</v>
      </c>
      <c r="Z3">
        <f t="shared" si="8"/>
        <v>4.0999999999999995E-2</v>
      </c>
      <c r="AA3">
        <f t="shared" si="4"/>
        <v>7.4999999999999997E-2</v>
      </c>
      <c r="AB3">
        <f t="shared" si="4"/>
        <v>1.9E-2</v>
      </c>
      <c r="AC3">
        <f t="shared" si="4"/>
        <v>1.4999999999999999E-2</v>
      </c>
      <c r="AD3">
        <f t="shared" si="4"/>
        <v>0</v>
      </c>
      <c r="AF3">
        <f>AF13/100</f>
        <v>0</v>
      </c>
      <c r="AH3">
        <f t="shared" ref="AH3:AX3" si="9">AH13/100</f>
        <v>0.19</v>
      </c>
      <c r="AI3">
        <f t="shared" si="9"/>
        <v>0.2</v>
      </c>
      <c r="AJ3">
        <f t="shared" si="9"/>
        <v>0.10800000000000001</v>
      </c>
      <c r="AK3">
        <f t="shared" si="9"/>
        <v>0.11800000000000001</v>
      </c>
      <c r="AL3">
        <f t="shared" si="9"/>
        <v>0.105</v>
      </c>
      <c r="AM3">
        <f t="shared" si="9"/>
        <v>0.11599999999999999</v>
      </c>
      <c r="AN3">
        <f t="shared" si="9"/>
        <v>0.11699999999999999</v>
      </c>
      <c r="AO3">
        <f t="shared" si="9"/>
        <v>0.11800000000000001</v>
      </c>
      <c r="AP3">
        <f t="shared" si="9"/>
        <v>0.14000000000000001</v>
      </c>
      <c r="AQ3">
        <f t="shared" si="9"/>
        <v>0.158</v>
      </c>
      <c r="AR3">
        <f t="shared" si="6"/>
        <v>0.14400000000000002</v>
      </c>
      <c r="AS3">
        <f t="shared" si="6"/>
        <v>0.14199999999999999</v>
      </c>
      <c r="AT3">
        <f t="shared" si="6"/>
        <v>0.154</v>
      </c>
      <c r="AU3">
        <f t="shared" si="6"/>
        <v>0.14699999999999999</v>
      </c>
      <c r="AX3">
        <f t="shared" si="9"/>
        <v>0</v>
      </c>
    </row>
    <row r="4" spans="1:50" x14ac:dyDescent="0.35">
      <c r="A4" t="s">
        <v>2215</v>
      </c>
      <c r="B4">
        <f>B14/100</f>
        <v>7.0000000000000007E-2</v>
      </c>
      <c r="C4">
        <f t="shared" si="0"/>
        <v>7.400000000000001E-2</v>
      </c>
      <c r="D4">
        <f t="shared" si="0"/>
        <v>9.1999999999999998E-2</v>
      </c>
      <c r="E4">
        <f>E14/100</f>
        <v>7.0999999999999994E-2</v>
      </c>
      <c r="F4">
        <f t="shared" ref="F4:L4" si="10">F14/100</f>
        <v>8.900000000000001E-2</v>
      </c>
      <c r="G4">
        <f t="shared" si="10"/>
        <v>7.2000000000000008E-2</v>
      </c>
      <c r="H4">
        <f t="shared" si="10"/>
        <v>9.3000000000000013E-2</v>
      </c>
      <c r="I4">
        <f t="shared" si="10"/>
        <v>7.4999999999999997E-2</v>
      </c>
      <c r="J4">
        <f t="shared" si="10"/>
        <v>7.8E-2</v>
      </c>
      <c r="K4">
        <f t="shared" si="10"/>
        <v>6.9000000000000006E-2</v>
      </c>
      <c r="L4">
        <f t="shared" si="10"/>
        <v>0.13600000000000001</v>
      </c>
      <c r="M4">
        <f t="shared" si="2"/>
        <v>6.7000000000000004E-2</v>
      </c>
      <c r="N4">
        <f t="shared" si="2"/>
        <v>7.6999999999999999E-2</v>
      </c>
      <c r="O4">
        <f t="shared" ref="O4:Z4" si="11">O14/100</f>
        <v>0.10300000000000001</v>
      </c>
      <c r="P4">
        <f t="shared" si="11"/>
        <v>0.12300000000000001</v>
      </c>
      <c r="Q4">
        <f t="shared" si="11"/>
        <v>0.12300000000000001</v>
      </c>
      <c r="R4">
        <f t="shared" si="11"/>
        <v>0.185</v>
      </c>
      <c r="S4">
        <f t="shared" si="11"/>
        <v>0.12300000000000001</v>
      </c>
      <c r="T4">
        <f t="shared" si="11"/>
        <v>0.185</v>
      </c>
      <c r="U4">
        <f t="shared" si="11"/>
        <v>0.12300000000000001</v>
      </c>
      <c r="V4">
        <f t="shared" si="11"/>
        <v>0.12300000000000001</v>
      </c>
      <c r="W4">
        <f t="shared" si="11"/>
        <v>0.185</v>
      </c>
      <c r="X4">
        <f t="shared" si="11"/>
        <v>0.12300000000000001</v>
      </c>
      <c r="Y4">
        <f t="shared" si="11"/>
        <v>0.17699999999999999</v>
      </c>
      <c r="Z4">
        <f t="shared" si="11"/>
        <v>0.23600000000000002</v>
      </c>
      <c r="AA4">
        <f t="shared" si="4"/>
        <v>0.20100000000000001</v>
      </c>
      <c r="AB4">
        <f t="shared" si="4"/>
        <v>6.7000000000000004E-2</v>
      </c>
      <c r="AC4">
        <f t="shared" si="4"/>
        <v>7.0000000000000007E-2</v>
      </c>
      <c r="AD4">
        <f t="shared" si="4"/>
        <v>0</v>
      </c>
      <c r="AF4">
        <f>AF14/100</f>
        <v>0</v>
      </c>
      <c r="AH4">
        <f t="shared" ref="AH4:AX4" si="12">AH14/100</f>
        <v>0.71400000000000008</v>
      </c>
      <c r="AI4">
        <f t="shared" si="12"/>
        <v>0.623</v>
      </c>
      <c r="AJ4">
        <f t="shared" si="12"/>
        <v>0.56999999999999995</v>
      </c>
      <c r="AK4">
        <f t="shared" si="12"/>
        <v>0.60399999999999998</v>
      </c>
      <c r="AL4">
        <f t="shared" si="12"/>
        <v>0.54600000000000004</v>
      </c>
      <c r="AM4">
        <f t="shared" si="12"/>
        <v>0.58200000000000007</v>
      </c>
      <c r="AN4">
        <f t="shared" si="12"/>
        <v>0.55700000000000005</v>
      </c>
      <c r="AO4">
        <f t="shared" si="12"/>
        <v>0.60799999999999998</v>
      </c>
      <c r="AP4">
        <f t="shared" si="12"/>
        <v>0.55000000000000004</v>
      </c>
      <c r="AQ4">
        <f t="shared" si="12"/>
        <v>0.53</v>
      </c>
      <c r="AR4">
        <f t="shared" si="6"/>
        <v>0.61</v>
      </c>
      <c r="AS4">
        <f t="shared" si="6"/>
        <v>0.52700000000000002</v>
      </c>
      <c r="AT4">
        <f t="shared" si="6"/>
        <v>0.53799999999999992</v>
      </c>
      <c r="AU4">
        <f t="shared" si="6"/>
        <v>0.71</v>
      </c>
      <c r="AX4">
        <f t="shared" si="12"/>
        <v>0.95</v>
      </c>
    </row>
    <row r="5" spans="1:50" x14ac:dyDescent="0.35">
      <c r="A5" t="s">
        <v>2104</v>
      </c>
      <c r="B5">
        <f>B15/100</f>
        <v>0.04</v>
      </c>
      <c r="C5">
        <f t="shared" si="0"/>
        <v>3.5000000000000003E-2</v>
      </c>
      <c r="D5">
        <f t="shared" si="0"/>
        <v>3.3000000000000002E-2</v>
      </c>
      <c r="E5">
        <f>E15/100</f>
        <v>3.4000000000000002E-2</v>
      </c>
      <c r="F5">
        <f t="shared" ref="F5:L5" si="13">F15/100</f>
        <v>3.3000000000000002E-2</v>
      </c>
      <c r="G5">
        <f t="shared" si="13"/>
        <v>3.5000000000000003E-2</v>
      </c>
      <c r="H5">
        <f t="shared" si="13"/>
        <v>3.3000000000000002E-2</v>
      </c>
      <c r="I5">
        <f t="shared" si="13"/>
        <v>3.4000000000000002E-2</v>
      </c>
      <c r="J5">
        <f t="shared" si="13"/>
        <v>3.5000000000000003E-2</v>
      </c>
      <c r="K5">
        <f t="shared" si="13"/>
        <v>3.7999999999999999E-2</v>
      </c>
      <c r="L5">
        <f t="shared" si="13"/>
        <v>3.7999999999999999E-2</v>
      </c>
      <c r="M5">
        <f t="shared" si="2"/>
        <v>3.6000000000000004E-2</v>
      </c>
      <c r="N5">
        <f t="shared" si="2"/>
        <v>3.6000000000000004E-2</v>
      </c>
      <c r="O5">
        <f t="shared" ref="O5:Z5" si="14">O15/100</f>
        <v>5.4000000000000006E-2</v>
      </c>
      <c r="P5">
        <f t="shared" si="14"/>
        <v>4.4000000000000004E-2</v>
      </c>
      <c r="Q5">
        <f t="shared" si="14"/>
        <v>4.4000000000000004E-2</v>
      </c>
      <c r="R5">
        <f t="shared" si="14"/>
        <v>6.7000000000000004E-2</v>
      </c>
      <c r="S5">
        <f t="shared" si="14"/>
        <v>4.2000000000000003E-2</v>
      </c>
      <c r="T5">
        <f t="shared" si="14"/>
        <v>6.3E-2</v>
      </c>
      <c r="U5">
        <f t="shared" si="14"/>
        <v>3.9E-2</v>
      </c>
      <c r="V5">
        <f t="shared" si="14"/>
        <v>3.9E-2</v>
      </c>
      <c r="W5">
        <f t="shared" si="14"/>
        <v>5.7999999999999996E-2</v>
      </c>
      <c r="X5">
        <f t="shared" si="14"/>
        <v>3.9E-2</v>
      </c>
      <c r="Y5">
        <f t="shared" si="14"/>
        <v>1.7000000000000001E-2</v>
      </c>
      <c r="Z5">
        <f t="shared" si="14"/>
        <v>0.1</v>
      </c>
      <c r="AA5">
        <f t="shared" si="4"/>
        <v>0.1</v>
      </c>
      <c r="AB5">
        <f t="shared" si="4"/>
        <v>3.7000000000000005E-2</v>
      </c>
      <c r="AC5">
        <f t="shared" si="4"/>
        <v>3.6000000000000004E-2</v>
      </c>
      <c r="AD5">
        <f t="shared" si="4"/>
        <v>0.48</v>
      </c>
      <c r="AF5">
        <f>AF15/100</f>
        <v>0</v>
      </c>
      <c r="AH5">
        <f t="shared" ref="AH5:AX5" si="15">AH15/100</f>
        <v>0</v>
      </c>
      <c r="AI5">
        <f t="shared" si="15"/>
        <v>0</v>
      </c>
      <c r="AJ5">
        <f t="shared" si="15"/>
        <v>0.27</v>
      </c>
      <c r="AK5">
        <f t="shared" si="15"/>
        <v>0.215</v>
      </c>
      <c r="AL5">
        <f t="shared" si="15"/>
        <v>0.25800000000000001</v>
      </c>
      <c r="AM5">
        <f t="shared" si="15"/>
        <v>0.20800000000000002</v>
      </c>
      <c r="AN5">
        <f t="shared" si="15"/>
        <v>0.27</v>
      </c>
      <c r="AO5">
        <f t="shared" si="15"/>
        <v>0.215</v>
      </c>
      <c r="AP5">
        <f t="shared" si="15"/>
        <v>0.25</v>
      </c>
      <c r="AQ5">
        <f t="shared" si="15"/>
        <v>0.24</v>
      </c>
      <c r="AR5">
        <f t="shared" si="6"/>
        <v>0.17199999999999999</v>
      </c>
      <c r="AS5">
        <f t="shared" si="6"/>
        <v>0.28300000000000003</v>
      </c>
      <c r="AT5">
        <f t="shared" si="6"/>
        <v>0.251</v>
      </c>
      <c r="AU5">
        <f t="shared" si="6"/>
        <v>6.7000000000000004E-2</v>
      </c>
      <c r="AX5">
        <f t="shared" si="15"/>
        <v>0</v>
      </c>
    </row>
    <row r="6" spans="1:50" x14ac:dyDescent="0.35">
      <c r="A6" t="s">
        <v>2207</v>
      </c>
      <c r="B6">
        <f>B16*conversie!$E4/100</f>
        <v>8.6956000000000012E-3</v>
      </c>
      <c r="C6">
        <f>C16*conversie!$E4/100</f>
        <v>8.6956000000000012E-3</v>
      </c>
      <c r="D6">
        <f>D16*conversie!$E4/100</f>
        <v>1.217384E-2</v>
      </c>
      <c r="E6">
        <f>E16*conversie!$E4/100</f>
        <v>8.6956000000000012E-3</v>
      </c>
      <c r="F6">
        <f>F16*conversie!$E4/100</f>
        <v>1.217384E-2</v>
      </c>
      <c r="G6">
        <f>G16*conversie!$E4/100</f>
        <v>9.5651599999999996E-3</v>
      </c>
      <c r="H6">
        <f>H16*conversie!$E4/100</f>
        <v>1.217384E-2</v>
      </c>
      <c r="I6">
        <f>I16*conversie!$E4/100</f>
        <v>1.391296E-2</v>
      </c>
      <c r="J6">
        <f>J16*conversie!$E4/100</f>
        <v>1.6086860000000001E-2</v>
      </c>
      <c r="K6">
        <f>K16*conversie!$E4/100</f>
        <v>1.2608620000000001E-2</v>
      </c>
      <c r="L6">
        <f>L16*conversie!$E4/100</f>
        <v>2.2173780000000001E-2</v>
      </c>
      <c r="M6">
        <f>M16*conversie!$E4/100</f>
        <v>7.8260400000000011E-3</v>
      </c>
      <c r="N6">
        <f>N16*conversie!$E4/100</f>
        <v>9.9999400000000006E-3</v>
      </c>
      <c r="O6">
        <f>O16*conversie!$E4/100</f>
        <v>1.0869500000000001E-2</v>
      </c>
      <c r="P6">
        <f>P16*conversie!$E4/100</f>
        <v>2.60868E-2</v>
      </c>
      <c r="Q6">
        <f>Q16*conversie!$E4/100</f>
        <v>2.60868E-2</v>
      </c>
      <c r="R6">
        <f>R16*conversie!$E4/100</f>
        <v>3.9130200000000004E-2</v>
      </c>
      <c r="S6">
        <f>S16*conversie!$E4/100</f>
        <v>3.4782400000000005E-2</v>
      </c>
      <c r="T6">
        <f>T16*conversie!$E4/100</f>
        <v>4.6521460000000001E-2</v>
      </c>
      <c r="U6">
        <f>U16*conversie!$E4/100</f>
        <v>4.3478000000000003E-2</v>
      </c>
      <c r="V6">
        <f>V16*conversie!$E4/100</f>
        <v>4.3478000000000003E-2</v>
      </c>
      <c r="W6">
        <f>W16*conversie!$E4/100</f>
        <v>5.826052000000001E-2</v>
      </c>
      <c r="X6">
        <f>X16*conversie!$E4/100</f>
        <v>4.3478000000000003E-2</v>
      </c>
      <c r="Y6">
        <f>Y16*conversie!$E4/100</f>
        <v>4.3478000000000003E-2</v>
      </c>
      <c r="Z6">
        <f>Z16*conversie!$E4/100</f>
        <v>4.3478000000000003E-2</v>
      </c>
      <c r="AA6">
        <f>AA16*conversie!$E4/100</f>
        <v>4.3478000000000003E-2</v>
      </c>
      <c r="AB6">
        <f>AB16*conversie!$E4/100</f>
        <v>8.6956000000000012E-3</v>
      </c>
      <c r="AC6">
        <f>AC16*conversie!$E4/100</f>
        <v>7.8260400000000011E-3</v>
      </c>
      <c r="AD6">
        <f>AD16*conversie!$E4/100</f>
        <v>0</v>
      </c>
      <c r="AF6">
        <f>AF16*conversie!$E4/100</f>
        <v>0</v>
      </c>
      <c r="AH6">
        <f>AH16*conversie!$E4/100</f>
        <v>0.10347764000000001</v>
      </c>
      <c r="AI6">
        <f>AI16*conversie!$E4/100</f>
        <v>0.1239123</v>
      </c>
      <c r="AJ6">
        <f>AJ16*conversie!$E4/100</f>
        <v>6.7390900000000004E-2</v>
      </c>
      <c r="AK6">
        <f>AK16*conversie!$E4/100</f>
        <v>7.8260400000000008E-2</v>
      </c>
      <c r="AL6">
        <f>AL16*conversie!$E4/100</f>
        <v>6.5216999999999997E-2</v>
      </c>
      <c r="AM6">
        <f>AM16*conversie!$E4/100</f>
        <v>7.6086500000000001E-2</v>
      </c>
      <c r="AN6">
        <f>AN16*conversie!$E4/100</f>
        <v>7.3912600000000009E-2</v>
      </c>
      <c r="AO6">
        <f>AO16*conversie!$E4/100</f>
        <v>7.8260400000000008E-2</v>
      </c>
      <c r="AP6">
        <f>AP16*conversie!$E4/100</f>
        <v>0.1043472</v>
      </c>
      <c r="AQ6">
        <f>AQ16*conversie!$E4/100</f>
        <v>0.108695</v>
      </c>
      <c r="AR6">
        <f>AR16*conversie!$E4/100</f>
        <v>9.9999400000000002E-2</v>
      </c>
      <c r="AS6">
        <f>AS16*conversie!$E4/100</f>
        <v>6.0869199999999998E-2</v>
      </c>
      <c r="AT6">
        <f>AT16*conversie!$E4/100</f>
        <v>6.956480000000001E-2</v>
      </c>
      <c r="AU6">
        <f>AU16*conversie!$E4/100</f>
        <v>0.17478156000000003</v>
      </c>
      <c r="AX6">
        <f>AX16*conversie!$E4/100</f>
        <v>0</v>
      </c>
    </row>
    <row r="7" spans="1:50" x14ac:dyDescent="0.35">
      <c r="A7" t="s">
        <v>2208</v>
      </c>
      <c r="B7">
        <f>B17*conversie!$E5/100</f>
        <v>1.2820500000000002E-2</v>
      </c>
      <c r="C7">
        <f>C17*conversie!$E5/100</f>
        <v>1.6666650000000002E-2</v>
      </c>
      <c r="D7">
        <f>D17*conversie!$E5/100</f>
        <v>2.1794850000000001E-2</v>
      </c>
      <c r="E7">
        <f>E17*conversie!$E5/100</f>
        <v>1.5897419999999999E-2</v>
      </c>
      <c r="F7">
        <f>F17*conversie!$E5/100</f>
        <v>2.1794850000000001E-2</v>
      </c>
      <c r="G7">
        <f>G17*conversie!$E5/100</f>
        <v>1.6666650000000002E-2</v>
      </c>
      <c r="H7">
        <f>H17*conversie!$E5/100</f>
        <v>2.1794850000000001E-2</v>
      </c>
      <c r="I7">
        <f>I17*conversie!$E5/100</f>
        <v>2.128203E-2</v>
      </c>
      <c r="J7">
        <f>J17*conversie!$E5/100</f>
        <v>2.256408E-2</v>
      </c>
      <c r="K7">
        <f>K17*conversie!$E5/100</f>
        <v>1.8974339999999999E-2</v>
      </c>
      <c r="L7">
        <f>L17*conversie!$E5/100</f>
        <v>2.4358950000000001E-2</v>
      </c>
      <c r="M7">
        <f>M17*conversie!$E5/100</f>
        <v>1.6666650000000002E-2</v>
      </c>
      <c r="N7">
        <f>N17*conversie!$E5/100</f>
        <v>2.5641000000000004E-2</v>
      </c>
      <c r="O7">
        <f>O17*conversie!$E5/100</f>
        <v>2.5641000000000004E-2</v>
      </c>
      <c r="P7">
        <f>P17*conversie!$E5/100</f>
        <v>2.82051E-2</v>
      </c>
      <c r="Q7">
        <f>Q17*conversie!$E5/100</f>
        <v>2.82051E-2</v>
      </c>
      <c r="R7">
        <f>R17*conversie!$E5/100</f>
        <v>4.2307650000000002E-2</v>
      </c>
      <c r="S7">
        <f>S17*conversie!$E5/100</f>
        <v>3.3333300000000003E-2</v>
      </c>
      <c r="T7">
        <f>T17*conversie!$E5/100</f>
        <v>4.4615340000000003E-2</v>
      </c>
      <c r="U7">
        <f>U17*conversie!$E5/100</f>
        <v>3.8461500000000003E-2</v>
      </c>
      <c r="V7">
        <f>V17*conversie!$E5/100</f>
        <v>3.8461500000000003E-2</v>
      </c>
      <c r="W7">
        <f>W17*conversie!$E5/100</f>
        <v>5.153841E-2</v>
      </c>
      <c r="X7">
        <f>X17*conversie!$E5/100</f>
        <v>3.8461500000000003E-2</v>
      </c>
      <c r="Y7">
        <f>Y17*conversie!$E5/100</f>
        <v>3.8461500000000003E-2</v>
      </c>
      <c r="Z7">
        <f>Z17*conversie!$E5/100</f>
        <v>3.8461500000000003E-2</v>
      </c>
      <c r="AA7">
        <f>AA17*conversie!$E5/100</f>
        <v>4.6153800000000002E-2</v>
      </c>
      <c r="AB7">
        <f>AB17*conversie!$E5/100</f>
        <v>1.7179470000000002E-2</v>
      </c>
      <c r="AC7">
        <f>AC17*conversie!$E5/100</f>
        <v>1.6666650000000002E-2</v>
      </c>
      <c r="AD7">
        <f>AD17*conversie!$E5/100</f>
        <v>0</v>
      </c>
      <c r="AF7">
        <f>AF17*conversie!$E5/100</f>
        <v>0</v>
      </c>
      <c r="AH7">
        <f>AH17*conversie!$E5/100</f>
        <v>4.8717900000000001E-2</v>
      </c>
      <c r="AI7">
        <f>AI17*conversie!$E5/100</f>
        <v>7.3076849999999999E-2</v>
      </c>
      <c r="AJ7">
        <f>AJ17*conversie!$E5/100</f>
        <v>0.12820500000000001</v>
      </c>
      <c r="AK7">
        <f>AK17*conversie!$E5/100</f>
        <v>0.14230755</v>
      </c>
      <c r="AL7">
        <f>AL17*conversie!$E5/100</f>
        <v>0.12179475000000001</v>
      </c>
      <c r="AM7">
        <f>AM17*conversie!$E5/100</f>
        <v>0.14230755</v>
      </c>
      <c r="AN7">
        <f>AN17*conversie!$E5/100</f>
        <v>0.12820500000000001</v>
      </c>
      <c r="AO7">
        <f>AO17*conversie!$E5/100</f>
        <v>0.14230755</v>
      </c>
      <c r="AP7">
        <f>AP17*conversie!$E5/100</f>
        <v>0.1564101</v>
      </c>
      <c r="AQ7">
        <f>AQ17*conversie!$E5/100</f>
        <v>0.15384600000000001</v>
      </c>
      <c r="AR7">
        <f>AR17*conversie!$E5/100</f>
        <v>0.1102563</v>
      </c>
      <c r="AS7">
        <f>AS17*conversie!$E5/100</f>
        <v>0.13461524999999999</v>
      </c>
      <c r="AT7">
        <f>AT17*conversie!$E5/100</f>
        <v>0.17948699999999998</v>
      </c>
      <c r="AU7">
        <f>AU17*conversie!$E5/100</f>
        <v>0.15461522999999999</v>
      </c>
      <c r="AX7">
        <f>AX17*conversie!$E5/100</f>
        <v>0</v>
      </c>
    </row>
    <row r="8" spans="1:50" x14ac:dyDescent="0.35">
      <c r="A8" t="s">
        <v>2209</v>
      </c>
      <c r="B8">
        <f>B18*conversie!$E6/100</f>
        <v>7.4999999999999997E-3</v>
      </c>
      <c r="C8">
        <f>C18*conversie!$E6/100</f>
        <v>1.2500000000000001E-2</v>
      </c>
      <c r="D8">
        <f>D18*conversie!$E6/100</f>
        <v>0.02</v>
      </c>
      <c r="E8">
        <f>E18*conversie!$E6/100</f>
        <v>1.175E-2</v>
      </c>
      <c r="F8">
        <f>F18*conversie!$E6/100</f>
        <v>0.02</v>
      </c>
      <c r="G8">
        <f>G18*conversie!$E6/100</f>
        <v>1.2500000000000001E-2</v>
      </c>
      <c r="H8">
        <f>H18*conversie!$E6/100</f>
        <v>2.1000000000000001E-2</v>
      </c>
      <c r="I8">
        <f>I18*conversie!$E6/100</f>
        <v>1.6E-2</v>
      </c>
      <c r="J8">
        <f>J18*conversie!$E6/100</f>
        <v>2.2499999999999999E-2</v>
      </c>
      <c r="K8">
        <f>K18*conversie!$E6/100</f>
        <v>1.9500000000000003E-2</v>
      </c>
      <c r="L8">
        <f>L18*conversie!$E6/100</f>
        <v>0.04</v>
      </c>
      <c r="M8">
        <f>M18*conversie!$E6/100</f>
        <v>1.3500000000000002E-2</v>
      </c>
      <c r="N8">
        <f>N18*conversie!$E6/100</f>
        <v>2.3250000000000003E-2</v>
      </c>
      <c r="O8">
        <f>O18*conversie!$E6/100</f>
        <v>0.02</v>
      </c>
      <c r="P8">
        <f>P18*conversie!$E6/100</f>
        <v>1.4999999999999999E-2</v>
      </c>
      <c r="Q8">
        <f>Q18*conversie!$E6/100</f>
        <v>1.4999999999999999E-2</v>
      </c>
      <c r="R8">
        <f>R18*conversie!$E6/100</f>
        <v>2.2499999999999999E-2</v>
      </c>
      <c r="S8">
        <f>S18*conversie!$E6/100</f>
        <v>1.7500000000000002E-2</v>
      </c>
      <c r="T8">
        <f>T18*conversie!$E6/100</f>
        <v>2.375E-2</v>
      </c>
      <c r="U8">
        <f>U18*conversie!$E6/100</f>
        <v>0.02</v>
      </c>
      <c r="V8">
        <f>V18*conversie!$E6/100</f>
        <v>0.02</v>
      </c>
      <c r="W8">
        <f>W18*conversie!$E6/100</f>
        <v>2.7000000000000003E-2</v>
      </c>
      <c r="X8">
        <f>X18*conversie!$E6/100</f>
        <v>0.02</v>
      </c>
      <c r="Y8">
        <f>Y18*conversie!$E6/100</f>
        <v>0.02</v>
      </c>
      <c r="Z8">
        <f>Z18*conversie!$E6/100</f>
        <v>0.02</v>
      </c>
      <c r="AA8">
        <f>AA18*conversie!$E6/100</f>
        <v>0.02</v>
      </c>
      <c r="AB8">
        <f>AB18*conversie!$E6/100</f>
        <v>1.3500000000000002E-2</v>
      </c>
      <c r="AC8">
        <f>AC18*conversie!$E6/100</f>
        <v>1.3500000000000002E-2</v>
      </c>
      <c r="AD8">
        <f>AD18*conversie!$E6/100</f>
        <v>0</v>
      </c>
      <c r="AF8">
        <f>AF18*conversie!$E6/100</f>
        <v>0</v>
      </c>
      <c r="AH8">
        <f>AH18*conversie!$E6/100</f>
        <v>0.38700000000000001</v>
      </c>
      <c r="AI8">
        <f>AI18*conversie!$E6/100</f>
        <v>0.42875000000000002</v>
      </c>
      <c r="AJ8">
        <f>AJ18*conversie!$E6/100</f>
        <v>9.6250000000000002E-2</v>
      </c>
      <c r="AK8">
        <f>AK18*conversie!$E6/100</f>
        <v>0.13125000000000001</v>
      </c>
      <c r="AL8">
        <f>AL18*conversie!$E6/100</f>
        <v>9.1249999999999998E-2</v>
      </c>
      <c r="AM8">
        <f>AM18*conversie!$E6/100</f>
        <v>0.13125000000000001</v>
      </c>
      <c r="AN8">
        <f>AN18*conversie!$E6/100</f>
        <v>9.6250000000000002E-2</v>
      </c>
      <c r="AO8">
        <f>AO18*conversie!$E6/100</f>
        <v>0.13750000000000001</v>
      </c>
      <c r="AP8">
        <f>AP18*conversie!$E6/100</f>
        <v>0.11749999999999999</v>
      </c>
      <c r="AQ8">
        <f>AQ18*conversie!$E6/100</f>
        <v>0.155</v>
      </c>
      <c r="AR8">
        <f>AR18*conversie!$E6/100</f>
        <v>0.18</v>
      </c>
      <c r="AS8">
        <f>AS18*conversie!$E6/100</f>
        <v>0.105</v>
      </c>
      <c r="AT8">
        <f>AT18*conversie!$E6/100</f>
        <v>0.16250000000000001</v>
      </c>
      <c r="AU8">
        <f>AU18*conversie!$E6/100</f>
        <v>8.0500000000000002E-2</v>
      </c>
      <c r="AX8">
        <f>AX18*conversie!$E6/100</f>
        <v>0</v>
      </c>
    </row>
    <row r="9" spans="1:50" x14ac:dyDescent="0.35">
      <c r="A9" t="s">
        <v>2216</v>
      </c>
      <c r="B9">
        <f>B19*conversie!$E7/100</f>
        <v>4.8433499999999997E-3</v>
      </c>
      <c r="C9">
        <f>C19*conversie!$E7/100</f>
        <v>9.6866999999999995E-3</v>
      </c>
      <c r="D9">
        <f>D19*conversie!$E7/100</f>
        <v>1.7758949999999999E-2</v>
      </c>
      <c r="E9">
        <f>E19*conversie!$E7/100</f>
        <v>9.3638099999999985E-3</v>
      </c>
      <c r="F9">
        <f>F19*conversie!$E7/100</f>
        <v>1.7758949999999999E-2</v>
      </c>
      <c r="G9">
        <f>G19*conversie!$E7/100</f>
        <v>9.6866999999999995E-3</v>
      </c>
      <c r="H9">
        <f>H19*conversie!$E7/100</f>
        <v>1.9373399999999999E-2</v>
      </c>
      <c r="I9">
        <f>I19*conversie!$E7/100</f>
        <v>1.711317E-2</v>
      </c>
      <c r="J9">
        <f>J19*conversie!$E7/100</f>
        <v>1.7758949999999999E-2</v>
      </c>
      <c r="K9">
        <f>K19*conversie!$E7/100</f>
        <v>1.6467389999999998E-2</v>
      </c>
      <c r="L9">
        <f>L19*conversie!$E7/100</f>
        <v>2.518542E-2</v>
      </c>
      <c r="M9">
        <f>M19*conversie!$E7/100</f>
        <v>8.7180299999999999E-3</v>
      </c>
      <c r="N9">
        <f>N19*conversie!$E7/100</f>
        <v>1.8404729999999998E-2</v>
      </c>
      <c r="O9">
        <f>O19*conversie!$E7/100</f>
        <v>1.2915600000000001E-2</v>
      </c>
      <c r="P9">
        <f>P19*conversie!$E7/100</f>
        <v>1.6144499999999999E-2</v>
      </c>
      <c r="Q9">
        <f>Q19*conversie!$E7/100</f>
        <v>1.6144499999999999E-2</v>
      </c>
      <c r="R9">
        <f>R19*conversie!$E7/100</f>
        <v>2.4216749999999999E-2</v>
      </c>
      <c r="S9">
        <f>S19*conversie!$E7/100</f>
        <v>1.9373399999999999E-2</v>
      </c>
      <c r="T9">
        <f>T19*conversie!$E7/100</f>
        <v>2.9060099999999998E-2</v>
      </c>
      <c r="U9">
        <f>U19*conversie!$E7/100</f>
        <v>2.3248080000000001E-2</v>
      </c>
      <c r="V9">
        <f>V19*conversie!$E7/100</f>
        <v>2.3248080000000001E-2</v>
      </c>
      <c r="W9">
        <f>W19*conversie!$E7/100</f>
        <v>3.487212E-2</v>
      </c>
      <c r="X9">
        <f>X19*conversie!$E7/100</f>
        <v>2.3248080000000001E-2</v>
      </c>
      <c r="Y9">
        <f>Y19*conversie!$E7/100</f>
        <v>2.1310739999999998E-2</v>
      </c>
      <c r="Z9">
        <f>Z19*conversie!$E7/100</f>
        <v>2.4216749999999999E-2</v>
      </c>
      <c r="AA9">
        <f>AA19*conversie!$E7/100</f>
        <v>2.4216749999999999E-2</v>
      </c>
      <c r="AB9">
        <f>AB19*conversie!$E7/100</f>
        <v>8.7180299999999999E-3</v>
      </c>
      <c r="AC9">
        <f>AC19*conversie!$E7/100</f>
        <v>8.7180299999999999E-3</v>
      </c>
      <c r="AD9">
        <f>AD19*conversie!$E7/100</f>
        <v>0</v>
      </c>
      <c r="AF9">
        <f>AF19*conversie!$E7/100</f>
        <v>0</v>
      </c>
      <c r="AH9">
        <f>AH19*conversie!$E7/100</f>
        <v>0.34581518999999999</v>
      </c>
      <c r="AI9">
        <f>AI19*conversie!$E7/100</f>
        <v>0.32289000000000001</v>
      </c>
      <c r="AJ9">
        <f>AJ19*conversie!$E7/100</f>
        <v>7.4264699999999989E-2</v>
      </c>
      <c r="AK9">
        <f>AK19*conversie!$E7/100</f>
        <v>0.11624039999999999</v>
      </c>
      <c r="AL9">
        <f>AL19*conversie!$E7/100</f>
        <v>7.1035799999999996E-2</v>
      </c>
      <c r="AM9">
        <f>AM19*conversie!$E7/100</f>
        <v>0.11624039999999999</v>
      </c>
      <c r="AN9">
        <f>AN19*conversie!$E7/100</f>
        <v>7.4264699999999989E-2</v>
      </c>
      <c r="AO9">
        <f>AO19*conversie!$E7/100</f>
        <v>0.12592709999999999</v>
      </c>
      <c r="AP9">
        <f>AP19*conversie!$E7/100</f>
        <v>0.12592709999999999</v>
      </c>
      <c r="AQ9">
        <f>AQ19*conversie!$E7/100</f>
        <v>0.12269819999999999</v>
      </c>
      <c r="AR9">
        <f>AR19*conversie!$E7/100</f>
        <v>0.1130115</v>
      </c>
      <c r="AS9">
        <f>AS19*conversie!$E7/100</f>
        <v>6.7806900000000003E-2</v>
      </c>
      <c r="AT9">
        <f>AT19*conversie!$E7/100</f>
        <v>0.12915599999999999</v>
      </c>
      <c r="AU9">
        <f>AU19*conversie!$E7/100</f>
        <v>8.6211629999999997E-2</v>
      </c>
      <c r="AX9">
        <f>AX19*conversie!$E7/100</f>
        <v>0</v>
      </c>
    </row>
    <row r="10" spans="1:50" x14ac:dyDescent="0.35">
      <c r="A10" t="s">
        <v>2210</v>
      </c>
      <c r="B10">
        <f>B20*conversie!$E8/100</f>
        <v>1.23423E-3</v>
      </c>
      <c r="C10">
        <f>C20*conversie!$E8/100</f>
        <v>2.46846E-3</v>
      </c>
      <c r="D10">
        <f>D20*conversie!$E8/100</f>
        <v>3.2912799999999997E-3</v>
      </c>
      <c r="E10">
        <f>E20*conversie!$E8/100</f>
        <v>2.46846E-3</v>
      </c>
      <c r="F10">
        <f>F20*conversie!$E8/100</f>
        <v>3.2912799999999997E-3</v>
      </c>
      <c r="G10">
        <f>G20*conversie!$E8/100</f>
        <v>2.46846E-3</v>
      </c>
      <c r="H10">
        <f>H20*conversie!$E8/100</f>
        <v>3.2912799999999997E-3</v>
      </c>
      <c r="I10">
        <f>I20*conversie!$E8/100</f>
        <v>2.8798700000000001E-3</v>
      </c>
      <c r="J10">
        <f>J20*conversie!$E8/100</f>
        <v>2.8798700000000001E-3</v>
      </c>
      <c r="K10">
        <f>K20*conversie!$E8/100</f>
        <v>2.8798700000000001E-3</v>
      </c>
      <c r="L10">
        <f>L20*conversie!$E8/100</f>
        <v>8.228199999999998E-3</v>
      </c>
      <c r="M10">
        <f>M20*conversie!$E8/100</f>
        <v>2.0570499999999995E-3</v>
      </c>
      <c r="N10">
        <f>N20*conversie!$E8/100</f>
        <v>2.8798700000000001E-3</v>
      </c>
      <c r="O10">
        <f>O20*conversie!$E8/100</f>
        <v>3.2912799999999997E-3</v>
      </c>
      <c r="P10">
        <f>P20*conversie!$E8/100</f>
        <v>4.5255099999999999E-3</v>
      </c>
      <c r="Q10">
        <f>Q20*conversie!$E8/100</f>
        <v>4.5255099999999999E-3</v>
      </c>
      <c r="R10">
        <f>R20*conversie!$E8/100</f>
        <v>6.9939699999999995E-3</v>
      </c>
      <c r="S10">
        <f>S20*conversie!$E8/100</f>
        <v>6.9939699999999995E-3</v>
      </c>
      <c r="T10">
        <f>T20*conversie!$E8/100</f>
        <v>1.069666E-2</v>
      </c>
      <c r="U10">
        <f>U20*conversie!$E8/100</f>
        <v>9.4624299999999991E-3</v>
      </c>
      <c r="V10">
        <f>V20*conversie!$E8/100</f>
        <v>9.4624299999999991E-3</v>
      </c>
      <c r="W10">
        <f>W20*conversie!$E8/100</f>
        <v>1.3987939999999999E-2</v>
      </c>
      <c r="X10">
        <f>X20*conversie!$E8/100</f>
        <v>9.4624299999999991E-3</v>
      </c>
      <c r="Y10">
        <f>Y20*conversie!$E8/100</f>
        <v>8.639609999999999E-3</v>
      </c>
      <c r="Z10">
        <f>Z20*conversie!$E8/100</f>
        <v>1.8513449999999997E-2</v>
      </c>
      <c r="AA10">
        <f>AA20*conversie!$E8/100</f>
        <v>1.8513449999999997E-2</v>
      </c>
      <c r="AB10">
        <f>AB20*conversie!$E8/100</f>
        <v>3.2912799999999997E-3</v>
      </c>
      <c r="AC10">
        <f>AC20*conversie!$E8/100</f>
        <v>2.0570499999999995E-3</v>
      </c>
      <c r="AD10">
        <f>AD20*conversie!$E8/100</f>
        <v>0</v>
      </c>
      <c r="AF10">
        <f>AF20*conversie!$E8/100</f>
        <v>0</v>
      </c>
      <c r="AH10">
        <f>AH20*conversie!$E8/100</f>
        <v>5.8831629999999996E-2</v>
      </c>
      <c r="AI10">
        <f>AI20*conversie!$E8/100</f>
        <v>5.75974E-2</v>
      </c>
      <c r="AJ10">
        <f>AJ20*conversie!$E8/100</f>
        <v>1.8924859999999998E-2</v>
      </c>
      <c r="AK10">
        <f>AK20*conversie!$E8/100</f>
        <v>2.2216139999999999E-2</v>
      </c>
      <c r="AL10">
        <f>AL20*conversie!$E8/100</f>
        <v>1.810204E-2</v>
      </c>
      <c r="AM10">
        <f>AM20*conversie!$E8/100</f>
        <v>2.2216139999999999E-2</v>
      </c>
      <c r="AN10">
        <f>AN20*conversie!$E8/100</f>
        <v>1.8924859999999998E-2</v>
      </c>
      <c r="AO10">
        <f>AO20*conversie!$E8/100</f>
        <v>2.2216139999999999E-2</v>
      </c>
      <c r="AP10">
        <f>AP20*conversie!$E8/100</f>
        <v>2.0570499999999999E-2</v>
      </c>
      <c r="AQ10">
        <f>AQ20*conversie!$E8/100</f>
        <v>2.262755E-2</v>
      </c>
      <c r="AR10">
        <f>AR20*conversie!$E8/100</f>
        <v>3.7026899999999995E-2</v>
      </c>
      <c r="AS10">
        <f>AS20*conversie!$E8/100</f>
        <v>1.6456399999999996E-2</v>
      </c>
      <c r="AT10">
        <f>AT20*conversie!$E8/100</f>
        <v>2.0570499999999999E-2</v>
      </c>
      <c r="AU10">
        <f>AU20*conversie!$E8/100</f>
        <v>3.4558439999999996E-2</v>
      </c>
      <c r="AX10">
        <f>AX20*conversie!$E8/100</f>
        <v>0</v>
      </c>
    </row>
    <row r="12" spans="1:50" x14ac:dyDescent="0.35">
      <c r="A12" t="s">
        <v>2214</v>
      </c>
      <c r="B12">
        <v>68</v>
      </c>
      <c r="C12">
        <v>67</v>
      </c>
      <c r="D12">
        <v>74</v>
      </c>
      <c r="E12">
        <v>64</v>
      </c>
      <c r="F12">
        <v>72</v>
      </c>
      <c r="G12">
        <v>67</v>
      </c>
      <c r="H12">
        <v>74</v>
      </c>
      <c r="I12">
        <v>68</v>
      </c>
      <c r="J12">
        <v>72</v>
      </c>
      <c r="K12">
        <v>68</v>
      </c>
      <c r="L12">
        <v>100</v>
      </c>
      <c r="M12">
        <v>66</v>
      </c>
      <c r="N12">
        <v>72</v>
      </c>
      <c r="O12">
        <v>100</v>
      </c>
      <c r="P12">
        <v>100</v>
      </c>
      <c r="Q12">
        <v>100</v>
      </c>
      <c r="R12">
        <v>150</v>
      </c>
      <c r="S12">
        <v>100</v>
      </c>
      <c r="T12">
        <v>150</v>
      </c>
      <c r="U12">
        <v>100</v>
      </c>
      <c r="V12">
        <v>100</v>
      </c>
      <c r="W12">
        <v>150</v>
      </c>
      <c r="X12">
        <v>100</v>
      </c>
      <c r="Y12">
        <v>100</v>
      </c>
      <c r="Z12">
        <v>200</v>
      </c>
      <c r="AA12">
        <v>200</v>
      </c>
      <c r="AB12">
        <v>66</v>
      </c>
      <c r="AC12">
        <v>66</v>
      </c>
      <c r="AD12">
        <v>432</v>
      </c>
      <c r="AE12">
        <v>450</v>
      </c>
      <c r="AH12">
        <v>357</v>
      </c>
      <c r="AI12">
        <v>340</v>
      </c>
      <c r="AJ12">
        <v>515</v>
      </c>
      <c r="AK12">
        <v>485</v>
      </c>
      <c r="AL12">
        <v>495</v>
      </c>
      <c r="AM12">
        <v>470</v>
      </c>
      <c r="AN12">
        <v>515</v>
      </c>
      <c r="AO12">
        <v>485</v>
      </c>
      <c r="AP12">
        <v>500</v>
      </c>
      <c r="AQ12">
        <v>490</v>
      </c>
      <c r="AR12">
        <v>450</v>
      </c>
      <c r="AS12">
        <v>522</v>
      </c>
      <c r="AT12">
        <v>503</v>
      </c>
      <c r="AU12">
        <v>402</v>
      </c>
      <c r="AV12">
        <v>516</v>
      </c>
      <c r="AW12">
        <v>52</v>
      </c>
      <c r="AX12">
        <v>380</v>
      </c>
    </row>
    <row r="13" spans="1:50" x14ac:dyDescent="0.35">
      <c r="A13" t="s">
        <v>2103</v>
      </c>
      <c r="B13">
        <v>1</v>
      </c>
      <c r="C13">
        <v>1.4</v>
      </c>
      <c r="D13">
        <v>1.8</v>
      </c>
      <c r="E13">
        <v>1.4</v>
      </c>
      <c r="F13">
        <v>1.8</v>
      </c>
      <c r="G13">
        <v>1.5</v>
      </c>
      <c r="H13">
        <v>1.8</v>
      </c>
      <c r="I13">
        <v>1.9</v>
      </c>
      <c r="J13">
        <v>2.2999999999999998</v>
      </c>
      <c r="K13">
        <v>1.9</v>
      </c>
      <c r="L13">
        <v>3.2</v>
      </c>
      <c r="M13">
        <v>1.8</v>
      </c>
      <c r="N13">
        <v>2.2000000000000002</v>
      </c>
      <c r="O13">
        <v>2.6</v>
      </c>
      <c r="P13">
        <v>2.8</v>
      </c>
      <c r="Q13">
        <v>2.8</v>
      </c>
      <c r="R13">
        <v>4.0999999999999996</v>
      </c>
      <c r="S13">
        <v>3.3</v>
      </c>
      <c r="T13">
        <v>4.9000000000000004</v>
      </c>
      <c r="U13">
        <v>4</v>
      </c>
      <c r="V13">
        <v>4</v>
      </c>
      <c r="W13">
        <v>6</v>
      </c>
      <c r="X13">
        <v>4</v>
      </c>
      <c r="Y13">
        <v>3.7</v>
      </c>
      <c r="Z13">
        <v>4.0999999999999996</v>
      </c>
      <c r="AA13">
        <v>7.5</v>
      </c>
      <c r="AB13">
        <v>1.9</v>
      </c>
      <c r="AC13">
        <v>1.5</v>
      </c>
      <c r="AH13">
        <v>19</v>
      </c>
      <c r="AI13">
        <v>20</v>
      </c>
      <c r="AJ13">
        <v>10.8</v>
      </c>
      <c r="AK13">
        <v>11.8</v>
      </c>
      <c r="AL13">
        <v>10.5</v>
      </c>
      <c r="AM13">
        <v>11.6</v>
      </c>
      <c r="AN13">
        <v>11.7</v>
      </c>
      <c r="AO13">
        <v>11.8</v>
      </c>
      <c r="AP13">
        <v>14</v>
      </c>
      <c r="AQ13">
        <v>15.8</v>
      </c>
      <c r="AR13">
        <v>14.4</v>
      </c>
      <c r="AS13">
        <v>14.2</v>
      </c>
      <c r="AT13">
        <v>15.4</v>
      </c>
      <c r="AU13">
        <v>14.7</v>
      </c>
      <c r="AV13">
        <v>14.3</v>
      </c>
      <c r="AW13">
        <v>11.8</v>
      </c>
    </row>
    <row r="14" spans="1:50" x14ac:dyDescent="0.35">
      <c r="A14" t="s">
        <v>2215</v>
      </c>
      <c r="B14">
        <v>7</v>
      </c>
      <c r="C14">
        <v>7.4</v>
      </c>
      <c r="D14">
        <v>9.1999999999999993</v>
      </c>
      <c r="E14">
        <v>7.1</v>
      </c>
      <c r="F14">
        <v>8.9</v>
      </c>
      <c r="G14">
        <v>7.2</v>
      </c>
      <c r="H14">
        <v>9.3000000000000007</v>
      </c>
      <c r="I14">
        <v>7.5</v>
      </c>
      <c r="J14">
        <v>7.8</v>
      </c>
      <c r="K14">
        <v>6.9</v>
      </c>
      <c r="L14">
        <v>13.6</v>
      </c>
      <c r="M14">
        <v>6.7</v>
      </c>
      <c r="N14">
        <v>7.7</v>
      </c>
      <c r="O14">
        <v>10.3</v>
      </c>
      <c r="P14">
        <v>12.3</v>
      </c>
      <c r="Q14">
        <v>12.3</v>
      </c>
      <c r="R14">
        <v>18.5</v>
      </c>
      <c r="S14">
        <v>12.3</v>
      </c>
      <c r="T14">
        <v>18.5</v>
      </c>
      <c r="U14">
        <v>12.3</v>
      </c>
      <c r="V14">
        <v>12.3</v>
      </c>
      <c r="W14">
        <v>18.5</v>
      </c>
      <c r="X14">
        <v>12.3</v>
      </c>
      <c r="Y14">
        <v>17.7</v>
      </c>
      <c r="Z14">
        <v>23.6</v>
      </c>
      <c r="AA14">
        <v>20.100000000000001</v>
      </c>
      <c r="AB14">
        <v>6.7</v>
      </c>
      <c r="AC14">
        <v>7</v>
      </c>
      <c r="AH14">
        <v>71.400000000000006</v>
      </c>
      <c r="AI14">
        <v>62.3</v>
      </c>
      <c r="AJ14">
        <v>57</v>
      </c>
      <c r="AK14">
        <v>60.4</v>
      </c>
      <c r="AL14">
        <v>54.6</v>
      </c>
      <c r="AM14">
        <v>58.2</v>
      </c>
      <c r="AN14">
        <v>55.7</v>
      </c>
      <c r="AO14">
        <v>60.8</v>
      </c>
      <c r="AP14">
        <v>55</v>
      </c>
      <c r="AQ14">
        <v>53</v>
      </c>
      <c r="AR14">
        <v>61</v>
      </c>
      <c r="AS14">
        <v>52.7</v>
      </c>
      <c r="AT14">
        <v>53.8</v>
      </c>
      <c r="AU14">
        <v>71</v>
      </c>
      <c r="AV14">
        <v>51.3</v>
      </c>
      <c r="AW14">
        <v>55.1</v>
      </c>
      <c r="AX14">
        <v>95</v>
      </c>
    </row>
    <row r="15" spans="1:50" x14ac:dyDescent="0.35">
      <c r="A15" t="s">
        <v>2104</v>
      </c>
      <c r="B15">
        <v>4</v>
      </c>
      <c r="C15">
        <v>3.5</v>
      </c>
      <c r="D15">
        <v>3.3</v>
      </c>
      <c r="E15">
        <v>3.4</v>
      </c>
      <c r="F15">
        <v>3.3</v>
      </c>
      <c r="G15">
        <v>3.5</v>
      </c>
      <c r="H15">
        <v>3.3</v>
      </c>
      <c r="I15">
        <v>3.4</v>
      </c>
      <c r="J15">
        <v>3.5</v>
      </c>
      <c r="K15">
        <v>3.8</v>
      </c>
      <c r="L15">
        <v>3.8</v>
      </c>
      <c r="M15">
        <v>3.6</v>
      </c>
      <c r="N15">
        <v>3.6</v>
      </c>
      <c r="O15">
        <v>5.4</v>
      </c>
      <c r="P15">
        <v>4.4000000000000004</v>
      </c>
      <c r="Q15">
        <v>4.4000000000000004</v>
      </c>
      <c r="R15">
        <v>6.7</v>
      </c>
      <c r="S15">
        <v>4.2</v>
      </c>
      <c r="T15">
        <v>6.3</v>
      </c>
      <c r="U15">
        <v>3.9</v>
      </c>
      <c r="V15">
        <v>3.9</v>
      </c>
      <c r="W15">
        <v>5.8</v>
      </c>
      <c r="X15">
        <v>3.9</v>
      </c>
      <c r="Y15">
        <v>1.7</v>
      </c>
      <c r="Z15">
        <v>10</v>
      </c>
      <c r="AA15">
        <v>10</v>
      </c>
      <c r="AB15">
        <v>3.7</v>
      </c>
      <c r="AC15">
        <v>3.6</v>
      </c>
      <c r="AD15">
        <v>48</v>
      </c>
      <c r="AE15">
        <v>50</v>
      </c>
      <c r="AJ15">
        <v>27</v>
      </c>
      <c r="AK15">
        <v>21.5</v>
      </c>
      <c r="AL15">
        <v>25.8</v>
      </c>
      <c r="AM15">
        <v>20.8</v>
      </c>
      <c r="AN15">
        <v>27</v>
      </c>
      <c r="AO15">
        <v>21.5</v>
      </c>
      <c r="AP15">
        <v>25</v>
      </c>
      <c r="AQ15">
        <v>24</v>
      </c>
      <c r="AR15">
        <v>17.2</v>
      </c>
      <c r="AS15">
        <v>28.3</v>
      </c>
      <c r="AT15">
        <v>25.1</v>
      </c>
      <c r="AU15">
        <v>6.7</v>
      </c>
      <c r="AV15">
        <v>28.3</v>
      </c>
      <c r="AW15">
        <v>28.3</v>
      </c>
    </row>
    <row r="16" spans="1:50" x14ac:dyDescent="0.35">
      <c r="A16" t="s">
        <v>2207</v>
      </c>
      <c r="B16">
        <v>20</v>
      </c>
      <c r="C16">
        <v>20</v>
      </c>
      <c r="D16">
        <v>28</v>
      </c>
      <c r="E16">
        <v>20</v>
      </c>
      <c r="F16">
        <v>28</v>
      </c>
      <c r="G16">
        <v>22</v>
      </c>
      <c r="H16">
        <v>28</v>
      </c>
      <c r="I16">
        <v>32</v>
      </c>
      <c r="J16">
        <v>37</v>
      </c>
      <c r="K16">
        <v>29</v>
      </c>
      <c r="L16">
        <v>51</v>
      </c>
      <c r="M16">
        <v>18</v>
      </c>
      <c r="N16">
        <v>23</v>
      </c>
      <c r="O16">
        <v>25</v>
      </c>
      <c r="P16">
        <v>60</v>
      </c>
      <c r="Q16">
        <v>60</v>
      </c>
      <c r="R16">
        <v>90</v>
      </c>
      <c r="S16">
        <v>80</v>
      </c>
      <c r="T16">
        <v>107</v>
      </c>
      <c r="U16">
        <v>100</v>
      </c>
      <c r="V16">
        <v>100</v>
      </c>
      <c r="W16">
        <v>134</v>
      </c>
      <c r="X16">
        <v>100</v>
      </c>
      <c r="Y16">
        <v>100</v>
      </c>
      <c r="Z16">
        <v>100</v>
      </c>
      <c r="AA16">
        <v>100</v>
      </c>
      <c r="AB16">
        <v>20</v>
      </c>
      <c r="AC16">
        <v>18</v>
      </c>
      <c r="AH16">
        <v>238</v>
      </c>
      <c r="AI16">
        <v>285</v>
      </c>
      <c r="AJ16">
        <v>155</v>
      </c>
      <c r="AK16">
        <v>180</v>
      </c>
      <c r="AL16">
        <v>150</v>
      </c>
      <c r="AM16">
        <v>175</v>
      </c>
      <c r="AN16">
        <v>170</v>
      </c>
      <c r="AO16">
        <v>180</v>
      </c>
      <c r="AP16">
        <v>240</v>
      </c>
      <c r="AQ16">
        <v>250</v>
      </c>
      <c r="AR16">
        <v>230</v>
      </c>
      <c r="AS16">
        <v>140</v>
      </c>
      <c r="AT16">
        <v>160</v>
      </c>
      <c r="AU16">
        <v>402</v>
      </c>
      <c r="AV16">
        <v>155</v>
      </c>
      <c r="AW16">
        <v>140</v>
      </c>
    </row>
    <row r="17" spans="1:49" x14ac:dyDescent="0.35">
      <c r="A17" t="s">
        <v>2208</v>
      </c>
      <c r="B17">
        <v>50</v>
      </c>
      <c r="C17">
        <v>65</v>
      </c>
      <c r="D17">
        <v>85</v>
      </c>
      <c r="E17">
        <v>62</v>
      </c>
      <c r="F17">
        <v>85</v>
      </c>
      <c r="G17">
        <v>65</v>
      </c>
      <c r="H17">
        <v>85</v>
      </c>
      <c r="I17">
        <v>83</v>
      </c>
      <c r="J17">
        <v>88</v>
      </c>
      <c r="K17">
        <v>74</v>
      </c>
      <c r="L17">
        <v>95</v>
      </c>
      <c r="M17">
        <v>65</v>
      </c>
      <c r="N17">
        <v>100</v>
      </c>
      <c r="O17">
        <v>100</v>
      </c>
      <c r="P17">
        <v>110</v>
      </c>
      <c r="Q17">
        <v>110</v>
      </c>
      <c r="R17">
        <v>165</v>
      </c>
      <c r="S17">
        <v>130</v>
      </c>
      <c r="T17">
        <v>174</v>
      </c>
      <c r="U17">
        <v>150</v>
      </c>
      <c r="V17">
        <v>150</v>
      </c>
      <c r="W17">
        <v>201</v>
      </c>
      <c r="X17">
        <v>150</v>
      </c>
      <c r="Y17">
        <v>150</v>
      </c>
      <c r="Z17">
        <v>150</v>
      </c>
      <c r="AA17">
        <v>180</v>
      </c>
      <c r="AB17">
        <v>67</v>
      </c>
      <c r="AC17">
        <v>65</v>
      </c>
      <c r="AH17">
        <v>190</v>
      </c>
      <c r="AI17">
        <v>285</v>
      </c>
      <c r="AJ17">
        <v>500</v>
      </c>
      <c r="AK17">
        <v>555</v>
      </c>
      <c r="AL17">
        <v>475</v>
      </c>
      <c r="AM17">
        <v>555</v>
      </c>
      <c r="AN17">
        <v>500</v>
      </c>
      <c r="AO17">
        <v>555</v>
      </c>
      <c r="AP17">
        <v>610</v>
      </c>
      <c r="AQ17">
        <v>600</v>
      </c>
      <c r="AR17">
        <v>430</v>
      </c>
      <c r="AS17">
        <v>525</v>
      </c>
      <c r="AT17">
        <v>700</v>
      </c>
      <c r="AU17">
        <v>603</v>
      </c>
      <c r="AV17">
        <v>515</v>
      </c>
      <c r="AW17">
        <v>525</v>
      </c>
    </row>
    <row r="18" spans="1:49" x14ac:dyDescent="0.35">
      <c r="A18" t="s">
        <v>2209</v>
      </c>
      <c r="B18">
        <v>30</v>
      </c>
      <c r="C18">
        <v>50</v>
      </c>
      <c r="D18">
        <v>80</v>
      </c>
      <c r="E18">
        <v>47</v>
      </c>
      <c r="F18">
        <v>80</v>
      </c>
      <c r="G18">
        <v>50</v>
      </c>
      <c r="H18">
        <v>84</v>
      </c>
      <c r="I18">
        <v>64</v>
      </c>
      <c r="J18">
        <v>90</v>
      </c>
      <c r="K18">
        <v>78</v>
      </c>
      <c r="L18">
        <v>160</v>
      </c>
      <c r="M18">
        <v>54</v>
      </c>
      <c r="N18">
        <v>93</v>
      </c>
      <c r="O18">
        <v>80</v>
      </c>
      <c r="P18">
        <v>60</v>
      </c>
      <c r="Q18">
        <v>60</v>
      </c>
      <c r="R18">
        <v>90</v>
      </c>
      <c r="S18">
        <v>70</v>
      </c>
      <c r="T18">
        <v>95</v>
      </c>
      <c r="U18">
        <v>80</v>
      </c>
      <c r="V18">
        <v>80</v>
      </c>
      <c r="W18">
        <v>108</v>
      </c>
      <c r="X18">
        <v>80</v>
      </c>
      <c r="Y18">
        <v>80</v>
      </c>
      <c r="Z18">
        <v>80</v>
      </c>
      <c r="AA18">
        <v>80</v>
      </c>
      <c r="AB18">
        <v>54</v>
      </c>
      <c r="AC18">
        <v>54</v>
      </c>
      <c r="AH18">
        <v>1548</v>
      </c>
      <c r="AI18">
        <v>1715</v>
      </c>
      <c r="AJ18">
        <v>385</v>
      </c>
      <c r="AK18">
        <v>525</v>
      </c>
      <c r="AL18">
        <v>365</v>
      </c>
      <c r="AM18">
        <v>525</v>
      </c>
      <c r="AN18">
        <v>385</v>
      </c>
      <c r="AO18">
        <v>550</v>
      </c>
      <c r="AP18">
        <v>470</v>
      </c>
      <c r="AQ18">
        <v>620</v>
      </c>
      <c r="AR18">
        <v>720</v>
      </c>
      <c r="AS18">
        <v>420</v>
      </c>
      <c r="AT18">
        <v>650</v>
      </c>
      <c r="AU18">
        <v>322</v>
      </c>
      <c r="AV18">
        <v>420</v>
      </c>
      <c r="AW18">
        <v>420</v>
      </c>
    </row>
    <row r="19" spans="1:49" x14ac:dyDescent="0.35">
      <c r="A19" t="s">
        <v>2216</v>
      </c>
      <c r="B19">
        <v>15</v>
      </c>
      <c r="C19">
        <v>30</v>
      </c>
      <c r="D19">
        <v>55</v>
      </c>
      <c r="E19">
        <v>29</v>
      </c>
      <c r="F19">
        <v>55</v>
      </c>
      <c r="G19">
        <v>30</v>
      </c>
      <c r="H19">
        <v>60</v>
      </c>
      <c r="I19">
        <v>53</v>
      </c>
      <c r="J19">
        <v>55</v>
      </c>
      <c r="K19">
        <v>51</v>
      </c>
      <c r="L19">
        <v>78</v>
      </c>
      <c r="M19">
        <v>27</v>
      </c>
      <c r="N19">
        <v>57</v>
      </c>
      <c r="O19">
        <v>40</v>
      </c>
      <c r="P19">
        <v>50</v>
      </c>
      <c r="Q19">
        <v>50</v>
      </c>
      <c r="R19">
        <v>75</v>
      </c>
      <c r="S19">
        <v>60</v>
      </c>
      <c r="T19">
        <v>90</v>
      </c>
      <c r="U19">
        <v>72</v>
      </c>
      <c r="V19">
        <v>72</v>
      </c>
      <c r="W19">
        <v>108</v>
      </c>
      <c r="X19">
        <v>72</v>
      </c>
      <c r="Y19">
        <v>66</v>
      </c>
      <c r="Z19">
        <v>75</v>
      </c>
      <c r="AA19">
        <v>75</v>
      </c>
      <c r="AB19">
        <v>27</v>
      </c>
      <c r="AC19">
        <v>27</v>
      </c>
      <c r="AH19">
        <v>1071</v>
      </c>
      <c r="AI19">
        <v>1000</v>
      </c>
      <c r="AJ19">
        <v>230</v>
      </c>
      <c r="AK19">
        <v>360</v>
      </c>
      <c r="AL19">
        <v>220</v>
      </c>
      <c r="AM19">
        <v>360</v>
      </c>
      <c r="AN19">
        <v>230</v>
      </c>
      <c r="AO19">
        <v>390</v>
      </c>
      <c r="AP19">
        <v>390</v>
      </c>
      <c r="AQ19">
        <v>380</v>
      </c>
      <c r="AR19">
        <v>350</v>
      </c>
      <c r="AS19">
        <v>210</v>
      </c>
      <c r="AT19">
        <v>400</v>
      </c>
      <c r="AU19">
        <v>267</v>
      </c>
      <c r="AV19">
        <v>210</v>
      </c>
      <c r="AW19">
        <v>210</v>
      </c>
    </row>
    <row r="20" spans="1:49" x14ac:dyDescent="0.35">
      <c r="A20" t="s">
        <v>2210</v>
      </c>
      <c r="B20">
        <v>3</v>
      </c>
      <c r="C20">
        <v>6</v>
      </c>
      <c r="D20">
        <v>8</v>
      </c>
      <c r="E20">
        <v>6</v>
      </c>
      <c r="F20">
        <v>8</v>
      </c>
      <c r="G20">
        <v>6</v>
      </c>
      <c r="H20">
        <v>8</v>
      </c>
      <c r="I20">
        <v>7</v>
      </c>
      <c r="J20">
        <v>7</v>
      </c>
      <c r="K20">
        <v>7</v>
      </c>
      <c r="L20">
        <v>20</v>
      </c>
      <c r="M20">
        <v>5</v>
      </c>
      <c r="N20">
        <v>7</v>
      </c>
      <c r="O20">
        <v>8</v>
      </c>
      <c r="P20">
        <v>11</v>
      </c>
      <c r="Q20">
        <v>11</v>
      </c>
      <c r="R20">
        <v>17</v>
      </c>
      <c r="S20">
        <v>17</v>
      </c>
      <c r="T20">
        <v>26</v>
      </c>
      <c r="U20">
        <v>23</v>
      </c>
      <c r="V20">
        <v>23</v>
      </c>
      <c r="W20">
        <v>34</v>
      </c>
      <c r="X20">
        <v>23</v>
      </c>
      <c r="Y20">
        <v>21</v>
      </c>
      <c r="Z20">
        <v>45</v>
      </c>
      <c r="AA20">
        <v>45</v>
      </c>
      <c r="AB20">
        <v>8</v>
      </c>
      <c r="AC20">
        <v>5</v>
      </c>
      <c r="AH20">
        <v>143</v>
      </c>
      <c r="AI20">
        <v>140</v>
      </c>
      <c r="AJ20">
        <v>46</v>
      </c>
      <c r="AK20">
        <v>54</v>
      </c>
      <c r="AL20">
        <v>44</v>
      </c>
      <c r="AM20">
        <v>54</v>
      </c>
      <c r="AN20">
        <v>46</v>
      </c>
      <c r="AO20">
        <v>54</v>
      </c>
      <c r="AP20">
        <v>50</v>
      </c>
      <c r="AQ20">
        <v>55</v>
      </c>
      <c r="AR20">
        <v>90</v>
      </c>
      <c r="AS20">
        <v>40</v>
      </c>
      <c r="AT20">
        <v>50</v>
      </c>
      <c r="AU20">
        <v>84</v>
      </c>
      <c r="AV20">
        <v>60</v>
      </c>
      <c r="AW20">
        <v>40</v>
      </c>
    </row>
    <row r="21" spans="1:49" x14ac:dyDescent="0.35">
      <c r="L21" t="s">
        <v>1273</v>
      </c>
      <c r="M21" t="s">
        <v>994</v>
      </c>
      <c r="O21" t="s">
        <v>2754</v>
      </c>
      <c r="P21" t="s">
        <v>2321</v>
      </c>
    </row>
    <row r="22" spans="1:49" x14ac:dyDescent="0.35">
      <c r="E22" s="38">
        <v>1</v>
      </c>
      <c r="F22" s="38" t="s">
        <v>2214</v>
      </c>
      <c r="G22" s="38">
        <f>IF(ber_PO!$O$22&lt;&gt;0,INDEX(tblBerPO,E22,KeuzePO_1-1)*ber_PO!$O$22,0)</f>
        <v>0</v>
      </c>
      <c r="H22" s="38">
        <f>IF(ber_PO!$O$23&lt;&gt;0,INDEX(tblBerPoeder,E22,ber_PO!$P$23-1)*ber_PO!$O$23,0)</f>
        <v>0</v>
      </c>
      <c r="I22" s="38">
        <f>IF(ber_PO!$O$24&lt;&gt;0,INDEX(tblBerPoeder,E22,ber_PO!$P$24-1)*ber_PO!$O$24,0)</f>
        <v>0</v>
      </c>
      <c r="J22" s="38">
        <f>IF(ber_PO!$O$25&lt;&gt;0,INDEX(tblBerPoeder,E22,ber_PO!$P$25-1)*ber_PO!$O$25,0)</f>
        <v>0</v>
      </c>
      <c r="K22">
        <f>SUM(G22:J22)</f>
        <v>0</v>
      </c>
      <c r="L22" s="38">
        <v>1</v>
      </c>
      <c r="M22" s="38">
        <v>0</v>
      </c>
      <c r="N22">
        <f>IF(M22&lt;51,M22/10,IF(M22&lt;66,(M22-49)+4,IF(M22&lt;82,(M22-61)*5,IF(M22&lt;122,(M22-71)*10,(M22-111)*50))))</f>
        <v>0</v>
      </c>
      <c r="O22" s="38">
        <f>IF(P22&gt;1,L22*N22,0)</f>
        <v>0</v>
      </c>
      <c r="P22">
        <v>1</v>
      </c>
    </row>
    <row r="23" spans="1:49" x14ac:dyDescent="0.35">
      <c r="A23" s="37" t="s">
        <v>1896</v>
      </c>
      <c r="B23" s="37" t="s">
        <v>490</v>
      </c>
      <c r="E23" s="38"/>
      <c r="F23" s="38"/>
      <c r="G23" s="38"/>
      <c r="H23" s="38"/>
      <c r="I23" s="38"/>
      <c r="J23" s="38"/>
      <c r="N23">
        <f>IF(M23&lt;51,M23/10,IF(M23&lt;66,(M23-49)+4,IF(M23&lt;82,(M23-61)*5,IF(M23&lt;122,(M23-71)*10,(M23-111)*50))))</f>
        <v>0</v>
      </c>
      <c r="O23" s="38">
        <f>IF(P23&gt;1,L23*N23,0)</f>
        <v>0</v>
      </c>
    </row>
    <row r="24" spans="1:49" x14ac:dyDescent="0.35">
      <c r="A24" s="37" t="s">
        <v>74</v>
      </c>
      <c r="B24" s="37" t="s">
        <v>491</v>
      </c>
      <c r="E24" s="38">
        <v>2</v>
      </c>
      <c r="F24" s="38" t="s">
        <v>2103</v>
      </c>
      <c r="G24" s="38">
        <f>IF(ber_PO!$O$22&lt;&gt;0,INDEX(tblBerPO,E24,KeuzePO_1-1)*ber_PO!$O$22,0)</f>
        <v>0</v>
      </c>
      <c r="H24" s="38">
        <f>IF(ber_PO!$O$23&lt;&gt;0,INDEX(tblBerPoeder,E24,ber_PO!$P$23-1)*ber_PO!$O$23,0)</f>
        <v>0</v>
      </c>
      <c r="I24" s="38">
        <f>IF(ber_PO!$O$24&lt;&gt;0,INDEX(tblBerPoeder,E24,ber_PO!$P$24-1)*ber_PO!$O$24,0)</f>
        <v>0</v>
      </c>
      <c r="J24" s="38">
        <f>IF(ber_PO!$O$25&lt;&gt;0,INDEX(tblBerPoeder,E24,ber_PO!$P$25-1)*ber_PO!$O$25,0)</f>
        <v>0</v>
      </c>
      <c r="K24">
        <f t="shared" ref="K24:K31" si="16">SUM(G24:J24)</f>
        <v>0</v>
      </c>
      <c r="N24">
        <f>IF(M24&lt;51,M24/10,IF(M24&lt;66,(M24-49)+4,IF(M24&lt;82,(M24-61)*5,IF(M24&lt;122,(M24-71)*10,(M24-111)*50))))</f>
        <v>0</v>
      </c>
      <c r="O24" s="38">
        <f>IF(P24&gt;1,L24*N24,0)</f>
        <v>0</v>
      </c>
    </row>
    <row r="25" spans="1:49" x14ac:dyDescent="0.35">
      <c r="A25" s="37" t="s">
        <v>73</v>
      </c>
      <c r="B25" s="37" t="s">
        <v>492</v>
      </c>
      <c r="C25">
        <f>3*4.4</f>
        <v>13.200000000000001</v>
      </c>
      <c r="E25" s="38">
        <v>3</v>
      </c>
      <c r="F25" s="38" t="s">
        <v>2215</v>
      </c>
      <c r="G25" s="38">
        <f>IF(ber_PO!$O$22&lt;&gt;0,INDEX(tblBerPO,E25,KeuzePO_1-1)*ber_PO!$O$22,0)</f>
        <v>0</v>
      </c>
      <c r="H25" s="38">
        <f>IF(ber_PO!$O$23&lt;&gt;0,INDEX(tblBerPoeder,E25,ber_PO!$P$23-1)*ber_PO!$O$23,0)</f>
        <v>0</v>
      </c>
      <c r="I25" s="38">
        <f>IF(ber_PO!$O$24&lt;&gt;0,INDEX(tblBerPoeder,E25,ber_PO!$P$24-1)*ber_PO!$O$24,0)</f>
        <v>0</v>
      </c>
      <c r="J25" s="38">
        <f>IF(ber_PO!$O$25&lt;&gt;0,INDEX(tblBerPoeder,E25,ber_PO!$P$25-1)*ber_PO!$O$25,0)</f>
        <v>0</v>
      </c>
      <c r="K25">
        <f t="shared" si="16"/>
        <v>0</v>
      </c>
      <c r="N25">
        <f>IF(M25&lt;51,M25/10,IF(M25&lt;66,(M25-49)+4,IF(M25&lt;82,(M25-61)*5,IF(M25&lt;122,(M25-71)*10,(M25-111)*50))))</f>
        <v>0</v>
      </c>
      <c r="O25" s="38">
        <f>IF(P25&gt;1,L25*N25,0)</f>
        <v>0</v>
      </c>
    </row>
    <row r="26" spans="1:49" x14ac:dyDescent="0.35">
      <c r="A26" s="37" t="s">
        <v>72</v>
      </c>
      <c r="B26" s="37" t="s">
        <v>493</v>
      </c>
      <c r="C26">
        <f>3*5.1</f>
        <v>15.299999999999999</v>
      </c>
      <c r="E26" s="38">
        <v>4</v>
      </c>
      <c r="F26" s="38" t="s">
        <v>2104</v>
      </c>
      <c r="G26" s="38">
        <f>IF(ber_PO!$O$22&lt;&gt;0,INDEX(tblBerPO,E26,KeuzePO_1-1)*ber_PO!$O$22,0)</f>
        <v>0</v>
      </c>
      <c r="H26" s="38">
        <f>IF(ber_PO!$O$23&lt;&gt;0,INDEX(tblBerPoeder,E26,ber_PO!$P$23-1)*ber_PO!$O$23,0)</f>
        <v>0</v>
      </c>
      <c r="I26" s="38">
        <f>IF(ber_PO!$O$24&lt;&gt;0,INDEX(tblBerPoeder,E26,ber_PO!$P$24-1)*ber_PO!$O$24,0)</f>
        <v>0</v>
      </c>
      <c r="J26" s="38">
        <f>IF(ber_PO!$O$25&lt;&gt;0,INDEX(tblBerPoeder,E26,ber_PO!$P$25-1)*ber_PO!$O$25,0)</f>
        <v>0</v>
      </c>
      <c r="K26">
        <f t="shared" si="16"/>
        <v>0</v>
      </c>
    </row>
    <row r="27" spans="1:49" x14ac:dyDescent="0.35">
      <c r="A27" s="37" t="s">
        <v>75</v>
      </c>
      <c r="B27" s="37" t="s">
        <v>494</v>
      </c>
      <c r="C27">
        <f>3*4.7</f>
        <v>14.100000000000001</v>
      </c>
      <c r="E27" s="38">
        <v>5</v>
      </c>
      <c r="F27" s="38" t="s">
        <v>2207</v>
      </c>
      <c r="G27" s="38">
        <f>IF(ber_PO!$O$22&lt;&gt;0,INDEX(tblBerPO,E27,KeuzePO_1-1)*ber_PO!$O$22,0)</f>
        <v>0</v>
      </c>
      <c r="H27" s="38">
        <f>IF(ber_PO!$O$23&lt;&gt;0,INDEX(tblBerPoeder,E27,ber_PO!$P$23-1)*ber_PO!$O$23,0)</f>
        <v>0</v>
      </c>
      <c r="I27" s="38">
        <f>IF(ber_PO!$O$24&lt;&gt;0,INDEX(tblBerPoeder,E27,ber_PO!$P$24-1)*ber_PO!$O$24,0)</f>
        <v>0</v>
      </c>
      <c r="J27" s="38">
        <f>IF(ber_PO!$O$25&lt;&gt;0,INDEX(tblBerPoeder,E27,ber_PO!$P$25-1)*ber_PO!$O$25,0)</f>
        <v>0</v>
      </c>
      <c r="K27">
        <f t="shared" si="16"/>
        <v>0</v>
      </c>
    </row>
    <row r="28" spans="1:49" x14ac:dyDescent="0.35">
      <c r="A28" s="37" t="s">
        <v>76</v>
      </c>
      <c r="B28" s="37" t="s">
        <v>495</v>
      </c>
      <c r="C28">
        <f>3*4.4</f>
        <v>13.200000000000001</v>
      </c>
      <c r="E28" s="38">
        <v>6</v>
      </c>
      <c r="F28" s="38" t="s">
        <v>2208</v>
      </c>
      <c r="G28" s="38">
        <f>IF(ber_PO!$O$22&lt;&gt;0,INDEX(tblBerPO,E28,KeuzePO_1-1)*ber_PO!$O$22,0)</f>
        <v>0</v>
      </c>
      <c r="H28" s="38">
        <f>IF(ber_PO!$O$23&lt;&gt;0,INDEX(tblBerPoeder,E28,ber_PO!$P$23-1)*ber_PO!$O$23,0)</f>
        <v>0</v>
      </c>
      <c r="I28" s="38">
        <f>IF(ber_PO!$O$24&lt;&gt;0,INDEX(tblBerPoeder,E28,ber_PO!$P$24-1)*ber_PO!$O$24,0)</f>
        <v>0</v>
      </c>
      <c r="J28" s="38">
        <f>IF(ber_PO!$O$25&lt;&gt;0,INDEX(tblBerPoeder,E28,ber_PO!$P$25-1)*ber_PO!$O$25,0)</f>
        <v>0</v>
      </c>
      <c r="K28">
        <f t="shared" si="16"/>
        <v>0</v>
      </c>
    </row>
    <row r="29" spans="1:49" x14ac:dyDescent="0.35">
      <c r="A29" s="37" t="s">
        <v>77</v>
      </c>
      <c r="B29" s="37" t="s">
        <v>496</v>
      </c>
      <c r="C29">
        <f>3*4.3</f>
        <v>12.899999999999999</v>
      </c>
      <c r="E29" s="38">
        <v>7</v>
      </c>
      <c r="F29" s="38" t="s">
        <v>2209</v>
      </c>
      <c r="G29" s="38">
        <f>IF(ber_PO!$O$22&lt;&gt;0,INDEX(tblBerPO,E29,KeuzePO_1-1)*ber_PO!$O$22,0)</f>
        <v>0</v>
      </c>
      <c r="H29" s="38">
        <f>IF(ber_PO!$O$23&lt;&gt;0,INDEX(tblBerPoeder,E29,ber_PO!$P$23-1)*ber_PO!$O$23,0)</f>
        <v>0</v>
      </c>
      <c r="I29" s="38">
        <f>IF(ber_PO!$O$24&lt;&gt;0,INDEX(tblBerPoeder,E29,ber_PO!$P$24-1)*ber_PO!$O$24,0)</f>
        <v>0</v>
      </c>
      <c r="J29" s="38">
        <f>IF(ber_PO!$O$25&lt;&gt;0,INDEX(tblBerPoeder,E29,ber_PO!$P$25-1)*ber_PO!$O$25,0)</f>
        <v>0</v>
      </c>
      <c r="K29">
        <f t="shared" si="16"/>
        <v>0</v>
      </c>
    </row>
    <row r="30" spans="1:49" x14ac:dyDescent="0.35">
      <c r="A30" s="37" t="s">
        <v>1897</v>
      </c>
      <c r="B30" s="37" t="s">
        <v>497</v>
      </c>
      <c r="C30">
        <f>3*4.2</f>
        <v>12.600000000000001</v>
      </c>
      <c r="E30" s="38">
        <v>8</v>
      </c>
      <c r="F30" s="38" t="s">
        <v>2216</v>
      </c>
      <c r="G30" s="38">
        <f>IF(ber_PO!$O$22&lt;&gt;0,INDEX(tblBerPO,E30,KeuzePO_1-1)*ber_PO!$O$22,0)</f>
        <v>0</v>
      </c>
      <c r="H30" s="38">
        <f>IF(ber_PO!$O$23&lt;&gt;0,INDEX(tblBerPoeder,E30,ber_PO!$P$23-1)*ber_PO!$O$23,0)</f>
        <v>0</v>
      </c>
      <c r="I30" s="38">
        <f>IF(ber_PO!$O$24&lt;&gt;0,INDEX(tblBerPoeder,E30,ber_PO!$P$24-1)*ber_PO!$O$24,0)</f>
        <v>0</v>
      </c>
      <c r="J30" s="38">
        <f>IF(ber_PO!$O$25&lt;&gt;0,INDEX(tblBerPoeder,E30,ber_PO!$P$25-1)*ber_PO!$O$25,0)</f>
        <v>0</v>
      </c>
      <c r="K30">
        <f t="shared" si="16"/>
        <v>0</v>
      </c>
    </row>
    <row r="31" spans="1:49" x14ac:dyDescent="0.35">
      <c r="A31" s="37" t="s">
        <v>78</v>
      </c>
      <c r="B31" s="37" t="s">
        <v>498</v>
      </c>
      <c r="C31">
        <f>3*4.3</f>
        <v>12.899999999999999</v>
      </c>
      <c r="E31" s="38">
        <v>9</v>
      </c>
      <c r="F31" s="38" t="s">
        <v>2210</v>
      </c>
      <c r="G31" s="38">
        <f>IF(ber_PO!$O$22&lt;&gt;0,INDEX(tblBerPO,E31,KeuzePO_1-1)*ber_PO!$O$22,0)</f>
        <v>0</v>
      </c>
      <c r="H31" s="38">
        <f>IF(ber_PO!$O$23&lt;&gt;0,INDEX(tblBerPoeder,E31,ber_PO!$P$23-1)*ber_PO!$O$23,0)</f>
        <v>0</v>
      </c>
      <c r="I31" s="38">
        <f>IF(ber_PO!$O$24&lt;&gt;0,INDEX(tblBerPoeder,E31,ber_PO!$P$24-1)*ber_PO!$O$24,0)</f>
        <v>0</v>
      </c>
      <c r="J31" s="38">
        <f>IF(ber_PO!$O$25&lt;&gt;0,INDEX(tblBerPoeder,E31,ber_PO!$P$25-1)*ber_PO!$O$25,0)</f>
        <v>0</v>
      </c>
      <c r="K31">
        <f t="shared" si="16"/>
        <v>0</v>
      </c>
    </row>
    <row r="32" spans="1:49" x14ac:dyDescent="0.35">
      <c r="A32" s="37" t="s">
        <v>79</v>
      </c>
      <c r="B32" s="37" t="s">
        <v>499</v>
      </c>
      <c r="C32">
        <f>3*4.3</f>
        <v>12.899999999999999</v>
      </c>
    </row>
    <row r="33" spans="1:3" x14ac:dyDescent="0.35">
      <c r="A33" s="37" t="s">
        <v>80</v>
      </c>
      <c r="B33" s="37" t="s">
        <v>500</v>
      </c>
      <c r="C33">
        <f>3*2.15</f>
        <v>6.4499999999999993</v>
      </c>
    </row>
    <row r="34" spans="1:3" x14ac:dyDescent="0.35">
      <c r="A34" s="37" t="s">
        <v>81</v>
      </c>
      <c r="B34" s="37" t="s">
        <v>501</v>
      </c>
    </row>
    <row r="35" spans="1:3" x14ac:dyDescent="0.35">
      <c r="A35" s="37" t="s">
        <v>82</v>
      </c>
      <c r="B35" s="37" t="s">
        <v>502</v>
      </c>
    </row>
    <row r="36" spans="1:3" x14ac:dyDescent="0.35">
      <c r="A36" s="37" t="s">
        <v>83</v>
      </c>
      <c r="B36" s="37" t="s">
        <v>503</v>
      </c>
    </row>
    <row r="37" spans="1:3" x14ac:dyDescent="0.35">
      <c r="A37" s="37" t="s">
        <v>84</v>
      </c>
      <c r="B37" s="37" t="s">
        <v>504</v>
      </c>
    </row>
    <row r="38" spans="1:3" x14ac:dyDescent="0.35">
      <c r="A38" s="37" t="s">
        <v>85</v>
      </c>
      <c r="B38" s="37" t="s">
        <v>505</v>
      </c>
    </row>
    <row r="39" spans="1:3" x14ac:dyDescent="0.35">
      <c r="A39" s="37" t="s">
        <v>86</v>
      </c>
      <c r="B39" s="37" t="s">
        <v>506</v>
      </c>
    </row>
    <row r="40" spans="1:3" x14ac:dyDescent="0.35">
      <c r="A40" s="37" t="s">
        <v>87</v>
      </c>
    </row>
    <row r="41" spans="1:3" x14ac:dyDescent="0.35">
      <c r="A41" s="37" t="s">
        <v>88</v>
      </c>
    </row>
    <row r="42" spans="1:3" x14ac:dyDescent="0.35">
      <c r="A42" s="37" t="s">
        <v>2982</v>
      </c>
    </row>
    <row r="43" spans="1:3" x14ac:dyDescent="0.35">
      <c r="A43" s="37" t="s">
        <v>89</v>
      </c>
    </row>
    <row r="44" spans="1:3" x14ac:dyDescent="0.35">
      <c r="A44" s="37" t="s">
        <v>2983</v>
      </c>
    </row>
    <row r="45" spans="1:3" x14ac:dyDescent="0.35">
      <c r="A45" s="37" t="s">
        <v>482</v>
      </c>
    </row>
    <row r="46" spans="1:3" x14ac:dyDescent="0.35">
      <c r="A46" s="37" t="s">
        <v>483</v>
      </c>
    </row>
    <row r="47" spans="1:3" x14ac:dyDescent="0.35">
      <c r="A47" s="37" t="s">
        <v>484</v>
      </c>
    </row>
    <row r="48" spans="1:3" x14ac:dyDescent="0.35">
      <c r="A48" s="37" t="s">
        <v>485</v>
      </c>
    </row>
    <row r="49" spans="1:1" x14ac:dyDescent="0.35">
      <c r="A49" s="37" t="s">
        <v>486</v>
      </c>
    </row>
    <row r="50" spans="1:1" x14ac:dyDescent="0.35">
      <c r="A50" s="37" t="s">
        <v>487</v>
      </c>
    </row>
    <row r="51" spans="1:1" x14ac:dyDescent="0.35">
      <c r="A51" s="37" t="s">
        <v>488</v>
      </c>
    </row>
    <row r="52" spans="1:1" x14ac:dyDescent="0.35">
      <c r="A52" s="37" t="s">
        <v>489</v>
      </c>
    </row>
    <row r="53" spans="1:1" x14ac:dyDescent="0.35">
      <c r="A53" s="37" t="s">
        <v>1898</v>
      </c>
    </row>
  </sheetData>
  <phoneticPr fontId="26" type="noConversion"/>
  <pageMargins left="0" right="0" top="0" bottom="0" header="0" footer="0"/>
  <pageSetup paperSize="9" orientation="landscape"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2tot6kg"/>
  <dimension ref="A1:H49"/>
  <sheetViews>
    <sheetView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577</v>
      </c>
    </row>
    <row r="3" spans="1:8" x14ac:dyDescent="0.35">
      <c r="A3" s="11" t="s">
        <v>2515</v>
      </c>
      <c r="B3" s="55">
        <f ca="1">TODAY()</f>
        <v>42188</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10" spans="1:8" ht="13.2" thickBot="1" x14ac:dyDescent="0.4">
      <c r="A10" s="11" t="str">
        <f>IF(Gewicht/10&lt;7,"Tot. hoev. vocht* (150 ml/kg/24 uur):","Tot. hoev. vocht* (110-90 ml/kg/24 uur):")</f>
        <v>Tot. hoev. vocht* (110-90 ml/kg/24 uur):</v>
      </c>
      <c r="C10" s="11">
        <f>ber_TPN!F23</f>
        <v>0</v>
      </c>
      <c r="D10" s="11" t="s">
        <v>3145</v>
      </c>
    </row>
    <row r="11" spans="1:8" ht="13.2" thickTop="1" x14ac:dyDescent="0.35">
      <c r="A11" s="420" t="s">
        <v>68</v>
      </c>
      <c r="B11" s="421"/>
      <c r="C11" s="421"/>
      <c r="D11" s="421"/>
      <c r="E11" s="421"/>
      <c r="F11" s="421"/>
      <c r="G11" s="421"/>
      <c r="H11" s="422"/>
    </row>
    <row r="12" spans="1:8" ht="25.65" x14ac:dyDescent="0.35">
      <c r="A12" s="44" t="s">
        <v>3018</v>
      </c>
      <c r="B12" s="423" t="s">
        <v>1912</v>
      </c>
      <c r="C12" s="425"/>
      <c r="D12" s="427" t="s">
        <v>1913</v>
      </c>
      <c r="E12" s="427" t="s">
        <v>1914</v>
      </c>
      <c r="F12" s="427" t="s">
        <v>1915</v>
      </c>
      <c r="G12" s="45"/>
      <c r="H12" s="45" t="s">
        <v>1916</v>
      </c>
    </row>
    <row r="13" spans="1:8" x14ac:dyDescent="0.35">
      <c r="A13" s="46" t="s">
        <v>1917</v>
      </c>
      <c r="B13" s="424"/>
      <c r="C13" s="426"/>
      <c r="D13" s="428"/>
      <c r="E13" s="428"/>
      <c r="F13" s="428"/>
      <c r="G13" s="45" t="s">
        <v>1918</v>
      </c>
      <c r="H13" s="47" t="s">
        <v>1919</v>
      </c>
    </row>
    <row r="14" spans="1:8" ht="20.100000000000001" customHeight="1" x14ac:dyDescent="0.35">
      <c r="A14" s="409" t="str">
        <f>IF(TPN&lt;&gt;1,ROUND(G21/24,1)&amp;" ml/u","")</f>
        <v/>
      </c>
      <c r="B14" s="126" t="s">
        <v>417</v>
      </c>
      <c r="C14" s="127"/>
      <c r="D14" s="127" t="s">
        <v>1920</v>
      </c>
      <c r="E14" s="127" t="s">
        <v>1920</v>
      </c>
      <c r="F14" s="128" t="s">
        <v>1920</v>
      </c>
      <c r="G14" s="129" t="str">
        <f>IF(AND(TPN&lt;&gt;1,G16&lt;&gt;0,Gewicht/10&lt;=50),ROUND(ber_TPN!F7,0),"")</f>
        <v/>
      </c>
      <c r="H14" s="112"/>
    </row>
    <row r="15" spans="1:8" ht="20.100000000000001" customHeight="1" x14ac:dyDescent="0.35">
      <c r="A15" s="410"/>
      <c r="B15" s="130" t="s">
        <v>4140</v>
      </c>
      <c r="C15" s="131"/>
      <c r="D15" s="131" t="s">
        <v>573</v>
      </c>
      <c r="E15" s="131" t="s">
        <v>938</v>
      </c>
      <c r="F15" s="132" t="s">
        <v>938</v>
      </c>
      <c r="G15" s="129" t="str">
        <f>IF(AND(TPN&lt;&gt;1,G16&lt;&gt;0,Gewicht/10&lt;=50),ROUND(ber_TPN!F8,0),"")</f>
        <v/>
      </c>
      <c r="H15" s="112"/>
    </row>
    <row r="16" spans="1:8" ht="20.100000000000001" customHeight="1" x14ac:dyDescent="0.35">
      <c r="A16" s="44"/>
      <c r="B16" s="130" t="s">
        <v>4141</v>
      </c>
      <c r="C16" s="131"/>
      <c r="D16" s="131" t="s">
        <v>1921</v>
      </c>
      <c r="E16" s="131" t="s">
        <v>574</v>
      </c>
      <c r="F16" s="132" t="s">
        <v>575</v>
      </c>
      <c r="G16" s="133" t="str">
        <f>IF(TPN&lt;&gt;1,ber_TPN!F4,"")</f>
        <v/>
      </c>
      <c r="H16" s="112"/>
    </row>
    <row r="17" spans="1:8" ht="20.100000000000001" customHeight="1" x14ac:dyDescent="0.35">
      <c r="A17" s="44"/>
      <c r="B17" s="130" t="s">
        <v>2966</v>
      </c>
      <c r="C17" s="131"/>
      <c r="D17" s="131" t="s">
        <v>576</v>
      </c>
      <c r="E17" s="131"/>
      <c r="F17" s="132"/>
      <c r="G17" s="133" t="str">
        <f>IF(AND(SSTglucose=2,TPN&lt;&gt;1,Gewicht/10&lt;=50),ROUND(ber_TPN!F6,0),"")</f>
        <v/>
      </c>
      <c r="H17" s="112"/>
    </row>
    <row r="18" spans="1:8" ht="20.100000000000001" customHeight="1" x14ac:dyDescent="0.35">
      <c r="A18" s="44"/>
      <c r="B18" s="130" t="s">
        <v>4142</v>
      </c>
      <c r="C18" s="131"/>
      <c r="D18" s="131"/>
      <c r="E18" s="131" t="s">
        <v>578</v>
      </c>
      <c r="F18" s="132"/>
      <c r="G18" s="133" t="str">
        <f>IF(AND(SSTglucose=3,TPN&lt;&gt;1,Gewicht/10&lt;=50),ROUND(ber_TPN!F6,0),"")</f>
        <v/>
      </c>
      <c r="H18" s="112"/>
    </row>
    <row r="19" spans="1:8" ht="20.100000000000001" customHeight="1" x14ac:dyDescent="0.35">
      <c r="A19" s="44"/>
      <c r="B19" s="130" t="s">
        <v>984</v>
      </c>
      <c r="C19" s="131"/>
      <c r="D19" s="131"/>
      <c r="E19" s="131"/>
      <c r="F19" s="132" t="s">
        <v>579</v>
      </c>
      <c r="G19" s="133" t="str">
        <f>IF(AND(SSTglucose=5,TPN&lt;&gt;1,Gewicht/10&lt;=50),ROUND(ber_TPN!F6,0),"")</f>
        <v/>
      </c>
      <c r="H19" s="112"/>
    </row>
    <row r="20" spans="1:8" ht="20.100000000000001" customHeight="1" x14ac:dyDescent="0.35">
      <c r="A20" s="44"/>
      <c r="B20" s="130" t="str">
        <f>IF(AND(TPN=2,SSTglucose&lt;&gt;2,SSTglucose&lt;&gt;3,SSTglucose&lt;&gt;5,SSTglucose&lt;11),INDEX(tblSSTGlucose,SSTglucose,1),"Glucose       %")</f>
        <v>Glucose       %</v>
      </c>
      <c r="C20" s="131"/>
      <c r="D20" s="131"/>
      <c r="E20" s="131"/>
      <c r="F20" s="132"/>
      <c r="G20" s="133" t="str">
        <f>IF(AND(TPN&lt;&gt;1,B20&lt;&gt;"",Gewicht/10&lt;=50),IF(AND(SSTglucose&lt;&gt;2,SSTglucose&lt;&gt;3,SSTglucose&lt;&gt;5,SSTglucose&lt;11),ROUND(ber_TPN!F6,0),""),"")</f>
        <v/>
      </c>
      <c r="H20" s="112"/>
    </row>
    <row r="21" spans="1:8" ht="15.95" customHeight="1" x14ac:dyDescent="0.35">
      <c r="A21" s="44"/>
      <c r="B21" s="54"/>
      <c r="C21" s="54"/>
      <c r="D21" s="54"/>
      <c r="E21" s="413" t="s">
        <v>2195</v>
      </c>
      <c r="F21" s="413"/>
      <c r="G21" s="113">
        <f>SUM(G14:G20)+IF(AND(Gewicht/10&gt;=16,Gewicht/10&lt;=50),ber_TPN!F5,0)</f>
        <v>0</v>
      </c>
      <c r="H21" s="112"/>
    </row>
    <row r="22" spans="1:8" ht="15.95" customHeight="1" x14ac:dyDescent="0.35">
      <c r="A22" s="44"/>
      <c r="B22" s="49"/>
      <c r="C22" s="49"/>
      <c r="D22" s="49"/>
      <c r="E22" s="49"/>
      <c r="F22" s="49"/>
      <c r="G22" s="49"/>
      <c r="H22" s="45"/>
    </row>
    <row r="23" spans="1:8" ht="20.100000000000001" customHeight="1" x14ac:dyDescent="0.35">
      <c r="A23" s="407" t="str">
        <f>IF(G26&gt;0,ROUND(G26/24,1)&amp;" ml/u","")</f>
        <v/>
      </c>
      <c r="B23" s="126" t="s">
        <v>2106</v>
      </c>
      <c r="C23" s="127"/>
      <c r="D23" s="127" t="s">
        <v>3943</v>
      </c>
      <c r="E23" s="127" t="s">
        <v>3944</v>
      </c>
      <c r="F23" s="128" t="s">
        <v>1921</v>
      </c>
      <c r="G23" s="129">
        <f>ROUND(ber_TPN!F13,0)</f>
        <v>0</v>
      </c>
      <c r="H23" s="50"/>
    </row>
    <row r="24" spans="1:8" ht="20.100000000000001" customHeight="1" x14ac:dyDescent="0.35">
      <c r="A24" s="408"/>
      <c r="B24" s="130" t="s">
        <v>2107</v>
      </c>
      <c r="C24" s="131"/>
      <c r="D24" s="131"/>
      <c r="E24" s="414" t="s">
        <v>2831</v>
      </c>
      <c r="F24" s="415"/>
      <c r="G24" s="133">
        <f>ROUND(ber_TPN!F14,0)</f>
        <v>0</v>
      </c>
      <c r="H24" s="45"/>
    </row>
    <row r="25" spans="1:8" ht="20.100000000000001" customHeight="1" x14ac:dyDescent="0.35">
      <c r="A25" s="44"/>
      <c r="B25" s="130"/>
      <c r="C25" s="131"/>
      <c r="D25" s="131"/>
      <c r="E25" s="414"/>
      <c r="F25" s="415"/>
      <c r="G25" s="133"/>
      <c r="H25" s="45"/>
    </row>
    <row r="26" spans="1:8" ht="15.95" customHeight="1" x14ac:dyDescent="0.35">
      <c r="A26" s="44"/>
      <c r="B26" s="110"/>
      <c r="C26" s="110"/>
      <c r="D26" s="110"/>
      <c r="E26" s="416" t="s">
        <v>2195</v>
      </c>
      <c r="F26" s="416"/>
      <c r="G26" s="115">
        <f>SUM(G23:G25)</f>
        <v>0</v>
      </c>
      <c r="H26" s="111"/>
    </row>
    <row r="27" spans="1:8" ht="15.95" customHeight="1" thickBot="1" x14ac:dyDescent="0.4">
      <c r="A27" s="44"/>
      <c r="B27" s="110"/>
      <c r="C27" s="110"/>
      <c r="D27" s="110"/>
      <c r="E27" s="110"/>
      <c r="F27" s="110"/>
      <c r="G27" s="49"/>
      <c r="H27" s="45"/>
    </row>
    <row r="28" spans="1:8" ht="15.95" customHeight="1" thickTop="1" x14ac:dyDescent="0.35">
      <c r="A28" s="51"/>
      <c r="B28" s="411" t="s">
        <v>1276</v>
      </c>
      <c r="C28" s="412"/>
      <c r="D28" s="412"/>
      <c r="E28" s="412"/>
      <c r="F28" s="412"/>
      <c r="G28" s="103"/>
      <c r="H28" s="52"/>
    </row>
    <row r="29" spans="1:8" ht="20.100000000000001" customHeight="1" x14ac:dyDescent="0.35">
      <c r="A29" s="407" t="str">
        <f>IF(G36&gt;0,ROUND(G36/24,1)&amp;" ml/u","")</f>
        <v/>
      </c>
      <c r="B29" s="137" t="s">
        <v>417</v>
      </c>
      <c r="C29" s="139"/>
      <c r="D29" s="139"/>
      <c r="E29" s="139"/>
      <c r="F29" s="140"/>
      <c r="G29" s="129">
        <f>IF(AND(OR(TPN=1,AND(TPN=2,SSTglucose&gt;10),Gewicht/10&gt;50)),ROUND(ber_TPN!F7,0),0)</f>
        <v>0</v>
      </c>
      <c r="H29" s="45"/>
    </row>
    <row r="30" spans="1:8" ht="20.100000000000001" customHeight="1" x14ac:dyDescent="0.35">
      <c r="A30" s="408"/>
      <c r="B30" s="138" t="s">
        <v>4143</v>
      </c>
      <c r="C30" s="141"/>
      <c r="D30" s="141"/>
      <c r="E30" s="141"/>
      <c r="F30" s="142"/>
      <c r="G30" s="133">
        <f>IF(AND(OR(TPN=1,AND(TPN=2,SSTglucose&gt;10),Gewicht/10&gt;50)),ROUND(ber_TPN!F8,0),0)</f>
        <v>0</v>
      </c>
      <c r="H30" s="45"/>
    </row>
    <row r="31" spans="1:8" ht="20.100000000000001" customHeight="1" x14ac:dyDescent="0.35">
      <c r="A31" s="44"/>
      <c r="B31" s="138" t="s">
        <v>4199</v>
      </c>
      <c r="C31" s="141"/>
      <c r="D31" s="141"/>
      <c r="E31" s="141"/>
      <c r="F31" s="142"/>
      <c r="G31" s="133">
        <f>ber_TPN!F9</f>
        <v>0</v>
      </c>
      <c r="H31" s="45"/>
    </row>
    <row r="32" spans="1:8" ht="20.100000000000001" customHeight="1" x14ac:dyDescent="0.35">
      <c r="A32" s="44"/>
      <c r="B32" s="138" t="s">
        <v>4200</v>
      </c>
      <c r="C32" s="141"/>
      <c r="D32" s="141"/>
      <c r="E32" s="141"/>
      <c r="F32" s="142"/>
      <c r="G32" s="133">
        <f>ber_TPN!F10</f>
        <v>0</v>
      </c>
      <c r="H32" s="45"/>
    </row>
    <row r="33" spans="1:8" ht="20.100000000000001" customHeight="1" x14ac:dyDescent="0.35">
      <c r="A33" s="44"/>
      <c r="B33" s="138" t="s">
        <v>2966</v>
      </c>
      <c r="C33" s="141"/>
      <c r="D33" s="141"/>
      <c r="E33" s="141"/>
      <c r="F33" s="142"/>
      <c r="G33" s="133">
        <f>IF(Gewicht/10&lt;=50,ber_TPN!F16,0)+IF(AND(SSTglucose=2,TPN=1,Gewicht/10&lt;=50),ROUND(ber_TPN!F6,0),0)</f>
        <v>0</v>
      </c>
      <c r="H33" s="45"/>
    </row>
    <row r="34" spans="1:8" ht="20.100000000000001" customHeight="1" x14ac:dyDescent="0.35">
      <c r="A34" s="44"/>
      <c r="B34" s="138" t="str">
        <f>IF(AND(OR(TPN=1,AND(TPN=2,SSTglucose&gt;10)),SSTglucose&lt;&gt;11,SSTglucose&lt;&gt;2),INDEX(tblSSTGlucose,SSTglucose,1),"Glucose       %")</f>
        <v>Glucose 5%</v>
      </c>
      <c r="C34" s="141"/>
      <c r="D34" s="141"/>
      <c r="E34" s="141"/>
      <c r="F34" s="142"/>
      <c r="G34" s="133">
        <f>IF(AND(OR(TPN=1,AND(TPN=2,SSTglucose&gt;10),Gewicht/10&gt;50),SSTglucose&lt;&gt;2,SSTglucose&lt;&gt;11),ROUND(ber_TPN!F6,0),"")</f>
        <v>0</v>
      </c>
      <c r="H34" s="45"/>
    </row>
    <row r="35" spans="1:8" ht="20.100000000000001" customHeight="1" x14ac:dyDescent="0.35">
      <c r="A35" s="44"/>
      <c r="B35" s="137" t="s">
        <v>4144</v>
      </c>
      <c r="C35" s="139"/>
      <c r="D35" s="139"/>
      <c r="E35" s="139"/>
      <c r="F35" s="140"/>
      <c r="G35" s="133" t="str">
        <f>IF(AND(SSTglucose=11),ROUND(ber_TPN!F6,0),"")</f>
        <v/>
      </c>
      <c r="H35" s="45"/>
    </row>
    <row r="36" spans="1:8" ht="15.95" customHeight="1" x14ac:dyDescent="0.35">
      <c r="A36" s="44"/>
      <c r="B36" s="110"/>
      <c r="C36" s="110"/>
      <c r="D36" s="110"/>
      <c r="E36" s="416" t="s">
        <v>2197</v>
      </c>
      <c r="F36" s="416"/>
      <c r="G36" s="114">
        <f>SUM(G29:G35)</f>
        <v>0</v>
      </c>
      <c r="H36" s="45"/>
    </row>
    <row r="37" spans="1:8" ht="15.95" customHeight="1" thickBot="1" x14ac:dyDescent="0.4">
      <c r="A37" s="44"/>
      <c r="B37" s="110"/>
      <c r="C37" s="110"/>
      <c r="D37" s="110"/>
      <c r="E37" s="110"/>
      <c r="F37" s="110"/>
      <c r="G37" s="49"/>
      <c r="H37" s="45"/>
    </row>
    <row r="38" spans="1:8" ht="15.95" customHeight="1" thickTop="1" x14ac:dyDescent="0.35">
      <c r="A38" s="51"/>
      <c r="B38" s="417" t="s">
        <v>2430</v>
      </c>
      <c r="C38" s="418"/>
      <c r="D38" s="418"/>
      <c r="E38" s="418"/>
      <c r="F38" s="419"/>
      <c r="G38" s="52" t="s">
        <v>2431</v>
      </c>
      <c r="H38" s="52"/>
    </row>
    <row r="39" spans="1:8" ht="15.95" customHeight="1" x14ac:dyDescent="0.35">
      <c r="A39" s="53"/>
      <c r="B39" s="404" t="s">
        <v>2432</v>
      </c>
      <c r="C39" s="405"/>
      <c r="D39" s="405"/>
      <c r="E39" s="405"/>
      <c r="F39" s="406"/>
      <c r="G39" s="47" t="s">
        <v>2433</v>
      </c>
      <c r="H39" s="45"/>
    </row>
    <row r="40" spans="1:8" ht="15.95" customHeight="1" x14ac:dyDescent="0.35">
      <c r="A40" s="53"/>
      <c r="B40" s="404" t="s">
        <v>2434</v>
      </c>
      <c r="C40" s="405"/>
      <c r="D40" s="405"/>
      <c r="E40" s="405"/>
      <c r="F40" s="406"/>
      <c r="G40" s="47" t="s">
        <v>2431</v>
      </c>
      <c r="H40" s="48"/>
    </row>
    <row r="42" spans="1:8" x14ac:dyDescent="0.35">
      <c r="A42" s="11" t="s">
        <v>2435</v>
      </c>
    </row>
    <row r="43" spans="1:8" x14ac:dyDescent="0.35">
      <c r="A43" s="11" t="s">
        <v>2196</v>
      </c>
    </row>
    <row r="45" spans="1:8" x14ac:dyDescent="0.35">
      <c r="A45" s="11" t="s">
        <v>2436</v>
      </c>
    </row>
    <row r="47" spans="1:8" x14ac:dyDescent="0.35">
      <c r="A47" s="11" t="s">
        <v>918</v>
      </c>
    </row>
    <row r="49" spans="6:6" ht="13.2" x14ac:dyDescent="0.4">
      <c r="F49" s="3"/>
    </row>
  </sheetData>
  <sheetProtection password="CC20" sheet="1" objects="1" scenarios="1" selectLockedCells="1" selectUnlockedCells="1"/>
  <mergeCells count="18">
    <mergeCell ref="A11:H11"/>
    <mergeCell ref="B12:B13"/>
    <mergeCell ref="C12:C13"/>
    <mergeCell ref="D12:D13"/>
    <mergeCell ref="E12:E13"/>
    <mergeCell ref="F12:F13"/>
    <mergeCell ref="B40:F40"/>
    <mergeCell ref="A29:A30"/>
    <mergeCell ref="A14:A15"/>
    <mergeCell ref="A23:A24"/>
    <mergeCell ref="B28:F28"/>
    <mergeCell ref="E21:F21"/>
    <mergeCell ref="E24:F24"/>
    <mergeCell ref="E25:F25"/>
    <mergeCell ref="E26:F26"/>
    <mergeCell ref="E36:F36"/>
    <mergeCell ref="B38:F38"/>
    <mergeCell ref="B39:F39"/>
  </mergeCells>
  <phoneticPr fontId="26" type="noConversion"/>
  <pageMargins left="0.39" right="0.26" top="0.42" bottom="0.49" header="0.22" footer="0.24"/>
  <pageSetup paperSize="9" orientation="portrait" horizontalDpi="300" r:id="rId1"/>
  <headerFooter alignWithMargins="0">
    <oddHeader>&amp;LUitgeprint: &amp;D &amp;T&amp;CBed 1.2</oddHeader>
  </headerFooter>
  <rowBreaks count="1" manualBreakCount="1">
    <brk id="48" max="7" man="1"/>
  </rowBreak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7tot15kg">
    <outlinePr showOutlineSymbols="0"/>
  </sheetPr>
  <dimension ref="A1:H51"/>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1210</v>
      </c>
    </row>
    <row r="3" spans="1:8" x14ac:dyDescent="0.35">
      <c r="A3" s="11" t="s">
        <v>2515</v>
      </c>
      <c r="B3" s="55">
        <f ca="1">TODAY()</f>
        <v>42188</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10" spans="1:8" ht="13.2" thickBot="1" x14ac:dyDescent="0.4">
      <c r="A10" s="11" t="str">
        <f>IF(Gewicht/10&lt;7,"Tot. hoev. vocht* (150 ml/kg/24 uur):","Tot. hoev. vocht* (110-90 ml/kg/24 uur):")</f>
        <v>Tot. hoev. vocht* (110-90 ml/kg/24 uur):</v>
      </c>
      <c r="C10" s="11">
        <f>ber_TPN!F23</f>
        <v>0</v>
      </c>
      <c r="D10" s="11" t="s">
        <v>3145</v>
      </c>
    </row>
    <row r="11" spans="1:8" ht="13.2" thickTop="1" x14ac:dyDescent="0.35">
      <c r="A11" s="420" t="s">
        <v>68</v>
      </c>
      <c r="B11" s="421"/>
      <c r="C11" s="421"/>
      <c r="D11" s="421"/>
      <c r="E11" s="421"/>
      <c r="F11" s="421"/>
      <c r="G11" s="421"/>
      <c r="H11" s="422"/>
    </row>
    <row r="12" spans="1:8" ht="25.65" x14ac:dyDescent="0.35">
      <c r="A12" s="44" t="s">
        <v>3018</v>
      </c>
      <c r="B12" s="423" t="s">
        <v>1912</v>
      </c>
      <c r="C12" s="425"/>
      <c r="D12" s="427" t="s">
        <v>1913</v>
      </c>
      <c r="E12" s="427" t="s">
        <v>1914</v>
      </c>
      <c r="F12" s="427" t="s">
        <v>1915</v>
      </c>
      <c r="G12" s="45"/>
      <c r="H12" s="45" t="s">
        <v>1916</v>
      </c>
    </row>
    <row r="13" spans="1:8" ht="15" customHeight="1" x14ac:dyDescent="0.35">
      <c r="A13" s="46" t="s">
        <v>1917</v>
      </c>
      <c r="B13" s="424"/>
      <c r="C13" s="426"/>
      <c r="D13" s="428"/>
      <c r="E13" s="428"/>
      <c r="F13" s="428"/>
      <c r="G13" s="45" t="s">
        <v>1918</v>
      </c>
      <c r="H13" s="47" t="s">
        <v>1919</v>
      </c>
    </row>
    <row r="14" spans="1:8" ht="20.100000000000001" customHeight="1" x14ac:dyDescent="0.35">
      <c r="A14" s="409" t="str">
        <f>IF(TPN&lt;&gt;1,ROUND(G22/24,1)&amp;" ml/u","")</f>
        <v/>
      </c>
      <c r="B14" s="126" t="s">
        <v>417</v>
      </c>
      <c r="C14" s="127"/>
      <c r="D14" s="127" t="s">
        <v>1920</v>
      </c>
      <c r="E14" s="127" t="s">
        <v>1920</v>
      </c>
      <c r="F14" s="128" t="s">
        <v>1920</v>
      </c>
      <c r="G14" s="129" t="str">
        <f>IF(AND(TPN&lt;&gt;1,G16&lt;&gt;0),ROUND(ber_TPN!F7,0),"")</f>
        <v/>
      </c>
      <c r="H14" s="45"/>
    </row>
    <row r="15" spans="1:8" ht="20.100000000000001" customHeight="1" x14ac:dyDescent="0.35">
      <c r="A15" s="410"/>
      <c r="B15" s="130" t="s">
        <v>4140</v>
      </c>
      <c r="C15" s="131"/>
      <c r="D15" s="131" t="s">
        <v>4145</v>
      </c>
      <c r="E15" s="131" t="s">
        <v>573</v>
      </c>
      <c r="F15" s="132" t="s">
        <v>573</v>
      </c>
      <c r="G15" s="129" t="str">
        <f>IF(AND(TPN&lt;&gt;1,G16&lt;&gt;0),ROUND(ber_TPN!F8,0),"")</f>
        <v/>
      </c>
      <c r="H15" s="45"/>
    </row>
    <row r="16" spans="1:8" ht="20.100000000000001" customHeight="1" x14ac:dyDescent="0.35">
      <c r="A16" s="44"/>
      <c r="B16" s="130" t="s">
        <v>4146</v>
      </c>
      <c r="C16" s="131"/>
      <c r="D16" s="131" t="s">
        <v>3944</v>
      </c>
      <c r="E16" s="131" t="s">
        <v>4147</v>
      </c>
      <c r="F16" s="132" t="s">
        <v>574</v>
      </c>
      <c r="G16" s="133" t="str">
        <f>IF(TPN&lt;&gt;1,ber_TPN!F4,"")</f>
        <v/>
      </c>
      <c r="H16" s="45"/>
    </row>
    <row r="17" spans="1:8" ht="20.100000000000001" customHeight="1" x14ac:dyDescent="0.35">
      <c r="A17" s="44"/>
      <c r="B17" s="130" t="s">
        <v>2966</v>
      </c>
      <c r="C17" s="131"/>
      <c r="D17" s="131" t="s">
        <v>4148</v>
      </c>
      <c r="E17" s="131"/>
      <c r="F17" s="132"/>
      <c r="G17" s="133" t="str">
        <f>IF(AND(SSTglucose=2,TPN&lt;&gt;1),ROUND(ber_TPN!F6,0),"")</f>
        <v/>
      </c>
      <c r="H17" s="45"/>
    </row>
    <row r="18" spans="1:8" ht="20.100000000000001" customHeight="1" x14ac:dyDescent="0.35">
      <c r="A18" s="44"/>
      <c r="B18" s="130" t="s">
        <v>1034</v>
      </c>
      <c r="C18" s="131"/>
      <c r="D18" s="131"/>
      <c r="E18" s="131" t="s">
        <v>4149</v>
      </c>
      <c r="F18" s="132"/>
      <c r="G18" s="133" t="str">
        <f>IF(AND(SSTglucose=6,TPN&lt;&gt;1),ROUND(ber_TPN!F6,0),"")</f>
        <v/>
      </c>
      <c r="H18" s="45"/>
    </row>
    <row r="19" spans="1:8" ht="20.100000000000001" customHeight="1" x14ac:dyDescent="0.35">
      <c r="A19" s="44"/>
      <c r="B19" s="130" t="s">
        <v>4150</v>
      </c>
      <c r="C19" s="131"/>
      <c r="D19" s="131"/>
      <c r="E19" s="131"/>
      <c r="F19" s="132" t="s">
        <v>4151</v>
      </c>
      <c r="G19" s="133" t="str">
        <f>IF(AND(SSTglucose=8,TPN&lt;&gt;1,Gewicht/10&lt;=10),ROUND(ber_TPN!F6,0),"")</f>
        <v/>
      </c>
      <c r="H19" s="45"/>
    </row>
    <row r="20" spans="1:8" ht="20.100000000000001" customHeight="1" x14ac:dyDescent="0.35">
      <c r="A20" s="44"/>
      <c r="B20" s="130" t="s">
        <v>4152</v>
      </c>
      <c r="C20" s="131"/>
      <c r="D20" s="131"/>
      <c r="E20" s="131"/>
      <c r="F20" s="132" t="s">
        <v>4153</v>
      </c>
      <c r="G20" s="133" t="str">
        <f>IF(AND(SSTglucose=8,TPN&lt;&gt;1,Gewicht/10&gt;10),ROUND(ber_TPN!F6,0),"")</f>
        <v/>
      </c>
      <c r="H20" s="45"/>
    </row>
    <row r="21" spans="1:8" ht="20.100000000000001" customHeight="1" x14ac:dyDescent="0.35">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35">
      <c r="A22" s="44"/>
      <c r="B22" s="54"/>
      <c r="C22" s="54"/>
      <c r="D22" s="54"/>
      <c r="E22" s="413" t="s">
        <v>2195</v>
      </c>
      <c r="F22" s="413"/>
      <c r="G22" s="113">
        <f>SUM(G14:G21)</f>
        <v>0</v>
      </c>
      <c r="H22" s="111"/>
    </row>
    <row r="23" spans="1:8" ht="10.5" customHeight="1" x14ac:dyDescent="0.35">
      <c r="A23" s="44"/>
      <c r="B23" s="49"/>
      <c r="C23" s="49"/>
      <c r="D23" s="49"/>
      <c r="E23" s="49"/>
      <c r="F23" s="49"/>
      <c r="G23" s="49"/>
      <c r="H23" s="45"/>
    </row>
    <row r="24" spans="1:8" ht="20.100000000000001" customHeight="1" x14ac:dyDescent="0.35">
      <c r="A24" s="407" t="str">
        <f>IF(G27&gt;0,ROUND(G27/24,1)&amp;" ml/u","")</f>
        <v/>
      </c>
      <c r="B24" s="126" t="s">
        <v>2106</v>
      </c>
      <c r="C24" s="127"/>
      <c r="D24" s="127" t="s">
        <v>3943</v>
      </c>
      <c r="E24" s="127" t="s">
        <v>3944</v>
      </c>
      <c r="F24" s="128" t="s">
        <v>1921</v>
      </c>
      <c r="G24" s="129">
        <f>ROUND(ber_TPN!F13,0)</f>
        <v>0</v>
      </c>
      <c r="H24" s="50"/>
    </row>
    <row r="25" spans="1:8" ht="20.100000000000001" customHeight="1" x14ac:dyDescent="0.35">
      <c r="A25" s="408"/>
      <c r="B25" s="130" t="s">
        <v>2107</v>
      </c>
      <c r="C25" s="131"/>
      <c r="D25" s="131"/>
      <c r="E25" s="431" t="s">
        <v>3734</v>
      </c>
      <c r="F25" s="432"/>
      <c r="G25" s="129">
        <f>ROUND(ber_TPN!F14,0)</f>
        <v>0</v>
      </c>
      <c r="H25" s="45"/>
    </row>
    <row r="26" spans="1:8" ht="20.100000000000001" customHeight="1" x14ac:dyDescent="0.35">
      <c r="A26" s="44"/>
      <c r="B26" s="130" t="s">
        <v>2175</v>
      </c>
      <c r="C26" s="131"/>
      <c r="D26" s="131"/>
      <c r="E26" s="431" t="s">
        <v>3734</v>
      </c>
      <c r="F26" s="432"/>
      <c r="G26" s="129">
        <f>ROUND(ber_TPN!F15,0)</f>
        <v>0</v>
      </c>
      <c r="H26" s="45"/>
    </row>
    <row r="27" spans="1:8" ht="15.95" customHeight="1" x14ac:dyDescent="0.35">
      <c r="A27" s="44"/>
      <c r="B27" s="49"/>
      <c r="C27" s="49"/>
      <c r="D27" s="49"/>
      <c r="E27" s="413" t="s">
        <v>2195</v>
      </c>
      <c r="F27" s="413"/>
      <c r="G27" s="115">
        <f>SUM(G24:G26)</f>
        <v>0</v>
      </c>
      <c r="H27" s="111"/>
    </row>
    <row r="28" spans="1:8" ht="10.5" customHeight="1" thickBot="1" x14ac:dyDescent="0.4">
      <c r="A28" s="44"/>
      <c r="B28" s="49"/>
      <c r="C28" s="49"/>
      <c r="D28" s="49"/>
      <c r="E28" s="49"/>
      <c r="F28" s="49"/>
      <c r="G28" s="49"/>
      <c r="H28" s="45"/>
    </row>
    <row r="29" spans="1:8" ht="15.95" customHeight="1" thickTop="1" x14ac:dyDescent="0.35">
      <c r="A29" s="51"/>
      <c r="B29" s="429" t="s">
        <v>1276</v>
      </c>
      <c r="C29" s="430"/>
      <c r="D29" s="430"/>
      <c r="E29" s="430"/>
      <c r="F29" s="430"/>
      <c r="G29" s="103"/>
      <c r="H29" s="52"/>
    </row>
    <row r="30" spans="1:8" ht="20.100000000000001" customHeight="1" x14ac:dyDescent="0.35">
      <c r="A30" s="407" t="str">
        <f>IF(G33&gt;0,ROUND(G39/24,1)&amp;" ml/u","")</f>
        <v/>
      </c>
      <c r="B30" s="137" t="s">
        <v>417</v>
      </c>
      <c r="C30" s="139"/>
      <c r="D30" s="139"/>
      <c r="E30" s="139"/>
      <c r="F30" s="143"/>
      <c r="G30" s="144">
        <f>IF(AND(OR(TPN=1,AND(TPN=2,SSTglucose&gt;10))),ROUND(ber_TPN!F7,0),0)</f>
        <v>0</v>
      </c>
      <c r="H30" s="45"/>
    </row>
    <row r="31" spans="1:8" ht="20.100000000000001" customHeight="1" x14ac:dyDescent="0.35">
      <c r="A31" s="408"/>
      <c r="B31" s="138" t="s">
        <v>4143</v>
      </c>
      <c r="C31" s="141"/>
      <c r="D31" s="141"/>
      <c r="E31" s="141"/>
      <c r="F31" s="145"/>
      <c r="G31" s="146">
        <f>IF(AND(OR(TPN=1,AND(TPN=2,SSTglucose&gt;10))),ROUND(ber_TPN!F8,0),0)</f>
        <v>0</v>
      </c>
      <c r="H31" s="45"/>
    </row>
    <row r="32" spans="1:8" ht="20.100000000000001" customHeight="1" x14ac:dyDescent="0.35">
      <c r="A32" s="108"/>
      <c r="B32" s="138" t="s">
        <v>4199</v>
      </c>
      <c r="C32" s="141"/>
      <c r="D32" s="141"/>
      <c r="E32" s="141"/>
      <c r="F32" s="145"/>
      <c r="G32" s="146">
        <f>ber_TPN!F9</f>
        <v>0</v>
      </c>
      <c r="H32" s="45"/>
    </row>
    <row r="33" spans="1:8" ht="20.100000000000001" customHeight="1" x14ac:dyDescent="0.35">
      <c r="A33" s="108"/>
      <c r="B33" s="138" t="s">
        <v>4200</v>
      </c>
      <c r="C33" s="141"/>
      <c r="D33" s="141"/>
      <c r="E33" s="141"/>
      <c r="F33" s="145"/>
      <c r="G33" s="146">
        <f>ber_TPN!F10</f>
        <v>0</v>
      </c>
      <c r="H33" s="45"/>
    </row>
    <row r="34" spans="1:8" ht="20.100000000000001" customHeight="1" x14ac:dyDescent="0.35">
      <c r="A34" s="108"/>
      <c r="B34" s="138" t="s">
        <v>2966</v>
      </c>
      <c r="C34" s="141"/>
      <c r="D34" s="141"/>
      <c r="E34" s="141"/>
      <c r="F34" s="145"/>
      <c r="G34" s="146">
        <f>ber_TPN!F16+IF(AND(SSTglucose=2,TPN=1),ROUND(ber_TPN!F6,0),0)</f>
        <v>0</v>
      </c>
      <c r="H34" s="45"/>
    </row>
    <row r="35" spans="1:8" ht="20.100000000000001" customHeight="1" x14ac:dyDescent="0.35">
      <c r="A35" s="44"/>
      <c r="B35" s="138" t="str">
        <f>IF(AND(OR(TPN=1,AND(TPN=2,SSTglucose&gt;10)),SSTglucose&lt;&gt;2,SSTglucose&lt;&gt;11,SSTglucose&lt;&gt;12,SSTglucose&lt;&gt;13),INDEX(tblSSTGlucose,SSTglucose,1),"Glucose       %")</f>
        <v>Glucose 5%</v>
      </c>
      <c r="C35" s="141"/>
      <c r="D35" s="141"/>
      <c r="E35" s="141"/>
      <c r="F35" s="145"/>
      <c r="G35" s="146">
        <f>IF(AND(OR(TPN=1,AND(TPN=2,SSTglucose&gt;10)),SSTglucose&lt;&gt;2,SSTglucose&lt;&gt;11,SSTglucose&lt;&gt;12,SSTglucose&lt;&gt;13),ROUND(ber_TPN!F6,0),"")</f>
        <v>0</v>
      </c>
      <c r="H35" s="45"/>
    </row>
    <row r="36" spans="1:8" ht="20.100000000000001" customHeight="1" x14ac:dyDescent="0.35">
      <c r="A36" s="44"/>
      <c r="B36" s="439" t="s">
        <v>4144</v>
      </c>
      <c r="C36" s="440"/>
      <c r="D36" s="440"/>
      <c r="E36" s="440"/>
      <c r="F36" s="145"/>
      <c r="G36" s="146" t="str">
        <f>IF(OR(SSTglucose=11),ROUND(ber_TPN!F6,0),"")</f>
        <v/>
      </c>
      <c r="H36" s="45"/>
    </row>
    <row r="37" spans="1:8" ht="20.100000000000001" customHeight="1" x14ac:dyDescent="0.35">
      <c r="A37" s="44"/>
      <c r="B37" s="439" t="s">
        <v>418</v>
      </c>
      <c r="C37" s="440"/>
      <c r="D37" s="440"/>
      <c r="E37" s="440"/>
      <c r="F37" s="145"/>
      <c r="G37" s="146" t="str">
        <f>IF(AND(SSTglucose=12),ROUND(ber_TPN!F6,0),"")</f>
        <v/>
      </c>
      <c r="H37" s="45"/>
    </row>
    <row r="38" spans="1:8" ht="20.100000000000001" customHeight="1" x14ac:dyDescent="0.35">
      <c r="A38" s="44"/>
      <c r="B38" s="439" t="s">
        <v>419</v>
      </c>
      <c r="C38" s="440"/>
      <c r="D38" s="440"/>
      <c r="E38" s="440"/>
      <c r="F38" s="143"/>
      <c r="G38" s="146" t="str">
        <f>IF(AND(SSTglucose=13),ROUND(ber_TPN!F6,0),"")</f>
        <v/>
      </c>
      <c r="H38" s="45"/>
    </row>
    <row r="39" spans="1:8" ht="15.95" customHeight="1" x14ac:dyDescent="0.35">
      <c r="A39" s="44"/>
      <c r="B39" s="49"/>
      <c r="C39" s="49"/>
      <c r="D39" s="49"/>
      <c r="E39" s="413" t="s">
        <v>2197</v>
      </c>
      <c r="F39" s="413"/>
      <c r="G39" s="114">
        <f>SUM(G30:G38)</f>
        <v>0</v>
      </c>
      <c r="H39" s="45"/>
    </row>
    <row r="40" spans="1:8" ht="10.5" customHeight="1" thickBot="1" x14ac:dyDescent="0.4">
      <c r="A40" s="44"/>
      <c r="B40" s="49"/>
      <c r="C40" s="49"/>
      <c r="D40" s="49"/>
      <c r="E40" s="49"/>
      <c r="F40" s="49"/>
      <c r="G40" s="49"/>
      <c r="H40" s="45"/>
    </row>
    <row r="41" spans="1:8" ht="15.95" customHeight="1" thickTop="1" x14ac:dyDescent="0.35">
      <c r="A41" s="51"/>
      <c r="B41" s="433" t="s">
        <v>2430</v>
      </c>
      <c r="C41" s="434"/>
      <c r="D41" s="434"/>
      <c r="E41" s="434"/>
      <c r="F41" s="435"/>
      <c r="G41" s="52" t="s">
        <v>2431</v>
      </c>
      <c r="H41" s="52"/>
    </row>
    <row r="42" spans="1:8" ht="15.95" customHeight="1" x14ac:dyDescent="0.35">
      <c r="A42" s="53"/>
      <c r="B42" s="436" t="s">
        <v>2432</v>
      </c>
      <c r="C42" s="437"/>
      <c r="D42" s="437"/>
      <c r="E42" s="437"/>
      <c r="F42" s="438"/>
      <c r="G42" s="47" t="s">
        <v>2433</v>
      </c>
      <c r="H42" s="45"/>
    </row>
    <row r="43" spans="1:8" ht="15.95" customHeight="1" x14ac:dyDescent="0.35">
      <c r="A43" s="53"/>
      <c r="B43" s="436" t="s">
        <v>2434</v>
      </c>
      <c r="C43" s="437"/>
      <c r="D43" s="437"/>
      <c r="E43" s="437"/>
      <c r="F43" s="438"/>
      <c r="G43" s="47" t="s">
        <v>2431</v>
      </c>
      <c r="H43" s="48"/>
    </row>
    <row r="45" spans="1:8" x14ac:dyDescent="0.35">
      <c r="A45" s="11" t="s">
        <v>2435</v>
      </c>
    </row>
    <row r="46" spans="1:8" x14ac:dyDescent="0.35">
      <c r="A46" s="11" t="s">
        <v>2196</v>
      </c>
    </row>
    <row r="47" spans="1:8" x14ac:dyDescent="0.35">
      <c r="A47" s="11" t="s">
        <v>2436</v>
      </c>
    </row>
    <row r="49" spans="1:6" x14ac:dyDescent="0.35">
      <c r="A49" s="11" t="s">
        <v>918</v>
      </c>
    </row>
    <row r="51" spans="1:6" ht="13.2" x14ac:dyDescent="0.4">
      <c r="F51" s="3"/>
    </row>
  </sheetData>
  <sheetProtection password="CC20" sheet="1" objects="1" scenarios="1" selectLockedCells="1" selectUnlockedCells="1"/>
  <mergeCells count="21">
    <mergeCell ref="E39:F39"/>
    <mergeCell ref="B41:F41"/>
    <mergeCell ref="B42:F42"/>
    <mergeCell ref="B43:F43"/>
    <mergeCell ref="B36:E36"/>
    <mergeCell ref="B37:E37"/>
    <mergeCell ref="B38:E38"/>
    <mergeCell ref="A30:A31"/>
    <mergeCell ref="A11:H11"/>
    <mergeCell ref="B12:B13"/>
    <mergeCell ref="C12:C13"/>
    <mergeCell ref="D12:D13"/>
    <mergeCell ref="E12:E13"/>
    <mergeCell ref="F12:F13"/>
    <mergeCell ref="A14:A15"/>
    <mergeCell ref="A24:A25"/>
    <mergeCell ref="B29:F29"/>
    <mergeCell ref="E22:F22"/>
    <mergeCell ref="E25:F25"/>
    <mergeCell ref="E26:F26"/>
    <mergeCell ref="E27:F27"/>
  </mergeCells>
  <phoneticPr fontId="26" type="noConversion"/>
  <pageMargins left="0.44" right="0.26" top="0.35" bottom="0.34" header="0.17" footer="0.17"/>
  <pageSetup paperSize="9" orientation="portrait" horizontalDpi="300" r:id="rId1"/>
  <headerFooter alignWithMargins="0">
    <oddHeader>&amp;LUitgeprint: &amp;D &amp;T&amp;CBed 1.3</oddHeader>
  </headerFooter>
  <rowBreaks count="1" manualBreakCount="1">
    <brk id="50" max="7" man="1"/>
  </rowBreak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16tot30kg"/>
  <dimension ref="A1:H50"/>
  <sheetViews>
    <sheetView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1211</v>
      </c>
    </row>
    <row r="3" spans="1:8" x14ac:dyDescent="0.35">
      <c r="A3" s="11" t="s">
        <v>2515</v>
      </c>
      <c r="B3" s="55">
        <f ca="1">TODAY()</f>
        <v>42188</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10" spans="1:8" ht="13.2" thickBot="1" x14ac:dyDescent="0.4">
      <c r="A10" s="11" t="s">
        <v>3538</v>
      </c>
      <c r="C10" s="11">
        <f>ber_TPN!F23</f>
        <v>0</v>
      </c>
      <c r="D10" s="11" t="s">
        <v>3145</v>
      </c>
    </row>
    <row r="11" spans="1:8" ht="13.2" thickTop="1" x14ac:dyDescent="0.35">
      <c r="A11" s="420" t="s">
        <v>68</v>
      </c>
      <c r="B11" s="421"/>
      <c r="C11" s="421"/>
      <c r="D11" s="421"/>
      <c r="E11" s="421"/>
      <c r="F11" s="421"/>
      <c r="G11" s="421"/>
      <c r="H11" s="422"/>
    </row>
    <row r="12" spans="1:8" ht="25.65" x14ac:dyDescent="0.35">
      <c r="A12" s="44" t="s">
        <v>3018</v>
      </c>
      <c r="B12" s="423" t="s">
        <v>1912</v>
      </c>
      <c r="C12" s="425"/>
      <c r="D12" s="427" t="s">
        <v>1913</v>
      </c>
      <c r="E12" s="427" t="s">
        <v>1914</v>
      </c>
      <c r="F12" s="427" t="s">
        <v>1915</v>
      </c>
      <c r="G12" s="45"/>
      <c r="H12" s="45" t="s">
        <v>1916</v>
      </c>
    </row>
    <row r="13" spans="1:8" x14ac:dyDescent="0.35">
      <c r="A13" s="46" t="s">
        <v>1917</v>
      </c>
      <c r="B13" s="424"/>
      <c r="C13" s="426"/>
      <c r="D13" s="428"/>
      <c r="E13" s="428"/>
      <c r="F13" s="428"/>
      <c r="G13" s="45" t="s">
        <v>1918</v>
      </c>
      <c r="H13" s="47" t="s">
        <v>1919</v>
      </c>
    </row>
    <row r="14" spans="1:8" ht="20.100000000000001" customHeight="1" x14ac:dyDescent="0.35">
      <c r="A14" s="409" t="str">
        <f>IF(TPN&lt;&gt;1,ROUND(G22/24,1)&amp;" ml/u","")</f>
        <v/>
      </c>
      <c r="B14" s="126" t="s">
        <v>417</v>
      </c>
      <c r="C14" s="127"/>
      <c r="D14" s="127" t="s">
        <v>1920</v>
      </c>
      <c r="E14" s="127" t="s">
        <v>1920</v>
      </c>
      <c r="F14" s="128" t="s">
        <v>1920</v>
      </c>
      <c r="G14" s="129" t="str">
        <f>IF(AND(TPN&lt;&gt;1,G16&lt;&gt;0),ROUND(ber_TPN!F7,0),"")</f>
        <v/>
      </c>
      <c r="H14" s="45"/>
    </row>
    <row r="15" spans="1:8" ht="20.100000000000001" customHeight="1" x14ac:dyDescent="0.35">
      <c r="A15" s="410"/>
      <c r="B15" s="130" t="s">
        <v>4140</v>
      </c>
      <c r="C15" s="131"/>
      <c r="D15" s="131" t="s">
        <v>4145</v>
      </c>
      <c r="E15" s="131" t="s">
        <v>573</v>
      </c>
      <c r="F15" s="132" t="s">
        <v>573</v>
      </c>
      <c r="G15" s="129" t="str">
        <f>IF(AND(TPN&lt;&gt;1,G16&lt;&gt;0),ROUND(ber_TPN!F8,0),"")</f>
        <v/>
      </c>
      <c r="H15" s="45"/>
    </row>
    <row r="16" spans="1:8" ht="20.100000000000001" customHeight="1" x14ac:dyDescent="0.35">
      <c r="A16" s="44"/>
      <c r="B16" s="130" t="s">
        <v>4154</v>
      </c>
      <c r="C16" s="131"/>
      <c r="D16" s="131" t="s">
        <v>3944</v>
      </c>
      <c r="E16" s="131" t="s">
        <v>1921</v>
      </c>
      <c r="F16" s="132" t="s">
        <v>4147</v>
      </c>
      <c r="G16" s="133" t="str">
        <f>IF(TPN&lt;&gt;1,ber_TPN!F4,"")</f>
        <v/>
      </c>
      <c r="H16" s="45"/>
    </row>
    <row r="17" spans="1:8" ht="20.100000000000001" customHeight="1" x14ac:dyDescent="0.35">
      <c r="A17" s="44"/>
      <c r="B17" s="130" t="s">
        <v>3039</v>
      </c>
      <c r="C17" s="131"/>
      <c r="D17" s="131"/>
      <c r="E17" s="431" t="s">
        <v>1359</v>
      </c>
      <c r="F17" s="432"/>
      <c r="G17" s="133">
        <f>ROUND(ber_TPN!F5,0)</f>
        <v>0</v>
      </c>
      <c r="H17" s="45"/>
    </row>
    <row r="18" spans="1:8" ht="20.100000000000001" customHeight="1" x14ac:dyDescent="0.35">
      <c r="A18" s="44"/>
      <c r="B18" s="130" t="s">
        <v>2966</v>
      </c>
      <c r="C18" s="131"/>
      <c r="D18" s="131" t="s">
        <v>1360</v>
      </c>
      <c r="E18" s="131"/>
      <c r="F18" s="132"/>
      <c r="G18" s="133" t="str">
        <f>IF(AND(SSTglucose=2,TPN&lt;&gt;1),ROUND(ber_TPN!F6,0),"")</f>
        <v/>
      </c>
      <c r="H18" s="45"/>
    </row>
    <row r="19" spans="1:8" ht="20.100000000000001" customHeight="1" x14ac:dyDescent="0.35">
      <c r="A19" s="44"/>
      <c r="B19" s="130" t="s">
        <v>1034</v>
      </c>
      <c r="C19" s="131"/>
      <c r="D19" s="131"/>
      <c r="E19" s="131" t="s">
        <v>1361</v>
      </c>
      <c r="F19" s="132"/>
      <c r="G19" s="133" t="str">
        <f>IF(AND(SSTglucose=6,TPN&lt;&gt;1),ROUND(ber_TPN!F6,0),"")</f>
        <v/>
      </c>
      <c r="H19" s="45"/>
    </row>
    <row r="20" spans="1:8" ht="20.100000000000001" customHeight="1" x14ac:dyDescent="0.35">
      <c r="A20" s="44"/>
      <c r="B20" s="130" t="s">
        <v>2193</v>
      </c>
      <c r="C20" s="131"/>
      <c r="D20" s="131"/>
      <c r="E20" s="131"/>
      <c r="F20" s="132" t="s">
        <v>1362</v>
      </c>
      <c r="G20" s="133" t="str">
        <f>IF(AND(SSTglucose=8,TPN&lt;&gt;1),ROUND(ber_TPN!F6,0),"")</f>
        <v/>
      </c>
      <c r="H20" s="45"/>
    </row>
    <row r="21" spans="1:8" ht="20.100000000000001" customHeight="1" x14ac:dyDescent="0.35">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35">
      <c r="A22" s="44"/>
      <c r="B22" s="116"/>
      <c r="C22" s="116"/>
      <c r="D22" s="116"/>
      <c r="E22" s="416" t="s">
        <v>2195</v>
      </c>
      <c r="F22" s="416"/>
      <c r="G22" s="113">
        <f>SUM(G14:G21)</f>
        <v>0</v>
      </c>
      <c r="H22" s="111"/>
    </row>
    <row r="23" spans="1:8" ht="10.5" customHeight="1" x14ac:dyDescent="0.35">
      <c r="A23" s="44"/>
      <c r="B23" s="110"/>
      <c r="C23" s="110"/>
      <c r="D23" s="110"/>
      <c r="E23" s="110"/>
      <c r="F23" s="110"/>
      <c r="G23" s="49"/>
      <c r="H23" s="45"/>
    </row>
    <row r="24" spans="1:8" ht="20.100000000000001" customHeight="1" x14ac:dyDescent="0.35">
      <c r="A24" s="409" t="str">
        <f>IF(TPN&lt;&gt;1,ROUND(G27/24,1)&amp;" ml/u","")</f>
        <v/>
      </c>
      <c r="B24" s="126" t="s">
        <v>2106</v>
      </c>
      <c r="C24" s="127"/>
      <c r="D24" s="127" t="s">
        <v>3943</v>
      </c>
      <c r="E24" s="127" t="s">
        <v>3944</v>
      </c>
      <c r="F24" s="128" t="s">
        <v>1921</v>
      </c>
      <c r="G24" s="129">
        <f>ROUND(ber_TPN!F13,0)</f>
        <v>0</v>
      </c>
      <c r="H24" s="50"/>
    </row>
    <row r="25" spans="1:8" ht="20.100000000000001" customHeight="1" x14ac:dyDescent="0.35">
      <c r="A25" s="410"/>
      <c r="B25" s="130" t="s">
        <v>2107</v>
      </c>
      <c r="C25" s="131"/>
      <c r="D25" s="131"/>
      <c r="E25" s="431" t="s">
        <v>3734</v>
      </c>
      <c r="F25" s="432"/>
      <c r="G25" s="133">
        <f>ROUND(ber_TPN!F14,0)</f>
        <v>0</v>
      </c>
      <c r="H25" s="45"/>
    </row>
    <row r="26" spans="1:8" ht="20.100000000000001" customHeight="1" x14ac:dyDescent="0.35">
      <c r="A26" s="44"/>
      <c r="B26" s="130" t="s">
        <v>2175</v>
      </c>
      <c r="C26" s="131"/>
      <c r="D26" s="131"/>
      <c r="E26" s="431" t="s">
        <v>3734</v>
      </c>
      <c r="F26" s="432"/>
      <c r="G26" s="133">
        <f>ROUND(ber_TPN!F15,0)</f>
        <v>0</v>
      </c>
      <c r="H26" s="45"/>
    </row>
    <row r="27" spans="1:8" ht="15.95" customHeight="1" x14ac:dyDescent="0.35">
      <c r="A27" s="44"/>
      <c r="B27" s="110"/>
      <c r="C27" s="110"/>
      <c r="D27" s="110"/>
      <c r="E27" s="416" t="s">
        <v>2195</v>
      </c>
      <c r="F27" s="416"/>
      <c r="G27" s="115">
        <f>SUM(G24:G26)</f>
        <v>0</v>
      </c>
      <c r="H27" s="111"/>
    </row>
    <row r="28" spans="1:8" ht="10.5" customHeight="1" thickBot="1" x14ac:dyDescent="0.4">
      <c r="A28" s="44"/>
      <c r="B28" s="110"/>
      <c r="C28" s="110"/>
      <c r="D28" s="110"/>
      <c r="E28" s="110"/>
      <c r="F28" s="110"/>
      <c r="G28" s="49"/>
      <c r="H28" s="45"/>
    </row>
    <row r="29" spans="1:8" ht="15.95" customHeight="1" thickTop="1" x14ac:dyDescent="0.35">
      <c r="A29" s="51"/>
      <c r="B29" s="411" t="s">
        <v>1276</v>
      </c>
      <c r="C29" s="412"/>
      <c r="D29" s="412"/>
      <c r="E29" s="412"/>
      <c r="F29" s="412"/>
      <c r="G29" s="103"/>
      <c r="H29" s="52"/>
    </row>
    <row r="30" spans="1:8" ht="20.100000000000001" customHeight="1" x14ac:dyDescent="0.35">
      <c r="A30" s="409" t="str">
        <f>ROUND(G38/24,1)&amp;" ml/u"</f>
        <v>0 ml/u</v>
      </c>
      <c r="B30" s="137" t="s">
        <v>417</v>
      </c>
      <c r="C30" s="139"/>
      <c r="D30" s="139"/>
      <c r="E30" s="139"/>
      <c r="F30" s="140"/>
      <c r="G30" s="144">
        <f>IF(AND(OR(TPN=1,AND(TPN=2,SSTglucose&gt;10))),ROUND(ber_TPN!F7,0),"")</f>
        <v>0</v>
      </c>
      <c r="H30" s="45"/>
    </row>
    <row r="31" spans="1:8" ht="20.100000000000001" customHeight="1" x14ac:dyDescent="0.35">
      <c r="A31" s="410"/>
      <c r="B31" s="138" t="s">
        <v>4143</v>
      </c>
      <c r="C31" s="141"/>
      <c r="D31" s="141"/>
      <c r="E31" s="141"/>
      <c r="F31" s="142"/>
      <c r="G31" s="146">
        <f>IF(AND(OR(TPN=1,AND(TPN=2,SSTglucose&gt;10))),ROUND(ber_TPN!F8,0),"")</f>
        <v>0</v>
      </c>
      <c r="H31" s="45"/>
    </row>
    <row r="32" spans="1:8" ht="20.100000000000001" customHeight="1" x14ac:dyDescent="0.35">
      <c r="A32" s="108"/>
      <c r="B32" s="138" t="s">
        <v>4199</v>
      </c>
      <c r="C32" s="141"/>
      <c r="D32" s="141"/>
      <c r="E32" s="141"/>
      <c r="F32" s="142"/>
      <c r="G32" s="146">
        <f>ber_TPN!F9</f>
        <v>0</v>
      </c>
      <c r="H32" s="45"/>
    </row>
    <row r="33" spans="1:8" ht="20.100000000000001" customHeight="1" x14ac:dyDescent="0.35">
      <c r="A33" s="108"/>
      <c r="B33" s="138" t="s">
        <v>4200</v>
      </c>
      <c r="C33" s="141"/>
      <c r="D33" s="141"/>
      <c r="E33" s="141"/>
      <c r="F33" s="142"/>
      <c r="G33" s="146">
        <f>ber_TPN!F10</f>
        <v>0</v>
      </c>
      <c r="H33" s="45"/>
    </row>
    <row r="34" spans="1:8" ht="20.100000000000001" customHeight="1" x14ac:dyDescent="0.35">
      <c r="A34" s="108"/>
      <c r="B34" s="138" t="s">
        <v>2966</v>
      </c>
      <c r="C34" s="141"/>
      <c r="D34" s="141"/>
      <c r="E34" s="141"/>
      <c r="F34" s="142"/>
      <c r="G34" s="146">
        <f>ber_TPN!F16+IF(AND(SSTglucose=2,TPN=1),ROUND(ber_TPN!F6,0),0)</f>
        <v>0</v>
      </c>
      <c r="H34" s="45"/>
    </row>
    <row r="35" spans="1:8" ht="20.100000000000001" customHeight="1" x14ac:dyDescent="0.35">
      <c r="A35" s="108"/>
      <c r="B35" s="138" t="str">
        <f>IF(AND(OR(TPN=1,AND(TPN=2,SSTglucose&gt;10)),SSTglucose&lt;&gt;2,SSTglucose&lt;&gt;12,SSTglucose&lt;&gt;13),INDEX(tblSSTGlucose,SSTglucose,1),"Glucose       %")</f>
        <v>Glucose 5%</v>
      </c>
      <c r="C35" s="141"/>
      <c r="D35" s="141"/>
      <c r="E35" s="141"/>
      <c r="F35" s="142"/>
      <c r="G35" s="146">
        <f>IF(AND(OR(TPN=1,AND(TPN=2,SSTglucose&gt;10)),SSTglucose&lt;&gt;2,SSTglucose&lt;&gt;12,SSTglucose&lt;&gt;13),ROUND(ber_TPN!F6,0),"")</f>
        <v>0</v>
      </c>
      <c r="H35" s="45"/>
    </row>
    <row r="36" spans="1:8" ht="20.100000000000001" customHeight="1" x14ac:dyDescent="0.35">
      <c r="A36" s="108"/>
      <c r="B36" s="439" t="s">
        <v>418</v>
      </c>
      <c r="C36" s="440"/>
      <c r="D36" s="440"/>
      <c r="E36" s="440"/>
      <c r="F36" s="142"/>
      <c r="G36" s="146" t="str">
        <f>IF(AND(SSTglucose=12),ROUND(ber_TPN!F6,0),"")</f>
        <v/>
      </c>
      <c r="H36" s="45"/>
    </row>
    <row r="37" spans="1:8" ht="20.100000000000001" customHeight="1" x14ac:dyDescent="0.35">
      <c r="A37" s="44"/>
      <c r="B37" s="439" t="s">
        <v>419</v>
      </c>
      <c r="C37" s="440"/>
      <c r="D37" s="440"/>
      <c r="E37" s="440"/>
      <c r="F37" s="142"/>
      <c r="G37" s="146" t="str">
        <f>IF(AND(SSTglucose=13),ROUND(ber_TPN!F6,0),"")</f>
        <v/>
      </c>
      <c r="H37" s="45"/>
    </row>
    <row r="38" spans="1:8" ht="15.95" customHeight="1" x14ac:dyDescent="0.35">
      <c r="A38" s="44"/>
      <c r="B38" s="110"/>
      <c r="C38" s="110"/>
      <c r="D38" s="110"/>
      <c r="E38" s="416" t="s">
        <v>2197</v>
      </c>
      <c r="F38" s="416"/>
      <c r="G38" s="114">
        <f>SUM(G30:G37)</f>
        <v>0</v>
      </c>
      <c r="H38" s="45"/>
    </row>
    <row r="39" spans="1:8" ht="15.95" customHeight="1" thickBot="1" x14ac:dyDescent="0.4">
      <c r="A39" s="44"/>
      <c r="B39" s="110"/>
      <c r="C39" s="110"/>
      <c r="D39" s="110"/>
      <c r="E39" s="110"/>
      <c r="F39" s="110"/>
      <c r="G39" s="49"/>
      <c r="H39" s="45"/>
    </row>
    <row r="40" spans="1:8" ht="15.95" customHeight="1" thickTop="1" x14ac:dyDescent="0.35">
      <c r="A40" s="51"/>
      <c r="B40" s="417" t="s">
        <v>2430</v>
      </c>
      <c r="C40" s="418"/>
      <c r="D40" s="418"/>
      <c r="E40" s="418"/>
      <c r="F40" s="419"/>
      <c r="G40" s="52" t="s">
        <v>2431</v>
      </c>
      <c r="H40" s="52"/>
    </row>
    <row r="41" spans="1:8" ht="15.95" customHeight="1" x14ac:dyDescent="0.35">
      <c r="A41" s="53"/>
      <c r="B41" s="404" t="s">
        <v>2432</v>
      </c>
      <c r="C41" s="405"/>
      <c r="D41" s="405"/>
      <c r="E41" s="405"/>
      <c r="F41" s="406"/>
      <c r="G41" s="47" t="s">
        <v>2433</v>
      </c>
      <c r="H41" s="45"/>
    </row>
    <row r="42" spans="1:8" ht="15.95" customHeight="1" x14ac:dyDescent="0.35">
      <c r="A42" s="53"/>
      <c r="B42" s="404" t="s">
        <v>2434</v>
      </c>
      <c r="C42" s="405"/>
      <c r="D42" s="405"/>
      <c r="E42" s="405"/>
      <c r="F42" s="406"/>
      <c r="G42" s="47" t="s">
        <v>2431</v>
      </c>
      <c r="H42" s="48"/>
    </row>
    <row r="44" spans="1:8" x14ac:dyDescent="0.35">
      <c r="A44" s="11" t="s">
        <v>2435</v>
      </c>
    </row>
    <row r="45" spans="1:8" x14ac:dyDescent="0.35">
      <c r="A45" s="11" t="s">
        <v>2196</v>
      </c>
    </row>
    <row r="46" spans="1:8" x14ac:dyDescent="0.35">
      <c r="A46" s="11" t="s">
        <v>2436</v>
      </c>
    </row>
    <row r="48" spans="1:8" x14ac:dyDescent="0.35">
      <c r="A48" s="11" t="s">
        <v>918</v>
      </c>
    </row>
    <row r="50" spans="6:6" ht="13.2" x14ac:dyDescent="0.4">
      <c r="F50" s="3"/>
    </row>
  </sheetData>
  <sheetProtection password="CC20" sheet="1" objects="1" scenarios="1" selectLockedCells="1" selectUnlockedCells="1"/>
  <mergeCells count="21">
    <mergeCell ref="A30:A31"/>
    <mergeCell ref="A14:A15"/>
    <mergeCell ref="A11:H11"/>
    <mergeCell ref="B12:B13"/>
    <mergeCell ref="C12:C13"/>
    <mergeCell ref="D12:D13"/>
    <mergeCell ref="E12:E13"/>
    <mergeCell ref="F12:F13"/>
    <mergeCell ref="E17:F17"/>
    <mergeCell ref="A24:A25"/>
    <mergeCell ref="B29:F29"/>
    <mergeCell ref="E22:F22"/>
    <mergeCell ref="E25:F25"/>
    <mergeCell ref="E26:F26"/>
    <mergeCell ref="E27:F27"/>
    <mergeCell ref="E38:F38"/>
    <mergeCell ref="B40:F40"/>
    <mergeCell ref="B41:F41"/>
    <mergeCell ref="B42:F42"/>
    <mergeCell ref="B36:E36"/>
    <mergeCell ref="B37:E37"/>
  </mergeCells>
  <phoneticPr fontId="26" type="noConversion"/>
  <pageMargins left="0.39" right="0.26" top="0.42" bottom="0.37" header="0.23" footer="0.17"/>
  <pageSetup paperSize="9" orientation="portrait" horizontalDpi="300" r:id="rId1"/>
  <headerFooter alignWithMargins="0">
    <oddHeader>&amp;CBed 0</oddHeader>
  </headerFooter>
  <rowBreaks count="1" manualBreakCount="1">
    <brk id="49" max="7" man="1"/>
  </rowBreak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31tot50kg"/>
  <dimension ref="A1:H51"/>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1212</v>
      </c>
    </row>
    <row r="3" spans="1:8" x14ac:dyDescent="0.35">
      <c r="A3" s="11" t="s">
        <v>2515</v>
      </c>
      <c r="B3" s="55">
        <f ca="1">TODAY()</f>
        <v>42188</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9" spans="1:8" ht="13.2" thickBot="1" x14ac:dyDescent="0.4">
      <c r="A9" s="11" t="s">
        <v>3537</v>
      </c>
      <c r="C9" s="11">
        <f>ber_TPN!F23</f>
        <v>0</v>
      </c>
      <c r="D9" s="11" t="s">
        <v>3145</v>
      </c>
    </row>
    <row r="10" spans="1:8" ht="13.2" thickTop="1" x14ac:dyDescent="0.35">
      <c r="A10" s="420" t="s">
        <v>68</v>
      </c>
      <c r="B10" s="421"/>
      <c r="C10" s="421"/>
      <c r="D10" s="421"/>
      <c r="E10" s="421"/>
      <c r="F10" s="421"/>
      <c r="G10" s="421"/>
      <c r="H10" s="422"/>
    </row>
    <row r="11" spans="1:8" ht="25.65" x14ac:dyDescent="0.35">
      <c r="A11" s="44" t="s">
        <v>3018</v>
      </c>
      <c r="B11" s="423" t="s">
        <v>1912</v>
      </c>
      <c r="C11" s="425"/>
      <c r="D11" s="427" t="s">
        <v>1913</v>
      </c>
      <c r="E11" s="427" t="s">
        <v>1914</v>
      </c>
      <c r="F11" s="427" t="s">
        <v>1915</v>
      </c>
      <c r="G11" s="45"/>
      <c r="H11" s="45" t="s">
        <v>1916</v>
      </c>
    </row>
    <row r="12" spans="1:8" x14ac:dyDescent="0.35">
      <c r="A12" s="46" t="s">
        <v>1917</v>
      </c>
      <c r="B12" s="424"/>
      <c r="C12" s="426"/>
      <c r="D12" s="428"/>
      <c r="E12" s="428"/>
      <c r="F12" s="428"/>
      <c r="G12" s="45" t="s">
        <v>1918</v>
      </c>
      <c r="H12" s="47" t="s">
        <v>1919</v>
      </c>
    </row>
    <row r="13" spans="1:8" ht="20.100000000000001" customHeight="1" x14ac:dyDescent="0.35">
      <c r="A13" s="409" t="str">
        <f>IF(G22&lt;&gt;0,ROUND(G22/24,1)&amp;" ml/u","")</f>
        <v/>
      </c>
      <c r="B13" s="126" t="s">
        <v>417</v>
      </c>
      <c r="C13" s="127"/>
      <c r="D13" s="127" t="s">
        <v>1920</v>
      </c>
      <c r="E13" s="127" t="s">
        <v>1920</v>
      </c>
      <c r="F13" s="128" t="s">
        <v>1920</v>
      </c>
      <c r="G13" s="129" t="str">
        <f>IF(AND(TPN&lt;&gt;1,G15&lt;&gt;0),ROUND(ber_TPN!F7,0),"")</f>
        <v/>
      </c>
      <c r="H13" s="45"/>
    </row>
    <row r="14" spans="1:8" ht="20.100000000000001" customHeight="1" x14ac:dyDescent="0.35">
      <c r="A14" s="410"/>
      <c r="B14" s="130" t="s">
        <v>4140</v>
      </c>
      <c r="C14" s="131"/>
      <c r="D14" s="131" t="s">
        <v>4145</v>
      </c>
      <c r="E14" s="131" t="s">
        <v>573</v>
      </c>
      <c r="F14" s="132" t="s">
        <v>573</v>
      </c>
      <c r="G14" s="129" t="str">
        <f>IF(AND(TPN&lt;&gt;1,G15&lt;&gt;0),ROUND(ber_TPN!F8,0),"")</f>
        <v/>
      </c>
      <c r="H14" s="45"/>
    </row>
    <row r="15" spans="1:8" ht="20.100000000000001" customHeight="1" x14ac:dyDescent="0.35">
      <c r="A15" s="44"/>
      <c r="B15" s="130" t="s">
        <v>1363</v>
      </c>
      <c r="C15" s="131"/>
      <c r="D15" s="131" t="s">
        <v>3943</v>
      </c>
      <c r="E15" s="131" t="s">
        <v>1364</v>
      </c>
      <c r="F15" s="132" t="s">
        <v>1369</v>
      </c>
      <c r="G15" s="133" t="str">
        <f>IF(TPN&lt;&gt;1,ber_TPN!F4,"")</f>
        <v/>
      </c>
      <c r="H15" s="45"/>
    </row>
    <row r="16" spans="1:8" ht="20.100000000000001" customHeight="1" x14ac:dyDescent="0.35">
      <c r="A16" s="44"/>
      <c r="B16" s="130" t="s">
        <v>3039</v>
      </c>
      <c r="C16" s="131"/>
      <c r="D16" s="131"/>
      <c r="E16" s="431" t="s">
        <v>1359</v>
      </c>
      <c r="F16" s="432"/>
      <c r="G16" s="133" t="str">
        <f>IF(AND(SSTglucose&lt;11,TPN&lt;&gt;1),ROUND(ber_TPN!F5,0),"")</f>
        <v/>
      </c>
      <c r="H16" s="45"/>
    </row>
    <row r="17" spans="1:8" ht="20.100000000000001" customHeight="1" x14ac:dyDescent="0.35">
      <c r="A17" s="44"/>
      <c r="B17" s="130" t="s">
        <v>2966</v>
      </c>
      <c r="C17" s="131"/>
      <c r="D17" s="131" t="s">
        <v>1365</v>
      </c>
      <c r="E17" s="131"/>
      <c r="F17" s="132"/>
      <c r="G17" s="133" t="str">
        <f>IF(AND(SSTglucose=2,TPN&lt;&gt;1),ROUND(ber_TPN!F6,0),"")</f>
        <v/>
      </c>
      <c r="H17" s="45"/>
    </row>
    <row r="18" spans="1:8" ht="20.100000000000001" customHeight="1" x14ac:dyDescent="0.35">
      <c r="A18" s="44"/>
      <c r="B18" s="130" t="s">
        <v>1034</v>
      </c>
      <c r="C18" s="131"/>
      <c r="D18" s="131"/>
      <c r="E18" s="131" t="s">
        <v>1366</v>
      </c>
      <c r="F18" s="132"/>
      <c r="G18" s="133" t="str">
        <f>IF(AND(SSTglucose=6,TPN&lt;&gt;1),ROUND(ber_TPN!F6,0),"")</f>
        <v/>
      </c>
      <c r="H18" s="45"/>
    </row>
    <row r="19" spans="1:8" ht="20.100000000000001" customHeight="1" x14ac:dyDescent="0.35">
      <c r="A19" s="44"/>
      <c r="B19" s="130" t="s">
        <v>1367</v>
      </c>
      <c r="C19" s="131" t="s">
        <v>2217</v>
      </c>
      <c r="D19" s="131"/>
      <c r="E19" s="131"/>
      <c r="F19" s="132" t="s">
        <v>4153</v>
      </c>
      <c r="G19" s="133" t="str">
        <f>IF(AND(SSTglucose=7,TPN&lt;&gt;1),ROUND(ber_TPN!F6,0),"")</f>
        <v/>
      </c>
      <c r="H19" s="45"/>
    </row>
    <row r="20" spans="1:8" ht="20.100000000000001" customHeight="1" x14ac:dyDescent="0.35">
      <c r="A20" s="44"/>
      <c r="B20" s="130" t="s">
        <v>1368</v>
      </c>
      <c r="C20" s="131"/>
      <c r="D20" s="131"/>
      <c r="E20" s="131"/>
      <c r="F20" s="132" t="s">
        <v>4147</v>
      </c>
      <c r="G20" s="133" t="str">
        <f>IF(AND(SSTglucose=9,TPN&lt;&gt;1),ROUND(ber_TPN!F6,0),"")</f>
        <v/>
      </c>
      <c r="H20" s="45"/>
    </row>
    <row r="21" spans="1:8" ht="20.100000000000001" customHeight="1" x14ac:dyDescent="0.35">
      <c r="A21" s="44"/>
      <c r="B21" s="134" t="str">
        <f>IF(AND(TPN=2,SSTglucose&lt;&gt;2,SSTglucose&lt;&gt;6,SSTglucose&lt;&gt;7,SSTglucose&lt;&gt;9,SSTglucose&lt;11),INDEX(tblSSTGlucose,SSTglucose,1),"Glucose       %")</f>
        <v>Glucose       %</v>
      </c>
      <c r="C21" s="135"/>
      <c r="D21" s="135"/>
      <c r="E21" s="135"/>
      <c r="F21" s="136"/>
      <c r="G21" s="133" t="str">
        <f>IF(AND(TPN&lt;&gt;1,B19&lt;&gt;""),IF(AND(SSTglucose&lt;&gt;2,SSTglucose&lt;&gt;6,SSTglucose&lt;&gt;7,SSTglucose&lt;&gt;9,SSTglucose&lt;11),ROUND(ber_TPN!F6,0),""),"")</f>
        <v/>
      </c>
      <c r="H21" s="45"/>
    </row>
    <row r="22" spans="1:8" ht="15.95" customHeight="1" x14ac:dyDescent="0.35">
      <c r="A22" s="44"/>
      <c r="B22" s="116"/>
      <c r="C22" s="116"/>
      <c r="D22" s="116"/>
      <c r="E22" s="416" t="s">
        <v>2195</v>
      </c>
      <c r="F22" s="416"/>
      <c r="G22" s="113">
        <f>SUM(G13:G21)</f>
        <v>0</v>
      </c>
      <c r="H22" s="111"/>
    </row>
    <row r="23" spans="1:8" ht="10.5" customHeight="1" x14ac:dyDescent="0.35">
      <c r="A23" s="44"/>
      <c r="B23" s="110"/>
      <c r="C23" s="110"/>
      <c r="D23" s="110"/>
      <c r="E23" s="110"/>
      <c r="F23" s="110"/>
      <c r="G23" s="49"/>
      <c r="H23" s="45"/>
    </row>
    <row r="24" spans="1:8" ht="20.100000000000001" customHeight="1" x14ac:dyDescent="0.35">
      <c r="A24" s="409" t="str">
        <f>IF(G27&lt;&gt;0,ROUND(G27/24,1)&amp;" ml/u","")</f>
        <v/>
      </c>
      <c r="B24" s="126" t="s">
        <v>2106</v>
      </c>
      <c r="C24" s="127"/>
      <c r="D24" s="127" t="s">
        <v>3536</v>
      </c>
      <c r="E24" s="127" t="s">
        <v>1920</v>
      </c>
      <c r="F24" s="128" t="s">
        <v>3944</v>
      </c>
      <c r="G24" s="129">
        <f>ROUND(ber_TPN!F13,0)</f>
        <v>0</v>
      </c>
      <c r="H24" s="50"/>
    </row>
    <row r="25" spans="1:8" ht="20.100000000000001" customHeight="1" x14ac:dyDescent="0.35">
      <c r="A25" s="410"/>
      <c r="B25" s="130" t="s">
        <v>2107</v>
      </c>
      <c r="C25" s="131"/>
      <c r="D25" s="131"/>
      <c r="E25" s="431" t="s">
        <v>3734</v>
      </c>
      <c r="F25" s="432"/>
      <c r="G25" s="133">
        <f>ROUND(ber_TPN!F14,0)</f>
        <v>0</v>
      </c>
      <c r="H25" s="45"/>
    </row>
    <row r="26" spans="1:8" ht="20.100000000000001" customHeight="1" x14ac:dyDescent="0.35">
      <c r="A26" s="44"/>
      <c r="B26" s="130" t="s">
        <v>2175</v>
      </c>
      <c r="C26" s="131"/>
      <c r="D26" s="131"/>
      <c r="E26" s="431" t="s">
        <v>3734</v>
      </c>
      <c r="F26" s="432"/>
      <c r="G26" s="133">
        <f>ROUND(ber_TPN!F15,0)</f>
        <v>0</v>
      </c>
      <c r="H26" s="45"/>
    </row>
    <row r="27" spans="1:8" ht="15.95" customHeight="1" x14ac:dyDescent="0.35">
      <c r="A27" s="44"/>
      <c r="B27" s="110"/>
      <c r="C27" s="110"/>
      <c r="D27" s="110"/>
      <c r="E27" s="416" t="s">
        <v>2195</v>
      </c>
      <c r="F27" s="416"/>
      <c r="G27" s="115">
        <f>SUM(G24:G26)</f>
        <v>0</v>
      </c>
      <c r="H27" s="111"/>
    </row>
    <row r="28" spans="1:8" ht="10.5" customHeight="1" thickBot="1" x14ac:dyDescent="0.4">
      <c r="A28" s="44"/>
      <c r="B28" s="110"/>
      <c r="C28" s="110"/>
      <c r="D28" s="110"/>
      <c r="E28" s="110"/>
      <c r="F28" s="110"/>
      <c r="G28" s="49"/>
      <c r="H28" s="45"/>
    </row>
    <row r="29" spans="1:8" ht="15.95" customHeight="1" thickTop="1" x14ac:dyDescent="0.35">
      <c r="A29" s="51"/>
      <c r="B29" s="429" t="s">
        <v>1276</v>
      </c>
      <c r="C29" s="430"/>
      <c r="D29" s="430"/>
      <c r="E29" s="430"/>
      <c r="F29" s="430"/>
      <c r="G29" s="103"/>
      <c r="H29" s="52"/>
    </row>
    <row r="30" spans="1:8" ht="20.100000000000001" customHeight="1" x14ac:dyDescent="0.35">
      <c r="A30" s="409" t="str">
        <f>IF(G38&lt;&gt;0,ROUND(G38/24,1)&amp;" ml/u","")</f>
        <v/>
      </c>
      <c r="B30" s="137" t="s">
        <v>417</v>
      </c>
      <c r="C30" s="139"/>
      <c r="D30" s="139"/>
      <c r="E30" s="139"/>
      <c r="F30" s="143"/>
      <c r="G30" s="144">
        <f>IF(AND(OR(TPN=1,AND(TPN=2,SSTglucose&gt;10))),ROUND(ber_TPN!F7,0),"")</f>
        <v>0</v>
      </c>
      <c r="H30" s="45"/>
    </row>
    <row r="31" spans="1:8" ht="20.100000000000001" customHeight="1" x14ac:dyDescent="0.35">
      <c r="A31" s="410"/>
      <c r="B31" s="138" t="s">
        <v>4143</v>
      </c>
      <c r="C31" s="141"/>
      <c r="D31" s="141"/>
      <c r="E31" s="141"/>
      <c r="F31" s="145"/>
      <c r="G31" s="146">
        <f>IF(AND(OR(TPN=1,AND(TPN=2,SSTglucose&gt;10))),ROUND(ber_TPN!F8,0),"")</f>
        <v>0</v>
      </c>
      <c r="H31" s="45"/>
    </row>
    <row r="32" spans="1:8" ht="20.100000000000001" customHeight="1" x14ac:dyDescent="0.35">
      <c r="A32" s="108"/>
      <c r="B32" s="138" t="s">
        <v>4199</v>
      </c>
      <c r="C32" s="141"/>
      <c r="D32" s="141"/>
      <c r="E32" s="141"/>
      <c r="F32" s="145"/>
      <c r="G32" s="146">
        <f>ber_TPN!F9</f>
        <v>0</v>
      </c>
      <c r="H32" s="45"/>
    </row>
    <row r="33" spans="1:8" ht="20.100000000000001" customHeight="1" x14ac:dyDescent="0.35">
      <c r="A33" s="108"/>
      <c r="B33" s="138" t="s">
        <v>4200</v>
      </c>
      <c r="C33" s="141"/>
      <c r="D33" s="141"/>
      <c r="E33" s="141"/>
      <c r="F33" s="145"/>
      <c r="G33" s="146">
        <f>ber_TPN!F10</f>
        <v>0</v>
      </c>
      <c r="H33" s="45"/>
    </row>
    <row r="34" spans="1:8" ht="20.100000000000001" customHeight="1" x14ac:dyDescent="0.35">
      <c r="A34" s="108"/>
      <c r="B34" s="138" t="s">
        <v>2966</v>
      </c>
      <c r="C34" s="141"/>
      <c r="D34" s="141"/>
      <c r="E34" s="141"/>
      <c r="F34" s="145"/>
      <c r="G34" s="146">
        <f>ber_TPN!F16+IF(AND(SSTglucose=2,TPN=1),ROUND(ber_TPN!F6,0),0)</f>
        <v>0</v>
      </c>
      <c r="H34" s="45"/>
    </row>
    <row r="35" spans="1:8" ht="20.100000000000001" customHeight="1" x14ac:dyDescent="0.35">
      <c r="A35" s="108"/>
      <c r="B35" s="138" t="str">
        <f>IF(AND(OR(TPN=1,AND(TPN=2,SSTglucose&gt;10)),SSTglucose&lt;&gt;2,SSTglucose&lt;&gt;12,SSTglucose&lt;&gt;13),INDEX(tblSSTGlucose,SSTglucose,1),"Glucose       %")</f>
        <v>Glucose 5%</v>
      </c>
      <c r="C35" s="141"/>
      <c r="D35" s="141"/>
      <c r="E35" s="141"/>
      <c r="F35" s="145"/>
      <c r="G35" s="146">
        <f>IF(AND(OR(TPN=1,AND(TPN=2,SSTglucose&gt;10)),SSTglucose&lt;&gt;2,SSTglucose&lt;&gt;12,SSTglucose&lt;&gt;13),ber_TPN!F6,"")</f>
        <v>0</v>
      </c>
      <c r="H35" s="45"/>
    </row>
    <row r="36" spans="1:8" ht="20.100000000000001" customHeight="1" x14ac:dyDescent="0.35">
      <c r="A36" s="108"/>
      <c r="B36" s="439" t="s">
        <v>418</v>
      </c>
      <c r="C36" s="440"/>
      <c r="D36" s="440"/>
      <c r="E36" s="440"/>
      <c r="F36" s="145"/>
      <c r="G36" s="146" t="str">
        <f>IF(AND(SSTglucose=12),ROUND(ber_TPN!F6,0),"")</f>
        <v/>
      </c>
      <c r="H36" s="45"/>
    </row>
    <row r="37" spans="1:8" ht="20.100000000000001" customHeight="1" x14ac:dyDescent="0.35">
      <c r="A37" s="44"/>
      <c r="B37" s="439" t="s">
        <v>419</v>
      </c>
      <c r="C37" s="440"/>
      <c r="D37" s="440"/>
      <c r="E37" s="440"/>
      <c r="F37" s="145"/>
      <c r="G37" s="146" t="str">
        <f>IF(AND(SSTglucose=13),ROUND(ber_TPN!F6,0),"")</f>
        <v/>
      </c>
      <c r="H37" s="45"/>
    </row>
    <row r="38" spans="1:8" ht="15.95" customHeight="1" x14ac:dyDescent="0.35">
      <c r="A38" s="44"/>
      <c r="B38" s="49"/>
      <c r="C38" s="49"/>
      <c r="D38" s="49"/>
      <c r="E38" s="413" t="s">
        <v>2197</v>
      </c>
      <c r="F38" s="413"/>
      <c r="G38" s="114">
        <f>SUM(G30:G37)</f>
        <v>0</v>
      </c>
      <c r="H38" s="45"/>
    </row>
    <row r="39" spans="1:8" ht="10.5" customHeight="1" thickBot="1" x14ac:dyDescent="0.4">
      <c r="A39" s="44"/>
      <c r="B39" s="49"/>
      <c r="C39" s="49"/>
      <c r="D39" s="49"/>
      <c r="E39" s="49"/>
      <c r="F39" s="49"/>
      <c r="G39" s="49"/>
      <c r="H39" s="45"/>
    </row>
    <row r="40" spans="1:8" ht="15.95" customHeight="1" thickTop="1" x14ac:dyDescent="0.35">
      <c r="A40" s="51"/>
      <c r="B40" s="417" t="s">
        <v>2430</v>
      </c>
      <c r="C40" s="418"/>
      <c r="D40" s="418"/>
      <c r="E40" s="418"/>
      <c r="F40" s="419"/>
      <c r="G40" s="52" t="s">
        <v>2431</v>
      </c>
      <c r="H40" s="52"/>
    </row>
    <row r="41" spans="1:8" ht="15.95" customHeight="1" x14ac:dyDescent="0.35">
      <c r="A41" s="53"/>
      <c r="B41" s="404" t="s">
        <v>2432</v>
      </c>
      <c r="C41" s="405"/>
      <c r="D41" s="405"/>
      <c r="E41" s="405"/>
      <c r="F41" s="406"/>
      <c r="G41" s="47" t="s">
        <v>2433</v>
      </c>
      <c r="H41" s="45"/>
    </row>
    <row r="42" spans="1:8" ht="15.95" customHeight="1" x14ac:dyDescent="0.35">
      <c r="A42" s="53"/>
      <c r="B42" s="404" t="s">
        <v>2434</v>
      </c>
      <c r="C42" s="405"/>
      <c r="D42" s="405"/>
      <c r="E42" s="405"/>
      <c r="F42" s="406"/>
      <c r="G42" s="47" t="s">
        <v>2431</v>
      </c>
      <c r="H42" s="48"/>
    </row>
    <row r="44" spans="1:8" x14ac:dyDescent="0.35">
      <c r="A44" s="11" t="s">
        <v>2435</v>
      </c>
    </row>
    <row r="45" spans="1:8" x14ac:dyDescent="0.35">
      <c r="A45" s="11" t="s">
        <v>2196</v>
      </c>
    </row>
    <row r="47" spans="1:8" x14ac:dyDescent="0.35">
      <c r="A47" s="11" t="s">
        <v>2436</v>
      </c>
    </row>
    <row r="49" spans="1:6" x14ac:dyDescent="0.35">
      <c r="A49" s="11" t="s">
        <v>918</v>
      </c>
    </row>
    <row r="51" spans="1:6" ht="13.2" x14ac:dyDescent="0.4">
      <c r="F51" s="3"/>
    </row>
  </sheetData>
  <sheetProtection password="CC20" sheet="1" objects="1" scenarios="1" selectLockedCells="1" selectUnlockedCells="1"/>
  <mergeCells count="21">
    <mergeCell ref="E38:F38"/>
    <mergeCell ref="B40:F40"/>
    <mergeCell ref="B41:F41"/>
    <mergeCell ref="B42:F42"/>
    <mergeCell ref="B36:E36"/>
    <mergeCell ref="B37:E37"/>
    <mergeCell ref="A30:A31"/>
    <mergeCell ref="A13:A14"/>
    <mergeCell ref="A10:H10"/>
    <mergeCell ref="B11:B12"/>
    <mergeCell ref="C11:C12"/>
    <mergeCell ref="D11:D12"/>
    <mergeCell ref="E11:E12"/>
    <mergeCell ref="F11:F12"/>
    <mergeCell ref="E16:F16"/>
    <mergeCell ref="A24:A25"/>
    <mergeCell ref="B29:F29"/>
    <mergeCell ref="E22:F22"/>
    <mergeCell ref="E25:F25"/>
    <mergeCell ref="E26:F26"/>
    <mergeCell ref="E27:F27"/>
  </mergeCells>
  <phoneticPr fontId="26" type="noConversion"/>
  <pageMargins left="0.42" right="0.26" top="0.39" bottom="0.34" header="0.18" footer="0.17"/>
  <pageSetup paperSize="9" orientation="portrait" horizontalDpi="300" r:id="rId1"/>
  <headerFooter alignWithMargins="0">
    <oddHeader>&amp;LUitgeprint: &amp;D &amp;T&amp;CBed 0</oddHeader>
  </headerFooter>
  <rowBreaks count="1" manualBreakCount="1">
    <brk id="50" max="7" man="1"/>
  </rowBreak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boven50kg"/>
  <dimension ref="A1:H48"/>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3893</v>
      </c>
    </row>
    <row r="3" spans="1:8" x14ac:dyDescent="0.35">
      <c r="A3" s="11" t="s">
        <v>2515</v>
      </c>
      <c r="B3" s="55">
        <f ca="1">TODAY()</f>
        <v>42188</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9" spans="1:8" ht="13.2" thickBot="1" x14ac:dyDescent="0.4">
      <c r="A9" s="11" t="str">
        <f>IF(Gewicht/10&lt;7,"Tot. hoev. vocht* (150 ml/kg/24 uur):","Tot. hoev. vocht* (110-90 ml/kg/24 uur):")</f>
        <v>Tot. hoev. vocht* (110-90 ml/kg/24 uur):</v>
      </c>
      <c r="C9" s="11">
        <f>ber_TPN!F23</f>
        <v>0</v>
      </c>
      <c r="D9" s="11" t="s">
        <v>3145</v>
      </c>
    </row>
    <row r="10" spans="1:8" ht="13.2" thickTop="1" x14ac:dyDescent="0.35">
      <c r="A10" s="420" t="s">
        <v>68</v>
      </c>
      <c r="B10" s="421"/>
      <c r="C10" s="421"/>
      <c r="D10" s="421"/>
      <c r="E10" s="421"/>
      <c r="F10" s="421"/>
      <c r="G10" s="421"/>
      <c r="H10" s="422"/>
    </row>
    <row r="11" spans="1:8" ht="25.65" x14ac:dyDescent="0.35">
      <c r="A11" s="44" t="s">
        <v>3018</v>
      </c>
      <c r="B11" s="423" t="s">
        <v>1912</v>
      </c>
      <c r="C11" s="425"/>
      <c r="D11" s="427" t="s">
        <v>1913</v>
      </c>
      <c r="E11" s="427" t="s">
        <v>1914</v>
      </c>
      <c r="F11" s="427" t="s">
        <v>1915</v>
      </c>
      <c r="G11" s="45"/>
      <c r="H11" s="45" t="s">
        <v>1916</v>
      </c>
    </row>
    <row r="12" spans="1:8" x14ac:dyDescent="0.35">
      <c r="A12" s="46" t="s">
        <v>1917</v>
      </c>
      <c r="B12" s="424"/>
      <c r="C12" s="426"/>
      <c r="D12" s="428"/>
      <c r="E12" s="428"/>
      <c r="F12" s="428"/>
      <c r="G12" s="45" t="s">
        <v>1918</v>
      </c>
      <c r="H12" s="47" t="s">
        <v>1919</v>
      </c>
    </row>
    <row r="13" spans="1:8" ht="20.100000000000001" customHeight="1" x14ac:dyDescent="0.35">
      <c r="A13" s="159" t="str">
        <f>IF(G15&lt;&gt;0,ROUND(G15/24,1)&amp;" ml/u","")</f>
        <v/>
      </c>
      <c r="B13" s="130" t="s">
        <v>909</v>
      </c>
      <c r="C13" s="131"/>
      <c r="D13" s="131" t="s">
        <v>910</v>
      </c>
      <c r="E13" s="131" t="s">
        <v>911</v>
      </c>
      <c r="F13" s="132" t="s">
        <v>912</v>
      </c>
      <c r="G13" s="164" t="str">
        <f>IF(TPN&lt;&gt;1,ber_TPN!F4,"")</f>
        <v/>
      </c>
      <c r="H13" s="45"/>
    </row>
    <row r="14" spans="1:8" ht="20.100000000000001" customHeight="1" x14ac:dyDescent="0.35">
      <c r="A14" s="160"/>
      <c r="B14" s="130"/>
      <c r="C14" s="131"/>
      <c r="D14" s="131"/>
      <c r="E14" s="131"/>
      <c r="F14" s="132"/>
      <c r="G14" s="133"/>
      <c r="H14" s="45"/>
    </row>
    <row r="15" spans="1:8" ht="20.100000000000001" customHeight="1" x14ac:dyDescent="0.35">
      <c r="A15" s="44"/>
      <c r="B15" s="162"/>
      <c r="C15" s="162"/>
      <c r="D15" s="162"/>
      <c r="E15" s="162"/>
      <c r="F15" s="162" t="s">
        <v>2197</v>
      </c>
      <c r="G15" s="163">
        <f>SUM(G13:G14)</f>
        <v>0</v>
      </c>
      <c r="H15" s="45"/>
    </row>
    <row r="16" spans="1:8" ht="20.100000000000001" customHeight="1" x14ac:dyDescent="0.35">
      <c r="A16" s="44"/>
      <c r="B16" s="131"/>
      <c r="C16" s="131"/>
      <c r="D16" s="131"/>
      <c r="E16" s="131"/>
      <c r="F16" s="131"/>
      <c r="G16" s="161"/>
      <c r="H16" s="45"/>
    </row>
    <row r="17" spans="1:8" ht="20.100000000000001" customHeight="1" x14ac:dyDescent="0.35">
      <c r="A17" s="160" t="str">
        <f>IF(G19&lt;&gt;0,ROUND(G19/24,1)&amp;" ml/u","")</f>
        <v/>
      </c>
      <c r="B17" s="130" t="s">
        <v>3039</v>
      </c>
      <c r="C17" s="131"/>
      <c r="D17" s="131"/>
      <c r="E17" s="127"/>
      <c r="F17" s="128" t="s">
        <v>1921</v>
      </c>
      <c r="G17" s="133">
        <f>IF(AND(OR(SSTglucose&lt;11,Gewicht/10&gt;50),TPN&lt;&gt;1),ROUND(ber_TPN!F5,0),0)</f>
        <v>0</v>
      </c>
      <c r="H17" s="45"/>
    </row>
    <row r="18" spans="1:8" ht="20.100000000000001" customHeight="1" x14ac:dyDescent="0.35">
      <c r="A18" s="44"/>
      <c r="B18" s="130" t="s">
        <v>2966</v>
      </c>
      <c r="C18" s="131"/>
      <c r="D18" s="131"/>
      <c r="E18" s="131"/>
      <c r="F18" s="132" t="s">
        <v>908</v>
      </c>
      <c r="G18" s="133">
        <f>IF(G17&gt;0,100,0)</f>
        <v>0</v>
      </c>
      <c r="H18" s="45"/>
    </row>
    <row r="19" spans="1:8" ht="20.100000000000001" customHeight="1" x14ac:dyDescent="0.35">
      <c r="A19" s="44"/>
      <c r="B19" s="116"/>
      <c r="C19" s="116"/>
      <c r="D19" s="116"/>
      <c r="E19" s="416" t="s">
        <v>2195</v>
      </c>
      <c r="F19" s="416"/>
      <c r="G19" s="113">
        <f>SUM(G17:G18)</f>
        <v>0</v>
      </c>
      <c r="H19" s="45"/>
    </row>
    <row r="20" spans="1:8" ht="20.100000000000001" customHeight="1" x14ac:dyDescent="0.35">
      <c r="A20" s="44"/>
      <c r="B20" s="110"/>
      <c r="C20" s="110"/>
      <c r="D20" s="110"/>
      <c r="E20" s="110"/>
      <c r="F20" s="110"/>
      <c r="G20" s="49"/>
      <c r="H20" s="45"/>
    </row>
    <row r="21" spans="1:8" ht="20.100000000000001" customHeight="1" x14ac:dyDescent="0.35">
      <c r="A21" s="44" t="str">
        <f>IF(G24&lt;&gt;0,ROUND(G24/24,1)&amp;" ml/u","")</f>
        <v/>
      </c>
      <c r="B21" s="126" t="s">
        <v>2106</v>
      </c>
      <c r="C21" s="127"/>
      <c r="D21" s="127" t="s">
        <v>913</v>
      </c>
      <c r="E21" s="127" t="s">
        <v>914</v>
      </c>
      <c r="F21" s="128" t="s">
        <v>915</v>
      </c>
      <c r="G21" s="129">
        <f>ROUND(ber_TPN!F13,0)</f>
        <v>0</v>
      </c>
      <c r="H21" s="45"/>
    </row>
    <row r="22" spans="1:8" ht="20.100000000000001" customHeight="1" x14ac:dyDescent="0.35">
      <c r="A22" s="44"/>
      <c r="B22" s="130" t="s">
        <v>2107</v>
      </c>
      <c r="C22" s="131"/>
      <c r="D22" s="131"/>
      <c r="E22" s="127"/>
      <c r="F22" s="128" t="s">
        <v>916</v>
      </c>
      <c r="G22" s="133">
        <f>ROUND(ber_TPN!F14,0)</f>
        <v>0</v>
      </c>
      <c r="H22" s="45"/>
    </row>
    <row r="23" spans="1:8" ht="20.100000000000001" customHeight="1" x14ac:dyDescent="0.35">
      <c r="A23" s="44"/>
      <c r="B23" s="130" t="s">
        <v>2175</v>
      </c>
      <c r="C23" s="131"/>
      <c r="D23" s="131"/>
      <c r="E23" s="127"/>
      <c r="F23" s="128" t="s">
        <v>916</v>
      </c>
      <c r="G23" s="133">
        <f>ROUND(ber_TPN!F15,0)</f>
        <v>0</v>
      </c>
      <c r="H23" s="45"/>
    </row>
    <row r="24" spans="1:8" ht="20.100000000000001" customHeight="1" x14ac:dyDescent="0.35">
      <c r="A24" s="44"/>
      <c r="B24" s="110"/>
      <c r="C24" s="110"/>
      <c r="D24" s="110"/>
      <c r="E24" s="416" t="s">
        <v>2195</v>
      </c>
      <c r="F24" s="416"/>
      <c r="G24" s="115">
        <f>SUM(G21:G23)</f>
        <v>0</v>
      </c>
      <c r="H24" s="111"/>
    </row>
    <row r="25" spans="1:8" ht="15.95" customHeight="1" thickBot="1" x14ac:dyDescent="0.4">
      <c r="A25" s="44"/>
      <c r="B25" s="110"/>
      <c r="C25" s="110"/>
      <c r="D25" s="110"/>
      <c r="E25" s="110"/>
      <c r="F25" s="110"/>
      <c r="G25" s="49"/>
      <c r="H25" s="45"/>
    </row>
    <row r="26" spans="1:8" ht="15.95" customHeight="1" thickTop="1" x14ac:dyDescent="0.35">
      <c r="A26" s="51"/>
      <c r="B26" s="429" t="s">
        <v>1276</v>
      </c>
      <c r="C26" s="430"/>
      <c r="D26" s="430"/>
      <c r="E26" s="430"/>
      <c r="F26" s="430"/>
      <c r="G26" s="103"/>
      <c r="H26" s="52"/>
    </row>
    <row r="27" spans="1:8" ht="20.100000000000001" customHeight="1" x14ac:dyDescent="0.35">
      <c r="A27" s="409" t="str">
        <f>IF(G35&lt;&gt;0,ROUND(G35/24,1)&amp;" ml/u","")</f>
        <v/>
      </c>
      <c r="B27" s="137" t="s">
        <v>417</v>
      </c>
      <c r="C27" s="139"/>
      <c r="D27" s="139"/>
      <c r="E27" s="139"/>
      <c r="F27" s="143"/>
      <c r="G27" s="144">
        <f>IF(AND(OR(TPN=1,Gewicht/10&gt;50,AND(TPN=2,SSTglucose&gt;10))),ROUND(ber_TPN!F7,0),"")</f>
        <v>0</v>
      </c>
      <c r="H27" s="45"/>
    </row>
    <row r="28" spans="1:8" ht="20.100000000000001" customHeight="1" x14ac:dyDescent="0.35">
      <c r="A28" s="410"/>
      <c r="B28" s="138" t="s">
        <v>4143</v>
      </c>
      <c r="C28" s="141"/>
      <c r="D28" s="141"/>
      <c r="E28" s="141"/>
      <c r="F28" s="145"/>
      <c r="G28" s="146">
        <f>IF(AND(OR(TPN=1,Gewicht/10&gt;50,AND(TPN=2,SSTglucose&gt;10))),ROUND(ber_TPN!F8,0),"")</f>
        <v>0</v>
      </c>
      <c r="H28" s="45"/>
    </row>
    <row r="29" spans="1:8" ht="15.95" customHeight="1" x14ac:dyDescent="0.35">
      <c r="A29" s="108"/>
      <c r="B29" s="138" t="s">
        <v>4199</v>
      </c>
      <c r="C29" s="141"/>
      <c r="D29" s="141"/>
      <c r="E29" s="141"/>
      <c r="F29" s="145"/>
      <c r="G29" s="146">
        <f>ber_TPN!F9</f>
        <v>0</v>
      </c>
      <c r="H29" s="45"/>
    </row>
    <row r="30" spans="1:8" ht="15.95" customHeight="1" x14ac:dyDescent="0.35">
      <c r="A30" s="108"/>
      <c r="B30" s="138" t="s">
        <v>4200</v>
      </c>
      <c r="C30" s="141"/>
      <c r="D30" s="141"/>
      <c r="E30" s="141"/>
      <c r="F30" s="145"/>
      <c r="G30" s="146">
        <f>ber_TPN!F10</f>
        <v>0</v>
      </c>
      <c r="H30" s="45"/>
    </row>
    <row r="31" spans="1:8" ht="15.95" customHeight="1" x14ac:dyDescent="0.35">
      <c r="A31" s="108"/>
      <c r="B31" s="138" t="s">
        <v>2966</v>
      </c>
      <c r="C31" s="141"/>
      <c r="D31" s="141"/>
      <c r="E31" s="141"/>
      <c r="F31" s="145"/>
      <c r="G31" s="146">
        <f>IF(Gewicht/10&lt;=50,ber_TPN!F16,0)+IF(OR(AND(SSTglucose=2,TPN=1),AND(SSTglucose=2,Gewicht/10&gt;50)),ROUND(ber_TPN!F6,0),0)</f>
        <v>0</v>
      </c>
      <c r="H31" s="45"/>
    </row>
    <row r="32" spans="1:8" ht="15.95" customHeight="1" x14ac:dyDescent="0.35">
      <c r="A32" s="108"/>
      <c r="B32" s="138" t="str">
        <f>IF(AND(OR(TPN=1,AND(TPN=2,SSTglucose&gt;10)),SSTglucose&lt;&gt;2,SSTglucose&lt;&gt;12,SSTglucose&lt;&gt;13),INDEX(tblSSTGlucose,SSTglucose,1),"Glucose       %")</f>
        <v>Glucose 5%</v>
      </c>
      <c r="C32" s="141"/>
      <c r="D32" s="141"/>
      <c r="E32" s="141"/>
      <c r="F32" s="145"/>
      <c r="G32" s="146">
        <f>IF(AND(SSTglucose&lt;&gt;2,SSTglucose&lt;&gt;12,SSTglucose&lt;&gt;13),ber_TPN!F6,"")</f>
        <v>0</v>
      </c>
      <c r="H32" s="45"/>
    </row>
    <row r="33" spans="1:8" ht="15.95" customHeight="1" x14ac:dyDescent="0.35">
      <c r="A33" s="108"/>
      <c r="B33" s="439" t="s">
        <v>418</v>
      </c>
      <c r="C33" s="440"/>
      <c r="D33" s="440"/>
      <c r="E33" s="440"/>
      <c r="F33" s="145"/>
      <c r="G33" s="146" t="str">
        <f>IF(AND(SSTglucose=12),ROUND(ber_TPN!F6,0),"")</f>
        <v/>
      </c>
      <c r="H33" s="45"/>
    </row>
    <row r="34" spans="1:8" ht="20.100000000000001" customHeight="1" x14ac:dyDescent="0.35">
      <c r="A34" s="44"/>
      <c r="B34" s="439" t="s">
        <v>419</v>
      </c>
      <c r="C34" s="440"/>
      <c r="D34" s="440"/>
      <c r="E34" s="440"/>
      <c r="F34" s="145"/>
      <c r="G34" s="146" t="str">
        <f>IF(AND(SSTglucose=13),ROUND(ber_TPN!F6,0),"")</f>
        <v/>
      </c>
      <c r="H34" s="45"/>
    </row>
    <row r="35" spans="1:8" ht="20.100000000000001" customHeight="1" x14ac:dyDescent="0.35">
      <c r="A35" s="44"/>
      <c r="B35" s="49"/>
      <c r="C35" s="49"/>
      <c r="D35" s="49"/>
      <c r="E35" s="413" t="s">
        <v>2197</v>
      </c>
      <c r="F35" s="413"/>
      <c r="G35" s="114">
        <f>SUM(G27:G34)</f>
        <v>0</v>
      </c>
      <c r="H35" s="45"/>
    </row>
    <row r="36" spans="1:8" ht="20.100000000000001" customHeight="1" thickBot="1" x14ac:dyDescent="0.4">
      <c r="A36" s="44"/>
      <c r="B36" s="49"/>
      <c r="C36" s="49"/>
      <c r="D36" s="49"/>
      <c r="E36" s="49"/>
      <c r="F36" s="49"/>
      <c r="G36" s="49"/>
      <c r="H36" s="45"/>
    </row>
    <row r="37" spans="1:8" ht="20.100000000000001" customHeight="1" thickTop="1" x14ac:dyDescent="0.35">
      <c r="A37" s="51"/>
      <c r="B37" s="417" t="s">
        <v>2430</v>
      </c>
      <c r="C37" s="418"/>
      <c r="D37" s="418"/>
      <c r="E37" s="418"/>
      <c r="F37" s="419"/>
      <c r="G37" s="52" t="s">
        <v>2431</v>
      </c>
      <c r="H37" s="52"/>
    </row>
    <row r="38" spans="1:8" ht="20.100000000000001" customHeight="1" x14ac:dyDescent="0.35">
      <c r="A38" s="53"/>
      <c r="B38" s="404" t="s">
        <v>2432</v>
      </c>
      <c r="C38" s="405"/>
      <c r="D38" s="405"/>
      <c r="E38" s="405"/>
      <c r="F38" s="406"/>
      <c r="G38" s="47" t="s">
        <v>2433</v>
      </c>
      <c r="H38" s="45"/>
    </row>
    <row r="39" spans="1:8" ht="20.100000000000001" customHeight="1" x14ac:dyDescent="0.35">
      <c r="A39" s="53"/>
      <c r="B39" s="404" t="s">
        <v>2434</v>
      </c>
      <c r="C39" s="405"/>
      <c r="D39" s="405"/>
      <c r="E39" s="405"/>
      <c r="F39" s="406"/>
      <c r="G39" s="47" t="s">
        <v>2431</v>
      </c>
      <c r="H39" s="48"/>
    </row>
    <row r="40" spans="1:8" ht="20.100000000000001" customHeight="1" x14ac:dyDescent="0.35"/>
    <row r="41" spans="1:8" ht="15.95" customHeight="1" x14ac:dyDescent="0.35">
      <c r="A41" s="11" t="s">
        <v>2435</v>
      </c>
    </row>
    <row r="42" spans="1:8" ht="10.5" customHeight="1" x14ac:dyDescent="0.35">
      <c r="A42" s="11" t="s">
        <v>2196</v>
      </c>
    </row>
    <row r="43" spans="1:8" ht="15.95" customHeight="1" x14ac:dyDescent="0.35"/>
    <row r="44" spans="1:8" ht="15.95" customHeight="1" x14ac:dyDescent="0.35">
      <c r="A44" s="11" t="s">
        <v>2436</v>
      </c>
    </row>
    <row r="45" spans="1:8" ht="15.95" customHeight="1" x14ac:dyDescent="0.35"/>
    <row r="46" spans="1:8" x14ac:dyDescent="0.35">
      <c r="A46" s="11" t="s">
        <v>918</v>
      </c>
    </row>
    <row r="48" spans="1:8" ht="13.2" x14ac:dyDescent="0.4">
      <c r="F48" s="3"/>
    </row>
  </sheetData>
  <mergeCells count="16">
    <mergeCell ref="A27:A28"/>
    <mergeCell ref="A10:H10"/>
    <mergeCell ref="B11:B12"/>
    <mergeCell ref="C11:C12"/>
    <mergeCell ref="D11:D12"/>
    <mergeCell ref="E11:E12"/>
    <mergeCell ref="F11:F12"/>
    <mergeCell ref="B26:F26"/>
    <mergeCell ref="E19:F19"/>
    <mergeCell ref="E24:F24"/>
    <mergeCell ref="B37:F37"/>
    <mergeCell ref="B38:F38"/>
    <mergeCell ref="B39:F39"/>
    <mergeCell ref="B33:E33"/>
    <mergeCell ref="B34:E34"/>
    <mergeCell ref="E35:F35"/>
  </mergeCells>
  <phoneticPr fontId="26" type="noConversion"/>
  <pageMargins left="0.42" right="0.26" top="0.39" bottom="0.34" header="0.18" footer="0.17"/>
  <pageSetup paperSize="9" orientation="portrait" horizontalDpi="300" r:id="rId1"/>
  <headerFooter alignWithMargins="0">
    <oddHeader>&amp;LUitgeprint: &amp;D &amp;T&amp;CBed 1.7</oddHeader>
  </headerFooter>
  <rowBreaks count="1" manualBreakCount="1">
    <brk id="53" max="7" man="1"/>
  </rowBreaks>
</worksheet>
</file>

<file path=customUI/customUI.xml><?xml version="1.0" encoding="utf-8"?>
<!--RibbonX Visual Designer 1.93 for Microsoft Excel 14.0. XML Code produced on 2014-03-25-->
<customUI xmlns="http://schemas.microsoft.com/office/2006/01/customui">
  <ribbon startFromScratch="true">
    <tabs>
      <tab id="tabAfspraken" label="Afspraken">
        <group id="Group1" label="Afspraken">
          <button id="btnAfsluiten" label="Afsluiten" onAction="ButtonOnAction"/>
          <button id="btnAfsprakenVerwijderen" label="Afspraken verwijderen" onAction="ButtonOnAction"/>
          <button id="btnPrinten" label="Printen" onAction="ButtonOnAction"/>
        </group>
        <group id="Group2" label="Bedden">
          <button id="btnBedOpenen" label="Openen" onAction="ButtonOnAction"/>
          <button id="btnBedSluiten" label="Opslaan" onAction="ButtonOnAction"/>
        </group>
        <group id="grpGaNaar" label="Ga naar ...">
          <button id="btnContinueivmedicatie" label="Continue iv medicatie" onAction="ButtonOnAction"/>
          <button id="btnIVmedicatieinstellen" label="IV medicatie instellen" onAction="ButtonOnAction"/>
          <button id="btnDiscontinuemedicatie" label="Discontinue medicatie" onAction="ButtonOnAction"/>
          <button id="btnInfusenencontroles" label="Infusen en controles" onAction="ButtonOnAction"/>
          <button id="btnIntake" label="Intake" onAction="ButtonOnAction"/>
          <button id="btnLaboratoriumbepalingen" label="Laboratorium bepalingen" onAction="ButtonOnAction"/>
          <button id="btnAcuteblad" label="Acute blad" onAction="ButtonOnAction"/>
          <button id="btnAfsprakenblad" label="Afspraken blad" onAction="ButtonOnAction"/>
          <button id="btnMedicatieblad" label="Medicatie blad" onAction="ButtonOnAction"/>
          <button id="btnTPNblad" label="TPN blad" onAction="ButtonOnAction"/>
        </group>
        <group id="grpExtra" label="Extra">
          <button id="btnInstellingenKlein" label="Instellingen Klein" onAction="ButtonOnAction"/>
          <button id="btnInstellingenGroot" label="Instellingen Groot" onAction="ButtonOnAction"/>
          <button id="btnLabVerwijderen" label="Lab Verwijderen" onAction="Butt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21</vt:i4>
      </vt:variant>
      <vt:variant>
        <vt:lpstr>Charts</vt:lpstr>
      </vt:variant>
      <vt:variant>
        <vt:i4>2</vt:i4>
      </vt:variant>
      <vt:variant>
        <vt:lpstr>Named Ranges</vt:lpstr>
      </vt:variant>
      <vt:variant>
        <vt:i4>832</vt:i4>
      </vt:variant>
    </vt:vector>
  </HeadingPairs>
  <TitlesOfParts>
    <vt:vector size="855" baseType="lpstr">
      <vt:lpstr>GewMeisje</vt:lpstr>
      <vt:lpstr>GewJongen</vt:lpstr>
      <vt:lpstr>HEIGHTNL.CRF</vt:lpstr>
      <vt:lpstr>WEIGHTNL.CRF</vt:lpstr>
      <vt:lpstr>AcuteOpvang</vt:lpstr>
      <vt:lpstr>AfsprakenCMV</vt:lpstr>
      <vt:lpstr>AfsprakenPLV</vt:lpstr>
      <vt:lpstr>AfsprakenHFO</vt:lpstr>
      <vt:lpstr>AfsprakenTekst</vt:lpstr>
      <vt:lpstr>MedicatieIV</vt:lpstr>
      <vt:lpstr>Instellen</vt:lpstr>
      <vt:lpstr>Med_disc</vt:lpstr>
      <vt:lpstr>Medicatie</vt:lpstr>
      <vt:lpstr>Infusen</vt:lpstr>
      <vt:lpstr>Intake</vt:lpstr>
      <vt:lpstr>Lab</vt:lpstr>
      <vt:lpstr>TPN2tot6kg</vt:lpstr>
      <vt:lpstr>TPN7tot15kg</vt:lpstr>
      <vt:lpstr>TPN16tot30kg</vt:lpstr>
      <vt:lpstr>TPN31tot50kg</vt:lpstr>
      <vt:lpstr>TPNboven50kg</vt:lpstr>
      <vt:lpstr>GrafGewMeisje</vt:lpstr>
      <vt:lpstr>GrafGewJongen</vt:lpstr>
      <vt:lpstr>_FiO2</vt:lpstr>
      <vt:lpstr>AchterNaam</vt:lpstr>
      <vt:lpstr>Afrond_1</vt:lpstr>
      <vt:lpstr>Afrond_10</vt:lpstr>
      <vt:lpstr>Afrond_11</vt:lpstr>
      <vt:lpstr>Afrond_12</vt:lpstr>
      <vt:lpstr>Afrond_13</vt:lpstr>
      <vt:lpstr>Afrond_14</vt:lpstr>
      <vt:lpstr>Afrond_15</vt:lpstr>
      <vt:lpstr>Afrond_16</vt:lpstr>
      <vt:lpstr>Afrond_17</vt:lpstr>
      <vt:lpstr>Afrond_18</vt:lpstr>
      <vt:lpstr>Afrond_19</vt:lpstr>
      <vt:lpstr>Afrond_2</vt:lpstr>
      <vt:lpstr>Afrond_20</vt:lpstr>
      <vt:lpstr>Afrond_21</vt:lpstr>
      <vt:lpstr>Afrond_22</vt:lpstr>
      <vt:lpstr>Afrond_23</vt:lpstr>
      <vt:lpstr>Afrond_3</vt:lpstr>
      <vt:lpstr>Afrond_4</vt:lpstr>
      <vt:lpstr>Afrond_5</vt:lpstr>
      <vt:lpstr>Afrond_6</vt:lpstr>
      <vt:lpstr>Afrond_7</vt:lpstr>
      <vt:lpstr>Afrond_8</vt:lpstr>
      <vt:lpstr>Afrond_9</vt:lpstr>
      <vt:lpstr>AfspraakDatum</vt:lpstr>
      <vt:lpstr>AfsprakenVersie</vt:lpstr>
      <vt:lpstr>ApparaatCV</vt:lpstr>
      <vt:lpstr>AutoMode</vt:lpstr>
      <vt:lpstr>Beademing</vt:lpstr>
      <vt:lpstr>BedNummer</vt:lpstr>
      <vt:lpstr>CaGluc</vt:lpstr>
      <vt:lpstr>CaGlucVol</vt:lpstr>
      <vt:lpstr>CDP</vt:lpstr>
      <vt:lpstr>Comfort</vt:lpstr>
      <vt:lpstr>Controle_1</vt:lpstr>
      <vt:lpstr>Controle_10</vt:lpstr>
      <vt:lpstr>Controle_2</vt:lpstr>
      <vt:lpstr>Controle_3</vt:lpstr>
      <vt:lpstr>Controle_4</vt:lpstr>
      <vt:lpstr>Controle_5</vt:lpstr>
      <vt:lpstr>Controle_6</vt:lpstr>
      <vt:lpstr>Controle_7</vt:lpstr>
      <vt:lpstr>Controle_8</vt:lpstr>
      <vt:lpstr>Controle_9</vt:lpstr>
      <vt:lpstr>dbPatientSave</vt:lpstr>
      <vt:lpstr>DeltaP</vt:lpstr>
      <vt:lpstr>DiscAlarm</vt:lpstr>
      <vt:lpstr>DosHoev_1</vt:lpstr>
      <vt:lpstr>DosHoev_10</vt:lpstr>
      <vt:lpstr>DosHoev_11</vt:lpstr>
      <vt:lpstr>DosHoev_12</vt:lpstr>
      <vt:lpstr>DosHoev_13</vt:lpstr>
      <vt:lpstr>DosHoev_14</vt:lpstr>
      <vt:lpstr>DosHoev_15</vt:lpstr>
      <vt:lpstr>DosHoev_16</vt:lpstr>
      <vt:lpstr>DosHoev_17</vt:lpstr>
      <vt:lpstr>DosHoev_18</vt:lpstr>
      <vt:lpstr>DosHoev_19</vt:lpstr>
      <vt:lpstr>DosHoev_2</vt:lpstr>
      <vt:lpstr>DosHoev_20</vt:lpstr>
      <vt:lpstr>DosHoev_3</vt:lpstr>
      <vt:lpstr>DosHoev_4</vt:lpstr>
      <vt:lpstr>DosHoev_5</vt:lpstr>
      <vt:lpstr>DosHoev_6</vt:lpstr>
      <vt:lpstr>DosHoev_7</vt:lpstr>
      <vt:lpstr>DosHoev_8</vt:lpstr>
      <vt:lpstr>DosHoev_9</vt:lpstr>
      <vt:lpstr>DrukCV</vt:lpstr>
      <vt:lpstr>DrukPLV</vt:lpstr>
      <vt:lpstr>Druppelen</vt:lpstr>
      <vt:lpstr>Eenheid_1</vt:lpstr>
      <vt:lpstr>Eenheid_10</vt:lpstr>
      <vt:lpstr>Eenheid_11</vt:lpstr>
      <vt:lpstr>Eenheid_12</vt:lpstr>
      <vt:lpstr>Eenheid_13</vt:lpstr>
      <vt:lpstr>Eenheid_14</vt:lpstr>
      <vt:lpstr>Eenheid_15</vt:lpstr>
      <vt:lpstr>Eenheid_16</vt:lpstr>
      <vt:lpstr>Eenheid_17</vt:lpstr>
      <vt:lpstr>Eenheid_18</vt:lpstr>
      <vt:lpstr>Eenheid_19</vt:lpstr>
      <vt:lpstr>Eenheid_2</vt:lpstr>
      <vt:lpstr>Eenheid_20</vt:lpstr>
      <vt:lpstr>Eenheid_3</vt:lpstr>
      <vt:lpstr>Eenheid_4</vt:lpstr>
      <vt:lpstr>Eenheid_5</vt:lpstr>
      <vt:lpstr>Eenheid_6</vt:lpstr>
      <vt:lpstr>Eenheid_7</vt:lpstr>
      <vt:lpstr>Eenheid_8</vt:lpstr>
      <vt:lpstr>Eenheid_9</vt:lpstr>
      <vt:lpstr>EndInspCycl</vt:lpstr>
      <vt:lpstr>FreqCV</vt:lpstr>
      <vt:lpstr>FreqHFO</vt:lpstr>
      <vt:lpstr>FreqPLV</vt:lpstr>
      <vt:lpstr>FreqPO_1</vt:lpstr>
      <vt:lpstr>FreqPO_2</vt:lpstr>
      <vt:lpstr>FreqPO_3</vt:lpstr>
      <vt:lpstr>FreqPO_4</vt:lpstr>
      <vt:lpstr>GebDatum</vt:lpstr>
      <vt:lpstr>Gewicht</vt:lpstr>
      <vt:lpstr>HoudingsDrainage</vt:lpstr>
      <vt:lpstr>Infuus_1</vt:lpstr>
      <vt:lpstr>Infuus_2</vt:lpstr>
      <vt:lpstr>Infuus_3</vt:lpstr>
      <vt:lpstr>Infuus_4</vt:lpstr>
      <vt:lpstr>Infuus_5</vt:lpstr>
      <vt:lpstr>Infuus_6</vt:lpstr>
      <vt:lpstr>InspFlow</vt:lpstr>
      <vt:lpstr>InstMedIVDos_1</vt:lpstr>
      <vt:lpstr>InstMedIVDos_10</vt:lpstr>
      <vt:lpstr>InstMedIVDos_11</vt:lpstr>
      <vt:lpstr>InstMedIVDos_12</vt:lpstr>
      <vt:lpstr>InstMedIVDos_13</vt:lpstr>
      <vt:lpstr>InstMedIVDos_14</vt:lpstr>
      <vt:lpstr>InstMedIVDos_15</vt:lpstr>
      <vt:lpstr>InstMedIVDos_16</vt:lpstr>
      <vt:lpstr>InstMedIVDos_17</vt:lpstr>
      <vt:lpstr>InstMedIVDos_18</vt:lpstr>
      <vt:lpstr>InstMedIVDos_19</vt:lpstr>
      <vt:lpstr>InstMedIVDos_2</vt:lpstr>
      <vt:lpstr>InstMedIVDos_20</vt:lpstr>
      <vt:lpstr>InstMedIVDos_21</vt:lpstr>
      <vt:lpstr>InstMedIVDos_22</vt:lpstr>
      <vt:lpstr>InstMedIVDos_23</vt:lpstr>
      <vt:lpstr>InstMedIVDos_3</vt:lpstr>
      <vt:lpstr>InstMedIVDos_4</vt:lpstr>
      <vt:lpstr>InstMedIVDos_5</vt:lpstr>
      <vt:lpstr>InstMedIVDos_6</vt:lpstr>
      <vt:lpstr>InstMedIVDos_7</vt:lpstr>
      <vt:lpstr>InstMedIVDos_8</vt:lpstr>
      <vt:lpstr>InstMedIVDos_9</vt:lpstr>
      <vt:lpstr>InstMedIVStand_1</vt:lpstr>
      <vt:lpstr>InstMedIVStand_10</vt:lpstr>
      <vt:lpstr>InstMedIVStand_11</vt:lpstr>
      <vt:lpstr>InstMedIVStand_12</vt:lpstr>
      <vt:lpstr>InstMedIVStand_13</vt:lpstr>
      <vt:lpstr>InstMedIVStand_14</vt:lpstr>
      <vt:lpstr>InstMedIVStand_15</vt:lpstr>
      <vt:lpstr>InstMedIVStand_16</vt:lpstr>
      <vt:lpstr>InstMedIVStand_17</vt:lpstr>
      <vt:lpstr>InstMedIVStand_18</vt:lpstr>
      <vt:lpstr>InstMedIVStand_19</vt:lpstr>
      <vt:lpstr>InstMedIVStand_2</vt:lpstr>
      <vt:lpstr>InstMedIVStand_20</vt:lpstr>
      <vt:lpstr>InstMedIVStand_21</vt:lpstr>
      <vt:lpstr>InstMedIVStand_22</vt:lpstr>
      <vt:lpstr>InstMedIVStand_23</vt:lpstr>
      <vt:lpstr>InstMedIVStand_3</vt:lpstr>
      <vt:lpstr>InstMedIVStand_4</vt:lpstr>
      <vt:lpstr>InstMedIVStand_5</vt:lpstr>
      <vt:lpstr>InstMedIVStand_6</vt:lpstr>
      <vt:lpstr>InstMedIVStand_7</vt:lpstr>
      <vt:lpstr>InstMedIVStand_8</vt:lpstr>
      <vt:lpstr>InstMedIVStand_9</vt:lpstr>
      <vt:lpstr>KCl</vt:lpstr>
      <vt:lpstr>KCl_2</vt:lpstr>
      <vt:lpstr>KClVol</vt:lpstr>
      <vt:lpstr>KClVol_2</vt:lpstr>
      <vt:lpstr>KeuzePO_1</vt:lpstr>
      <vt:lpstr>KeuzePO_2</vt:lpstr>
      <vt:lpstr>KeuzePO_3</vt:lpstr>
      <vt:lpstr>KeuzePO_4</vt:lpstr>
      <vt:lpstr>KNaFosfaat</vt:lpstr>
      <vt:lpstr>KNaFosfaatVol</vt:lpstr>
      <vt:lpstr>Lab12__1</vt:lpstr>
      <vt:lpstr>Lab12__10</vt:lpstr>
      <vt:lpstr>Lab12__11</vt:lpstr>
      <vt:lpstr>Lab12__12</vt:lpstr>
      <vt:lpstr>Lab12__13</vt:lpstr>
      <vt:lpstr>Lab12__14</vt:lpstr>
      <vt:lpstr>Lab12__15</vt:lpstr>
      <vt:lpstr>Lab12__16</vt:lpstr>
      <vt:lpstr>Lab12__17</vt:lpstr>
      <vt:lpstr>Lab12__18</vt:lpstr>
      <vt:lpstr>Lab12__19</vt:lpstr>
      <vt:lpstr>Lab12__2</vt:lpstr>
      <vt:lpstr>Lab12__20</vt:lpstr>
      <vt:lpstr>Lab12__21</vt:lpstr>
      <vt:lpstr>Lab12__22</vt:lpstr>
      <vt:lpstr>Lab12__23</vt:lpstr>
      <vt:lpstr>Lab12__24</vt:lpstr>
      <vt:lpstr>Lab12__25</vt:lpstr>
      <vt:lpstr>Lab12__26</vt:lpstr>
      <vt:lpstr>Lab12__27</vt:lpstr>
      <vt:lpstr>Lab12__3</vt:lpstr>
      <vt:lpstr>Lab12__4</vt:lpstr>
      <vt:lpstr>Lab12__5</vt:lpstr>
      <vt:lpstr>Lab12__6</vt:lpstr>
      <vt:lpstr>Lab12__7</vt:lpstr>
      <vt:lpstr>Lab12__8</vt:lpstr>
      <vt:lpstr>Lab12__9</vt:lpstr>
      <vt:lpstr>Lab16__1</vt:lpstr>
      <vt:lpstr>Lab16__10</vt:lpstr>
      <vt:lpstr>Lab16__11</vt:lpstr>
      <vt:lpstr>Lab16__12</vt:lpstr>
      <vt:lpstr>Lab16__13</vt:lpstr>
      <vt:lpstr>Lab16__14</vt:lpstr>
      <vt:lpstr>Lab16__15</vt:lpstr>
      <vt:lpstr>Lab16__16</vt:lpstr>
      <vt:lpstr>Lab16__17</vt:lpstr>
      <vt:lpstr>Lab16__18</vt:lpstr>
      <vt:lpstr>Lab16__19</vt:lpstr>
      <vt:lpstr>Lab16__2</vt:lpstr>
      <vt:lpstr>Lab16__20</vt:lpstr>
      <vt:lpstr>Lab16__21</vt:lpstr>
      <vt:lpstr>Lab16__22</vt:lpstr>
      <vt:lpstr>Lab16__23</vt:lpstr>
      <vt:lpstr>Lab16__24</vt:lpstr>
      <vt:lpstr>Lab16__25</vt:lpstr>
      <vt:lpstr>Lab16__26</vt:lpstr>
      <vt:lpstr>Lab16__27</vt:lpstr>
      <vt:lpstr>Lab16__3</vt:lpstr>
      <vt:lpstr>Lab16__4</vt:lpstr>
      <vt:lpstr>Lab16__5</vt:lpstr>
      <vt:lpstr>Lab16__6</vt:lpstr>
      <vt:lpstr>Lab16__7</vt:lpstr>
      <vt:lpstr>Lab16__8</vt:lpstr>
      <vt:lpstr>Lab16__9</vt:lpstr>
      <vt:lpstr>Lab20__1</vt:lpstr>
      <vt:lpstr>Lab20__10</vt:lpstr>
      <vt:lpstr>Lab20__11</vt:lpstr>
      <vt:lpstr>Lab20__12</vt:lpstr>
      <vt:lpstr>Lab20__13</vt:lpstr>
      <vt:lpstr>Lab20__14</vt:lpstr>
      <vt:lpstr>Lab20__15</vt:lpstr>
      <vt:lpstr>Lab20__16</vt:lpstr>
      <vt:lpstr>Lab20__17</vt:lpstr>
      <vt:lpstr>Lab20__18</vt:lpstr>
      <vt:lpstr>Lab20__19</vt:lpstr>
      <vt:lpstr>Lab20__2</vt:lpstr>
      <vt:lpstr>Lab20__20</vt:lpstr>
      <vt:lpstr>Lab20__21</vt:lpstr>
      <vt:lpstr>Lab20__22</vt:lpstr>
      <vt:lpstr>Lab20__23</vt:lpstr>
      <vt:lpstr>Lab20__24</vt:lpstr>
      <vt:lpstr>Lab20__25</vt:lpstr>
      <vt:lpstr>Lab20__26</vt:lpstr>
      <vt:lpstr>Lab20__27</vt:lpstr>
      <vt:lpstr>Lab20__3</vt:lpstr>
      <vt:lpstr>Lab20__4</vt:lpstr>
      <vt:lpstr>Lab20__5</vt:lpstr>
      <vt:lpstr>Lab20__6</vt:lpstr>
      <vt:lpstr>Lab20__7</vt:lpstr>
      <vt:lpstr>Lab20__8</vt:lpstr>
      <vt:lpstr>Lab20__9</vt:lpstr>
      <vt:lpstr>Lab24__1</vt:lpstr>
      <vt:lpstr>Lab24__10</vt:lpstr>
      <vt:lpstr>Lab24__11</vt:lpstr>
      <vt:lpstr>Lab24__12</vt:lpstr>
      <vt:lpstr>Lab24__13</vt:lpstr>
      <vt:lpstr>Lab24__14</vt:lpstr>
      <vt:lpstr>Lab24__15</vt:lpstr>
      <vt:lpstr>Lab24__16</vt:lpstr>
      <vt:lpstr>Lab24__17</vt:lpstr>
      <vt:lpstr>Lab24__18</vt:lpstr>
      <vt:lpstr>Lab24__19</vt:lpstr>
      <vt:lpstr>Lab24__2</vt:lpstr>
      <vt:lpstr>Lab24__20</vt:lpstr>
      <vt:lpstr>Lab24__21</vt:lpstr>
      <vt:lpstr>Lab24__22</vt:lpstr>
      <vt:lpstr>Lab24__23</vt:lpstr>
      <vt:lpstr>Lab24__24</vt:lpstr>
      <vt:lpstr>Lab24__25</vt:lpstr>
      <vt:lpstr>Lab24__26</vt:lpstr>
      <vt:lpstr>Lab24__27</vt:lpstr>
      <vt:lpstr>Lab24__3</vt:lpstr>
      <vt:lpstr>Lab24__4</vt:lpstr>
      <vt:lpstr>Lab24__5</vt:lpstr>
      <vt:lpstr>Lab24__6</vt:lpstr>
      <vt:lpstr>Lab24__7</vt:lpstr>
      <vt:lpstr>Lab24__8</vt:lpstr>
      <vt:lpstr>Lab24__9</vt:lpstr>
      <vt:lpstr>LabDag1_1</vt:lpstr>
      <vt:lpstr>LabDag1_10</vt:lpstr>
      <vt:lpstr>LabDag1_11</vt:lpstr>
      <vt:lpstr>LabDag1_12</vt:lpstr>
      <vt:lpstr>LabDag1_13</vt:lpstr>
      <vt:lpstr>LabDag1_14</vt:lpstr>
      <vt:lpstr>LabDag1_15</vt:lpstr>
      <vt:lpstr>LabDag1_16</vt:lpstr>
      <vt:lpstr>LabDag1_17</vt:lpstr>
      <vt:lpstr>LabDag1_18</vt:lpstr>
      <vt:lpstr>LabDag1_19</vt:lpstr>
      <vt:lpstr>LabDag1_2</vt:lpstr>
      <vt:lpstr>LabDag1_20</vt:lpstr>
      <vt:lpstr>LabDag1_21</vt:lpstr>
      <vt:lpstr>LabDag1_22</vt:lpstr>
      <vt:lpstr>LabDag1_23</vt:lpstr>
      <vt:lpstr>LabDag1_24</vt:lpstr>
      <vt:lpstr>LabDag1_25</vt:lpstr>
      <vt:lpstr>LabDag1_26</vt:lpstr>
      <vt:lpstr>LabDag1_27</vt:lpstr>
      <vt:lpstr>LabDag1_3</vt:lpstr>
      <vt:lpstr>LabDag1_4</vt:lpstr>
      <vt:lpstr>LabDag1_5</vt:lpstr>
      <vt:lpstr>LabDag1_6</vt:lpstr>
      <vt:lpstr>LabDag1_7</vt:lpstr>
      <vt:lpstr>LabDag1_8</vt:lpstr>
      <vt:lpstr>LabDag1_9</vt:lpstr>
      <vt:lpstr>LabDag2_1</vt:lpstr>
      <vt:lpstr>LabDag2_10</vt:lpstr>
      <vt:lpstr>LabDag2_11</vt:lpstr>
      <vt:lpstr>LabDag2_12</vt:lpstr>
      <vt:lpstr>LabDag2_13</vt:lpstr>
      <vt:lpstr>LabDag2_14</vt:lpstr>
      <vt:lpstr>LabDag2_15</vt:lpstr>
      <vt:lpstr>LabDag2_16</vt:lpstr>
      <vt:lpstr>LabDag2_17</vt:lpstr>
      <vt:lpstr>LabDag2_18</vt:lpstr>
      <vt:lpstr>LabDag2_19</vt:lpstr>
      <vt:lpstr>LabDag2_2</vt:lpstr>
      <vt:lpstr>LabDag2_20</vt:lpstr>
      <vt:lpstr>LabDag2_21</vt:lpstr>
      <vt:lpstr>LabDag2_22</vt:lpstr>
      <vt:lpstr>LabDag2_23</vt:lpstr>
      <vt:lpstr>LabDag2_24</vt:lpstr>
      <vt:lpstr>LabDag2_25</vt:lpstr>
      <vt:lpstr>LabDag2_26</vt:lpstr>
      <vt:lpstr>LabDag2_27</vt:lpstr>
      <vt:lpstr>LabDag2_3</vt:lpstr>
      <vt:lpstr>LabDag2_4</vt:lpstr>
      <vt:lpstr>LabDag2_5</vt:lpstr>
      <vt:lpstr>LabDag2_6</vt:lpstr>
      <vt:lpstr>LabDag2_7</vt:lpstr>
      <vt:lpstr>LabDag2_8</vt:lpstr>
      <vt:lpstr>LabDag2_9</vt:lpstr>
      <vt:lpstr>LabDag3_1</vt:lpstr>
      <vt:lpstr>LabDag3_10</vt:lpstr>
      <vt:lpstr>LabDag3_11</vt:lpstr>
      <vt:lpstr>LabDag3_12</vt:lpstr>
      <vt:lpstr>LabDag3_13</vt:lpstr>
      <vt:lpstr>LabDag3_14</vt:lpstr>
      <vt:lpstr>LabDag3_15</vt:lpstr>
      <vt:lpstr>LabDag3_16</vt:lpstr>
      <vt:lpstr>LabDag3_17</vt:lpstr>
      <vt:lpstr>LabDag3_18</vt:lpstr>
      <vt:lpstr>LabDag3_19</vt:lpstr>
      <vt:lpstr>LabDag3_2</vt:lpstr>
      <vt:lpstr>LabDag3_20</vt:lpstr>
      <vt:lpstr>LabDag3_21</vt:lpstr>
      <vt:lpstr>LabDag3_22</vt:lpstr>
      <vt:lpstr>LabDag3_23</vt:lpstr>
      <vt:lpstr>LabDag3_24</vt:lpstr>
      <vt:lpstr>LabDag3_25</vt:lpstr>
      <vt:lpstr>LabDag3_26</vt:lpstr>
      <vt:lpstr>LabDag3_27</vt:lpstr>
      <vt:lpstr>LabDag3_3</vt:lpstr>
      <vt:lpstr>LabDag3_4</vt:lpstr>
      <vt:lpstr>LabDag3_5</vt:lpstr>
      <vt:lpstr>LabDag3_6</vt:lpstr>
      <vt:lpstr>LabDag3_7</vt:lpstr>
      <vt:lpstr>LabDag3_8</vt:lpstr>
      <vt:lpstr>LabDag3_9</vt:lpstr>
      <vt:lpstr>LabOpn_1</vt:lpstr>
      <vt:lpstr>LabOpn_10</vt:lpstr>
      <vt:lpstr>LabOpn_11</vt:lpstr>
      <vt:lpstr>LabOpn_12</vt:lpstr>
      <vt:lpstr>LabOpn_13</vt:lpstr>
      <vt:lpstr>LabOpn_14</vt:lpstr>
      <vt:lpstr>LabOpn_15</vt:lpstr>
      <vt:lpstr>LabOpn_16</vt:lpstr>
      <vt:lpstr>LabOpn_17</vt:lpstr>
      <vt:lpstr>LabOpn_18</vt:lpstr>
      <vt:lpstr>LabOpn_19</vt:lpstr>
      <vt:lpstr>LabOpn_2</vt:lpstr>
      <vt:lpstr>LabOpn_20</vt:lpstr>
      <vt:lpstr>LabOpn_21</vt:lpstr>
      <vt:lpstr>LabOpn_22</vt:lpstr>
      <vt:lpstr>LabOpn_23</vt:lpstr>
      <vt:lpstr>LabOpn_24</vt:lpstr>
      <vt:lpstr>LabOpn_25</vt:lpstr>
      <vt:lpstr>LabOpn_26</vt:lpstr>
      <vt:lpstr>LabOpn_27</vt:lpstr>
      <vt:lpstr>LabOpn_3</vt:lpstr>
      <vt:lpstr>LabOpn_4</vt:lpstr>
      <vt:lpstr>LabOpn_5</vt:lpstr>
      <vt:lpstr>LabOpn_6</vt:lpstr>
      <vt:lpstr>LabOpn_7</vt:lpstr>
      <vt:lpstr>LabOpn_8</vt:lpstr>
      <vt:lpstr>LabOpn_9</vt:lpstr>
      <vt:lpstr>Lengte</vt:lpstr>
      <vt:lpstr>LipidenStand</vt:lpstr>
      <vt:lpstr>MedDosHoev_1</vt:lpstr>
      <vt:lpstr>MedDosHoev_10</vt:lpstr>
      <vt:lpstr>MedDosHoev_11</vt:lpstr>
      <vt:lpstr>MedDosHoev_12</vt:lpstr>
      <vt:lpstr>MedDosHoev_13</vt:lpstr>
      <vt:lpstr>MedDosHoev_14</vt:lpstr>
      <vt:lpstr>MedDosHoev_15</vt:lpstr>
      <vt:lpstr>MedDosHoev_16</vt:lpstr>
      <vt:lpstr>MedDosHoev_17</vt:lpstr>
      <vt:lpstr>MedDosHoev_18</vt:lpstr>
      <vt:lpstr>MedDosHoev_19</vt:lpstr>
      <vt:lpstr>MedDosHoev_2</vt:lpstr>
      <vt:lpstr>MedDosHoev_20</vt:lpstr>
      <vt:lpstr>MedDosHoev_3</vt:lpstr>
      <vt:lpstr>MedDosHoev_4</vt:lpstr>
      <vt:lpstr>MedDosHoev_5</vt:lpstr>
      <vt:lpstr>MedDosHoev_6</vt:lpstr>
      <vt:lpstr>MedDosHoev_7</vt:lpstr>
      <vt:lpstr>MedDosHoev_8</vt:lpstr>
      <vt:lpstr>MedDosHoev_9</vt:lpstr>
      <vt:lpstr>MedInloop_1</vt:lpstr>
      <vt:lpstr>MedInloop_10</vt:lpstr>
      <vt:lpstr>MedInloop_11</vt:lpstr>
      <vt:lpstr>MedInloop_12</vt:lpstr>
      <vt:lpstr>MedInloop_13</vt:lpstr>
      <vt:lpstr>MedInloop_14</vt:lpstr>
      <vt:lpstr>MedInloop_15</vt:lpstr>
      <vt:lpstr>MedInloop_16</vt:lpstr>
      <vt:lpstr>MedInloop_17</vt:lpstr>
      <vt:lpstr>MedInloop_18</vt:lpstr>
      <vt:lpstr>MedInloop_19</vt:lpstr>
      <vt:lpstr>MedInloop_2</vt:lpstr>
      <vt:lpstr>MedInloop_20</vt:lpstr>
      <vt:lpstr>MedInloop_3</vt:lpstr>
      <vt:lpstr>MedInloop_4</vt:lpstr>
      <vt:lpstr>MedInloop_5</vt:lpstr>
      <vt:lpstr>MedInloop_6</vt:lpstr>
      <vt:lpstr>MedInloop_7</vt:lpstr>
      <vt:lpstr>MedInloop_8</vt:lpstr>
      <vt:lpstr>MedInloop_9</vt:lpstr>
      <vt:lpstr>MedIVKeuze_1</vt:lpstr>
      <vt:lpstr>MedIVKeuze_10</vt:lpstr>
      <vt:lpstr>MedIVKeuze_11</vt:lpstr>
      <vt:lpstr>MedIVKeuze_12</vt:lpstr>
      <vt:lpstr>MedIVKeuze_13</vt:lpstr>
      <vt:lpstr>MedIVKeuze_14</vt:lpstr>
      <vt:lpstr>MedIVKeuze_15</vt:lpstr>
      <vt:lpstr>MedIVKeuze_2</vt:lpstr>
      <vt:lpstr>MedIVKeuze_3</vt:lpstr>
      <vt:lpstr>MedIVKeuze_4</vt:lpstr>
      <vt:lpstr>MedIVKeuze_5</vt:lpstr>
      <vt:lpstr>MedIVKeuze_6</vt:lpstr>
      <vt:lpstr>MedIVKeuze_7</vt:lpstr>
      <vt:lpstr>MedIVKeuze_8</vt:lpstr>
      <vt:lpstr>MedIVKeuze_9</vt:lpstr>
      <vt:lpstr>MedIVMlOpl_11</vt:lpstr>
      <vt:lpstr>MedIVMlOpl_12</vt:lpstr>
      <vt:lpstr>MedIVMlOpl_13</vt:lpstr>
      <vt:lpstr>MedIVMlOpl_14</vt:lpstr>
      <vt:lpstr>MedIVMlOpl_15</vt:lpstr>
      <vt:lpstr>MedIVMlOpl_16</vt:lpstr>
      <vt:lpstr>MedIVMlSpuit_1</vt:lpstr>
      <vt:lpstr>MedIVMlSpuit_10</vt:lpstr>
      <vt:lpstr>MedIVMlSpuit_11</vt:lpstr>
      <vt:lpstr>MedIVMlSpuit_12</vt:lpstr>
      <vt:lpstr>MedIVMlSpuit_13</vt:lpstr>
      <vt:lpstr>MedIVMlSpuit_14</vt:lpstr>
      <vt:lpstr>MedIVMlSpuit_15</vt:lpstr>
      <vt:lpstr>MedIVMlSpuit_16</vt:lpstr>
      <vt:lpstr>MedIVMlSpuit_17</vt:lpstr>
      <vt:lpstr>MedIVMlSpuit_18</vt:lpstr>
      <vt:lpstr>MedIVMlSpuit_19</vt:lpstr>
      <vt:lpstr>MedIVMlSpuit_2</vt:lpstr>
      <vt:lpstr>MedIVMlSpuit_20</vt:lpstr>
      <vt:lpstr>MedIVMlSpuit_21</vt:lpstr>
      <vt:lpstr>MedIVMlSpuit_22</vt:lpstr>
      <vt:lpstr>MedIVMlSpuit_23</vt:lpstr>
      <vt:lpstr>MedIVMlSpuit_3</vt:lpstr>
      <vt:lpstr>MedIVMlSpuit_4</vt:lpstr>
      <vt:lpstr>MedIVMlSpuit_5</vt:lpstr>
      <vt:lpstr>MedIVMlSpuit_6</vt:lpstr>
      <vt:lpstr>MedIVMlSpuit_7</vt:lpstr>
      <vt:lpstr>MedIVMlSpuit_8</vt:lpstr>
      <vt:lpstr>MedIVMlSpuit_9</vt:lpstr>
      <vt:lpstr>MedIVOplVlst_1</vt:lpstr>
      <vt:lpstr>MedIVOplVlst_10</vt:lpstr>
      <vt:lpstr>MedIVOplVlst_11</vt:lpstr>
      <vt:lpstr>MedIVOplVlst_12</vt:lpstr>
      <vt:lpstr>MedIVOplVlst_13</vt:lpstr>
      <vt:lpstr>MedIVOplVlst_14</vt:lpstr>
      <vt:lpstr>MedIVOplVlst_15</vt:lpstr>
      <vt:lpstr>MedIVOplVlst_2</vt:lpstr>
      <vt:lpstr>MedIVOplVlst_3</vt:lpstr>
      <vt:lpstr>MedIVOplVlst_4</vt:lpstr>
      <vt:lpstr>MedIVOplVlst_5</vt:lpstr>
      <vt:lpstr>MedIVOplVlst_6</vt:lpstr>
      <vt:lpstr>MedIVOplVlst_7</vt:lpstr>
      <vt:lpstr>MedIVOplVlst_8</vt:lpstr>
      <vt:lpstr>MedIVOplVlst_9</vt:lpstr>
      <vt:lpstr>MedIVStand_1</vt:lpstr>
      <vt:lpstr>MedIVStand_10</vt:lpstr>
      <vt:lpstr>MedIVStand_11</vt:lpstr>
      <vt:lpstr>MedIVStand_12</vt:lpstr>
      <vt:lpstr>MedIVStand_13</vt:lpstr>
      <vt:lpstr>MedIVStand_14</vt:lpstr>
      <vt:lpstr>MedIVStand_15</vt:lpstr>
      <vt:lpstr>MedIVStand_2</vt:lpstr>
      <vt:lpstr>MedIVStand_3</vt:lpstr>
      <vt:lpstr>MedIVStand_4</vt:lpstr>
      <vt:lpstr>MedIVStand_5</vt:lpstr>
      <vt:lpstr>MedIVStand_6</vt:lpstr>
      <vt:lpstr>MedIVStand_7</vt:lpstr>
      <vt:lpstr>MedIVStand_8</vt:lpstr>
      <vt:lpstr>MedIVStand_9</vt:lpstr>
      <vt:lpstr>MedIVSterkte_11</vt:lpstr>
      <vt:lpstr>MedIVSterkte_12</vt:lpstr>
      <vt:lpstr>MedIVSterkte_13</vt:lpstr>
      <vt:lpstr>MedIVSterkte_14</vt:lpstr>
      <vt:lpstr>MedIVSterkte_15</vt:lpstr>
      <vt:lpstr>MedKeuze_0</vt:lpstr>
      <vt:lpstr>MedKeuze_1</vt:lpstr>
      <vt:lpstr>MedKeuze_10</vt:lpstr>
      <vt:lpstr>MedKeuze_11</vt:lpstr>
      <vt:lpstr>MedKeuze_12</vt:lpstr>
      <vt:lpstr>MedKeuze_13</vt:lpstr>
      <vt:lpstr>MedKeuze_14</vt:lpstr>
      <vt:lpstr>MedKeuze_15</vt:lpstr>
      <vt:lpstr>MedKeuze_16</vt:lpstr>
      <vt:lpstr>MedKeuze_17</vt:lpstr>
      <vt:lpstr>MedKeuze_18</vt:lpstr>
      <vt:lpstr>MedKeuze_19</vt:lpstr>
      <vt:lpstr>MedKeuze_2</vt:lpstr>
      <vt:lpstr>MedKeuze_20</vt:lpstr>
      <vt:lpstr>MedKeuze_3</vt:lpstr>
      <vt:lpstr>MedKeuze_4</vt:lpstr>
      <vt:lpstr>MedKeuze_5</vt:lpstr>
      <vt:lpstr>MedKeuze_6</vt:lpstr>
      <vt:lpstr>MedKeuze_7</vt:lpstr>
      <vt:lpstr>MedKeuze_8</vt:lpstr>
      <vt:lpstr>MedKeuze_9</vt:lpstr>
      <vt:lpstr>MedOpl_1</vt:lpstr>
      <vt:lpstr>MedOpl_10</vt:lpstr>
      <vt:lpstr>MedOpl_11</vt:lpstr>
      <vt:lpstr>MedOpl_12</vt:lpstr>
      <vt:lpstr>MedOpl_13</vt:lpstr>
      <vt:lpstr>MedOpl_14</vt:lpstr>
      <vt:lpstr>MedOpl_15</vt:lpstr>
      <vt:lpstr>MedOpl_16</vt:lpstr>
      <vt:lpstr>MedOpl_17</vt:lpstr>
      <vt:lpstr>MedOpl_18</vt:lpstr>
      <vt:lpstr>MedOpl_19</vt:lpstr>
      <vt:lpstr>MedOpl_2</vt:lpstr>
      <vt:lpstr>MedOpl_20</vt:lpstr>
      <vt:lpstr>MedOpl_3</vt:lpstr>
      <vt:lpstr>MedOpl_4</vt:lpstr>
      <vt:lpstr>MedOpl_5</vt:lpstr>
      <vt:lpstr>MedOpl_6</vt:lpstr>
      <vt:lpstr>MedOpl_7</vt:lpstr>
      <vt:lpstr>MedOpl_8</vt:lpstr>
      <vt:lpstr>MedOpl_9</vt:lpstr>
      <vt:lpstr>MedOplVol_1</vt:lpstr>
      <vt:lpstr>MedOplVol_10</vt:lpstr>
      <vt:lpstr>MedOplVol_11</vt:lpstr>
      <vt:lpstr>MedOplVol_12</vt:lpstr>
      <vt:lpstr>MedOplVol_13</vt:lpstr>
      <vt:lpstr>MedOplVol_14</vt:lpstr>
      <vt:lpstr>MedOplVol_15</vt:lpstr>
      <vt:lpstr>MedOplVol_16</vt:lpstr>
      <vt:lpstr>MedOplVol_17</vt:lpstr>
      <vt:lpstr>MedOplVol_18</vt:lpstr>
      <vt:lpstr>MedOplVol_19</vt:lpstr>
      <vt:lpstr>MedOplVol_2</vt:lpstr>
      <vt:lpstr>MedOplVol_20</vt:lpstr>
      <vt:lpstr>MedOplVol_3</vt:lpstr>
      <vt:lpstr>MedOplVol_4</vt:lpstr>
      <vt:lpstr>MedOplVol_5</vt:lpstr>
      <vt:lpstr>MedOplVol_6</vt:lpstr>
      <vt:lpstr>MedOplVol_7</vt:lpstr>
      <vt:lpstr>MedOplVol_8</vt:lpstr>
      <vt:lpstr>MedOplVol_9</vt:lpstr>
      <vt:lpstr>MedStart_1</vt:lpstr>
      <vt:lpstr>MedStart_10</vt:lpstr>
      <vt:lpstr>MedStart_11</vt:lpstr>
      <vt:lpstr>MedStart_12</vt:lpstr>
      <vt:lpstr>MedStart_13</vt:lpstr>
      <vt:lpstr>MedStart_14</vt:lpstr>
      <vt:lpstr>MedStart_15</vt:lpstr>
      <vt:lpstr>MedStart_16</vt:lpstr>
      <vt:lpstr>MedStart_17</vt:lpstr>
      <vt:lpstr>MedStart_18</vt:lpstr>
      <vt:lpstr>MedStart_19</vt:lpstr>
      <vt:lpstr>MedStart_2</vt:lpstr>
      <vt:lpstr>MedStart_20</vt:lpstr>
      <vt:lpstr>MedStart_3</vt:lpstr>
      <vt:lpstr>MedStart_4</vt:lpstr>
      <vt:lpstr>MedStart_5</vt:lpstr>
      <vt:lpstr>MedStart_6</vt:lpstr>
      <vt:lpstr>MedStart_7</vt:lpstr>
      <vt:lpstr>MedStart_8</vt:lpstr>
      <vt:lpstr>MedStart_9</vt:lpstr>
      <vt:lpstr>MedTijden_1</vt:lpstr>
      <vt:lpstr>MedTijden_10</vt:lpstr>
      <vt:lpstr>MedTijden_11</vt:lpstr>
      <vt:lpstr>MedTijden_12</vt:lpstr>
      <vt:lpstr>MedTijden_13</vt:lpstr>
      <vt:lpstr>MedTijden_14</vt:lpstr>
      <vt:lpstr>MedTijden_15</vt:lpstr>
      <vt:lpstr>MedTijden_16</vt:lpstr>
      <vt:lpstr>MedTijden_17</vt:lpstr>
      <vt:lpstr>MedTijden_18</vt:lpstr>
      <vt:lpstr>MedTijden_19</vt:lpstr>
      <vt:lpstr>MedTijden_2</vt:lpstr>
      <vt:lpstr>MedTijden_20</vt:lpstr>
      <vt:lpstr>MedTijden_3</vt:lpstr>
      <vt:lpstr>MedTijden_4</vt:lpstr>
      <vt:lpstr>MedTijden_5</vt:lpstr>
      <vt:lpstr>MedTijden_6</vt:lpstr>
      <vt:lpstr>MedTijden_7</vt:lpstr>
      <vt:lpstr>MedTijden_8</vt:lpstr>
      <vt:lpstr>MedTijden_9</vt:lpstr>
      <vt:lpstr>MedToed_1</vt:lpstr>
      <vt:lpstr>MedToed_10</vt:lpstr>
      <vt:lpstr>MedToed_11</vt:lpstr>
      <vt:lpstr>MedToed_12</vt:lpstr>
      <vt:lpstr>MedToed_13</vt:lpstr>
      <vt:lpstr>MedToed_14</vt:lpstr>
      <vt:lpstr>MedToed_15</vt:lpstr>
      <vt:lpstr>MedToed_16</vt:lpstr>
      <vt:lpstr>MedToed_17</vt:lpstr>
      <vt:lpstr>MedToed_18</vt:lpstr>
      <vt:lpstr>MedToed_19</vt:lpstr>
      <vt:lpstr>MedToed_2</vt:lpstr>
      <vt:lpstr>MedToed_20</vt:lpstr>
      <vt:lpstr>MedToed_3</vt:lpstr>
      <vt:lpstr>MedToed_4</vt:lpstr>
      <vt:lpstr>MedToed_5</vt:lpstr>
      <vt:lpstr>MedToed_6</vt:lpstr>
      <vt:lpstr>MedToed_7</vt:lpstr>
      <vt:lpstr>MedToed_8</vt:lpstr>
      <vt:lpstr>MedToed_9</vt:lpstr>
      <vt:lpstr>MgCl</vt:lpstr>
      <vt:lpstr>MgClVol</vt:lpstr>
      <vt:lpstr>ModeCV</vt:lpstr>
      <vt:lpstr>NaCl</vt:lpstr>
      <vt:lpstr>NaCl_2</vt:lpstr>
      <vt:lpstr>NaClVol</vt:lpstr>
      <vt:lpstr>NaClVol_2</vt:lpstr>
      <vt:lpstr>O2_</vt:lpstr>
      <vt:lpstr>opmAfsprBlad__1</vt:lpstr>
      <vt:lpstr>opmAfsprBlad__10</vt:lpstr>
      <vt:lpstr>opmAfsprBlad__11</vt:lpstr>
      <vt:lpstr>opmAfsprBlad__12</vt:lpstr>
      <vt:lpstr>opmAfsprBlad__13</vt:lpstr>
      <vt:lpstr>opmAfsprBlad__14</vt:lpstr>
      <vt:lpstr>opmAfsprBlad__2</vt:lpstr>
      <vt:lpstr>opmAfsprBlad__3</vt:lpstr>
      <vt:lpstr>opmAfsprBlad__4</vt:lpstr>
      <vt:lpstr>opmAfsprBlad__5</vt:lpstr>
      <vt:lpstr>opmAfsprBlad__6</vt:lpstr>
      <vt:lpstr>opmAfsprBlad__7</vt:lpstr>
      <vt:lpstr>opmAfsprBlad__8</vt:lpstr>
      <vt:lpstr>opmAfsprBlad__9</vt:lpstr>
      <vt:lpstr>opmMedDisc__1</vt:lpstr>
      <vt:lpstr>opmMedDisc__10</vt:lpstr>
      <vt:lpstr>opmMedDisc__11</vt:lpstr>
      <vt:lpstr>opmMedDisc__12</vt:lpstr>
      <vt:lpstr>opmMedDisc__13</vt:lpstr>
      <vt:lpstr>opmMedDisc__14</vt:lpstr>
      <vt:lpstr>opmMedDisc__15</vt:lpstr>
      <vt:lpstr>opmMedDisc__16</vt:lpstr>
      <vt:lpstr>opmMedDisc__17</vt:lpstr>
      <vt:lpstr>opmMedDisc__18</vt:lpstr>
      <vt:lpstr>opmMedDisc__19</vt:lpstr>
      <vt:lpstr>opmMedDisc__2</vt:lpstr>
      <vt:lpstr>opmMedDisc__20</vt:lpstr>
      <vt:lpstr>opmMedDisc__3</vt:lpstr>
      <vt:lpstr>opmMedDisc__4</vt:lpstr>
      <vt:lpstr>opmMedDisc__5</vt:lpstr>
      <vt:lpstr>opmMedDisc__6</vt:lpstr>
      <vt:lpstr>opmMedDisc__7</vt:lpstr>
      <vt:lpstr>opmMedDisc__8</vt:lpstr>
      <vt:lpstr>opmMedDisc__9</vt:lpstr>
      <vt:lpstr>OpnDatum</vt:lpstr>
      <vt:lpstr>Overige_1</vt:lpstr>
      <vt:lpstr>Overige_2</vt:lpstr>
      <vt:lpstr>Overige_3</vt:lpstr>
      <vt:lpstr>Overige_4</vt:lpstr>
      <vt:lpstr>Overige_5</vt:lpstr>
      <vt:lpstr>Overige_6</vt:lpstr>
      <vt:lpstr>PatNummer</vt:lpstr>
      <vt:lpstr>patRec</vt:lpstr>
      <vt:lpstr>Peditrace</vt:lpstr>
      <vt:lpstr>Peep</vt:lpstr>
      <vt:lpstr>PM</vt:lpstr>
      <vt:lpstr>PM_AO</vt:lpstr>
      <vt:lpstr>PM_AS</vt:lpstr>
      <vt:lpstr>PM_AV</vt:lpstr>
      <vt:lpstr>PM_Freq</vt:lpstr>
      <vt:lpstr>PM_Mod</vt:lpstr>
      <vt:lpstr>PM_VO</vt:lpstr>
      <vt:lpstr>PM_VS</vt:lpstr>
      <vt:lpstr>PresCon</vt:lpstr>
      <vt:lpstr>PresSup</vt:lpstr>
      <vt:lpstr>AcuteOpvang!Print_Area</vt:lpstr>
      <vt:lpstr>AfsprakenCMV!Print_Area</vt:lpstr>
      <vt:lpstr>AfsprakenHFO!Print_Area</vt:lpstr>
      <vt:lpstr>AfsprakenPLV!Print_Area</vt:lpstr>
      <vt:lpstr>Medicatie!Print_Area</vt:lpstr>
      <vt:lpstr>TPN16tot30kg!Print_Area</vt:lpstr>
      <vt:lpstr>TPN2tot6kg!Print_Area</vt:lpstr>
      <vt:lpstr>TPN31tot50kg!Print_Area</vt:lpstr>
      <vt:lpstr>TPN7tot15kg!Print_Area</vt:lpstr>
      <vt:lpstr>TPNboven50kg!Print_Area</vt:lpstr>
      <vt:lpstr>RecNo_0</vt:lpstr>
      <vt:lpstr>RecNo_1</vt:lpstr>
      <vt:lpstr>RecNo_10</vt:lpstr>
      <vt:lpstr>RecNo_11</vt:lpstr>
      <vt:lpstr>RecNo_12</vt:lpstr>
      <vt:lpstr>RecNo_13</vt:lpstr>
      <vt:lpstr>RecNo_14</vt:lpstr>
      <vt:lpstr>RecNo_15</vt:lpstr>
      <vt:lpstr>RecNo_16</vt:lpstr>
      <vt:lpstr>RecNo_17</vt:lpstr>
      <vt:lpstr>RecNo_18</vt:lpstr>
      <vt:lpstr>RecNo_19</vt:lpstr>
      <vt:lpstr>RecNo_2</vt:lpstr>
      <vt:lpstr>RecNo_20</vt:lpstr>
      <vt:lpstr>RecNo_3</vt:lpstr>
      <vt:lpstr>RecNo_4</vt:lpstr>
      <vt:lpstr>RecNo_5</vt:lpstr>
      <vt:lpstr>RecNo_6</vt:lpstr>
      <vt:lpstr>RecNo_7</vt:lpstr>
      <vt:lpstr>RecNo_8</vt:lpstr>
      <vt:lpstr>RecNo_9</vt:lpstr>
      <vt:lpstr>reservePat</vt:lpstr>
      <vt:lpstr>Risetime</vt:lpstr>
      <vt:lpstr>Soluvit</vt:lpstr>
      <vt:lpstr>SoluvitVol</vt:lpstr>
      <vt:lpstr>Sonde</vt:lpstr>
      <vt:lpstr>SpecVoed_1</vt:lpstr>
      <vt:lpstr>SpecVoed_2</vt:lpstr>
      <vt:lpstr>SpecVoed_3</vt:lpstr>
      <vt:lpstr>SpecVoed_4</vt:lpstr>
      <vt:lpstr>SpecVoed_5</vt:lpstr>
      <vt:lpstr>SpecVoed_6</vt:lpstr>
      <vt:lpstr>SpecVoed_7</vt:lpstr>
      <vt:lpstr>SpecVoed_8</vt:lpstr>
      <vt:lpstr>SpecVoed_9</vt:lpstr>
      <vt:lpstr>SST2Stand</vt:lpstr>
      <vt:lpstr>SSTglucose</vt:lpstr>
      <vt:lpstr>SSTGlucose_2</vt:lpstr>
      <vt:lpstr>SSTStand</vt:lpstr>
      <vt:lpstr>StandDos_1</vt:lpstr>
      <vt:lpstr>StandDos_10</vt:lpstr>
      <vt:lpstr>StandDos_11</vt:lpstr>
      <vt:lpstr>StandDos_12</vt:lpstr>
      <vt:lpstr>StandDos_13</vt:lpstr>
      <vt:lpstr>StandDos_14</vt:lpstr>
      <vt:lpstr>StandDos_15</vt:lpstr>
      <vt:lpstr>StandDos_16</vt:lpstr>
      <vt:lpstr>StandDos_17</vt:lpstr>
      <vt:lpstr>StandDos_18</vt:lpstr>
      <vt:lpstr>StandDos_19</vt:lpstr>
      <vt:lpstr>StandDos_2</vt:lpstr>
      <vt:lpstr>StandDos_20</vt:lpstr>
      <vt:lpstr>StandDos_3</vt:lpstr>
      <vt:lpstr>StandDos_4</vt:lpstr>
      <vt:lpstr>StandDos_5</vt:lpstr>
      <vt:lpstr>StandDos_6</vt:lpstr>
      <vt:lpstr>StandDos_7</vt:lpstr>
      <vt:lpstr>StandDos_8</vt:lpstr>
      <vt:lpstr>StandDos_9</vt:lpstr>
      <vt:lpstr>StartDatum_1</vt:lpstr>
      <vt:lpstr>StartDatum_10</vt:lpstr>
      <vt:lpstr>StartDatum_11</vt:lpstr>
      <vt:lpstr>StartDatum_12</vt:lpstr>
      <vt:lpstr>StartDatum_13</vt:lpstr>
      <vt:lpstr>StartDatum_14</vt:lpstr>
      <vt:lpstr>StartDatum_15</vt:lpstr>
      <vt:lpstr>StartDatum_16</vt:lpstr>
      <vt:lpstr>StartDatum_17</vt:lpstr>
      <vt:lpstr>StartDatum_18</vt:lpstr>
      <vt:lpstr>StartDatum_19</vt:lpstr>
      <vt:lpstr>StartDatum_2</vt:lpstr>
      <vt:lpstr>StartDatum_20</vt:lpstr>
      <vt:lpstr>StartDatum_3</vt:lpstr>
      <vt:lpstr>StartDatum_4</vt:lpstr>
      <vt:lpstr>StartDatum_5</vt:lpstr>
      <vt:lpstr>StartDatum_6</vt:lpstr>
      <vt:lpstr>StartDatum_7</vt:lpstr>
      <vt:lpstr>StartDatum_8</vt:lpstr>
      <vt:lpstr>StartDatum_9</vt:lpstr>
      <vt:lpstr>tblAanvAfspr</vt:lpstr>
      <vt:lpstr>tblAdvies</vt:lpstr>
      <vt:lpstr>tblApparaat</vt:lpstr>
      <vt:lpstr>tblBerPO</vt:lpstr>
      <vt:lpstr>tblBerPoeder</vt:lpstr>
      <vt:lpstr>tblBijz</vt:lpstr>
      <vt:lpstr>tblDBFormularium</vt:lpstr>
      <vt:lpstr>tblDosEenh</vt:lpstr>
      <vt:lpstr>tblDoseringen</vt:lpstr>
      <vt:lpstr>tblDruppelen</vt:lpstr>
      <vt:lpstr>tblGroep</vt:lpstr>
      <vt:lpstr>tblHFO</vt:lpstr>
      <vt:lpstr>tblInfusen</vt:lpstr>
      <vt:lpstr>tblInstellen</vt:lpstr>
      <vt:lpstr>tblMedicatieIV</vt:lpstr>
      <vt:lpstr>tblMerkNaam</vt:lpstr>
      <vt:lpstr>tblMode</vt:lpstr>
      <vt:lpstr>tblOplossing</vt:lpstr>
      <vt:lpstr>tblPLV</vt:lpstr>
      <vt:lpstr>tblPrepNaam</vt:lpstr>
      <vt:lpstr>tblRecNo</vt:lpstr>
      <vt:lpstr>tblRecNoPrep</vt:lpstr>
      <vt:lpstr>tblSonde</vt:lpstr>
      <vt:lpstr>tblSSTGlucose</vt:lpstr>
      <vt:lpstr>tblStandDos</vt:lpstr>
      <vt:lpstr>tblSterkte</vt:lpstr>
      <vt:lpstr>tblSterkteEenh</vt:lpstr>
      <vt:lpstr>tblStof</vt:lpstr>
      <vt:lpstr>tblTijden</vt:lpstr>
      <vt:lpstr>tblToediening</vt:lpstr>
      <vt:lpstr>tblToegang</vt:lpstr>
      <vt:lpstr>tblTPN</vt:lpstr>
      <vt:lpstr>tblVoedingPO</vt:lpstr>
      <vt:lpstr>tblZuurstof</vt:lpstr>
      <vt:lpstr>TePLV</vt:lpstr>
      <vt:lpstr>TiCV</vt:lpstr>
      <vt:lpstr>TidalVolCV</vt:lpstr>
      <vt:lpstr>TidalVolPLV</vt:lpstr>
      <vt:lpstr>TiHFO</vt:lpstr>
      <vt:lpstr>TiPLV</vt:lpstr>
      <vt:lpstr>Toegang</vt:lpstr>
      <vt:lpstr>Tp</vt:lpstr>
      <vt:lpstr>TPN</vt:lpstr>
      <vt:lpstr>TPNVol</vt:lpstr>
      <vt:lpstr>Trigger</vt:lpstr>
      <vt:lpstr>TrigTimeOut</vt:lpstr>
      <vt:lpstr>TubeLengte</vt:lpstr>
      <vt:lpstr>TubeMaat</vt:lpstr>
      <vt:lpstr>VitIntra</vt:lpstr>
      <vt:lpstr>VitIntraVol</vt:lpstr>
      <vt:lpstr>VolPO_1</vt:lpstr>
      <vt:lpstr>VolPO_2</vt:lpstr>
      <vt:lpstr>VolPO_3</vt:lpstr>
      <vt:lpstr>VolPO_4</vt:lpstr>
      <vt:lpstr>VoorNaam</vt:lpstr>
      <vt:lpstr>WisselLigging</vt:lpstr>
      <vt:lpstr>Zuurstof</vt:lpstr>
    </vt:vector>
  </TitlesOfParts>
  <Company>UMC Utrecht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wkz</dc:creator>
  <cp:lastModifiedBy>hal</cp:lastModifiedBy>
  <cp:lastPrinted>2013-03-30T09:24:32Z</cp:lastPrinted>
  <dcterms:created xsi:type="dcterms:W3CDTF">2000-03-04T00:29:05Z</dcterms:created>
  <dcterms:modified xsi:type="dcterms:W3CDTF">2015-07-03T09:54:55Z</dcterms:modified>
</cp:coreProperties>
</file>