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showHorizontalScroll="0" xWindow="1845" yWindow="-15" windowWidth="9720" windowHeight="7320"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7"/>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45621"/>
</workbook>
</file>

<file path=xl/calcChain.xml><?xml version="1.0" encoding="utf-8"?>
<calcChain xmlns="http://schemas.openxmlformats.org/spreadsheetml/2006/main">
  <c r="B2" i="14" l="1"/>
  <c r="E5" i="32" l="1"/>
  <c r="D8" i="32" s="1"/>
  <c r="C5" i="32"/>
  <c r="C23"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E9" i="10"/>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C96" i="15"/>
  <c r="C18" i="70" s="1"/>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C95" i="59"/>
  <c r="E9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E119" i="58"/>
  <c r="D119" i="58" s="1"/>
  <c r="D2"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H33" i="25"/>
  <c r="J31" i="25"/>
  <c r="J29" i="25"/>
  <c r="J27" i="25"/>
  <c r="J25" i="25"/>
  <c r="J23" i="25"/>
  <c r="N21" i="25"/>
  <c r="J21" i="25"/>
  <c r="H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J7" i="58" l="1"/>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H12" i="28"/>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J14" i="28"/>
  <c r="Z14" i="28"/>
  <c r="H29" i="25"/>
  <c r="N29" i="25"/>
  <c r="L28" i="25"/>
  <c r="M28" i="25" s="1"/>
  <c r="J13" i="34"/>
  <c r="L13" i="34" s="1"/>
  <c r="M27" i="25"/>
  <c r="H27" i="25"/>
  <c r="O12" i="28"/>
  <c r="W12" i="28"/>
  <c r="AA12" i="28"/>
  <c r="H25" i="25"/>
  <c r="N25" i="25"/>
  <c r="L24" i="25"/>
  <c r="J11" i="34"/>
  <c r="L11" i="34" s="1"/>
  <c r="I12" i="28"/>
  <c r="Q12" i="28"/>
  <c r="U12" i="28"/>
  <c r="Y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D38" i="32"/>
  <c r="U4" i="23"/>
  <c r="Y2" i="22"/>
  <c r="H4" i="2"/>
  <c r="G4" i="9"/>
  <c r="J4" i="25"/>
  <c r="N2" i="68"/>
  <c r="J10" i="22"/>
  <c r="D67" i="59"/>
  <c r="K2" i="25"/>
  <c r="F4" i="16"/>
  <c r="D2" i="2"/>
  <c r="C2" i="16"/>
  <c r="H2" i="22"/>
  <c r="D68" i="15"/>
  <c r="D9" i="32"/>
  <c r="D7" i="32"/>
  <c r="J10" i="1" s="1"/>
  <c r="D2" i="9"/>
  <c r="Y2" i="23"/>
  <c r="D23" i="32"/>
  <c r="D133" i="15"/>
  <c r="V4" i="1"/>
  <c r="D132" i="59"/>
  <c r="E23" i="32"/>
  <c r="A18" i="31"/>
  <c r="E31" i="9" s="1"/>
  <c r="E25" i="2" s="1"/>
  <c r="H2" i="9"/>
  <c r="J10" i="23"/>
  <c r="H2" i="23"/>
  <c r="U4" i="22"/>
  <c r="H2" i="1"/>
  <c r="D132" i="58"/>
  <c r="D39" i="32"/>
  <c r="D5" i="32"/>
  <c r="E3" i="32" s="1"/>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E12" i="28"/>
  <c r="F12"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K29" i="12" l="1"/>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C27" i="10"/>
  <c r="I33" i="9" s="1"/>
  <c r="H27" i="2"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G84" i="58" l="1"/>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E109" i="59" s="1"/>
  <c r="F109" i="59"/>
  <c r="D109" i="59" s="1"/>
  <c r="F109" i="58"/>
  <c r="D109" i="58" s="1"/>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10" i="15" l="1"/>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<sst xmlns="http://schemas.openxmlformats.org/spreadsheetml/2006/main" count="28309" uniqueCount="5134">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</sst>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te" xfId="37"/>
    <cellStyle name="Output" xfId="38"/>
    <cellStyle name="Standaard" xfId="0" builtinId="0"/>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3" Type="http://schemas.openxmlformats.org/officeDocument/2006/relationships/chartsheet" Target="chartsheets/sheet2.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 Type="http://schemas.openxmlformats.org/officeDocument/2006/relationships/chartsheet" Target="chartsheets/sheet1.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7.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23122816"/>
        <c:axId val="123125120"/>
      </c:scatterChart>
      <c:valAx>
        <c:axId val="12312281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5120"/>
        <c:crosses val="autoZero"/>
        <c:crossBetween val="midCat"/>
        <c:majorUnit val="12"/>
        <c:minorUnit val="12"/>
      </c:valAx>
      <c:valAx>
        <c:axId val="123125120"/>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2816"/>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24750080"/>
        <c:axId val="124764928"/>
      </c:scatterChart>
      <c:valAx>
        <c:axId val="124750080"/>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64928"/>
        <c:crosses val="autoZero"/>
        <c:crossBetween val="midCat"/>
        <c:majorUnit val="1"/>
        <c:minorUnit val="0.5"/>
      </c:valAx>
      <c:valAx>
        <c:axId val="124764928"/>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50080"/>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val="0"/>
</file>

<file path=xl/ctrlProps/ctrlProp14.xml><?xml version="1.0" encoding="utf-8"?>
<formControlPr xmlns="http://schemas.microsoft.com/office/spreadsheetml/2009/9/main" objectType="Drop" dropStyle="combo" dx="16" fmlaLink="dbBead!$M$2" fmlaRange="ber_bead!$B$2:$B$6"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val="0"/>
</file>

<file path=xl/ctrlProps/ctrlProp38.xml><?xml version="1.0" encoding="utf-8"?>
<formControlPr xmlns="http://schemas.microsoft.com/office/spreadsheetml/2009/9/main" objectType="Drop" dropStyle="combo" dx="16" fmlaLink="dbBead!$M$2" fmlaRange="ber_bead!$B$2:$B$6"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val="0"/>
</file>

<file path=xl/ctrlProps/ctrlProp48.xml><?xml version="1.0" encoding="utf-8"?>
<formControlPr xmlns="http://schemas.microsoft.com/office/spreadsheetml/2009/9/main" objectType="Drop" dropStyle="combo" dx="16" fmlaLink="dbBead!$M$2" fmlaRange="ber_bead!$B$2:$B$6"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val="0"/>
</file>

<file path=xl/ctrlProps/ctrlProp67.xml><?xml version="1.0" encoding="utf-8"?>
<formControlPr xmlns="http://schemas.microsoft.com/office/spreadsheetml/2009/9/main" objectType="Drop" dropStyle="combo" dx="16" fmlaLink="dbBead!$I$2" fmlaRange="ber_bead!$A$2:$A$6"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val="18"/>
</file>

<file path=xl/ctrlProps/ctrlProp72.xml><?xml version="1.0" encoding="utf-8"?>
<formControlPr xmlns="http://schemas.microsoft.com/office/spreadsheetml/2009/9/main" objectType="Drop" dropStyle="combo" dx="16" fmlaLink="ber_IVmed!$B$32" fmlaRange="tblDoseringen" val="0"/>
</file>

<file path=xl/ctrlProps/ctrlProp73.xml><?xml version="1.0" encoding="utf-8"?>
<formControlPr xmlns="http://schemas.microsoft.com/office/spreadsheetml/2009/9/main" objectType="Drop" dropStyle="combo" dx="16" fmlaLink="ber_IVmed!$B$33" fmlaRange="tblDoseringen" val="11"/>
</file>

<file path=xl/ctrlProps/ctrlProp74.xml><?xml version="1.0" encoding="utf-8"?>
<formControlPr xmlns="http://schemas.microsoft.com/office/spreadsheetml/2009/9/main" objectType="Drop" dropStyle="combo" dx="16" fmlaLink="ber_IVmed!$B$34" fmlaRange="tblDoseringen" val="16"/>
</file>

<file path=xl/ctrlProps/ctrlProp75.xml><?xml version="1.0" encoding="utf-8"?>
<formControlPr xmlns="http://schemas.microsoft.com/office/spreadsheetml/2009/9/main" objectType="Drop" dropStyle="combo" dx="16" fmlaLink="ber_IVmed!$B$35" fmlaRange="tblDoseringen" val="0"/>
</file>

<file path=xl/ctrlProps/ctrlProp76.xml><?xml version="1.0" encoding="utf-8"?>
<formControlPr xmlns="http://schemas.microsoft.com/office/spreadsheetml/2009/9/main" objectType="Drop" dropStyle="combo" dx="16" fmlaLink="ber_IVmed!$B$36" fmlaRange="tblDoseringen" val="0"/>
</file>

<file path=xl/ctrlProps/ctrlProp77.xml><?xml version="1.0" encoding="utf-8"?>
<formControlPr xmlns="http://schemas.microsoft.com/office/spreadsheetml/2009/9/main" objectType="Drop" dropStyle="combo" dx="16" fmlaLink="ber_IVmed!$B$37" fmlaRange="tblDoseringen" val="8"/>
</file>

<file path=xl/ctrlProps/ctrlProp78.xml><?xml version="1.0" encoding="utf-8"?>
<formControlPr xmlns="http://schemas.microsoft.com/office/spreadsheetml/2009/9/main" objectType="Drop" dropStyle="combo" dx="16" fmlaLink="ber_IVmed!$B$38" fmlaRange="tblDoseringen" val="0"/>
</file>

<file path=xl/ctrlProps/ctrlProp79.xml><?xml version="1.0" encoding="utf-8"?>
<formControlPr xmlns="http://schemas.microsoft.com/office/spreadsheetml/2009/9/main" objectType="Drop" dropStyle="combo" dx="16" fmlaLink="ber_IVmed!$B$39" fmlaRange="tblDoseringen"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val="0"/>
</file>

<file path=xl/ctrlProps/ctrlProp335.xml><?xml version="1.0" encoding="utf-8"?>
<formControlPr xmlns="http://schemas.microsoft.com/office/spreadsheetml/2009/9/main" objectType="Drop" dropStyle="combo" dx="16" fmlaLink="ber_Infusen!$E$3" fmlaRange="tblInfusen" val="0"/>
</file>

<file path=xl/ctrlProps/ctrlProp336.xml><?xml version="1.0" encoding="utf-8"?>
<formControlPr xmlns="http://schemas.microsoft.com/office/spreadsheetml/2009/9/main" objectType="Drop" dropStyle="combo" dx="16" fmlaLink="ber_Infusen!$E$4" fmlaRange="tblInfusen" val="0"/>
</file>

<file path=xl/ctrlProps/ctrlProp337.xml><?xml version="1.0" encoding="utf-8"?>
<formControlPr xmlns="http://schemas.microsoft.com/office/spreadsheetml/2009/9/main" objectType="Drop" dropStyle="combo" dx="16" fmlaLink="ber_Infusen!$E$5" fmlaRange="tblInfusen" val="20"/>
</file>

<file path=xl/ctrlProps/ctrlProp338.xml><?xml version="1.0" encoding="utf-8"?>
<formControlPr xmlns="http://schemas.microsoft.com/office/spreadsheetml/2009/9/main" objectType="Drop" dropStyle="combo" dx="16" fmlaLink="ber_Infusen!$E$6" fmlaRange="tblInfusen" val="0"/>
</file>

<file path=xl/ctrlProps/ctrlProp339.xml><?xml version="1.0" encoding="utf-8"?>
<formControlPr xmlns="http://schemas.microsoft.com/office/spreadsheetml/2009/9/main" objectType="Drop" dropStyle="combo" dx="16" fmlaLink="ber_Infusen!$E$7" fmlaRange="tblInfusen" val="0"/>
</file>

<file path=xl/ctrlProps/ctrlProp340.xml><?xml version="1.0" encoding="utf-8"?>
<formControlPr xmlns="http://schemas.microsoft.com/office/spreadsheetml/2009/9/main" objectType="Drop" dropStyle="combo" dx="16" fmlaLink="ber_Infusen!$M$1" fmlaRange="tblAanvAfspr" val="0"/>
</file>

<file path=xl/ctrlProps/ctrlProp341.xml><?xml version="1.0" encoding="utf-8"?>
<formControlPr xmlns="http://schemas.microsoft.com/office/spreadsheetml/2009/9/main" objectType="Drop" dropStyle="combo" dx="16" fmlaLink="ber_Infusen!$M$2" fmlaRange="tblAanvAfspr" val="0"/>
</file>

<file path=xl/ctrlProps/ctrlProp342.xml><?xml version="1.0" encoding="utf-8"?>
<formControlPr xmlns="http://schemas.microsoft.com/office/spreadsheetml/2009/9/main" objectType="Drop" dropStyle="combo" dx="16" fmlaLink="ber_Infusen!$M$3" fmlaRange="tblAanvAfspr" val="0"/>
</file>

<file path=xl/ctrlProps/ctrlProp343.xml><?xml version="1.0" encoding="utf-8"?>
<formControlPr xmlns="http://schemas.microsoft.com/office/spreadsheetml/2009/9/main" objectType="Drop" dropStyle="combo" dx="16" fmlaLink="ber_Infusen!$M$4" fmlaRange="tblAanvAfspr"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val="0"/>
</file>

<file path=xl/ctrlProps/ctrlProp381.xml><?xml version="1.0" encoding="utf-8"?>
<formControlPr xmlns="http://schemas.microsoft.com/office/spreadsheetml/2009/9/main" objectType="Drop" dropStyle="combo" dx="16" fmlaLink="ber_TPN!$B$6" fmlaRange="tblSSTGlucose"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180975</xdr:colOff>
          <xdr:row>14</xdr:row>
          <xdr:rowOff>19050</xdr:rowOff>
        </xdr:from>
        <xdr:to>
          <xdr:col>18</xdr:col>
          <xdr:colOff>123825</xdr:colOff>
          <xdr:row>14</xdr:row>
          <xdr:rowOff>190500</xdr:rowOff>
        </xdr:to>
        <xdr:sp macro="" textlink="">
          <xdr:nvSpPr>
            <xdr:cNvPr id="14355" name="Spinner 19"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14</xdr:row>
          <xdr:rowOff>28575</xdr:rowOff>
        </xdr:from>
        <xdr:to>
          <xdr:col>11</xdr:col>
          <xdr:colOff>104775</xdr:colOff>
          <xdr:row>15</xdr:row>
          <xdr:rowOff>9525</xdr:rowOff>
        </xdr:to>
        <xdr:sp macro="" textlink="">
          <xdr:nvSpPr>
            <xdr:cNvPr id="14359" name="tblHFO" hidden="1">
              <a:extLst>
                <a:ext uri="{63B3BB69-23CF-44E3-9099-C40C66FF867C}">
                  <a14:compatExt spid="_x0000_s14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209550</xdr:colOff>
          <xdr:row>16</xdr:row>
          <xdr:rowOff>38100</xdr:rowOff>
        </xdr:from>
        <xdr:to>
          <xdr:col>9</xdr:col>
          <xdr:colOff>152400</xdr:colOff>
          <xdr:row>16</xdr:row>
          <xdr:rowOff>209550</xdr:rowOff>
        </xdr:to>
        <xdr:sp macro="" textlink="">
          <xdr:nvSpPr>
            <xdr:cNvPr id="14361" name="Spinner 25" hidden="1">
              <a:extLst>
                <a:ext uri="{63B3BB69-23CF-44E3-9099-C40C66FF867C}">
                  <a14:compatExt spid="_x0000_s14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38100</xdr:rowOff>
        </xdr:from>
        <xdr:to>
          <xdr:col>9</xdr:col>
          <xdr:colOff>161925</xdr:colOff>
          <xdr:row>17</xdr:row>
          <xdr:rowOff>209550</xdr:rowOff>
        </xdr:to>
        <xdr:sp macro="" textlink="">
          <xdr:nvSpPr>
            <xdr:cNvPr id="14362" name="Spinner 26" hidden="1">
              <a:extLst>
                <a:ext uri="{63B3BB69-23CF-44E3-9099-C40C66FF867C}">
                  <a14:compatExt spid="_x0000_s14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16</xdr:row>
          <xdr:rowOff>47625</xdr:rowOff>
        </xdr:from>
        <xdr:to>
          <xdr:col>20</xdr:col>
          <xdr:colOff>76200</xdr:colOff>
          <xdr:row>17</xdr:row>
          <xdr:rowOff>0</xdr:rowOff>
        </xdr:to>
        <xdr:sp macro="" textlink="">
          <xdr:nvSpPr>
            <xdr:cNvPr id="14363" name="Spinner 27" hidden="1">
              <a:extLst>
                <a:ext uri="{63B3BB69-23CF-44E3-9099-C40C66FF867C}">
                  <a14:compatExt spid="_x0000_s14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17</xdr:row>
          <xdr:rowOff>47625</xdr:rowOff>
        </xdr:from>
        <xdr:to>
          <xdr:col>20</xdr:col>
          <xdr:colOff>76200</xdr:colOff>
          <xdr:row>18</xdr:row>
          <xdr:rowOff>0</xdr:rowOff>
        </xdr:to>
        <xdr:sp macro="" textlink="">
          <xdr:nvSpPr>
            <xdr:cNvPr id="14364" name="Spinner 28" hidden="1">
              <a:extLst>
                <a:ext uri="{63B3BB69-23CF-44E3-9099-C40C66FF867C}">
                  <a14:compatExt spid="_x0000_s14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2" name="Spinner 56" hidden="1">
              <a:extLst>
                <a:ext uri="{63B3BB69-23CF-44E3-9099-C40C66FF867C}">
                  <a14:compatExt spid="_x0000_s14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3" name="Spinner 57" hidden="1">
              <a:extLst>
                <a:ext uri="{63B3BB69-23CF-44E3-9099-C40C66FF867C}">
                  <a14:compatExt spid="_x0000_s14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4396" name="Spinner 60" hidden="1">
              <a:extLst>
                <a:ext uri="{63B3BB69-23CF-44E3-9099-C40C66FF867C}">
                  <a14:compatExt spid="_x0000_s14396"/>
                </a:ext>
              </a:extLst>
            </xdr:cNvPr>
            <xdr:cNvSpPr/>
          </xdr:nvSpPr>
          <xdr:spPr>
            <a:xfrm>
              <a:off x="0" y="0"/>
              <a:ext cx="0" cy="0"/>
            </a:xfrm>
            <a:prstGeom prst="rect">
              <a:avLst/>
            </a:prstGeom>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142875</xdr:colOff>
          <xdr:row>18</xdr:row>
          <xdr:rowOff>47625</xdr:rowOff>
        </xdr:from>
        <xdr:to>
          <xdr:col>20</xdr:col>
          <xdr:colOff>85725</xdr:colOff>
          <xdr:row>19</xdr:row>
          <xdr:rowOff>0</xdr:rowOff>
        </xdr:to>
        <xdr:sp macro="" textlink="">
          <xdr:nvSpPr>
            <xdr:cNvPr id="14401" name="Spinner 65" hidden="1">
              <a:extLst>
                <a:ext uri="{63B3BB69-23CF-44E3-9099-C40C66FF867C}">
                  <a14:compatExt spid="_x0000_s14401"/>
                </a:ext>
              </a:extLst>
            </xdr:cNvPr>
            <xdr:cNvSpPr/>
          </xdr:nvSpPr>
          <xdr:spPr>
            <a:xfrm>
              <a:off x="0" y="0"/>
              <a:ext cx="0" cy="0"/>
            </a:xfrm>
            <a:prstGeom prst="rect">
              <a:avLst/>
            </a:prstGeom>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85725</xdr:colOff>
          <xdr:row>7</xdr:row>
          <xdr:rowOff>180975</xdr:rowOff>
        </xdr:from>
        <xdr:to>
          <xdr:col>8</xdr:col>
          <xdr:colOff>19050</xdr:colOff>
          <xdr:row>8</xdr:row>
          <xdr:rowOff>180975</xdr:rowOff>
        </xdr:to>
        <xdr:sp macro="" textlink="">
          <xdr:nvSpPr>
            <xdr:cNvPr id="14406" name="Spinner 70" hidden="1">
              <a:extLst>
                <a:ext uri="{63B3BB69-23CF-44E3-9099-C40C66FF867C}">
                  <a14:compatExt spid="_x0000_s144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85725</xdr:colOff>
          <xdr:row>8</xdr:row>
          <xdr:rowOff>200025</xdr:rowOff>
        </xdr:from>
        <xdr:to>
          <xdr:col>8</xdr:col>
          <xdr:colOff>19050</xdr:colOff>
          <xdr:row>9</xdr:row>
          <xdr:rowOff>200025</xdr:rowOff>
        </xdr:to>
        <xdr:sp macro="" textlink="">
          <xdr:nvSpPr>
            <xdr:cNvPr id="14407" name="Spinner 71" hidden="1">
              <a:extLst>
                <a:ext uri="{63B3BB69-23CF-44E3-9099-C40C66FF867C}">
                  <a14:compatExt spid="_x0000_s14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11</xdr:row>
          <xdr:rowOff>19050</xdr:rowOff>
        </xdr:from>
        <xdr:to>
          <xdr:col>16</xdr:col>
          <xdr:colOff>161925</xdr:colOff>
          <xdr:row>12</xdr:row>
          <xdr:rowOff>0</xdr:rowOff>
        </xdr:to>
        <xdr:sp macro="" textlink="">
          <xdr:nvSpPr>
            <xdr:cNvPr id="14408" name="Drop Down 72" hidden="1">
              <a:extLst>
                <a:ext uri="{63B3BB69-23CF-44E3-9099-C40C66FF867C}">
                  <a14:compatExt spid="_x0000_s14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38100</xdr:colOff>
          <xdr:row>6</xdr:row>
          <xdr:rowOff>0</xdr:rowOff>
        </xdr:from>
        <xdr:to>
          <xdr:col>30</xdr:col>
          <xdr:colOff>180975</xdr:colOff>
          <xdr:row>7</xdr:row>
          <xdr:rowOff>0</xdr:rowOff>
        </xdr:to>
        <xdr:sp macro="" textlink="">
          <xdr:nvSpPr>
            <xdr:cNvPr id="14409" name="Drop Down 73" hidden="1">
              <a:extLst>
                <a:ext uri="{63B3BB69-23CF-44E3-9099-C40C66FF867C}">
                  <a14:compatExt spid="_x0000_s14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171450</xdr:colOff>
          <xdr:row>6</xdr:row>
          <xdr:rowOff>28575</xdr:rowOff>
        </xdr:from>
        <xdr:to>
          <xdr:col>34</xdr:col>
          <xdr:colOff>114300</xdr:colOff>
          <xdr:row>6</xdr:row>
          <xdr:rowOff>190500</xdr:rowOff>
        </xdr:to>
        <xdr:sp macro="" textlink="">
          <xdr:nvSpPr>
            <xdr:cNvPr id="14410" name="Spinner 74" hidden="1">
              <a:extLst>
                <a:ext uri="{63B3BB69-23CF-44E3-9099-C40C66FF867C}">
                  <a14:compatExt spid="_x0000_s14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8</xdr:row>
          <xdr:rowOff>9525</xdr:rowOff>
        </xdr:from>
        <xdr:to>
          <xdr:col>31</xdr:col>
          <xdr:colOff>114300</xdr:colOff>
          <xdr:row>9</xdr:row>
          <xdr:rowOff>9525</xdr:rowOff>
        </xdr:to>
        <xdr:sp macro="" textlink="">
          <xdr:nvSpPr>
            <xdr:cNvPr id="14411" name="Check Box 75" hidden="1">
              <a:extLst>
                <a:ext uri="{63B3BB69-23CF-44E3-9099-C40C66FF867C}">
                  <a14:compatExt spid="_x0000_s14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9</xdr:row>
          <xdr:rowOff>28575</xdr:rowOff>
        </xdr:from>
        <xdr:to>
          <xdr:col>31</xdr:col>
          <xdr:colOff>114300</xdr:colOff>
          <xdr:row>10</xdr:row>
          <xdr:rowOff>28575</xdr:rowOff>
        </xdr:to>
        <xdr:sp macro="" textlink="">
          <xdr:nvSpPr>
            <xdr:cNvPr id="14412" name="Check Box 76" hidden="1">
              <a:extLst>
                <a:ext uri="{63B3BB69-23CF-44E3-9099-C40C66FF867C}">
                  <a14:compatExt spid="_x0000_s144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19050</xdr:colOff>
          <xdr:row>2</xdr:row>
          <xdr:rowOff>38100</xdr:rowOff>
        </xdr:from>
        <xdr:to>
          <xdr:col>29</xdr:col>
          <xdr:colOff>180975</xdr:colOff>
          <xdr:row>2</xdr:row>
          <xdr:rowOff>209550</xdr:rowOff>
        </xdr:to>
        <xdr:sp macro="" textlink="">
          <xdr:nvSpPr>
            <xdr:cNvPr id="14413" name="Spinner 77" hidden="1">
              <a:extLst>
                <a:ext uri="{63B3BB69-23CF-44E3-9099-C40C66FF867C}">
                  <a14:compatExt spid="_x0000_s144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123825</xdr:colOff>
          <xdr:row>2</xdr:row>
          <xdr:rowOff>38100</xdr:rowOff>
        </xdr:from>
        <xdr:to>
          <xdr:col>38</xdr:col>
          <xdr:colOff>66675</xdr:colOff>
          <xdr:row>2</xdr:row>
          <xdr:rowOff>209550</xdr:rowOff>
        </xdr:to>
        <xdr:sp macro="" textlink="">
          <xdr:nvSpPr>
            <xdr:cNvPr id="14414" name="Spinner 78" hidden="1">
              <a:extLst>
                <a:ext uri="{63B3BB69-23CF-44E3-9099-C40C66FF867C}">
                  <a14:compatExt spid="_x0000_s14414"/>
                </a:ext>
              </a:extLst>
            </xdr:cNvPr>
            <xdr:cNvSpPr/>
          </xdr:nvSpPr>
          <xdr:spPr>
            <a:xfrm>
              <a:off x="0" y="0"/>
              <a:ext cx="0" cy="0"/>
            </a:xfrm>
            <a:prstGeom prst="rect">
              <a:avLst/>
            </a:prstGeom>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28575</xdr:colOff>
          <xdr:row>6</xdr:row>
          <xdr:rowOff>19050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a:xfrm>
              <a:off x="0" y="0"/>
              <a:ext cx="0" cy="0"/>
            </a:xfrm>
            <a:prstGeom prst="rect">
              <a:avLst/>
            </a:prstGeom>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47625</xdr:colOff>
          <xdr:row>12</xdr:row>
          <xdr:rowOff>171450</xdr:rowOff>
        </xdr:from>
        <xdr:to>
          <xdr:col>17</xdr:col>
          <xdr:colOff>171450</xdr:colOff>
          <xdr:row>13</xdr:row>
          <xdr:rowOff>142875</xdr:rowOff>
        </xdr:to>
        <xdr:sp macro="" textlink="">
          <xdr:nvSpPr>
            <xdr:cNvPr id="15379" name="Spinner 19" hidden="1">
              <a:extLst>
                <a:ext uri="{63B3BB69-23CF-44E3-9099-C40C66FF867C}">
                  <a14:compatExt spid="_x0000_s15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12</xdr:row>
          <xdr:rowOff>190500</xdr:rowOff>
        </xdr:from>
        <xdr:to>
          <xdr:col>11</xdr:col>
          <xdr:colOff>28575</xdr:colOff>
          <xdr:row>14</xdr:row>
          <xdr:rowOff>9525</xdr:rowOff>
        </xdr:to>
        <xdr:sp macro="" textlink="">
          <xdr:nvSpPr>
            <xdr:cNvPr id="15383" name="Drop Down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15</xdr:row>
          <xdr:rowOff>28575</xdr:rowOff>
        </xdr:from>
        <xdr:to>
          <xdr:col>7</xdr:col>
          <xdr:colOff>161925</xdr:colOff>
          <xdr:row>16</xdr:row>
          <xdr:rowOff>0</xdr:rowOff>
        </xdr:to>
        <xdr:sp macro="" textlink="">
          <xdr:nvSpPr>
            <xdr:cNvPr id="15384" name="Spinner 24" hidden="1">
              <a:extLst>
                <a:ext uri="{63B3BB69-23CF-44E3-9099-C40C66FF867C}">
                  <a14:compatExt spid="_x0000_s15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16</xdr:row>
          <xdr:rowOff>28575</xdr:rowOff>
        </xdr:from>
        <xdr:to>
          <xdr:col>7</xdr:col>
          <xdr:colOff>161925</xdr:colOff>
          <xdr:row>17</xdr:row>
          <xdr:rowOff>0</xdr:rowOff>
        </xdr:to>
        <xdr:sp macro="" textlink="">
          <xdr:nvSpPr>
            <xdr:cNvPr id="15385" name="Spinner 25" hidden="1">
              <a:extLst>
                <a:ext uri="{63B3BB69-23CF-44E3-9099-C40C66FF867C}">
                  <a14:compatExt spid="_x0000_s15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19</xdr:row>
          <xdr:rowOff>9525</xdr:rowOff>
        </xdr:from>
        <xdr:to>
          <xdr:col>7</xdr:col>
          <xdr:colOff>152400</xdr:colOff>
          <xdr:row>19</xdr:row>
          <xdr:rowOff>200025</xdr:rowOff>
        </xdr:to>
        <xdr:sp macro="" textlink="">
          <xdr:nvSpPr>
            <xdr:cNvPr id="15386" name="Spinner 26" hidden="1">
              <a:extLst>
                <a:ext uri="{63B3BB69-23CF-44E3-9099-C40C66FF867C}">
                  <a14:compatExt spid="_x0000_s15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17</xdr:row>
          <xdr:rowOff>47625</xdr:rowOff>
        </xdr:from>
        <xdr:to>
          <xdr:col>7</xdr:col>
          <xdr:colOff>161925</xdr:colOff>
          <xdr:row>18</xdr:row>
          <xdr:rowOff>19050</xdr:rowOff>
        </xdr:to>
        <xdr:sp macro="" textlink="">
          <xdr:nvSpPr>
            <xdr:cNvPr id="15387" name="Spinner 27" hidden="1">
              <a:extLst>
                <a:ext uri="{63B3BB69-23CF-44E3-9099-C40C66FF867C}">
                  <a14:compatExt spid="_x0000_s15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20</xdr:row>
          <xdr:rowOff>28575</xdr:rowOff>
        </xdr:from>
        <xdr:to>
          <xdr:col>7</xdr:col>
          <xdr:colOff>161925</xdr:colOff>
          <xdr:row>21</xdr:row>
          <xdr:rowOff>0</xdr:rowOff>
        </xdr:to>
        <xdr:sp macro="" textlink="">
          <xdr:nvSpPr>
            <xdr:cNvPr id="15388" name="Spinner 28" hidden="1">
              <a:extLst>
                <a:ext uri="{63B3BB69-23CF-44E3-9099-C40C66FF867C}">
                  <a14:compatExt spid="_x0000_s15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15</xdr:row>
          <xdr:rowOff>9525</xdr:rowOff>
        </xdr:from>
        <xdr:to>
          <xdr:col>17</xdr:col>
          <xdr:colOff>0</xdr:colOff>
          <xdr:row>15</xdr:row>
          <xdr:rowOff>200025</xdr:rowOff>
        </xdr:to>
        <xdr:sp macro="" textlink="">
          <xdr:nvSpPr>
            <xdr:cNvPr id="15389" name="Spinner 29" hidden="1">
              <a:extLst>
                <a:ext uri="{63B3BB69-23CF-44E3-9099-C40C66FF867C}">
                  <a14:compatExt spid="_x0000_s15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16</xdr:row>
          <xdr:rowOff>9525</xdr:rowOff>
        </xdr:from>
        <xdr:to>
          <xdr:col>17</xdr:col>
          <xdr:colOff>0</xdr:colOff>
          <xdr:row>16</xdr:row>
          <xdr:rowOff>200025</xdr:rowOff>
        </xdr:to>
        <xdr:sp macro="" textlink="">
          <xdr:nvSpPr>
            <xdr:cNvPr id="15390" name="Spinner 30" hidden="1">
              <a:extLst>
                <a:ext uri="{63B3BB69-23CF-44E3-9099-C40C66FF867C}">
                  <a14:compatExt spid="_x0000_s15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3" name="Spinner 43" hidden="1">
              <a:extLst>
                <a:ext uri="{63B3BB69-23CF-44E3-9099-C40C66FF867C}">
                  <a14:compatExt spid="_x0000_s154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4" name="Spinner 44" hidden="1">
              <a:extLst>
                <a:ext uri="{63B3BB69-23CF-44E3-9099-C40C66FF867C}">
                  <a14:compatExt spid="_x0000_s154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5407" name="Spinner 47" hidden="1">
              <a:extLst>
                <a:ext uri="{63B3BB69-23CF-44E3-9099-C40C66FF867C}">
                  <a14:compatExt spid="_x0000_s15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0</xdr:row>
          <xdr:rowOff>0</xdr:rowOff>
        </xdr:from>
        <xdr:to>
          <xdr:col>7</xdr:col>
          <xdr:colOff>219075</xdr:colOff>
          <xdr:row>0</xdr:row>
          <xdr:rowOff>0</xdr:rowOff>
        </xdr:to>
        <xdr:sp macro="" textlink="">
          <xdr:nvSpPr>
            <xdr:cNvPr id="15410" name="Spinner 50" hidden="1">
              <a:extLst>
                <a:ext uri="{63B3BB69-23CF-44E3-9099-C40C66FF867C}">
                  <a14:compatExt spid="_x0000_s15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0</xdr:rowOff>
        </xdr:from>
        <xdr:to>
          <xdr:col>9</xdr:col>
          <xdr:colOff>180975</xdr:colOff>
          <xdr:row>0</xdr:row>
          <xdr:rowOff>0</xdr:rowOff>
        </xdr:to>
        <xdr:sp macro="" textlink="">
          <xdr:nvSpPr>
            <xdr:cNvPr id="15411" name="Spinner 51" hidden="1">
              <a:extLst>
                <a:ext uri="{63B3BB69-23CF-44E3-9099-C40C66FF867C}">
                  <a14:compatExt spid="_x0000_s15411"/>
                </a:ext>
              </a:extLst>
            </xdr:cNvPr>
            <xdr:cNvSpPr/>
          </xdr:nvSpPr>
          <xdr:spPr>
            <a:xfrm>
              <a:off x="0" y="0"/>
              <a:ext cx="0" cy="0"/>
            </a:xfrm>
            <a:prstGeom prst="rect">
              <a:avLst/>
            </a:prstGeom>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142875</xdr:colOff>
          <xdr:row>7</xdr:row>
          <xdr:rowOff>190500</xdr:rowOff>
        </xdr:from>
        <xdr:to>
          <xdr:col>8</xdr:col>
          <xdr:colOff>76200</xdr:colOff>
          <xdr:row>8</xdr:row>
          <xdr:rowOff>190500</xdr:rowOff>
        </xdr:to>
        <xdr:sp macro="" textlink="">
          <xdr:nvSpPr>
            <xdr:cNvPr id="15455" name="Spinner 95" hidden="1">
              <a:extLst>
                <a:ext uri="{63B3BB69-23CF-44E3-9099-C40C66FF867C}">
                  <a14:compatExt spid="_x0000_s154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142875</xdr:colOff>
          <xdr:row>8</xdr:row>
          <xdr:rowOff>209550</xdr:rowOff>
        </xdr:from>
        <xdr:to>
          <xdr:col>8</xdr:col>
          <xdr:colOff>76200</xdr:colOff>
          <xdr:row>9</xdr:row>
          <xdr:rowOff>209550</xdr:rowOff>
        </xdr:to>
        <xdr:sp macro="" textlink="">
          <xdr:nvSpPr>
            <xdr:cNvPr id="15456" name="Spinner 96" hidden="1">
              <a:extLst>
                <a:ext uri="{63B3BB69-23CF-44E3-9099-C40C66FF867C}">
                  <a14:compatExt spid="_x0000_s154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11</xdr:row>
          <xdr:rowOff>28575</xdr:rowOff>
        </xdr:from>
        <xdr:to>
          <xdr:col>16</xdr:col>
          <xdr:colOff>152400</xdr:colOff>
          <xdr:row>12</xdr:row>
          <xdr:rowOff>9525</xdr:rowOff>
        </xdr:to>
        <xdr:sp macro="" textlink="">
          <xdr:nvSpPr>
            <xdr:cNvPr id="15457" name="Drop Down 97" hidden="1">
              <a:extLst>
                <a:ext uri="{63B3BB69-23CF-44E3-9099-C40C66FF867C}">
                  <a14:compatExt spid="_x0000_s15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28575</xdr:colOff>
          <xdr:row>6</xdr:row>
          <xdr:rowOff>9525</xdr:rowOff>
        </xdr:from>
        <xdr:to>
          <xdr:col>30</xdr:col>
          <xdr:colOff>171450</xdr:colOff>
          <xdr:row>7</xdr:row>
          <xdr:rowOff>9525</xdr:rowOff>
        </xdr:to>
        <xdr:sp macro="" textlink="">
          <xdr:nvSpPr>
            <xdr:cNvPr id="15458" name="Drop Down 98" hidden="1">
              <a:extLst>
                <a:ext uri="{63B3BB69-23CF-44E3-9099-C40C66FF867C}">
                  <a14:compatExt spid="_x0000_s15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161925</xdr:colOff>
          <xdr:row>6</xdr:row>
          <xdr:rowOff>38100</xdr:rowOff>
        </xdr:from>
        <xdr:to>
          <xdr:col>34</xdr:col>
          <xdr:colOff>104775</xdr:colOff>
          <xdr:row>6</xdr:row>
          <xdr:rowOff>200025</xdr:rowOff>
        </xdr:to>
        <xdr:sp macro="" textlink="">
          <xdr:nvSpPr>
            <xdr:cNvPr id="15459" name="Spinner 99" hidden="1">
              <a:extLst>
                <a:ext uri="{63B3BB69-23CF-44E3-9099-C40C66FF867C}">
                  <a14:compatExt spid="_x0000_s15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8</xdr:row>
          <xdr:rowOff>19050</xdr:rowOff>
        </xdr:from>
        <xdr:to>
          <xdr:col>31</xdr:col>
          <xdr:colOff>104775</xdr:colOff>
          <xdr:row>9</xdr:row>
          <xdr:rowOff>19050</xdr:rowOff>
        </xdr:to>
        <xdr:sp macro="" textlink="">
          <xdr:nvSpPr>
            <xdr:cNvPr id="15460" name="Check Box 100" hidden="1">
              <a:extLst>
                <a:ext uri="{63B3BB69-23CF-44E3-9099-C40C66FF867C}">
                  <a14:compatExt spid="_x0000_s15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9</xdr:row>
          <xdr:rowOff>38100</xdr:rowOff>
        </xdr:from>
        <xdr:to>
          <xdr:col>31</xdr:col>
          <xdr:colOff>104775</xdr:colOff>
          <xdr:row>10</xdr:row>
          <xdr:rowOff>38100</xdr:rowOff>
        </xdr:to>
        <xdr:sp macro="" textlink="">
          <xdr:nvSpPr>
            <xdr:cNvPr id="15461" name="Check Box 101" hidden="1">
              <a:extLst>
                <a:ext uri="{63B3BB69-23CF-44E3-9099-C40C66FF867C}">
                  <a14:compatExt spid="_x0000_s15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9525</xdr:colOff>
          <xdr:row>2</xdr:row>
          <xdr:rowOff>47625</xdr:rowOff>
        </xdr:from>
        <xdr:to>
          <xdr:col>29</xdr:col>
          <xdr:colOff>171450</xdr:colOff>
          <xdr:row>3</xdr:row>
          <xdr:rowOff>0</xdr:rowOff>
        </xdr:to>
        <xdr:sp macro="" textlink="">
          <xdr:nvSpPr>
            <xdr:cNvPr id="15462" name="Spinner 102" hidden="1">
              <a:extLst>
                <a:ext uri="{63B3BB69-23CF-44E3-9099-C40C66FF867C}">
                  <a14:compatExt spid="_x0000_s15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114300</xdr:colOff>
          <xdr:row>2</xdr:row>
          <xdr:rowOff>47625</xdr:rowOff>
        </xdr:from>
        <xdr:to>
          <xdr:col>38</xdr:col>
          <xdr:colOff>57150</xdr:colOff>
          <xdr:row>3</xdr:row>
          <xdr:rowOff>0</xdr:rowOff>
        </xdr:to>
        <xdr:sp macro="" textlink="">
          <xdr:nvSpPr>
            <xdr:cNvPr id="15463" name="Spinner 103" hidden="1">
              <a:extLst>
                <a:ext uri="{63B3BB69-23CF-44E3-9099-C40C66FF867C}">
                  <a14:compatExt spid="_x0000_s15463"/>
                </a:ext>
              </a:extLst>
            </xdr:cNvPr>
            <xdr:cNvSpPr/>
          </xdr:nvSpPr>
          <xdr:spPr>
            <a:xfrm>
              <a:off x="0" y="0"/>
              <a:ext cx="0" cy="0"/>
            </a:xfrm>
            <a:prstGeom prst="rect">
              <a:avLst/>
            </a:prstGeom>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19050</xdr:colOff>
          <xdr:row>6</xdr:row>
          <xdr:rowOff>28575</xdr:rowOff>
        </xdr:from>
        <xdr:to>
          <xdr:col>11</xdr:col>
          <xdr:colOff>209550</xdr:colOff>
          <xdr:row>7</xdr:row>
          <xdr:rowOff>9525</xdr:rowOff>
        </xdr:to>
        <xdr:sp macro="" textlink="">
          <xdr:nvSpPr>
            <xdr:cNvPr id="15465" name="Drop Down 105" hidden="1">
              <a:extLst>
                <a:ext uri="{63B3BB69-23CF-44E3-9099-C40C66FF867C}">
                  <a14:compatExt spid="_x0000_s15465"/>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9525</xdr:colOff>
          <xdr:row>7</xdr:row>
          <xdr:rowOff>180975</xdr:rowOff>
        </xdr:from>
        <xdr:to>
          <xdr:col>8</xdr:col>
          <xdr:colOff>161925</xdr:colOff>
          <xdr:row>8</xdr:row>
          <xdr:rowOff>180975</xdr:rowOff>
        </xdr:to>
        <xdr:sp macro="" textlink="">
          <xdr:nvSpPr>
            <xdr:cNvPr id="1030" name="Spinner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8</xdr:row>
          <xdr:rowOff>200025</xdr:rowOff>
        </xdr:from>
        <xdr:to>
          <xdr:col>8</xdr:col>
          <xdr:colOff>161925</xdr:colOff>
          <xdr:row>9</xdr:row>
          <xdr:rowOff>200025</xdr:rowOff>
        </xdr:to>
        <xdr:sp macro="" textlink="">
          <xdr:nvSpPr>
            <xdr:cNvPr id="1032" name="Spinner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180975</xdr:colOff>
          <xdr:row>11</xdr:row>
          <xdr:rowOff>19050</xdr:rowOff>
        </xdr:from>
        <xdr:to>
          <xdr:col>17</xdr:col>
          <xdr:colOff>85725</xdr:colOff>
          <xdr:row>12</xdr:row>
          <xdr:rowOff>0</xdr:rowOff>
        </xdr:to>
        <xdr:sp macro="" textlink="">
          <xdr:nvSpPr>
            <xdr:cNvPr id="1033" name="Drop Down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180975</xdr:colOff>
          <xdr:row>6</xdr:row>
          <xdr:rowOff>0</xdr:rowOff>
        </xdr:from>
        <xdr:to>
          <xdr:col>31</xdr:col>
          <xdr:colOff>104775</xdr:colOff>
          <xdr:row>7</xdr:row>
          <xdr:rowOff>0</xdr:rowOff>
        </xdr:to>
        <xdr:sp macro="" textlink="">
          <xdr:nvSpPr>
            <xdr:cNvPr id="1034" name="Drop Down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95250</xdr:colOff>
          <xdr:row>6</xdr:row>
          <xdr:rowOff>28575</xdr:rowOff>
        </xdr:from>
        <xdr:to>
          <xdr:col>35</xdr:col>
          <xdr:colOff>38100</xdr:colOff>
          <xdr:row>6</xdr:row>
          <xdr:rowOff>190500</xdr:rowOff>
        </xdr:to>
        <xdr:sp macro="" textlink="">
          <xdr:nvSpPr>
            <xdr:cNvPr id="1037" name="Spinner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8</xdr:row>
          <xdr:rowOff>9525</xdr:rowOff>
        </xdr:from>
        <xdr:to>
          <xdr:col>32</xdr:col>
          <xdr:colOff>152400</xdr:colOff>
          <xdr:row>9</xdr:row>
          <xdr:rowOff>9525</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9</xdr:row>
          <xdr:rowOff>28575</xdr:rowOff>
        </xdr:from>
        <xdr:to>
          <xdr:col>32</xdr:col>
          <xdr:colOff>152400</xdr:colOff>
          <xdr:row>10</xdr:row>
          <xdr:rowOff>28575</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209550</xdr:colOff>
          <xdr:row>14</xdr:row>
          <xdr:rowOff>9525</xdr:rowOff>
        </xdr:from>
        <xdr:to>
          <xdr:col>25</xdr:col>
          <xdr:colOff>133350</xdr:colOff>
          <xdr:row>14</xdr:row>
          <xdr:rowOff>209550</xdr:rowOff>
        </xdr:to>
        <xdr:sp macro="" textlink="">
          <xdr:nvSpPr>
            <xdr:cNvPr id="1042" name="Drop Down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16</xdr:row>
          <xdr:rowOff>9525</xdr:rowOff>
        </xdr:from>
        <xdr:to>
          <xdr:col>11</xdr:col>
          <xdr:colOff>28575</xdr:colOff>
          <xdr:row>16</xdr:row>
          <xdr:rowOff>180975</xdr:rowOff>
        </xdr:to>
        <xdr:sp macro="" textlink="">
          <xdr:nvSpPr>
            <xdr:cNvPr id="1043" name="Spinner 1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9525</xdr:colOff>
          <xdr:row>16</xdr:row>
          <xdr:rowOff>28575</xdr:rowOff>
        </xdr:from>
        <xdr:to>
          <xdr:col>26</xdr:col>
          <xdr:colOff>171450</xdr:colOff>
          <xdr:row>16</xdr:row>
          <xdr:rowOff>200025</xdr:rowOff>
        </xdr:to>
        <xdr:sp macro="" textlink="">
          <xdr:nvSpPr>
            <xdr:cNvPr id="1049" name="Spinner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20</xdr:row>
          <xdr:rowOff>38100</xdr:rowOff>
        </xdr:from>
        <xdr:to>
          <xdr:col>10</xdr:col>
          <xdr:colOff>152400</xdr:colOff>
          <xdr:row>20</xdr:row>
          <xdr:rowOff>209550</xdr:rowOff>
        </xdr:to>
        <xdr:sp macro="" textlink="">
          <xdr:nvSpPr>
            <xdr:cNvPr id="1050" name="Spinner 2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20</xdr:row>
          <xdr:rowOff>38100</xdr:rowOff>
        </xdr:from>
        <xdr:to>
          <xdr:col>40</xdr:col>
          <xdr:colOff>104775</xdr:colOff>
          <xdr:row>20</xdr:row>
          <xdr:rowOff>209550</xdr:rowOff>
        </xdr:to>
        <xdr:sp macro="" textlink="">
          <xdr:nvSpPr>
            <xdr:cNvPr id="1051" name="Spinner 2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114300</xdr:colOff>
          <xdr:row>18</xdr:row>
          <xdr:rowOff>19050</xdr:rowOff>
        </xdr:from>
        <xdr:to>
          <xdr:col>14</xdr:col>
          <xdr:colOff>57150</xdr:colOff>
          <xdr:row>18</xdr:row>
          <xdr:rowOff>190500</xdr:rowOff>
        </xdr:to>
        <xdr:sp macro="" textlink="">
          <xdr:nvSpPr>
            <xdr:cNvPr id="1052" name="Spinner 28"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152400</xdr:colOff>
          <xdr:row>18</xdr:row>
          <xdr:rowOff>38100</xdr:rowOff>
        </xdr:from>
        <xdr:to>
          <xdr:col>40</xdr:col>
          <xdr:colOff>95250</xdr:colOff>
          <xdr:row>18</xdr:row>
          <xdr:rowOff>209550</xdr:rowOff>
        </xdr:to>
        <xdr:sp macro="" textlink="">
          <xdr:nvSpPr>
            <xdr:cNvPr id="1053" name="Spinner 2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20</xdr:row>
          <xdr:rowOff>38100</xdr:rowOff>
        </xdr:from>
        <xdr:to>
          <xdr:col>15</xdr:col>
          <xdr:colOff>95250</xdr:colOff>
          <xdr:row>20</xdr:row>
          <xdr:rowOff>209550</xdr:rowOff>
        </xdr:to>
        <xdr:sp macro="" textlink="">
          <xdr:nvSpPr>
            <xdr:cNvPr id="1054" name="Spinner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19050</xdr:rowOff>
        </xdr:from>
        <xdr:to>
          <xdr:col>28</xdr:col>
          <xdr:colOff>161925</xdr:colOff>
          <xdr:row>20</xdr:row>
          <xdr:rowOff>190500</xdr:rowOff>
        </xdr:to>
        <xdr:sp macro="" textlink="">
          <xdr:nvSpPr>
            <xdr:cNvPr id="1055" name="Spinner 3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18</xdr:row>
          <xdr:rowOff>19050</xdr:rowOff>
        </xdr:from>
        <xdr:to>
          <xdr:col>30</xdr:col>
          <xdr:colOff>104775</xdr:colOff>
          <xdr:row>18</xdr:row>
          <xdr:rowOff>190500</xdr:rowOff>
        </xdr:to>
        <xdr:sp macro="" textlink="">
          <xdr:nvSpPr>
            <xdr:cNvPr id="1056" name="Spinner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161925</xdr:colOff>
          <xdr:row>14</xdr:row>
          <xdr:rowOff>76200</xdr:rowOff>
        </xdr:from>
        <xdr:to>
          <xdr:col>39</xdr:col>
          <xdr:colOff>104775</xdr:colOff>
          <xdr:row>15</xdr:row>
          <xdr:rowOff>28575</xdr:rowOff>
        </xdr:to>
        <xdr:sp macro="" textlink="">
          <xdr:nvSpPr>
            <xdr:cNvPr id="1059" name="Spinner 35"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180975</xdr:colOff>
          <xdr:row>16</xdr:row>
          <xdr:rowOff>19050</xdr:rowOff>
        </xdr:from>
        <xdr:to>
          <xdr:col>39</xdr:col>
          <xdr:colOff>123825</xdr:colOff>
          <xdr:row>16</xdr:row>
          <xdr:rowOff>190500</xdr:rowOff>
        </xdr:to>
        <xdr:sp macro="" textlink="">
          <xdr:nvSpPr>
            <xdr:cNvPr id="1060" name="Spinner 36"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2</xdr:row>
          <xdr:rowOff>28575</xdr:rowOff>
        </xdr:from>
        <xdr:to>
          <xdr:col>30</xdr:col>
          <xdr:colOff>104775</xdr:colOff>
          <xdr:row>2</xdr:row>
          <xdr:rowOff>200025</xdr:rowOff>
        </xdr:to>
        <xdr:sp macro="" textlink="">
          <xdr:nvSpPr>
            <xdr:cNvPr id="1061" name="Spinner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85725</xdr:colOff>
          <xdr:row>2</xdr:row>
          <xdr:rowOff>19050</xdr:rowOff>
        </xdr:from>
        <xdr:to>
          <xdr:col>39</xdr:col>
          <xdr:colOff>28575</xdr:colOff>
          <xdr:row>2</xdr:row>
          <xdr:rowOff>190500</xdr:rowOff>
        </xdr:to>
        <xdr:sp macro="" textlink="">
          <xdr:nvSpPr>
            <xdr:cNvPr id="1063" name="Spinner 3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xdr:colOff>
          <xdr:row>14</xdr:row>
          <xdr:rowOff>19050</xdr:rowOff>
        </xdr:from>
        <xdr:to>
          <xdr:col>13</xdr:col>
          <xdr:colOff>28575</xdr:colOff>
          <xdr:row>15</xdr:row>
          <xdr:rowOff>0</xdr:rowOff>
        </xdr:to>
        <xdr:sp macro="" textlink="">
          <xdr:nvSpPr>
            <xdr:cNvPr id="1070" name="Drop Down 46" hidden="1">
              <a:extLst>
                <a:ext uri="{63B3BB69-23CF-44E3-9099-C40C66FF867C}">
                  <a14:compatExt spid="_x0000_s1070"/>
                </a:ext>
              </a:extLst>
            </xdr:cNvPr>
            <xdr:cNvSpPr/>
          </xdr:nvSpPr>
          <xdr:spPr>
            <a:xfrm>
              <a:off x="0" y="0"/>
              <a:ext cx="0" cy="0"/>
            </a:xfrm>
            <a:prstGeom prst="rect">
              <a:avLst/>
            </a:prstGeom>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171450</xdr:colOff>
          <xdr:row>6</xdr:row>
          <xdr:rowOff>19050</xdr:rowOff>
        </xdr:from>
        <xdr:to>
          <xdr:col>12</xdr:col>
          <xdr:colOff>142875</xdr:colOff>
          <xdr:row>7</xdr:row>
          <xdr:rowOff>0</xdr:rowOff>
        </xdr:to>
        <xdr:sp macro="" textlink="">
          <xdr:nvSpPr>
            <xdr:cNvPr id="1094" name="Drop Down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180975</xdr:colOff>
          <xdr:row>20</xdr:row>
          <xdr:rowOff>209550</xdr:rowOff>
        </xdr:from>
        <xdr:to>
          <xdr:col>11</xdr:col>
          <xdr:colOff>47625</xdr:colOff>
          <xdr:row>21</xdr:row>
          <xdr:rowOff>209550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21</xdr:row>
          <xdr:rowOff>47625</xdr:rowOff>
        </xdr:from>
        <xdr:to>
          <xdr:col>40</xdr:col>
          <xdr:colOff>104775</xdr:colOff>
          <xdr:row>22</xdr:row>
          <xdr:rowOff>0</xdr:rowOff>
        </xdr:to>
        <xdr:sp macro="" textlink="">
          <xdr:nvSpPr>
            <xdr:cNvPr id="1101" name="Spinner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19050</xdr:rowOff>
        </xdr:from>
        <xdr:to>
          <xdr:col>28</xdr:col>
          <xdr:colOff>161925</xdr:colOff>
          <xdr:row>21</xdr:row>
          <xdr:rowOff>190500</xdr:rowOff>
        </xdr:to>
        <xdr:sp macro="" textlink="">
          <xdr:nvSpPr>
            <xdr:cNvPr id="1102" name="Spinner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7</xdr:row>
          <xdr:rowOff>38100</xdr:rowOff>
        </xdr:from>
        <xdr:to>
          <xdr:col>2</xdr:col>
          <xdr:colOff>1057275</xdr:colOff>
          <xdr:row>8</xdr:row>
          <xdr:rowOff>9525</xdr:rowOff>
        </xdr:to>
        <xdr:sp macro="" textlink="">
          <xdr:nvSpPr>
            <xdr:cNvPr id="2050" name="Drop Down 2" hidden="1">
              <a:extLst>
                <a:ext uri="{63B3BB69-23CF-44E3-9099-C40C66FF867C}">
                  <a14:compatExt spid="_x0000_s20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8</xdr:row>
          <xdr:rowOff>38100</xdr:rowOff>
        </xdr:from>
        <xdr:to>
          <xdr:col>2</xdr:col>
          <xdr:colOff>1057275</xdr:colOff>
          <xdr:row>9</xdr:row>
          <xdr:rowOff>9525</xdr:rowOff>
        </xdr:to>
        <xdr:sp macro="" textlink="">
          <xdr:nvSpPr>
            <xdr:cNvPr id="2051" name="Drop Down 3" hidden="1">
              <a:extLst>
                <a:ext uri="{63B3BB69-23CF-44E3-9099-C40C66FF867C}">
                  <a14:compatExt spid="_x0000_s20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xdr:row>
          <xdr:rowOff>38100</xdr:rowOff>
        </xdr:from>
        <xdr:to>
          <xdr:col>2</xdr:col>
          <xdr:colOff>1057275</xdr:colOff>
          <xdr:row>10</xdr:row>
          <xdr:rowOff>9525</xdr:rowOff>
        </xdr:to>
        <xdr:sp macro="" textlink="">
          <xdr:nvSpPr>
            <xdr:cNvPr id="2052" name="Drop Down 4" hidden="1">
              <a:extLst>
                <a:ext uri="{63B3BB69-23CF-44E3-9099-C40C66FF867C}">
                  <a14:compatExt spid="_x0000_s20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38100</xdr:rowOff>
        </xdr:from>
        <xdr:to>
          <xdr:col>2</xdr:col>
          <xdr:colOff>1057275</xdr:colOff>
          <xdr:row>11</xdr:row>
          <xdr:rowOff>9525</xdr:rowOff>
        </xdr:to>
        <xdr:sp macro="" textlink="">
          <xdr:nvSpPr>
            <xdr:cNvPr id="2053" name="Drop Down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38100</xdr:rowOff>
        </xdr:from>
        <xdr:to>
          <xdr:col>2</xdr:col>
          <xdr:colOff>1057275</xdr:colOff>
          <xdr:row>12</xdr:row>
          <xdr:rowOff>9525</xdr:rowOff>
        </xdr:to>
        <xdr:sp macro="" textlink="">
          <xdr:nvSpPr>
            <xdr:cNvPr id="2054" name="Drop Down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38100</xdr:rowOff>
        </xdr:from>
        <xdr:to>
          <xdr:col>2</xdr:col>
          <xdr:colOff>1057275</xdr:colOff>
          <xdr:row>13</xdr:row>
          <xdr:rowOff>9525</xdr:rowOff>
        </xdr:to>
        <xdr:sp macro="" textlink="">
          <xdr:nvSpPr>
            <xdr:cNvPr id="2055" name="Drop Down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38100</xdr:rowOff>
        </xdr:from>
        <xdr:to>
          <xdr:col>2</xdr:col>
          <xdr:colOff>1057275</xdr:colOff>
          <xdr:row>14</xdr:row>
          <xdr:rowOff>9525</xdr:rowOff>
        </xdr:to>
        <xdr:sp macro="" textlink="">
          <xdr:nvSpPr>
            <xdr:cNvPr id="2056" name="Drop Down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14</xdr:row>
          <xdr:rowOff>38100</xdr:rowOff>
        </xdr:from>
        <xdr:to>
          <xdr:col>2</xdr:col>
          <xdr:colOff>1057275</xdr:colOff>
          <xdr:row>15</xdr:row>
          <xdr:rowOff>9525</xdr:rowOff>
        </xdr:to>
        <xdr:sp macro="" textlink="">
          <xdr:nvSpPr>
            <xdr:cNvPr id="2057" name="Drop Down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15</xdr:row>
          <xdr:rowOff>38100</xdr:rowOff>
        </xdr:from>
        <xdr:to>
          <xdr:col>2</xdr:col>
          <xdr:colOff>1057275</xdr:colOff>
          <xdr:row>16</xdr:row>
          <xdr:rowOff>9525</xdr:rowOff>
        </xdr:to>
        <xdr:sp macro="" textlink="">
          <xdr:nvSpPr>
            <xdr:cNvPr id="2058" name="Drop Down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7</xdr:row>
          <xdr:rowOff>19050</xdr:rowOff>
        </xdr:from>
        <xdr:to>
          <xdr:col>5</xdr:col>
          <xdr:colOff>723900</xdr:colOff>
          <xdr:row>7</xdr:row>
          <xdr:rowOff>238125</xdr:rowOff>
        </xdr:to>
        <xdr:sp macro="" textlink="">
          <xdr:nvSpPr>
            <xdr:cNvPr id="2064" name="Drop Down 16" hidden="1">
              <a:extLst>
                <a:ext uri="{63B3BB69-23CF-44E3-9099-C40C66FF867C}">
                  <a14:compatExt spid="_x0000_s206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8</xdr:row>
          <xdr:rowOff>19050</xdr:rowOff>
        </xdr:from>
        <xdr:to>
          <xdr:col>5</xdr:col>
          <xdr:colOff>723900</xdr:colOff>
          <xdr:row>8</xdr:row>
          <xdr:rowOff>238125</xdr:rowOff>
        </xdr:to>
        <xdr:sp macro="" textlink="">
          <xdr:nvSpPr>
            <xdr:cNvPr id="2076" name="Drop Down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9</xdr:row>
          <xdr:rowOff>19050</xdr:rowOff>
        </xdr:from>
        <xdr:to>
          <xdr:col>5</xdr:col>
          <xdr:colOff>723900</xdr:colOff>
          <xdr:row>9</xdr:row>
          <xdr:rowOff>238125</xdr:rowOff>
        </xdr:to>
        <xdr:sp macro="" textlink="">
          <xdr:nvSpPr>
            <xdr:cNvPr id="2077" name="Drop Down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19050</xdr:rowOff>
        </xdr:from>
        <xdr:to>
          <xdr:col>5</xdr:col>
          <xdr:colOff>723900</xdr:colOff>
          <xdr:row>10</xdr:row>
          <xdr:rowOff>238125</xdr:rowOff>
        </xdr:to>
        <xdr:sp macro="" textlink="">
          <xdr:nvSpPr>
            <xdr:cNvPr id="2078" name="Drop Down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11</xdr:row>
          <xdr:rowOff>19050</xdr:rowOff>
        </xdr:from>
        <xdr:to>
          <xdr:col>5</xdr:col>
          <xdr:colOff>723900</xdr:colOff>
          <xdr:row>11</xdr:row>
          <xdr:rowOff>238125</xdr:rowOff>
        </xdr:to>
        <xdr:sp macro="" textlink="">
          <xdr:nvSpPr>
            <xdr:cNvPr id="2079" name="Drop Down 31" hidden="1">
              <a:extLst>
                <a:ext uri="{63B3BB69-23CF-44E3-9099-C40C66FF867C}">
                  <a14:compatExt spid="_x0000_s20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12</xdr:row>
          <xdr:rowOff>19050</xdr:rowOff>
        </xdr:from>
        <xdr:to>
          <xdr:col>5</xdr:col>
          <xdr:colOff>723900</xdr:colOff>
          <xdr:row>12</xdr:row>
          <xdr:rowOff>238125</xdr:rowOff>
        </xdr:to>
        <xdr:sp macro="" textlink="">
          <xdr:nvSpPr>
            <xdr:cNvPr id="2080" name="Drop Down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13</xdr:row>
          <xdr:rowOff>19050</xdr:rowOff>
        </xdr:from>
        <xdr:to>
          <xdr:col>5</xdr:col>
          <xdr:colOff>723900</xdr:colOff>
          <xdr:row>13</xdr:row>
          <xdr:rowOff>238125</xdr:rowOff>
        </xdr:to>
        <xdr:sp macro="" textlink="">
          <xdr:nvSpPr>
            <xdr:cNvPr id="2081" name="Drop Down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xdr:row>
          <xdr:rowOff>19050</xdr:rowOff>
        </xdr:from>
        <xdr:to>
          <xdr:col>5</xdr:col>
          <xdr:colOff>723900</xdr:colOff>
          <xdr:row>14</xdr:row>
          <xdr:rowOff>238125</xdr:rowOff>
        </xdr:to>
        <xdr:sp macro="" textlink="">
          <xdr:nvSpPr>
            <xdr:cNvPr id="2082" name="Drop Down 34" hidden="1">
              <a:extLst>
                <a:ext uri="{63B3BB69-23CF-44E3-9099-C40C66FF867C}">
                  <a14:compatExt spid="_x0000_s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15</xdr:row>
          <xdr:rowOff>19050</xdr:rowOff>
        </xdr:from>
        <xdr:to>
          <xdr:col>5</xdr:col>
          <xdr:colOff>723900</xdr:colOff>
          <xdr:row>15</xdr:row>
          <xdr:rowOff>238125</xdr:rowOff>
        </xdr:to>
        <xdr:sp macro="" textlink="">
          <xdr:nvSpPr>
            <xdr:cNvPr id="2083" name="Drop Down 35"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666750</xdr:colOff>
          <xdr:row>20</xdr:row>
          <xdr:rowOff>219075</xdr:rowOff>
        </xdr:to>
        <xdr:sp macro="" textlink="">
          <xdr:nvSpPr>
            <xdr:cNvPr id="2084" name="Drop Down 36"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085" name="Drop Down 37"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086" name="Drop Down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20</xdr:row>
          <xdr:rowOff>28575</xdr:rowOff>
        </xdr:from>
        <xdr:to>
          <xdr:col>4</xdr:col>
          <xdr:colOff>647700</xdr:colOff>
          <xdr:row>20</xdr:row>
          <xdr:rowOff>219075</xdr:rowOff>
        </xdr:to>
        <xdr:sp macro="" textlink="">
          <xdr:nvSpPr>
            <xdr:cNvPr id="2108" name="Spinner 60"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111" name="Drop Down 63"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21</xdr:row>
          <xdr:rowOff>28575</xdr:rowOff>
        </xdr:from>
        <xdr:to>
          <xdr:col>4</xdr:col>
          <xdr:colOff>647700</xdr:colOff>
          <xdr:row>21</xdr:row>
          <xdr:rowOff>219075</xdr:rowOff>
        </xdr:to>
        <xdr:sp macro="" textlink="">
          <xdr:nvSpPr>
            <xdr:cNvPr id="2112" name="Spinner 64"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113" name="Drop Down 65" hidden="1">
              <a:extLst>
                <a:ext uri="{63B3BB69-23CF-44E3-9099-C40C66FF867C}">
                  <a14:compatExt spid="_x0000_s2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22</xdr:row>
          <xdr:rowOff>28575</xdr:rowOff>
        </xdr:from>
        <xdr:to>
          <xdr:col>4</xdr:col>
          <xdr:colOff>647700</xdr:colOff>
          <xdr:row>22</xdr:row>
          <xdr:rowOff>219075</xdr:rowOff>
        </xdr:to>
        <xdr:sp macro="" textlink="">
          <xdr:nvSpPr>
            <xdr:cNvPr id="2114" name="Spinner 66"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20</xdr:row>
          <xdr:rowOff>19050</xdr:rowOff>
        </xdr:from>
        <xdr:to>
          <xdr:col>6</xdr:col>
          <xdr:colOff>962025</xdr:colOff>
          <xdr:row>20</xdr:row>
          <xdr:rowOff>209550</xdr:rowOff>
        </xdr:to>
        <xdr:sp macro="" textlink="">
          <xdr:nvSpPr>
            <xdr:cNvPr id="2115" name="Spinner 67"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21</xdr:row>
          <xdr:rowOff>19050</xdr:rowOff>
        </xdr:from>
        <xdr:to>
          <xdr:col>6</xdr:col>
          <xdr:colOff>962025</xdr:colOff>
          <xdr:row>21</xdr:row>
          <xdr:rowOff>209550</xdr:rowOff>
        </xdr:to>
        <xdr:sp macro="" textlink="">
          <xdr:nvSpPr>
            <xdr:cNvPr id="2116" name="Spinner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22</xdr:row>
          <xdr:rowOff>19050</xdr:rowOff>
        </xdr:from>
        <xdr:to>
          <xdr:col>6</xdr:col>
          <xdr:colOff>962025</xdr:colOff>
          <xdr:row>22</xdr:row>
          <xdr:rowOff>209550</xdr:rowOff>
        </xdr:to>
        <xdr:sp macro="" textlink="">
          <xdr:nvSpPr>
            <xdr:cNvPr id="2117" name="Spinner 69"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18</xdr:row>
          <xdr:rowOff>0</xdr:rowOff>
        </xdr:from>
        <xdr:to>
          <xdr:col>5</xdr:col>
          <xdr:colOff>666750</xdr:colOff>
          <xdr:row>18</xdr:row>
          <xdr:rowOff>219075</xdr:rowOff>
        </xdr:to>
        <xdr:sp macro="" textlink="">
          <xdr:nvSpPr>
            <xdr:cNvPr id="2118" name="Drop Down 70"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18</xdr:row>
          <xdr:rowOff>28575</xdr:rowOff>
        </xdr:from>
        <xdr:to>
          <xdr:col>4</xdr:col>
          <xdr:colOff>647700</xdr:colOff>
          <xdr:row>18</xdr:row>
          <xdr:rowOff>219075</xdr:rowOff>
        </xdr:to>
        <xdr:sp macro="" textlink="">
          <xdr:nvSpPr>
            <xdr:cNvPr id="2119" name="Spinner 71" hidden="1">
              <a:extLst>
                <a:ext uri="{63B3BB69-23CF-44E3-9099-C40C66FF867C}">
                  <a14:compatExt spid="_x0000_s2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18</xdr:row>
          <xdr:rowOff>19050</xdr:rowOff>
        </xdr:from>
        <xdr:to>
          <xdr:col>6</xdr:col>
          <xdr:colOff>962025</xdr:colOff>
          <xdr:row>18</xdr:row>
          <xdr:rowOff>209550</xdr:rowOff>
        </xdr:to>
        <xdr:sp macro="" textlink="">
          <xdr:nvSpPr>
            <xdr:cNvPr id="2120" name="Spinner 72" hidden="1">
              <a:extLst>
                <a:ext uri="{63B3BB69-23CF-44E3-9099-C40C66FF867C}">
                  <a14:compatExt spid="_x0000_s2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19</xdr:row>
          <xdr:rowOff>0</xdr:rowOff>
        </xdr:from>
        <xdr:to>
          <xdr:col>5</xdr:col>
          <xdr:colOff>666750</xdr:colOff>
          <xdr:row>19</xdr:row>
          <xdr:rowOff>219075</xdr:rowOff>
        </xdr:to>
        <xdr:sp macro="" textlink="">
          <xdr:nvSpPr>
            <xdr:cNvPr id="2121" name="Drop Down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19</xdr:row>
          <xdr:rowOff>28575</xdr:rowOff>
        </xdr:from>
        <xdr:to>
          <xdr:col>4</xdr:col>
          <xdr:colOff>647700</xdr:colOff>
          <xdr:row>19</xdr:row>
          <xdr:rowOff>219075</xdr:rowOff>
        </xdr:to>
        <xdr:sp macro="" textlink="">
          <xdr:nvSpPr>
            <xdr:cNvPr id="2122" name="Spinner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19</xdr:row>
          <xdr:rowOff>19050</xdr:rowOff>
        </xdr:from>
        <xdr:to>
          <xdr:col>6</xdr:col>
          <xdr:colOff>962025</xdr:colOff>
          <xdr:row>19</xdr:row>
          <xdr:rowOff>209550</xdr:rowOff>
        </xdr:to>
        <xdr:sp macro="" textlink="">
          <xdr:nvSpPr>
            <xdr:cNvPr id="2123" name="Spinner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16</xdr:row>
          <xdr:rowOff>38100</xdr:rowOff>
        </xdr:from>
        <xdr:to>
          <xdr:col>2</xdr:col>
          <xdr:colOff>1057275</xdr:colOff>
          <xdr:row>17</xdr:row>
          <xdr:rowOff>9525</xdr:rowOff>
        </xdr:to>
        <xdr:sp macro="" textlink="">
          <xdr:nvSpPr>
            <xdr:cNvPr id="2124" name="Drop Down 76" hidden="1">
              <a:extLst>
                <a:ext uri="{63B3BB69-23CF-44E3-9099-C40C66FF867C}">
                  <a14:compatExt spid="_x0000_s2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19050</xdr:rowOff>
        </xdr:from>
        <xdr:to>
          <xdr:col>5</xdr:col>
          <xdr:colOff>723900</xdr:colOff>
          <xdr:row>16</xdr:row>
          <xdr:rowOff>238125</xdr:rowOff>
        </xdr:to>
        <xdr:sp macro="" textlink="">
          <xdr:nvSpPr>
            <xdr:cNvPr id="2125" name="Drop Down 77" hidden="1">
              <a:extLst>
                <a:ext uri="{63B3BB69-23CF-44E3-9099-C40C66FF867C}">
                  <a14:compatExt spid="_x0000_s2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7</xdr:row>
          <xdr:rowOff>9525</xdr:rowOff>
        </xdr:from>
        <xdr:to>
          <xdr:col>6</xdr:col>
          <xdr:colOff>952500</xdr:colOff>
          <xdr:row>7</xdr:row>
          <xdr:rowOff>219075</xdr:rowOff>
        </xdr:to>
        <xdr:sp macro="" textlink="">
          <xdr:nvSpPr>
            <xdr:cNvPr id="2126" name="Spinner 78" hidden="1">
              <a:extLst>
                <a:ext uri="{63B3BB69-23CF-44E3-9099-C40C66FF867C}">
                  <a14:compatExt spid="_x0000_s2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8</xdr:row>
          <xdr:rowOff>9525</xdr:rowOff>
        </xdr:from>
        <xdr:to>
          <xdr:col>6</xdr:col>
          <xdr:colOff>952500</xdr:colOff>
          <xdr:row>8</xdr:row>
          <xdr:rowOff>219075</xdr:rowOff>
        </xdr:to>
        <xdr:sp macro="" textlink="">
          <xdr:nvSpPr>
            <xdr:cNvPr id="2127" name="Spinner 79" hidden="1">
              <a:extLst>
                <a:ext uri="{63B3BB69-23CF-44E3-9099-C40C66FF867C}">
                  <a14:compatExt spid="_x0000_s2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9</xdr:row>
          <xdr:rowOff>9525</xdr:rowOff>
        </xdr:from>
        <xdr:to>
          <xdr:col>6</xdr:col>
          <xdr:colOff>952500</xdr:colOff>
          <xdr:row>9</xdr:row>
          <xdr:rowOff>219075</xdr:rowOff>
        </xdr:to>
        <xdr:sp macro="" textlink="">
          <xdr:nvSpPr>
            <xdr:cNvPr id="2128" name="Spinner 80" hidden="1">
              <a:extLst>
                <a:ext uri="{63B3BB69-23CF-44E3-9099-C40C66FF867C}">
                  <a14:compatExt spid="_x0000_s2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10</xdr:row>
          <xdr:rowOff>9525</xdr:rowOff>
        </xdr:from>
        <xdr:to>
          <xdr:col>6</xdr:col>
          <xdr:colOff>952500</xdr:colOff>
          <xdr:row>10</xdr:row>
          <xdr:rowOff>219075</xdr:rowOff>
        </xdr:to>
        <xdr:sp macro="" textlink="">
          <xdr:nvSpPr>
            <xdr:cNvPr id="2129" name="Spinner 81" hidden="1">
              <a:extLst>
                <a:ext uri="{63B3BB69-23CF-44E3-9099-C40C66FF867C}">
                  <a14:compatExt spid="_x0000_s2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11</xdr:row>
          <xdr:rowOff>9525</xdr:rowOff>
        </xdr:from>
        <xdr:to>
          <xdr:col>6</xdr:col>
          <xdr:colOff>952500</xdr:colOff>
          <xdr:row>11</xdr:row>
          <xdr:rowOff>219075</xdr:rowOff>
        </xdr:to>
        <xdr:sp macro="" textlink="">
          <xdr:nvSpPr>
            <xdr:cNvPr id="2130" name="Spinner 82" hidden="1">
              <a:extLst>
                <a:ext uri="{63B3BB69-23CF-44E3-9099-C40C66FF867C}">
                  <a14:compatExt spid="_x0000_s2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12</xdr:row>
          <xdr:rowOff>9525</xdr:rowOff>
        </xdr:from>
        <xdr:to>
          <xdr:col>6</xdr:col>
          <xdr:colOff>952500</xdr:colOff>
          <xdr:row>12</xdr:row>
          <xdr:rowOff>219075</xdr:rowOff>
        </xdr:to>
        <xdr:sp macro="" textlink="">
          <xdr:nvSpPr>
            <xdr:cNvPr id="2131" name="Spinner 83" hidden="1">
              <a:extLst>
                <a:ext uri="{63B3BB69-23CF-44E3-9099-C40C66FF867C}">
                  <a14:compatExt spid="_x0000_s2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13</xdr:row>
          <xdr:rowOff>9525</xdr:rowOff>
        </xdr:from>
        <xdr:to>
          <xdr:col>6</xdr:col>
          <xdr:colOff>952500</xdr:colOff>
          <xdr:row>13</xdr:row>
          <xdr:rowOff>219075</xdr:rowOff>
        </xdr:to>
        <xdr:sp macro="" textlink="">
          <xdr:nvSpPr>
            <xdr:cNvPr id="2132" name="Spinner 84" hidden="1">
              <a:extLst>
                <a:ext uri="{63B3BB69-23CF-44E3-9099-C40C66FF867C}">
                  <a14:compatExt spid="_x0000_s2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14</xdr:row>
          <xdr:rowOff>9525</xdr:rowOff>
        </xdr:from>
        <xdr:to>
          <xdr:col>6</xdr:col>
          <xdr:colOff>952500</xdr:colOff>
          <xdr:row>14</xdr:row>
          <xdr:rowOff>219075</xdr:rowOff>
        </xdr:to>
        <xdr:sp macro="" textlink="">
          <xdr:nvSpPr>
            <xdr:cNvPr id="2133" name="Spinner 85" hidden="1">
              <a:extLst>
                <a:ext uri="{63B3BB69-23CF-44E3-9099-C40C66FF867C}">
                  <a14:compatExt spid="_x0000_s2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15</xdr:row>
          <xdr:rowOff>9525</xdr:rowOff>
        </xdr:from>
        <xdr:to>
          <xdr:col>6</xdr:col>
          <xdr:colOff>952500</xdr:colOff>
          <xdr:row>15</xdr:row>
          <xdr:rowOff>219075</xdr:rowOff>
        </xdr:to>
        <xdr:sp macro="" textlink="">
          <xdr:nvSpPr>
            <xdr:cNvPr id="2134" name="Spinner 86" hidden="1">
              <a:extLst>
                <a:ext uri="{63B3BB69-23CF-44E3-9099-C40C66FF867C}">
                  <a14:compatExt spid="_x0000_s2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16</xdr:row>
          <xdr:rowOff>9525</xdr:rowOff>
        </xdr:from>
        <xdr:to>
          <xdr:col>6</xdr:col>
          <xdr:colOff>952500</xdr:colOff>
          <xdr:row>16</xdr:row>
          <xdr:rowOff>219075</xdr:rowOff>
        </xdr:to>
        <xdr:sp macro="" textlink="">
          <xdr:nvSpPr>
            <xdr:cNvPr id="2135" name="Spinner 87" hidden="1">
              <a:extLst>
                <a:ext uri="{63B3BB69-23CF-44E3-9099-C40C66FF867C}">
                  <a14:compatExt spid="_x0000_s2135"/>
                </a:ext>
              </a:extLst>
            </xdr:cNvPr>
            <xdr:cNvSpPr/>
          </xdr:nvSpPr>
          <xdr:spPr>
            <a:xfrm>
              <a:off x="0" y="0"/>
              <a:ext cx="0" cy="0"/>
            </a:xfrm>
            <a:prstGeom prst="rect">
              <a:avLst/>
            </a:prstGeom>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428625</xdr:colOff>
          <xdr:row>2</xdr:row>
          <xdr:rowOff>9525</xdr:rowOff>
        </xdr:from>
        <xdr:to>
          <xdr:col>9</xdr:col>
          <xdr:colOff>590550</xdr:colOff>
          <xdr:row>2</xdr:row>
          <xdr:rowOff>180975</xdr:rowOff>
        </xdr:to>
        <xdr:sp macro="" textlink="">
          <xdr:nvSpPr>
            <xdr:cNvPr id="2159" name="Spinner 111" hidden="1">
              <a:extLst>
                <a:ext uri="{63B3BB69-23CF-44E3-9099-C40C66FF867C}">
                  <a14:compatExt spid="_x0000_s2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2</xdr:row>
          <xdr:rowOff>0</xdr:rowOff>
        </xdr:from>
        <xdr:to>
          <xdr:col>11</xdr:col>
          <xdr:colOff>514350</xdr:colOff>
          <xdr:row>2</xdr:row>
          <xdr:rowOff>171450</xdr:rowOff>
        </xdr:to>
        <xdr:sp macro="" textlink="">
          <xdr:nvSpPr>
            <xdr:cNvPr id="2160" name="Spinner 112" hidden="1">
              <a:extLst>
                <a:ext uri="{63B3BB69-23CF-44E3-9099-C40C66FF867C}">
                  <a14:compatExt spid="_x0000_s2160"/>
                </a:ext>
              </a:extLst>
            </xdr:cNvPr>
            <xdr:cNvSpPr/>
          </xdr:nvSpPr>
          <xdr:spPr>
            <a:xfrm>
              <a:off x="0" y="0"/>
              <a:ext cx="0" cy="0"/>
            </a:xfrm>
            <a:prstGeom prst="rect">
              <a:avLst/>
            </a:prstGeom>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6" name="Spinner 26" hidden="1">
              <a:extLst>
                <a:ext uri="{63B3BB69-23CF-44E3-9099-C40C66FF867C}">
                  <a14:compatExt spid="_x0000_s51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9" name="Spinner 29" hidden="1">
              <a:extLst>
                <a:ext uri="{63B3BB69-23CF-44E3-9099-C40C66FF867C}">
                  <a14:compatExt spid="_x0000_s51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58" name="Spinner 38" hidden="1">
              <a:extLst>
                <a:ext uri="{63B3BB69-23CF-44E3-9099-C40C66FF867C}">
                  <a14:compatExt spid="_x0000_s515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628650</xdr:colOff>
          <xdr:row>4</xdr:row>
          <xdr:rowOff>38100</xdr:rowOff>
        </xdr:from>
        <xdr:to>
          <xdr:col>3</xdr:col>
          <xdr:colOff>742950</xdr:colOff>
          <xdr:row>4</xdr:row>
          <xdr:rowOff>209550</xdr:rowOff>
        </xdr:to>
        <xdr:sp macro="" textlink="">
          <xdr:nvSpPr>
            <xdr:cNvPr id="5244" name="Spinner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4</xdr:row>
          <xdr:rowOff>38100</xdr:rowOff>
        </xdr:from>
        <xdr:to>
          <xdr:col>4</xdr:col>
          <xdr:colOff>923925</xdr:colOff>
          <xdr:row>4</xdr:row>
          <xdr:rowOff>209550</xdr:rowOff>
        </xdr:to>
        <xdr:sp macro="" textlink="">
          <xdr:nvSpPr>
            <xdr:cNvPr id="5266" name="Spinner 146" hidden="1">
              <a:extLst>
                <a:ext uri="{63B3BB69-23CF-44E3-9099-C40C66FF867C}">
                  <a14:compatExt spid="_x0000_s5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4</xdr:row>
          <xdr:rowOff>38100</xdr:rowOff>
        </xdr:from>
        <xdr:to>
          <xdr:col>5</xdr:col>
          <xdr:colOff>1200150</xdr:colOff>
          <xdr:row>4</xdr:row>
          <xdr:rowOff>209550</xdr:rowOff>
        </xdr:to>
        <xdr:sp macro="" textlink="">
          <xdr:nvSpPr>
            <xdr:cNvPr id="5288" name="Spinner 168" hidden="1">
              <a:extLst>
                <a:ext uri="{63B3BB69-23CF-44E3-9099-C40C66FF867C}">
                  <a14:compatExt spid="_x0000_s5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5</xdr:row>
          <xdr:rowOff>38100</xdr:rowOff>
        </xdr:from>
        <xdr:to>
          <xdr:col>5</xdr:col>
          <xdr:colOff>1200150</xdr:colOff>
          <xdr:row>5</xdr:row>
          <xdr:rowOff>209550</xdr:rowOff>
        </xdr:to>
        <xdr:sp macro="" textlink="">
          <xdr:nvSpPr>
            <xdr:cNvPr id="5289" name="Spinner 169" hidden="1">
              <a:extLst>
                <a:ext uri="{63B3BB69-23CF-44E3-9099-C40C66FF867C}">
                  <a14:compatExt spid="_x0000_s5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6</xdr:row>
          <xdr:rowOff>38100</xdr:rowOff>
        </xdr:from>
        <xdr:to>
          <xdr:col>5</xdr:col>
          <xdr:colOff>1200150</xdr:colOff>
          <xdr:row>6</xdr:row>
          <xdr:rowOff>209550</xdr:rowOff>
        </xdr:to>
        <xdr:sp macro="" textlink="">
          <xdr:nvSpPr>
            <xdr:cNvPr id="5290" name="Spinner 170" hidden="1">
              <a:extLst>
                <a:ext uri="{63B3BB69-23CF-44E3-9099-C40C66FF867C}">
                  <a14:compatExt spid="_x0000_s5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7</xdr:row>
          <xdr:rowOff>38100</xdr:rowOff>
        </xdr:from>
        <xdr:to>
          <xdr:col>5</xdr:col>
          <xdr:colOff>1200150</xdr:colOff>
          <xdr:row>7</xdr:row>
          <xdr:rowOff>209550</xdr:rowOff>
        </xdr:to>
        <xdr:sp macro="" textlink="">
          <xdr:nvSpPr>
            <xdr:cNvPr id="5291" name="Spinner 171" hidden="1">
              <a:extLst>
                <a:ext uri="{63B3BB69-23CF-44E3-9099-C40C66FF867C}">
                  <a14:compatExt spid="_x0000_s5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9</xdr:row>
          <xdr:rowOff>38100</xdr:rowOff>
        </xdr:from>
        <xdr:to>
          <xdr:col>5</xdr:col>
          <xdr:colOff>1200150</xdr:colOff>
          <xdr:row>9</xdr:row>
          <xdr:rowOff>209550</xdr:rowOff>
        </xdr:to>
        <xdr:sp macro="" textlink="">
          <xdr:nvSpPr>
            <xdr:cNvPr id="5292" name="Spinner 172" hidden="1">
              <a:extLst>
                <a:ext uri="{63B3BB69-23CF-44E3-9099-C40C66FF867C}">
                  <a14:compatExt spid="_x0000_s5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10</xdr:row>
          <xdr:rowOff>38100</xdr:rowOff>
        </xdr:from>
        <xdr:to>
          <xdr:col>5</xdr:col>
          <xdr:colOff>1200150</xdr:colOff>
          <xdr:row>10</xdr:row>
          <xdr:rowOff>209550</xdr:rowOff>
        </xdr:to>
        <xdr:sp macro="" textlink="">
          <xdr:nvSpPr>
            <xdr:cNvPr id="5293" name="Spinner 173" hidden="1">
              <a:extLst>
                <a:ext uri="{63B3BB69-23CF-44E3-9099-C40C66FF867C}">
                  <a14:compatExt spid="_x0000_s5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11</xdr:row>
          <xdr:rowOff>38100</xdr:rowOff>
        </xdr:from>
        <xdr:to>
          <xdr:col>5</xdr:col>
          <xdr:colOff>1200150</xdr:colOff>
          <xdr:row>11</xdr:row>
          <xdr:rowOff>209550</xdr:rowOff>
        </xdr:to>
        <xdr:sp macro="" textlink="">
          <xdr:nvSpPr>
            <xdr:cNvPr id="5294" name="Spinner 174" hidden="1">
              <a:extLst>
                <a:ext uri="{63B3BB69-23CF-44E3-9099-C40C66FF867C}">
                  <a14:compatExt spid="_x0000_s5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12</xdr:row>
          <xdr:rowOff>38100</xdr:rowOff>
        </xdr:from>
        <xdr:to>
          <xdr:col>5</xdr:col>
          <xdr:colOff>1200150</xdr:colOff>
          <xdr:row>12</xdr:row>
          <xdr:rowOff>209550</xdr:rowOff>
        </xdr:to>
        <xdr:sp macro="" textlink="">
          <xdr:nvSpPr>
            <xdr:cNvPr id="5295" name="Spinner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13</xdr:row>
          <xdr:rowOff>38100</xdr:rowOff>
        </xdr:from>
        <xdr:to>
          <xdr:col>5</xdr:col>
          <xdr:colOff>1200150</xdr:colOff>
          <xdr:row>13</xdr:row>
          <xdr:rowOff>209550</xdr:rowOff>
        </xdr:to>
        <xdr:sp macro="" textlink="">
          <xdr:nvSpPr>
            <xdr:cNvPr id="5296" name="Spinner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14</xdr:row>
          <xdr:rowOff>38100</xdr:rowOff>
        </xdr:from>
        <xdr:to>
          <xdr:col>5</xdr:col>
          <xdr:colOff>1200150</xdr:colOff>
          <xdr:row>14</xdr:row>
          <xdr:rowOff>209550</xdr:rowOff>
        </xdr:to>
        <xdr:sp macro="" textlink="">
          <xdr:nvSpPr>
            <xdr:cNvPr id="5298" name="Spinner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15</xdr:row>
          <xdr:rowOff>38100</xdr:rowOff>
        </xdr:from>
        <xdr:to>
          <xdr:col>5</xdr:col>
          <xdr:colOff>1200150</xdr:colOff>
          <xdr:row>15</xdr:row>
          <xdr:rowOff>209550</xdr:rowOff>
        </xdr:to>
        <xdr:sp macro="" textlink="">
          <xdr:nvSpPr>
            <xdr:cNvPr id="5299" name="Spinner 179" hidden="1">
              <a:extLst>
                <a:ext uri="{63B3BB69-23CF-44E3-9099-C40C66FF867C}">
                  <a14:compatExt spid="_x0000_s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16</xdr:row>
          <xdr:rowOff>38100</xdr:rowOff>
        </xdr:from>
        <xdr:to>
          <xdr:col>5</xdr:col>
          <xdr:colOff>1200150</xdr:colOff>
          <xdr:row>16</xdr:row>
          <xdr:rowOff>209550</xdr:rowOff>
        </xdr:to>
        <xdr:sp macro="" textlink="">
          <xdr:nvSpPr>
            <xdr:cNvPr id="5300" name="Spinner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17</xdr:row>
          <xdr:rowOff>38100</xdr:rowOff>
        </xdr:from>
        <xdr:to>
          <xdr:col>5</xdr:col>
          <xdr:colOff>1200150</xdr:colOff>
          <xdr:row>17</xdr:row>
          <xdr:rowOff>209550</xdr:rowOff>
        </xdr:to>
        <xdr:sp macro="" textlink="">
          <xdr:nvSpPr>
            <xdr:cNvPr id="5301" name="Spinner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18</xdr:row>
          <xdr:rowOff>38100</xdr:rowOff>
        </xdr:from>
        <xdr:to>
          <xdr:col>5</xdr:col>
          <xdr:colOff>1200150</xdr:colOff>
          <xdr:row>18</xdr:row>
          <xdr:rowOff>209550</xdr:rowOff>
        </xdr:to>
        <xdr:sp macro="" textlink="">
          <xdr:nvSpPr>
            <xdr:cNvPr id="5303" name="Spinner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19</xdr:row>
          <xdr:rowOff>38100</xdr:rowOff>
        </xdr:from>
        <xdr:to>
          <xdr:col>5</xdr:col>
          <xdr:colOff>1200150</xdr:colOff>
          <xdr:row>19</xdr:row>
          <xdr:rowOff>209550</xdr:rowOff>
        </xdr:to>
        <xdr:sp macro="" textlink="">
          <xdr:nvSpPr>
            <xdr:cNvPr id="5304" name="Spinner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20</xdr:row>
          <xdr:rowOff>38100</xdr:rowOff>
        </xdr:from>
        <xdr:to>
          <xdr:col>5</xdr:col>
          <xdr:colOff>1200150</xdr:colOff>
          <xdr:row>20</xdr:row>
          <xdr:rowOff>209550</xdr:rowOff>
        </xdr:to>
        <xdr:sp macro="" textlink="">
          <xdr:nvSpPr>
            <xdr:cNvPr id="5307" name="Spinner 187" hidden="1">
              <a:extLst>
                <a:ext uri="{63B3BB69-23CF-44E3-9099-C40C66FF867C}">
                  <a14:compatExt spid="_x0000_s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21</xdr:row>
          <xdr:rowOff>38100</xdr:rowOff>
        </xdr:from>
        <xdr:to>
          <xdr:col>5</xdr:col>
          <xdr:colOff>1200150</xdr:colOff>
          <xdr:row>21</xdr:row>
          <xdr:rowOff>209550</xdr:rowOff>
        </xdr:to>
        <xdr:sp macro="" textlink="">
          <xdr:nvSpPr>
            <xdr:cNvPr id="5308" name="Spinner 188" hidden="1">
              <a:extLst>
                <a:ext uri="{63B3BB69-23CF-44E3-9099-C40C66FF867C}">
                  <a14:compatExt spid="_x0000_s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4</xdr:row>
          <xdr:rowOff>38100</xdr:rowOff>
        </xdr:from>
        <xdr:to>
          <xdr:col>8</xdr:col>
          <xdr:colOff>19050</xdr:colOff>
          <xdr:row>4</xdr:row>
          <xdr:rowOff>209550</xdr:rowOff>
        </xdr:to>
        <xdr:sp macro="" textlink="">
          <xdr:nvSpPr>
            <xdr:cNvPr id="5310" name="Spinner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5</xdr:row>
          <xdr:rowOff>38100</xdr:rowOff>
        </xdr:from>
        <xdr:to>
          <xdr:col>8</xdr:col>
          <xdr:colOff>19050</xdr:colOff>
          <xdr:row>5</xdr:row>
          <xdr:rowOff>209550</xdr:rowOff>
        </xdr:to>
        <xdr:sp macro="" textlink="">
          <xdr:nvSpPr>
            <xdr:cNvPr id="5311" name="Spinner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6</xdr:row>
          <xdr:rowOff>38100</xdr:rowOff>
        </xdr:from>
        <xdr:to>
          <xdr:col>8</xdr:col>
          <xdr:colOff>19050</xdr:colOff>
          <xdr:row>6</xdr:row>
          <xdr:rowOff>209550</xdr:rowOff>
        </xdr:to>
        <xdr:sp macro="" textlink="">
          <xdr:nvSpPr>
            <xdr:cNvPr id="5312" name="Spinner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7</xdr:row>
          <xdr:rowOff>38100</xdr:rowOff>
        </xdr:from>
        <xdr:to>
          <xdr:col>8</xdr:col>
          <xdr:colOff>19050</xdr:colOff>
          <xdr:row>7</xdr:row>
          <xdr:rowOff>209550</xdr:rowOff>
        </xdr:to>
        <xdr:sp macro="" textlink="">
          <xdr:nvSpPr>
            <xdr:cNvPr id="5313" name="Spinner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9</xdr:row>
          <xdr:rowOff>38100</xdr:rowOff>
        </xdr:from>
        <xdr:to>
          <xdr:col>8</xdr:col>
          <xdr:colOff>19050</xdr:colOff>
          <xdr:row>9</xdr:row>
          <xdr:rowOff>209550</xdr:rowOff>
        </xdr:to>
        <xdr:sp macro="" textlink="">
          <xdr:nvSpPr>
            <xdr:cNvPr id="5314" name="Spinner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10</xdr:row>
          <xdr:rowOff>38100</xdr:rowOff>
        </xdr:from>
        <xdr:to>
          <xdr:col>8</xdr:col>
          <xdr:colOff>19050</xdr:colOff>
          <xdr:row>10</xdr:row>
          <xdr:rowOff>209550</xdr:rowOff>
        </xdr:to>
        <xdr:sp macro="" textlink="">
          <xdr:nvSpPr>
            <xdr:cNvPr id="5315" name="Spinner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11</xdr:row>
          <xdr:rowOff>38100</xdr:rowOff>
        </xdr:from>
        <xdr:to>
          <xdr:col>8</xdr:col>
          <xdr:colOff>19050</xdr:colOff>
          <xdr:row>11</xdr:row>
          <xdr:rowOff>209550</xdr:rowOff>
        </xdr:to>
        <xdr:sp macro="" textlink="">
          <xdr:nvSpPr>
            <xdr:cNvPr id="5316" name="Spinner 196" hidden="1">
              <a:extLst>
                <a:ext uri="{63B3BB69-23CF-44E3-9099-C40C66FF867C}">
                  <a14:compatExt spid="_x0000_s5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12</xdr:row>
          <xdr:rowOff>38100</xdr:rowOff>
        </xdr:from>
        <xdr:to>
          <xdr:col>8</xdr:col>
          <xdr:colOff>19050</xdr:colOff>
          <xdr:row>12</xdr:row>
          <xdr:rowOff>209550</xdr:rowOff>
        </xdr:to>
        <xdr:sp macro="" textlink="">
          <xdr:nvSpPr>
            <xdr:cNvPr id="5317" name="Spinner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13</xdr:row>
          <xdr:rowOff>38100</xdr:rowOff>
        </xdr:from>
        <xdr:to>
          <xdr:col>8</xdr:col>
          <xdr:colOff>19050</xdr:colOff>
          <xdr:row>13</xdr:row>
          <xdr:rowOff>209550</xdr:rowOff>
        </xdr:to>
        <xdr:sp macro="" textlink="">
          <xdr:nvSpPr>
            <xdr:cNvPr id="5318" name="Spinner 198" hidden="1">
              <a:extLst>
                <a:ext uri="{63B3BB69-23CF-44E3-9099-C40C66FF867C}">
                  <a14:compatExt spid="_x0000_s5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14</xdr:row>
          <xdr:rowOff>38100</xdr:rowOff>
        </xdr:from>
        <xdr:to>
          <xdr:col>8</xdr:col>
          <xdr:colOff>19050</xdr:colOff>
          <xdr:row>14</xdr:row>
          <xdr:rowOff>209550</xdr:rowOff>
        </xdr:to>
        <xdr:sp macro="" textlink="">
          <xdr:nvSpPr>
            <xdr:cNvPr id="5320" name="Spinner 200" hidden="1">
              <a:extLst>
                <a:ext uri="{63B3BB69-23CF-44E3-9099-C40C66FF867C}">
                  <a14:compatExt spid="_x0000_s5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15</xdr:row>
          <xdr:rowOff>38100</xdr:rowOff>
        </xdr:from>
        <xdr:to>
          <xdr:col>8</xdr:col>
          <xdr:colOff>19050</xdr:colOff>
          <xdr:row>15</xdr:row>
          <xdr:rowOff>209550</xdr:rowOff>
        </xdr:to>
        <xdr:sp macro="" textlink="">
          <xdr:nvSpPr>
            <xdr:cNvPr id="5321" name="Spinner 201" hidden="1">
              <a:extLst>
                <a:ext uri="{63B3BB69-23CF-44E3-9099-C40C66FF867C}">
                  <a14:compatExt spid="_x0000_s5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16</xdr:row>
          <xdr:rowOff>38100</xdr:rowOff>
        </xdr:from>
        <xdr:to>
          <xdr:col>8</xdr:col>
          <xdr:colOff>19050</xdr:colOff>
          <xdr:row>16</xdr:row>
          <xdr:rowOff>209550</xdr:rowOff>
        </xdr:to>
        <xdr:sp macro="" textlink="">
          <xdr:nvSpPr>
            <xdr:cNvPr id="5322" name="Spinner 202" hidden="1">
              <a:extLst>
                <a:ext uri="{63B3BB69-23CF-44E3-9099-C40C66FF867C}">
                  <a14:compatExt spid="_x0000_s5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17</xdr:row>
          <xdr:rowOff>38100</xdr:rowOff>
        </xdr:from>
        <xdr:to>
          <xdr:col>8</xdr:col>
          <xdr:colOff>19050</xdr:colOff>
          <xdr:row>17</xdr:row>
          <xdr:rowOff>209550</xdr:rowOff>
        </xdr:to>
        <xdr:sp macro="" textlink="">
          <xdr:nvSpPr>
            <xdr:cNvPr id="5323" name="Spinner 203" hidden="1">
              <a:extLst>
                <a:ext uri="{63B3BB69-23CF-44E3-9099-C40C66FF867C}">
                  <a14:compatExt spid="_x0000_s5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18</xdr:row>
          <xdr:rowOff>38100</xdr:rowOff>
        </xdr:from>
        <xdr:to>
          <xdr:col>8</xdr:col>
          <xdr:colOff>19050</xdr:colOff>
          <xdr:row>18</xdr:row>
          <xdr:rowOff>209550</xdr:rowOff>
        </xdr:to>
        <xdr:sp macro="" textlink="">
          <xdr:nvSpPr>
            <xdr:cNvPr id="5325" name="Spinner 205" hidden="1">
              <a:extLst>
                <a:ext uri="{63B3BB69-23CF-44E3-9099-C40C66FF867C}">
                  <a14:compatExt spid="_x0000_s5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19</xdr:row>
          <xdr:rowOff>38100</xdr:rowOff>
        </xdr:from>
        <xdr:to>
          <xdr:col>8</xdr:col>
          <xdr:colOff>19050</xdr:colOff>
          <xdr:row>19</xdr:row>
          <xdr:rowOff>209550</xdr:rowOff>
        </xdr:to>
        <xdr:sp macro="" textlink="">
          <xdr:nvSpPr>
            <xdr:cNvPr id="5326" name="Spinner 206"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20</xdr:row>
          <xdr:rowOff>38100</xdr:rowOff>
        </xdr:from>
        <xdr:to>
          <xdr:col>8</xdr:col>
          <xdr:colOff>19050</xdr:colOff>
          <xdr:row>20</xdr:row>
          <xdr:rowOff>209550</xdr:rowOff>
        </xdr:to>
        <xdr:sp macro="" textlink="">
          <xdr:nvSpPr>
            <xdr:cNvPr id="5329" name="Spinner 209" hidden="1">
              <a:extLst>
                <a:ext uri="{63B3BB69-23CF-44E3-9099-C40C66FF867C}">
                  <a14:compatExt spid="_x0000_s5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21</xdr:row>
          <xdr:rowOff>38100</xdr:rowOff>
        </xdr:from>
        <xdr:to>
          <xdr:col>8</xdr:col>
          <xdr:colOff>19050</xdr:colOff>
          <xdr:row>21</xdr:row>
          <xdr:rowOff>209550</xdr:rowOff>
        </xdr:to>
        <xdr:sp macro="" textlink="">
          <xdr:nvSpPr>
            <xdr:cNvPr id="5330" name="Spinner 210" hidden="1">
              <a:extLst>
                <a:ext uri="{63B3BB69-23CF-44E3-9099-C40C66FF867C}">
                  <a14:compatExt spid="_x0000_s5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5</xdr:row>
          <xdr:rowOff>38100</xdr:rowOff>
        </xdr:from>
        <xdr:to>
          <xdr:col>3</xdr:col>
          <xdr:colOff>742950</xdr:colOff>
          <xdr:row>5</xdr:row>
          <xdr:rowOff>209550</xdr:rowOff>
        </xdr:to>
        <xdr:sp macro="" textlink="">
          <xdr:nvSpPr>
            <xdr:cNvPr id="5331" name="Spinner 211" hidden="1">
              <a:extLst>
                <a:ext uri="{63B3BB69-23CF-44E3-9099-C40C66FF867C}">
                  <a14:compatExt spid="_x0000_s5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5</xdr:row>
          <xdr:rowOff>38100</xdr:rowOff>
        </xdr:from>
        <xdr:to>
          <xdr:col>4</xdr:col>
          <xdr:colOff>923925</xdr:colOff>
          <xdr:row>5</xdr:row>
          <xdr:rowOff>209550</xdr:rowOff>
        </xdr:to>
        <xdr:sp macro="" textlink="">
          <xdr:nvSpPr>
            <xdr:cNvPr id="5332" name="Spinner 212" hidden="1">
              <a:extLst>
                <a:ext uri="{63B3BB69-23CF-44E3-9099-C40C66FF867C}">
                  <a14:compatExt spid="_x0000_s5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6</xdr:row>
          <xdr:rowOff>38100</xdr:rowOff>
        </xdr:from>
        <xdr:to>
          <xdr:col>3</xdr:col>
          <xdr:colOff>742950</xdr:colOff>
          <xdr:row>6</xdr:row>
          <xdr:rowOff>209550</xdr:rowOff>
        </xdr:to>
        <xdr:sp macro="" textlink="">
          <xdr:nvSpPr>
            <xdr:cNvPr id="5333" name="Spinner 213" hidden="1">
              <a:extLst>
                <a:ext uri="{63B3BB69-23CF-44E3-9099-C40C66FF867C}">
                  <a14:compatExt spid="_x0000_s5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6</xdr:row>
          <xdr:rowOff>38100</xdr:rowOff>
        </xdr:from>
        <xdr:to>
          <xdr:col>4</xdr:col>
          <xdr:colOff>923925</xdr:colOff>
          <xdr:row>6</xdr:row>
          <xdr:rowOff>209550</xdr:rowOff>
        </xdr:to>
        <xdr:sp macro="" textlink="">
          <xdr:nvSpPr>
            <xdr:cNvPr id="5334" name="Spinner 214" hidden="1">
              <a:extLst>
                <a:ext uri="{63B3BB69-23CF-44E3-9099-C40C66FF867C}">
                  <a14:compatExt spid="_x0000_s5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7</xdr:row>
          <xdr:rowOff>38100</xdr:rowOff>
        </xdr:from>
        <xdr:to>
          <xdr:col>3</xdr:col>
          <xdr:colOff>742950</xdr:colOff>
          <xdr:row>7</xdr:row>
          <xdr:rowOff>209550</xdr:rowOff>
        </xdr:to>
        <xdr:sp macro="" textlink="">
          <xdr:nvSpPr>
            <xdr:cNvPr id="5335" name="Spinner 215" hidden="1">
              <a:extLst>
                <a:ext uri="{63B3BB69-23CF-44E3-9099-C40C66FF867C}">
                  <a14:compatExt spid="_x0000_s5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7</xdr:row>
          <xdr:rowOff>38100</xdr:rowOff>
        </xdr:from>
        <xdr:to>
          <xdr:col>4</xdr:col>
          <xdr:colOff>923925</xdr:colOff>
          <xdr:row>7</xdr:row>
          <xdr:rowOff>209550</xdr:rowOff>
        </xdr:to>
        <xdr:sp macro="" textlink="">
          <xdr:nvSpPr>
            <xdr:cNvPr id="5336" name="Spinner 216" hidden="1">
              <a:extLst>
                <a:ext uri="{63B3BB69-23CF-44E3-9099-C40C66FF867C}">
                  <a14:compatExt spid="_x0000_s5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9</xdr:row>
          <xdr:rowOff>38100</xdr:rowOff>
        </xdr:from>
        <xdr:to>
          <xdr:col>4</xdr:col>
          <xdr:colOff>923925</xdr:colOff>
          <xdr:row>9</xdr:row>
          <xdr:rowOff>209550</xdr:rowOff>
        </xdr:to>
        <xdr:sp macro="" textlink="">
          <xdr:nvSpPr>
            <xdr:cNvPr id="5338" name="Spinner 218" hidden="1">
              <a:extLst>
                <a:ext uri="{63B3BB69-23CF-44E3-9099-C40C66FF867C}">
                  <a14:compatExt spid="_x0000_s5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10</xdr:row>
          <xdr:rowOff>38100</xdr:rowOff>
        </xdr:from>
        <xdr:to>
          <xdr:col>3</xdr:col>
          <xdr:colOff>742950</xdr:colOff>
          <xdr:row>10</xdr:row>
          <xdr:rowOff>209550</xdr:rowOff>
        </xdr:to>
        <xdr:sp macro="" textlink="">
          <xdr:nvSpPr>
            <xdr:cNvPr id="5339" name="Spinner 219" hidden="1">
              <a:extLst>
                <a:ext uri="{63B3BB69-23CF-44E3-9099-C40C66FF867C}">
                  <a14:compatExt spid="_x0000_s5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10</xdr:row>
          <xdr:rowOff>38100</xdr:rowOff>
        </xdr:from>
        <xdr:to>
          <xdr:col>4</xdr:col>
          <xdr:colOff>923925</xdr:colOff>
          <xdr:row>10</xdr:row>
          <xdr:rowOff>209550</xdr:rowOff>
        </xdr:to>
        <xdr:sp macro="" textlink="">
          <xdr:nvSpPr>
            <xdr:cNvPr id="5340" name="Spinner 220" hidden="1">
              <a:extLst>
                <a:ext uri="{63B3BB69-23CF-44E3-9099-C40C66FF867C}">
                  <a14:compatExt spid="_x0000_s5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11</xdr:row>
          <xdr:rowOff>38100</xdr:rowOff>
        </xdr:from>
        <xdr:to>
          <xdr:col>3</xdr:col>
          <xdr:colOff>742950</xdr:colOff>
          <xdr:row>11</xdr:row>
          <xdr:rowOff>209550</xdr:rowOff>
        </xdr:to>
        <xdr:sp macro="" textlink="">
          <xdr:nvSpPr>
            <xdr:cNvPr id="5341" name="Spinner 221" hidden="1">
              <a:extLst>
                <a:ext uri="{63B3BB69-23CF-44E3-9099-C40C66FF867C}">
                  <a14:compatExt spid="_x0000_s5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11</xdr:row>
          <xdr:rowOff>38100</xdr:rowOff>
        </xdr:from>
        <xdr:to>
          <xdr:col>4</xdr:col>
          <xdr:colOff>923925</xdr:colOff>
          <xdr:row>11</xdr:row>
          <xdr:rowOff>209550</xdr:rowOff>
        </xdr:to>
        <xdr:sp macro="" textlink="">
          <xdr:nvSpPr>
            <xdr:cNvPr id="5342" name="Spinner 222" hidden="1">
              <a:extLst>
                <a:ext uri="{63B3BB69-23CF-44E3-9099-C40C66FF867C}">
                  <a14:compatExt spid="_x0000_s5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12</xdr:row>
          <xdr:rowOff>38100</xdr:rowOff>
        </xdr:from>
        <xdr:to>
          <xdr:col>3</xdr:col>
          <xdr:colOff>742950</xdr:colOff>
          <xdr:row>12</xdr:row>
          <xdr:rowOff>209550</xdr:rowOff>
        </xdr:to>
        <xdr:sp macro="" textlink="">
          <xdr:nvSpPr>
            <xdr:cNvPr id="5343" name="Spinner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12</xdr:row>
          <xdr:rowOff>38100</xdr:rowOff>
        </xdr:from>
        <xdr:to>
          <xdr:col>4</xdr:col>
          <xdr:colOff>923925</xdr:colOff>
          <xdr:row>12</xdr:row>
          <xdr:rowOff>209550</xdr:rowOff>
        </xdr:to>
        <xdr:sp macro="" textlink="">
          <xdr:nvSpPr>
            <xdr:cNvPr id="5344" name="Spinner 224" hidden="1">
              <a:extLst>
                <a:ext uri="{63B3BB69-23CF-44E3-9099-C40C66FF867C}">
                  <a14:compatExt spid="_x0000_s5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13</xdr:row>
          <xdr:rowOff>38100</xdr:rowOff>
        </xdr:from>
        <xdr:to>
          <xdr:col>3</xdr:col>
          <xdr:colOff>742950</xdr:colOff>
          <xdr:row>13</xdr:row>
          <xdr:rowOff>209550</xdr:rowOff>
        </xdr:to>
        <xdr:sp macro="" textlink="">
          <xdr:nvSpPr>
            <xdr:cNvPr id="5345" name="Spinner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38100</xdr:rowOff>
        </xdr:from>
        <xdr:to>
          <xdr:col>4</xdr:col>
          <xdr:colOff>923925</xdr:colOff>
          <xdr:row>13</xdr:row>
          <xdr:rowOff>209550</xdr:rowOff>
        </xdr:to>
        <xdr:sp macro="" textlink="">
          <xdr:nvSpPr>
            <xdr:cNvPr id="5346" name="Spinner 226" hidden="1">
              <a:extLst>
                <a:ext uri="{63B3BB69-23CF-44E3-9099-C40C66FF867C}">
                  <a14:compatExt spid="_x0000_s5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14</xdr:row>
          <xdr:rowOff>38100</xdr:rowOff>
        </xdr:from>
        <xdr:to>
          <xdr:col>3</xdr:col>
          <xdr:colOff>742950</xdr:colOff>
          <xdr:row>14</xdr:row>
          <xdr:rowOff>209550</xdr:rowOff>
        </xdr:to>
        <xdr:sp macro="" textlink="">
          <xdr:nvSpPr>
            <xdr:cNvPr id="5347" name="Spinner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14</xdr:row>
          <xdr:rowOff>38100</xdr:rowOff>
        </xdr:from>
        <xdr:to>
          <xdr:col>4</xdr:col>
          <xdr:colOff>923925</xdr:colOff>
          <xdr:row>14</xdr:row>
          <xdr:rowOff>209550</xdr:rowOff>
        </xdr:to>
        <xdr:sp macro="" textlink="">
          <xdr:nvSpPr>
            <xdr:cNvPr id="5348" name="Spinner 228" hidden="1">
              <a:extLst>
                <a:ext uri="{63B3BB69-23CF-44E3-9099-C40C66FF867C}">
                  <a14:compatExt spid="_x0000_s5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15</xdr:row>
          <xdr:rowOff>38100</xdr:rowOff>
        </xdr:from>
        <xdr:to>
          <xdr:col>3</xdr:col>
          <xdr:colOff>742950</xdr:colOff>
          <xdr:row>15</xdr:row>
          <xdr:rowOff>209550</xdr:rowOff>
        </xdr:to>
        <xdr:sp macro="" textlink="">
          <xdr:nvSpPr>
            <xdr:cNvPr id="5349" name="Spinner 229" hidden="1">
              <a:extLst>
                <a:ext uri="{63B3BB69-23CF-44E3-9099-C40C66FF867C}">
                  <a14:compatExt spid="_x0000_s5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15</xdr:row>
          <xdr:rowOff>38100</xdr:rowOff>
        </xdr:from>
        <xdr:to>
          <xdr:col>4</xdr:col>
          <xdr:colOff>923925</xdr:colOff>
          <xdr:row>15</xdr:row>
          <xdr:rowOff>209550</xdr:rowOff>
        </xdr:to>
        <xdr:sp macro="" textlink="">
          <xdr:nvSpPr>
            <xdr:cNvPr id="5350" name="Spinner 230" hidden="1">
              <a:extLst>
                <a:ext uri="{63B3BB69-23CF-44E3-9099-C40C66FF867C}">
                  <a14:compatExt spid="_x0000_s5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16</xdr:row>
          <xdr:rowOff>38100</xdr:rowOff>
        </xdr:from>
        <xdr:to>
          <xdr:col>3</xdr:col>
          <xdr:colOff>742950</xdr:colOff>
          <xdr:row>16</xdr:row>
          <xdr:rowOff>209550</xdr:rowOff>
        </xdr:to>
        <xdr:sp macro="" textlink="">
          <xdr:nvSpPr>
            <xdr:cNvPr id="5351" name="Spinner 231" hidden="1">
              <a:extLst>
                <a:ext uri="{63B3BB69-23CF-44E3-9099-C40C66FF867C}">
                  <a14:compatExt spid="_x0000_s5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16</xdr:row>
          <xdr:rowOff>38100</xdr:rowOff>
        </xdr:from>
        <xdr:to>
          <xdr:col>4</xdr:col>
          <xdr:colOff>923925</xdr:colOff>
          <xdr:row>16</xdr:row>
          <xdr:rowOff>209550</xdr:rowOff>
        </xdr:to>
        <xdr:sp macro="" textlink="">
          <xdr:nvSpPr>
            <xdr:cNvPr id="5352" name="Spinner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17</xdr:row>
          <xdr:rowOff>38100</xdr:rowOff>
        </xdr:from>
        <xdr:to>
          <xdr:col>3</xdr:col>
          <xdr:colOff>742950</xdr:colOff>
          <xdr:row>17</xdr:row>
          <xdr:rowOff>209550</xdr:rowOff>
        </xdr:to>
        <xdr:sp macro="" textlink="">
          <xdr:nvSpPr>
            <xdr:cNvPr id="5353" name="Spinner 233" hidden="1">
              <a:extLst>
                <a:ext uri="{63B3BB69-23CF-44E3-9099-C40C66FF867C}">
                  <a14:compatExt spid="_x0000_s5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17</xdr:row>
          <xdr:rowOff>38100</xdr:rowOff>
        </xdr:from>
        <xdr:to>
          <xdr:col>4</xdr:col>
          <xdr:colOff>923925</xdr:colOff>
          <xdr:row>17</xdr:row>
          <xdr:rowOff>209550</xdr:rowOff>
        </xdr:to>
        <xdr:sp macro="" textlink="">
          <xdr:nvSpPr>
            <xdr:cNvPr id="5354" name="Spinner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18</xdr:row>
          <xdr:rowOff>38100</xdr:rowOff>
        </xdr:from>
        <xdr:to>
          <xdr:col>3</xdr:col>
          <xdr:colOff>742950</xdr:colOff>
          <xdr:row>18</xdr:row>
          <xdr:rowOff>209550</xdr:rowOff>
        </xdr:to>
        <xdr:sp macro="" textlink="">
          <xdr:nvSpPr>
            <xdr:cNvPr id="5355" name="Spinner 235" hidden="1">
              <a:extLst>
                <a:ext uri="{63B3BB69-23CF-44E3-9099-C40C66FF867C}">
                  <a14:compatExt spid="_x0000_s5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18</xdr:row>
          <xdr:rowOff>38100</xdr:rowOff>
        </xdr:from>
        <xdr:to>
          <xdr:col>4</xdr:col>
          <xdr:colOff>923925</xdr:colOff>
          <xdr:row>18</xdr:row>
          <xdr:rowOff>209550</xdr:rowOff>
        </xdr:to>
        <xdr:sp macro="" textlink="">
          <xdr:nvSpPr>
            <xdr:cNvPr id="5356" name="Spinner 236" hidden="1">
              <a:extLst>
                <a:ext uri="{63B3BB69-23CF-44E3-9099-C40C66FF867C}">
                  <a14:compatExt spid="_x0000_s5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19</xdr:row>
          <xdr:rowOff>38100</xdr:rowOff>
        </xdr:from>
        <xdr:to>
          <xdr:col>3</xdr:col>
          <xdr:colOff>742950</xdr:colOff>
          <xdr:row>19</xdr:row>
          <xdr:rowOff>209550</xdr:rowOff>
        </xdr:to>
        <xdr:sp macro="" textlink="">
          <xdr:nvSpPr>
            <xdr:cNvPr id="5357" name="Spinner 237" hidden="1">
              <a:extLst>
                <a:ext uri="{63B3BB69-23CF-44E3-9099-C40C66FF867C}">
                  <a14:compatExt spid="_x0000_s5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19</xdr:row>
          <xdr:rowOff>38100</xdr:rowOff>
        </xdr:from>
        <xdr:to>
          <xdr:col>4</xdr:col>
          <xdr:colOff>923925</xdr:colOff>
          <xdr:row>19</xdr:row>
          <xdr:rowOff>209550</xdr:rowOff>
        </xdr:to>
        <xdr:sp macro="" textlink="">
          <xdr:nvSpPr>
            <xdr:cNvPr id="5358" name="Spinner 238" hidden="1">
              <a:extLst>
                <a:ext uri="{63B3BB69-23CF-44E3-9099-C40C66FF867C}">
                  <a14:compatExt spid="_x0000_s5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20</xdr:row>
          <xdr:rowOff>38100</xdr:rowOff>
        </xdr:from>
        <xdr:to>
          <xdr:col>3</xdr:col>
          <xdr:colOff>742950</xdr:colOff>
          <xdr:row>20</xdr:row>
          <xdr:rowOff>209550</xdr:rowOff>
        </xdr:to>
        <xdr:sp macro="" textlink="">
          <xdr:nvSpPr>
            <xdr:cNvPr id="5359" name="Spinner 239" hidden="1">
              <a:extLst>
                <a:ext uri="{63B3BB69-23CF-44E3-9099-C40C66FF867C}">
                  <a14:compatExt spid="_x0000_s5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20</xdr:row>
          <xdr:rowOff>38100</xdr:rowOff>
        </xdr:from>
        <xdr:to>
          <xdr:col>4</xdr:col>
          <xdr:colOff>923925</xdr:colOff>
          <xdr:row>20</xdr:row>
          <xdr:rowOff>209550</xdr:rowOff>
        </xdr:to>
        <xdr:sp macro="" textlink="">
          <xdr:nvSpPr>
            <xdr:cNvPr id="5360" name="Spinner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21</xdr:row>
          <xdr:rowOff>38100</xdr:rowOff>
        </xdr:from>
        <xdr:to>
          <xdr:col>3</xdr:col>
          <xdr:colOff>742950</xdr:colOff>
          <xdr:row>21</xdr:row>
          <xdr:rowOff>209550</xdr:rowOff>
        </xdr:to>
        <xdr:sp macro="" textlink="">
          <xdr:nvSpPr>
            <xdr:cNvPr id="5361" name="Spinner 241" hidden="1">
              <a:extLst>
                <a:ext uri="{63B3BB69-23CF-44E3-9099-C40C66FF867C}">
                  <a14:compatExt spid="_x0000_s5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21</xdr:row>
          <xdr:rowOff>38100</xdr:rowOff>
        </xdr:from>
        <xdr:to>
          <xdr:col>4</xdr:col>
          <xdr:colOff>923925</xdr:colOff>
          <xdr:row>21</xdr:row>
          <xdr:rowOff>209550</xdr:rowOff>
        </xdr:to>
        <xdr:sp macro="" textlink="">
          <xdr:nvSpPr>
            <xdr:cNvPr id="5362" name="Spinner 242" hidden="1">
              <a:extLst>
                <a:ext uri="{63B3BB69-23CF-44E3-9099-C40C66FF867C}">
                  <a14:compatExt spid="_x0000_s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3</xdr:row>
          <xdr:rowOff>38100</xdr:rowOff>
        </xdr:from>
        <xdr:to>
          <xdr:col>3</xdr:col>
          <xdr:colOff>742950</xdr:colOff>
          <xdr:row>3</xdr:row>
          <xdr:rowOff>209550</xdr:rowOff>
        </xdr:to>
        <xdr:sp macro="" textlink="">
          <xdr:nvSpPr>
            <xdr:cNvPr id="5363" name="Spinner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3</xdr:row>
          <xdr:rowOff>38100</xdr:rowOff>
        </xdr:from>
        <xdr:to>
          <xdr:col>4</xdr:col>
          <xdr:colOff>923925</xdr:colOff>
          <xdr:row>3</xdr:row>
          <xdr:rowOff>209550</xdr:rowOff>
        </xdr:to>
        <xdr:sp macro="" textlink="">
          <xdr:nvSpPr>
            <xdr:cNvPr id="5364" name="Spinner 244" hidden="1">
              <a:extLst>
                <a:ext uri="{63B3BB69-23CF-44E3-9099-C40C66FF867C}">
                  <a14:compatExt spid="_x0000_s5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3</xdr:row>
          <xdr:rowOff>38100</xdr:rowOff>
        </xdr:from>
        <xdr:to>
          <xdr:col>5</xdr:col>
          <xdr:colOff>1200150</xdr:colOff>
          <xdr:row>3</xdr:row>
          <xdr:rowOff>209550</xdr:rowOff>
        </xdr:to>
        <xdr:sp macro="" textlink="">
          <xdr:nvSpPr>
            <xdr:cNvPr id="5365" name="Spinner 245" hidden="1">
              <a:extLst>
                <a:ext uri="{63B3BB69-23CF-44E3-9099-C40C66FF867C}">
                  <a14:compatExt spid="_x0000_s5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3</xdr:row>
          <xdr:rowOff>38100</xdr:rowOff>
        </xdr:from>
        <xdr:to>
          <xdr:col>8</xdr:col>
          <xdr:colOff>19050</xdr:colOff>
          <xdr:row>3</xdr:row>
          <xdr:rowOff>209550</xdr:rowOff>
        </xdr:to>
        <xdr:sp macro="" textlink="">
          <xdr:nvSpPr>
            <xdr:cNvPr id="5366" name="Spinner 246" hidden="1">
              <a:extLst>
                <a:ext uri="{63B3BB69-23CF-44E3-9099-C40C66FF867C}">
                  <a14:compatExt spid="_x0000_s5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8</xdr:row>
          <xdr:rowOff>38100</xdr:rowOff>
        </xdr:from>
        <xdr:to>
          <xdr:col>5</xdr:col>
          <xdr:colOff>1200150</xdr:colOff>
          <xdr:row>8</xdr:row>
          <xdr:rowOff>209550</xdr:rowOff>
        </xdr:to>
        <xdr:sp macro="" textlink="">
          <xdr:nvSpPr>
            <xdr:cNvPr id="5367" name="Spinner 247" hidden="1">
              <a:extLst>
                <a:ext uri="{63B3BB69-23CF-44E3-9099-C40C66FF867C}">
                  <a14:compatExt spid="_x0000_s5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8</xdr:row>
          <xdr:rowOff>38100</xdr:rowOff>
        </xdr:from>
        <xdr:to>
          <xdr:col>8</xdr:col>
          <xdr:colOff>19050</xdr:colOff>
          <xdr:row>8</xdr:row>
          <xdr:rowOff>209550</xdr:rowOff>
        </xdr:to>
        <xdr:sp macro="" textlink="">
          <xdr:nvSpPr>
            <xdr:cNvPr id="5368" name="Spinner 248" hidden="1">
              <a:extLst>
                <a:ext uri="{63B3BB69-23CF-44E3-9099-C40C66FF867C}">
                  <a14:compatExt spid="_x0000_s5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8</xdr:row>
          <xdr:rowOff>38100</xdr:rowOff>
        </xdr:from>
        <xdr:to>
          <xdr:col>3</xdr:col>
          <xdr:colOff>742950</xdr:colOff>
          <xdr:row>8</xdr:row>
          <xdr:rowOff>209550</xdr:rowOff>
        </xdr:to>
        <xdr:sp macro="" textlink="">
          <xdr:nvSpPr>
            <xdr:cNvPr id="5369" name="Spinner 249" hidden="1">
              <a:extLst>
                <a:ext uri="{63B3BB69-23CF-44E3-9099-C40C66FF867C}">
                  <a14:compatExt spid="_x0000_s5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8</xdr:row>
          <xdr:rowOff>38100</xdr:rowOff>
        </xdr:from>
        <xdr:to>
          <xdr:col>4</xdr:col>
          <xdr:colOff>923925</xdr:colOff>
          <xdr:row>8</xdr:row>
          <xdr:rowOff>209550</xdr:rowOff>
        </xdr:to>
        <xdr:sp macro="" textlink="">
          <xdr:nvSpPr>
            <xdr:cNvPr id="5370" name="Spinner 250" hidden="1">
              <a:extLst>
                <a:ext uri="{63B3BB69-23CF-44E3-9099-C40C66FF867C}">
                  <a14:compatExt spid="_x0000_s5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22</xdr:row>
          <xdr:rowOff>38100</xdr:rowOff>
        </xdr:from>
        <xdr:to>
          <xdr:col>3</xdr:col>
          <xdr:colOff>742950</xdr:colOff>
          <xdr:row>22</xdr:row>
          <xdr:rowOff>209550</xdr:rowOff>
        </xdr:to>
        <xdr:sp macro="" textlink="">
          <xdr:nvSpPr>
            <xdr:cNvPr id="5373" name="Spinner 253" hidden="1">
              <a:extLst>
                <a:ext uri="{63B3BB69-23CF-44E3-9099-C40C66FF867C}">
                  <a14:compatExt spid="_x0000_s5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628650</xdr:colOff>
          <xdr:row>22</xdr:row>
          <xdr:rowOff>38100</xdr:rowOff>
        </xdr:from>
        <xdr:to>
          <xdr:col>2</xdr:col>
          <xdr:colOff>742950</xdr:colOff>
          <xdr:row>22</xdr:row>
          <xdr:rowOff>209550</xdr:rowOff>
        </xdr:to>
        <xdr:sp macro="" textlink="">
          <xdr:nvSpPr>
            <xdr:cNvPr id="5375" name="Spinner 255" hidden="1">
              <a:extLst>
                <a:ext uri="{63B3BB69-23CF-44E3-9099-C40C66FF867C}">
                  <a14:compatExt spid="_x0000_s5375"/>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447675</xdr:colOff>
          <xdr:row>5</xdr:row>
          <xdr:rowOff>28575</xdr:rowOff>
        </xdr:from>
        <xdr:to>
          <xdr:col>7</xdr:col>
          <xdr:colOff>581025</xdr:colOff>
          <xdr:row>5</xdr:row>
          <xdr:rowOff>219075</xdr:rowOff>
        </xdr:to>
        <xdr:sp macro="" textlink="">
          <xdr:nvSpPr>
            <xdr:cNvPr id="18502" name="Spinner 70" hidden="1">
              <a:extLst>
                <a:ext uri="{63B3BB69-23CF-44E3-9099-C40C66FF867C}">
                  <a14:compatExt spid="_x0000_s18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19050</xdr:rowOff>
        </xdr:from>
        <xdr:to>
          <xdr:col>3</xdr:col>
          <xdr:colOff>0</xdr:colOff>
          <xdr:row>5</xdr:row>
          <xdr:rowOff>228600</xdr:rowOff>
        </xdr:to>
        <xdr:sp macro="" textlink="">
          <xdr:nvSpPr>
            <xdr:cNvPr id="18505" name="Spinner 73" hidden="1">
              <a:extLst>
                <a:ext uri="{63B3BB69-23CF-44E3-9099-C40C66FF867C}">
                  <a14:compatExt spid="_x0000_s18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9525</xdr:rowOff>
        </xdr:from>
        <xdr:to>
          <xdr:col>9</xdr:col>
          <xdr:colOff>133350</xdr:colOff>
          <xdr:row>5</xdr:row>
          <xdr:rowOff>238125</xdr:rowOff>
        </xdr:to>
        <xdr:sp macro="" textlink="">
          <xdr:nvSpPr>
            <xdr:cNvPr id="18506" name="Spinner 74" hidden="1">
              <a:extLst>
                <a:ext uri="{63B3BB69-23CF-44E3-9099-C40C66FF867C}">
                  <a14:compatExt spid="_x0000_s18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5</xdr:row>
          <xdr:rowOff>28575</xdr:rowOff>
        </xdr:from>
        <xdr:to>
          <xdr:col>13</xdr:col>
          <xdr:colOff>533400</xdr:colOff>
          <xdr:row>5</xdr:row>
          <xdr:rowOff>228600</xdr:rowOff>
        </xdr:to>
        <xdr:sp macro="" textlink="">
          <xdr:nvSpPr>
            <xdr:cNvPr id="18510" name="Drop Down 78" hidden="1">
              <a:extLst>
                <a:ext uri="{63B3BB69-23CF-44E3-9099-C40C66FF867C}">
                  <a14:compatExt spid="_x0000_s18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5</xdr:row>
          <xdr:rowOff>38100</xdr:rowOff>
        </xdr:from>
        <xdr:to>
          <xdr:col>12</xdr:col>
          <xdr:colOff>466725</xdr:colOff>
          <xdr:row>5</xdr:row>
          <xdr:rowOff>228600</xdr:rowOff>
        </xdr:to>
        <xdr:sp macro="" textlink="">
          <xdr:nvSpPr>
            <xdr:cNvPr id="18511" name="Spinner 79" hidden="1">
              <a:extLst>
                <a:ext uri="{63B3BB69-23CF-44E3-9099-C40C66FF867C}">
                  <a14:compatExt spid="_x0000_s18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7</xdr:row>
          <xdr:rowOff>19050</xdr:rowOff>
        </xdr:from>
        <xdr:to>
          <xdr:col>3</xdr:col>
          <xdr:colOff>0</xdr:colOff>
          <xdr:row>7</xdr:row>
          <xdr:rowOff>228600</xdr:rowOff>
        </xdr:to>
        <xdr:sp macro="" textlink="">
          <xdr:nvSpPr>
            <xdr:cNvPr id="18556" name="Spinner 124" hidden="1">
              <a:extLst>
                <a:ext uri="{63B3BB69-23CF-44E3-9099-C40C66FF867C}">
                  <a14:compatExt spid="_x0000_s18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9525</xdr:rowOff>
        </xdr:from>
        <xdr:to>
          <xdr:col>9</xdr:col>
          <xdr:colOff>133350</xdr:colOff>
          <xdr:row>7</xdr:row>
          <xdr:rowOff>238125</xdr:rowOff>
        </xdr:to>
        <xdr:sp macro="" textlink="">
          <xdr:nvSpPr>
            <xdr:cNvPr id="18557" name="Spinner 125" hidden="1">
              <a:extLst>
                <a:ext uri="{63B3BB69-23CF-44E3-9099-C40C66FF867C}">
                  <a14:compatExt spid="_x0000_s18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7</xdr:row>
          <xdr:rowOff>28575</xdr:rowOff>
        </xdr:from>
        <xdr:to>
          <xdr:col>13</xdr:col>
          <xdr:colOff>533400</xdr:colOff>
          <xdr:row>7</xdr:row>
          <xdr:rowOff>228600</xdr:rowOff>
        </xdr:to>
        <xdr:sp macro="" textlink="">
          <xdr:nvSpPr>
            <xdr:cNvPr id="18559" name="Drop Down 127" hidden="1">
              <a:extLst>
                <a:ext uri="{63B3BB69-23CF-44E3-9099-C40C66FF867C}">
                  <a14:compatExt spid="_x0000_s18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7</xdr:row>
          <xdr:rowOff>38100</xdr:rowOff>
        </xdr:from>
        <xdr:to>
          <xdr:col>12</xdr:col>
          <xdr:colOff>466725</xdr:colOff>
          <xdr:row>7</xdr:row>
          <xdr:rowOff>228600</xdr:rowOff>
        </xdr:to>
        <xdr:sp macro="" textlink="">
          <xdr:nvSpPr>
            <xdr:cNvPr id="18560" name="Spinner 128" hidden="1">
              <a:extLst>
                <a:ext uri="{63B3BB69-23CF-44E3-9099-C40C66FF867C}">
                  <a14:compatExt spid="_x0000_s18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9</xdr:row>
          <xdr:rowOff>28575</xdr:rowOff>
        </xdr:from>
        <xdr:to>
          <xdr:col>7</xdr:col>
          <xdr:colOff>581025</xdr:colOff>
          <xdr:row>9</xdr:row>
          <xdr:rowOff>219075</xdr:rowOff>
        </xdr:to>
        <xdr:sp macro="" textlink="">
          <xdr:nvSpPr>
            <xdr:cNvPr id="18562" name="Spinner 130" hidden="1">
              <a:extLst>
                <a:ext uri="{63B3BB69-23CF-44E3-9099-C40C66FF867C}">
                  <a14:compatExt spid="_x0000_s18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9</xdr:row>
          <xdr:rowOff>19050</xdr:rowOff>
        </xdr:from>
        <xdr:to>
          <xdr:col>3</xdr:col>
          <xdr:colOff>0</xdr:colOff>
          <xdr:row>9</xdr:row>
          <xdr:rowOff>228600</xdr:rowOff>
        </xdr:to>
        <xdr:sp macro="" textlink="">
          <xdr:nvSpPr>
            <xdr:cNvPr id="18563" name="Spinner 131" hidden="1">
              <a:extLst>
                <a:ext uri="{63B3BB69-23CF-44E3-9099-C40C66FF867C}">
                  <a14:compatExt spid="_x0000_s18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9525</xdr:rowOff>
        </xdr:from>
        <xdr:to>
          <xdr:col>9</xdr:col>
          <xdr:colOff>133350</xdr:colOff>
          <xdr:row>9</xdr:row>
          <xdr:rowOff>238125</xdr:rowOff>
        </xdr:to>
        <xdr:sp macro="" textlink="">
          <xdr:nvSpPr>
            <xdr:cNvPr id="18564" name="Spinner 132" hidden="1">
              <a:extLst>
                <a:ext uri="{63B3BB69-23CF-44E3-9099-C40C66FF867C}">
                  <a14:compatExt spid="_x0000_s18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566" name="Drop Down 134" hidden="1">
              <a:extLst>
                <a:ext uri="{63B3BB69-23CF-44E3-9099-C40C66FF867C}">
                  <a14:compatExt spid="_x0000_s18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9</xdr:row>
          <xdr:rowOff>38100</xdr:rowOff>
        </xdr:from>
        <xdr:to>
          <xdr:col>12</xdr:col>
          <xdr:colOff>466725</xdr:colOff>
          <xdr:row>9</xdr:row>
          <xdr:rowOff>228600</xdr:rowOff>
        </xdr:to>
        <xdr:sp macro="" textlink="">
          <xdr:nvSpPr>
            <xdr:cNvPr id="18567" name="Spinner 135" hidden="1">
              <a:extLst>
                <a:ext uri="{63B3BB69-23CF-44E3-9099-C40C66FF867C}">
                  <a14:compatExt spid="_x0000_s18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11</xdr:row>
          <xdr:rowOff>28575</xdr:rowOff>
        </xdr:from>
        <xdr:to>
          <xdr:col>7</xdr:col>
          <xdr:colOff>581025</xdr:colOff>
          <xdr:row>11</xdr:row>
          <xdr:rowOff>219075</xdr:rowOff>
        </xdr:to>
        <xdr:sp macro="" textlink="">
          <xdr:nvSpPr>
            <xdr:cNvPr id="18569" name="Spinner 137" hidden="1">
              <a:extLst>
                <a:ext uri="{63B3BB69-23CF-44E3-9099-C40C66FF867C}">
                  <a14:compatExt spid="_x0000_s18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11</xdr:row>
          <xdr:rowOff>19050</xdr:rowOff>
        </xdr:from>
        <xdr:to>
          <xdr:col>3</xdr:col>
          <xdr:colOff>0</xdr:colOff>
          <xdr:row>11</xdr:row>
          <xdr:rowOff>228600</xdr:rowOff>
        </xdr:to>
        <xdr:sp macro="" textlink="">
          <xdr:nvSpPr>
            <xdr:cNvPr id="18570" name="Spinner 138" hidden="1">
              <a:extLst>
                <a:ext uri="{63B3BB69-23CF-44E3-9099-C40C66FF867C}">
                  <a14:compatExt spid="_x0000_s18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9525</xdr:rowOff>
        </xdr:from>
        <xdr:to>
          <xdr:col>9</xdr:col>
          <xdr:colOff>133350</xdr:colOff>
          <xdr:row>11</xdr:row>
          <xdr:rowOff>238125</xdr:rowOff>
        </xdr:to>
        <xdr:sp macro="" textlink="">
          <xdr:nvSpPr>
            <xdr:cNvPr id="18571" name="Spinner 139" hidden="1">
              <a:extLst>
                <a:ext uri="{63B3BB69-23CF-44E3-9099-C40C66FF867C}">
                  <a14:compatExt spid="_x0000_s18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11</xdr:row>
          <xdr:rowOff>28575</xdr:rowOff>
        </xdr:from>
        <xdr:to>
          <xdr:col>13</xdr:col>
          <xdr:colOff>533400</xdr:colOff>
          <xdr:row>11</xdr:row>
          <xdr:rowOff>228600</xdr:rowOff>
        </xdr:to>
        <xdr:sp macro="" textlink="">
          <xdr:nvSpPr>
            <xdr:cNvPr id="18573" name="Drop Down 141" hidden="1">
              <a:extLst>
                <a:ext uri="{63B3BB69-23CF-44E3-9099-C40C66FF867C}">
                  <a14:compatExt spid="_x0000_s18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11</xdr:row>
          <xdr:rowOff>38100</xdr:rowOff>
        </xdr:from>
        <xdr:to>
          <xdr:col>12</xdr:col>
          <xdr:colOff>466725</xdr:colOff>
          <xdr:row>11</xdr:row>
          <xdr:rowOff>228600</xdr:rowOff>
        </xdr:to>
        <xdr:sp macro="" textlink="">
          <xdr:nvSpPr>
            <xdr:cNvPr id="18574" name="Spinner 142" hidden="1">
              <a:extLst>
                <a:ext uri="{63B3BB69-23CF-44E3-9099-C40C66FF867C}">
                  <a14:compatExt spid="_x0000_s18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13</xdr:row>
          <xdr:rowOff>28575</xdr:rowOff>
        </xdr:from>
        <xdr:to>
          <xdr:col>7</xdr:col>
          <xdr:colOff>581025</xdr:colOff>
          <xdr:row>13</xdr:row>
          <xdr:rowOff>219075</xdr:rowOff>
        </xdr:to>
        <xdr:sp macro="" textlink="">
          <xdr:nvSpPr>
            <xdr:cNvPr id="18576" name="Spinner 144" hidden="1">
              <a:extLst>
                <a:ext uri="{63B3BB69-23CF-44E3-9099-C40C66FF867C}">
                  <a14:compatExt spid="_x0000_s18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13</xdr:row>
          <xdr:rowOff>19050</xdr:rowOff>
        </xdr:from>
        <xdr:to>
          <xdr:col>3</xdr:col>
          <xdr:colOff>0</xdr:colOff>
          <xdr:row>13</xdr:row>
          <xdr:rowOff>228600</xdr:rowOff>
        </xdr:to>
        <xdr:sp macro="" textlink="">
          <xdr:nvSpPr>
            <xdr:cNvPr id="18577" name="Spinner 145" hidden="1">
              <a:extLst>
                <a:ext uri="{63B3BB69-23CF-44E3-9099-C40C66FF867C}">
                  <a14:compatExt spid="_x0000_s18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9525</xdr:rowOff>
        </xdr:from>
        <xdr:to>
          <xdr:col>9</xdr:col>
          <xdr:colOff>133350</xdr:colOff>
          <xdr:row>13</xdr:row>
          <xdr:rowOff>238125</xdr:rowOff>
        </xdr:to>
        <xdr:sp macro="" textlink="">
          <xdr:nvSpPr>
            <xdr:cNvPr id="18578" name="Spinner 146" hidden="1">
              <a:extLst>
                <a:ext uri="{63B3BB69-23CF-44E3-9099-C40C66FF867C}">
                  <a14:compatExt spid="_x0000_s18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13</xdr:row>
          <xdr:rowOff>28575</xdr:rowOff>
        </xdr:from>
        <xdr:to>
          <xdr:col>13</xdr:col>
          <xdr:colOff>533400</xdr:colOff>
          <xdr:row>13</xdr:row>
          <xdr:rowOff>228600</xdr:rowOff>
        </xdr:to>
        <xdr:sp macro="" textlink="">
          <xdr:nvSpPr>
            <xdr:cNvPr id="18580" name="Drop Down 148" hidden="1">
              <a:extLst>
                <a:ext uri="{63B3BB69-23CF-44E3-9099-C40C66FF867C}">
                  <a14:compatExt spid="_x0000_s18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13</xdr:row>
          <xdr:rowOff>38100</xdr:rowOff>
        </xdr:from>
        <xdr:to>
          <xdr:col>12</xdr:col>
          <xdr:colOff>466725</xdr:colOff>
          <xdr:row>13</xdr:row>
          <xdr:rowOff>228600</xdr:rowOff>
        </xdr:to>
        <xdr:sp macro="" textlink="">
          <xdr:nvSpPr>
            <xdr:cNvPr id="18581" name="Spinner 149" hidden="1">
              <a:extLst>
                <a:ext uri="{63B3BB69-23CF-44E3-9099-C40C66FF867C}">
                  <a14:compatExt spid="_x0000_s18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15</xdr:row>
          <xdr:rowOff>28575</xdr:rowOff>
        </xdr:from>
        <xdr:to>
          <xdr:col>7</xdr:col>
          <xdr:colOff>581025</xdr:colOff>
          <xdr:row>15</xdr:row>
          <xdr:rowOff>219075</xdr:rowOff>
        </xdr:to>
        <xdr:sp macro="" textlink="">
          <xdr:nvSpPr>
            <xdr:cNvPr id="18583" name="Spinner 151" hidden="1">
              <a:extLst>
                <a:ext uri="{63B3BB69-23CF-44E3-9099-C40C66FF867C}">
                  <a14:compatExt spid="_x0000_s18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15</xdr:row>
          <xdr:rowOff>19050</xdr:rowOff>
        </xdr:from>
        <xdr:to>
          <xdr:col>3</xdr:col>
          <xdr:colOff>0</xdr:colOff>
          <xdr:row>15</xdr:row>
          <xdr:rowOff>228600</xdr:rowOff>
        </xdr:to>
        <xdr:sp macro="" textlink="">
          <xdr:nvSpPr>
            <xdr:cNvPr id="18584" name="Spinner 152" hidden="1">
              <a:extLst>
                <a:ext uri="{63B3BB69-23CF-44E3-9099-C40C66FF867C}">
                  <a14:compatExt spid="_x0000_s18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9525</xdr:rowOff>
        </xdr:from>
        <xdr:to>
          <xdr:col>9</xdr:col>
          <xdr:colOff>133350</xdr:colOff>
          <xdr:row>15</xdr:row>
          <xdr:rowOff>238125</xdr:rowOff>
        </xdr:to>
        <xdr:sp macro="" textlink="">
          <xdr:nvSpPr>
            <xdr:cNvPr id="18585" name="Spinner 153" hidden="1">
              <a:extLst>
                <a:ext uri="{63B3BB69-23CF-44E3-9099-C40C66FF867C}">
                  <a14:compatExt spid="_x0000_s18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15</xdr:row>
          <xdr:rowOff>28575</xdr:rowOff>
        </xdr:from>
        <xdr:to>
          <xdr:col>13</xdr:col>
          <xdr:colOff>533400</xdr:colOff>
          <xdr:row>15</xdr:row>
          <xdr:rowOff>228600</xdr:rowOff>
        </xdr:to>
        <xdr:sp macro="" textlink="">
          <xdr:nvSpPr>
            <xdr:cNvPr id="18587" name="Drop Down 155" hidden="1">
              <a:extLst>
                <a:ext uri="{63B3BB69-23CF-44E3-9099-C40C66FF867C}">
                  <a14:compatExt spid="_x0000_s18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15</xdr:row>
          <xdr:rowOff>38100</xdr:rowOff>
        </xdr:from>
        <xdr:to>
          <xdr:col>12</xdr:col>
          <xdr:colOff>466725</xdr:colOff>
          <xdr:row>15</xdr:row>
          <xdr:rowOff>228600</xdr:rowOff>
        </xdr:to>
        <xdr:sp macro="" textlink="">
          <xdr:nvSpPr>
            <xdr:cNvPr id="18588" name="Spinner 156" hidden="1">
              <a:extLst>
                <a:ext uri="{63B3BB69-23CF-44E3-9099-C40C66FF867C}">
                  <a14:compatExt spid="_x0000_s18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17</xdr:row>
          <xdr:rowOff>28575</xdr:rowOff>
        </xdr:from>
        <xdr:to>
          <xdr:col>7</xdr:col>
          <xdr:colOff>581025</xdr:colOff>
          <xdr:row>17</xdr:row>
          <xdr:rowOff>219075</xdr:rowOff>
        </xdr:to>
        <xdr:sp macro="" textlink="">
          <xdr:nvSpPr>
            <xdr:cNvPr id="18590" name="Spinner 158" hidden="1">
              <a:extLst>
                <a:ext uri="{63B3BB69-23CF-44E3-9099-C40C66FF867C}">
                  <a14:compatExt spid="_x0000_s18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17</xdr:row>
          <xdr:rowOff>19050</xdr:rowOff>
        </xdr:from>
        <xdr:to>
          <xdr:col>3</xdr:col>
          <xdr:colOff>0</xdr:colOff>
          <xdr:row>17</xdr:row>
          <xdr:rowOff>228600</xdr:rowOff>
        </xdr:to>
        <xdr:sp macro="" textlink="">
          <xdr:nvSpPr>
            <xdr:cNvPr id="18591" name="Spinner 159" hidden="1">
              <a:extLst>
                <a:ext uri="{63B3BB69-23CF-44E3-9099-C40C66FF867C}">
                  <a14:compatExt spid="_x0000_s18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9525</xdr:rowOff>
        </xdr:from>
        <xdr:to>
          <xdr:col>9</xdr:col>
          <xdr:colOff>133350</xdr:colOff>
          <xdr:row>17</xdr:row>
          <xdr:rowOff>238125</xdr:rowOff>
        </xdr:to>
        <xdr:sp macro="" textlink="">
          <xdr:nvSpPr>
            <xdr:cNvPr id="18592" name="Spinner 160" hidden="1">
              <a:extLst>
                <a:ext uri="{63B3BB69-23CF-44E3-9099-C40C66FF867C}">
                  <a14:compatExt spid="_x0000_s18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17</xdr:row>
          <xdr:rowOff>28575</xdr:rowOff>
        </xdr:from>
        <xdr:to>
          <xdr:col>13</xdr:col>
          <xdr:colOff>533400</xdr:colOff>
          <xdr:row>17</xdr:row>
          <xdr:rowOff>228600</xdr:rowOff>
        </xdr:to>
        <xdr:sp macro="" textlink="">
          <xdr:nvSpPr>
            <xdr:cNvPr id="18594" name="Drop Down 162" hidden="1">
              <a:extLst>
                <a:ext uri="{63B3BB69-23CF-44E3-9099-C40C66FF867C}">
                  <a14:compatExt spid="_x0000_s18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17</xdr:row>
          <xdr:rowOff>38100</xdr:rowOff>
        </xdr:from>
        <xdr:to>
          <xdr:col>12</xdr:col>
          <xdr:colOff>466725</xdr:colOff>
          <xdr:row>17</xdr:row>
          <xdr:rowOff>228600</xdr:rowOff>
        </xdr:to>
        <xdr:sp macro="" textlink="">
          <xdr:nvSpPr>
            <xdr:cNvPr id="18595" name="Spinner 163" hidden="1">
              <a:extLst>
                <a:ext uri="{63B3BB69-23CF-44E3-9099-C40C66FF867C}">
                  <a14:compatExt spid="_x0000_s18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19</xdr:row>
          <xdr:rowOff>28575</xdr:rowOff>
        </xdr:from>
        <xdr:to>
          <xdr:col>7</xdr:col>
          <xdr:colOff>581025</xdr:colOff>
          <xdr:row>19</xdr:row>
          <xdr:rowOff>219075</xdr:rowOff>
        </xdr:to>
        <xdr:sp macro="" textlink="">
          <xdr:nvSpPr>
            <xdr:cNvPr id="18597" name="Spinner 165" hidden="1">
              <a:extLst>
                <a:ext uri="{63B3BB69-23CF-44E3-9099-C40C66FF867C}">
                  <a14:compatExt spid="_x0000_s18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19</xdr:row>
          <xdr:rowOff>19050</xdr:rowOff>
        </xdr:from>
        <xdr:to>
          <xdr:col>3</xdr:col>
          <xdr:colOff>0</xdr:colOff>
          <xdr:row>19</xdr:row>
          <xdr:rowOff>228600</xdr:rowOff>
        </xdr:to>
        <xdr:sp macro="" textlink="">
          <xdr:nvSpPr>
            <xdr:cNvPr id="18598" name="Spinner 166" hidden="1">
              <a:extLst>
                <a:ext uri="{63B3BB69-23CF-44E3-9099-C40C66FF867C}">
                  <a14:compatExt spid="_x0000_s18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9525</xdr:rowOff>
        </xdr:from>
        <xdr:to>
          <xdr:col>9</xdr:col>
          <xdr:colOff>133350</xdr:colOff>
          <xdr:row>19</xdr:row>
          <xdr:rowOff>238125</xdr:rowOff>
        </xdr:to>
        <xdr:sp macro="" textlink="">
          <xdr:nvSpPr>
            <xdr:cNvPr id="18599" name="Spinner 167" hidden="1">
              <a:extLst>
                <a:ext uri="{63B3BB69-23CF-44E3-9099-C40C66FF867C}">
                  <a14:compatExt spid="_x0000_s18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19</xdr:row>
          <xdr:rowOff>28575</xdr:rowOff>
        </xdr:from>
        <xdr:to>
          <xdr:col>13</xdr:col>
          <xdr:colOff>533400</xdr:colOff>
          <xdr:row>19</xdr:row>
          <xdr:rowOff>228600</xdr:rowOff>
        </xdr:to>
        <xdr:sp macro="" textlink="">
          <xdr:nvSpPr>
            <xdr:cNvPr id="18601" name="Drop Down 169" hidden="1">
              <a:extLst>
                <a:ext uri="{63B3BB69-23CF-44E3-9099-C40C66FF867C}">
                  <a14:compatExt spid="_x0000_s18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19</xdr:row>
          <xdr:rowOff>38100</xdr:rowOff>
        </xdr:from>
        <xdr:to>
          <xdr:col>12</xdr:col>
          <xdr:colOff>466725</xdr:colOff>
          <xdr:row>19</xdr:row>
          <xdr:rowOff>228600</xdr:rowOff>
        </xdr:to>
        <xdr:sp macro="" textlink="">
          <xdr:nvSpPr>
            <xdr:cNvPr id="18602" name="Spinner 170" hidden="1">
              <a:extLst>
                <a:ext uri="{63B3BB69-23CF-44E3-9099-C40C66FF867C}">
                  <a14:compatExt spid="_x0000_s18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21</xdr:row>
          <xdr:rowOff>28575</xdr:rowOff>
        </xdr:from>
        <xdr:to>
          <xdr:col>7</xdr:col>
          <xdr:colOff>581025</xdr:colOff>
          <xdr:row>21</xdr:row>
          <xdr:rowOff>219075</xdr:rowOff>
        </xdr:to>
        <xdr:sp macro="" textlink="">
          <xdr:nvSpPr>
            <xdr:cNvPr id="18604" name="Spinner 172" hidden="1">
              <a:extLst>
                <a:ext uri="{63B3BB69-23CF-44E3-9099-C40C66FF867C}">
                  <a14:compatExt spid="_x0000_s18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21</xdr:row>
          <xdr:rowOff>19050</xdr:rowOff>
        </xdr:from>
        <xdr:to>
          <xdr:col>3</xdr:col>
          <xdr:colOff>0</xdr:colOff>
          <xdr:row>21</xdr:row>
          <xdr:rowOff>228600</xdr:rowOff>
        </xdr:to>
        <xdr:sp macro="" textlink="">
          <xdr:nvSpPr>
            <xdr:cNvPr id="18605" name="Spinner 173" hidden="1">
              <a:extLst>
                <a:ext uri="{63B3BB69-23CF-44E3-9099-C40C66FF867C}">
                  <a14:compatExt spid="_x0000_s18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9525</xdr:rowOff>
        </xdr:from>
        <xdr:to>
          <xdr:col>9</xdr:col>
          <xdr:colOff>133350</xdr:colOff>
          <xdr:row>21</xdr:row>
          <xdr:rowOff>238125</xdr:rowOff>
        </xdr:to>
        <xdr:sp macro="" textlink="">
          <xdr:nvSpPr>
            <xdr:cNvPr id="18606" name="Spinner 174" hidden="1">
              <a:extLst>
                <a:ext uri="{63B3BB69-23CF-44E3-9099-C40C66FF867C}">
                  <a14:compatExt spid="_x0000_s18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21</xdr:row>
          <xdr:rowOff>28575</xdr:rowOff>
        </xdr:from>
        <xdr:to>
          <xdr:col>13</xdr:col>
          <xdr:colOff>533400</xdr:colOff>
          <xdr:row>21</xdr:row>
          <xdr:rowOff>228600</xdr:rowOff>
        </xdr:to>
        <xdr:sp macro="" textlink="">
          <xdr:nvSpPr>
            <xdr:cNvPr id="18608" name="Drop Down 176" hidden="1">
              <a:extLst>
                <a:ext uri="{63B3BB69-23CF-44E3-9099-C40C66FF867C}">
                  <a14:compatExt spid="_x0000_s18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21</xdr:row>
          <xdr:rowOff>38100</xdr:rowOff>
        </xdr:from>
        <xdr:to>
          <xdr:col>12</xdr:col>
          <xdr:colOff>466725</xdr:colOff>
          <xdr:row>21</xdr:row>
          <xdr:rowOff>228600</xdr:rowOff>
        </xdr:to>
        <xdr:sp macro="" textlink="">
          <xdr:nvSpPr>
            <xdr:cNvPr id="18609" name="Spinner 177" hidden="1">
              <a:extLst>
                <a:ext uri="{63B3BB69-23CF-44E3-9099-C40C66FF867C}">
                  <a14:compatExt spid="_x0000_s18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23</xdr:row>
          <xdr:rowOff>28575</xdr:rowOff>
        </xdr:from>
        <xdr:to>
          <xdr:col>7</xdr:col>
          <xdr:colOff>581025</xdr:colOff>
          <xdr:row>23</xdr:row>
          <xdr:rowOff>219075</xdr:rowOff>
        </xdr:to>
        <xdr:sp macro="" textlink="">
          <xdr:nvSpPr>
            <xdr:cNvPr id="18611" name="Spinner 179" hidden="1">
              <a:extLst>
                <a:ext uri="{63B3BB69-23CF-44E3-9099-C40C66FF867C}">
                  <a14:compatExt spid="_x0000_s18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23</xdr:row>
          <xdr:rowOff>19050</xdr:rowOff>
        </xdr:from>
        <xdr:to>
          <xdr:col>3</xdr:col>
          <xdr:colOff>0</xdr:colOff>
          <xdr:row>23</xdr:row>
          <xdr:rowOff>228600</xdr:rowOff>
        </xdr:to>
        <xdr:sp macro="" textlink="">
          <xdr:nvSpPr>
            <xdr:cNvPr id="18612" name="Spinner 180" hidden="1">
              <a:extLst>
                <a:ext uri="{63B3BB69-23CF-44E3-9099-C40C66FF867C}">
                  <a14:compatExt spid="_x0000_s18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9525</xdr:rowOff>
        </xdr:from>
        <xdr:to>
          <xdr:col>9</xdr:col>
          <xdr:colOff>133350</xdr:colOff>
          <xdr:row>23</xdr:row>
          <xdr:rowOff>238125</xdr:rowOff>
        </xdr:to>
        <xdr:sp macro="" textlink="">
          <xdr:nvSpPr>
            <xdr:cNvPr id="18613" name="Spinner 181" hidden="1">
              <a:extLst>
                <a:ext uri="{63B3BB69-23CF-44E3-9099-C40C66FF867C}">
                  <a14:compatExt spid="_x0000_s18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23</xdr:row>
          <xdr:rowOff>28575</xdr:rowOff>
        </xdr:from>
        <xdr:to>
          <xdr:col>13</xdr:col>
          <xdr:colOff>533400</xdr:colOff>
          <xdr:row>23</xdr:row>
          <xdr:rowOff>228600</xdr:rowOff>
        </xdr:to>
        <xdr:sp macro="" textlink="">
          <xdr:nvSpPr>
            <xdr:cNvPr id="18615" name="Drop Down 183" hidden="1">
              <a:extLst>
                <a:ext uri="{63B3BB69-23CF-44E3-9099-C40C66FF867C}">
                  <a14:compatExt spid="_x0000_s18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23</xdr:row>
          <xdr:rowOff>38100</xdr:rowOff>
        </xdr:from>
        <xdr:to>
          <xdr:col>12</xdr:col>
          <xdr:colOff>466725</xdr:colOff>
          <xdr:row>23</xdr:row>
          <xdr:rowOff>228600</xdr:rowOff>
        </xdr:to>
        <xdr:sp macro="" textlink="">
          <xdr:nvSpPr>
            <xdr:cNvPr id="18616" name="Spinner 184" hidden="1">
              <a:extLst>
                <a:ext uri="{63B3BB69-23CF-44E3-9099-C40C66FF867C}">
                  <a14:compatExt spid="_x0000_s18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25</xdr:row>
          <xdr:rowOff>28575</xdr:rowOff>
        </xdr:from>
        <xdr:to>
          <xdr:col>7</xdr:col>
          <xdr:colOff>581025</xdr:colOff>
          <xdr:row>25</xdr:row>
          <xdr:rowOff>219075</xdr:rowOff>
        </xdr:to>
        <xdr:sp macro="" textlink="">
          <xdr:nvSpPr>
            <xdr:cNvPr id="18695" name="Spinner 263" hidden="1">
              <a:extLst>
                <a:ext uri="{63B3BB69-23CF-44E3-9099-C40C66FF867C}">
                  <a14:compatExt spid="_x0000_s18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25</xdr:row>
          <xdr:rowOff>19050</xdr:rowOff>
        </xdr:from>
        <xdr:to>
          <xdr:col>3</xdr:col>
          <xdr:colOff>0</xdr:colOff>
          <xdr:row>25</xdr:row>
          <xdr:rowOff>228600</xdr:rowOff>
        </xdr:to>
        <xdr:sp macro="" textlink="">
          <xdr:nvSpPr>
            <xdr:cNvPr id="18696" name="Spinner 264" hidden="1">
              <a:extLst>
                <a:ext uri="{63B3BB69-23CF-44E3-9099-C40C66FF867C}">
                  <a14:compatExt spid="_x0000_s18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9525</xdr:rowOff>
        </xdr:from>
        <xdr:to>
          <xdr:col>9</xdr:col>
          <xdr:colOff>133350</xdr:colOff>
          <xdr:row>25</xdr:row>
          <xdr:rowOff>238125</xdr:rowOff>
        </xdr:to>
        <xdr:sp macro="" textlink="">
          <xdr:nvSpPr>
            <xdr:cNvPr id="18697" name="Spinner 265" hidden="1">
              <a:extLst>
                <a:ext uri="{63B3BB69-23CF-44E3-9099-C40C66FF867C}">
                  <a14:compatExt spid="_x0000_s18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25</xdr:row>
          <xdr:rowOff>28575</xdr:rowOff>
        </xdr:from>
        <xdr:to>
          <xdr:col>13</xdr:col>
          <xdr:colOff>533400</xdr:colOff>
          <xdr:row>25</xdr:row>
          <xdr:rowOff>228600</xdr:rowOff>
        </xdr:to>
        <xdr:sp macro="" textlink="">
          <xdr:nvSpPr>
            <xdr:cNvPr id="18699" name="Drop Down 267" hidden="1">
              <a:extLst>
                <a:ext uri="{63B3BB69-23CF-44E3-9099-C40C66FF867C}">
                  <a14:compatExt spid="_x0000_s18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25</xdr:row>
          <xdr:rowOff>38100</xdr:rowOff>
        </xdr:from>
        <xdr:to>
          <xdr:col>12</xdr:col>
          <xdr:colOff>466725</xdr:colOff>
          <xdr:row>25</xdr:row>
          <xdr:rowOff>228600</xdr:rowOff>
        </xdr:to>
        <xdr:sp macro="" textlink="">
          <xdr:nvSpPr>
            <xdr:cNvPr id="18700" name="Spinner 268" hidden="1">
              <a:extLst>
                <a:ext uri="{63B3BB69-23CF-44E3-9099-C40C66FF867C}">
                  <a14:compatExt spid="_x0000_s18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27</xdr:row>
          <xdr:rowOff>28575</xdr:rowOff>
        </xdr:from>
        <xdr:to>
          <xdr:col>7</xdr:col>
          <xdr:colOff>581025</xdr:colOff>
          <xdr:row>27</xdr:row>
          <xdr:rowOff>219075</xdr:rowOff>
        </xdr:to>
        <xdr:sp macro="" textlink="">
          <xdr:nvSpPr>
            <xdr:cNvPr id="18702" name="Spinner 270" hidden="1">
              <a:extLst>
                <a:ext uri="{63B3BB69-23CF-44E3-9099-C40C66FF867C}">
                  <a14:compatExt spid="_x0000_s18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27</xdr:row>
          <xdr:rowOff>19050</xdr:rowOff>
        </xdr:from>
        <xdr:to>
          <xdr:col>3</xdr:col>
          <xdr:colOff>0</xdr:colOff>
          <xdr:row>27</xdr:row>
          <xdr:rowOff>228600</xdr:rowOff>
        </xdr:to>
        <xdr:sp macro="" textlink="">
          <xdr:nvSpPr>
            <xdr:cNvPr id="18703" name="Spinner 271" hidden="1">
              <a:extLst>
                <a:ext uri="{63B3BB69-23CF-44E3-9099-C40C66FF867C}">
                  <a14:compatExt spid="_x0000_s18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9525</xdr:rowOff>
        </xdr:from>
        <xdr:to>
          <xdr:col>9</xdr:col>
          <xdr:colOff>133350</xdr:colOff>
          <xdr:row>27</xdr:row>
          <xdr:rowOff>238125</xdr:rowOff>
        </xdr:to>
        <xdr:sp macro="" textlink="">
          <xdr:nvSpPr>
            <xdr:cNvPr id="18704" name="Spinner 272" hidden="1">
              <a:extLst>
                <a:ext uri="{63B3BB69-23CF-44E3-9099-C40C66FF867C}">
                  <a14:compatExt spid="_x0000_s18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27</xdr:row>
          <xdr:rowOff>28575</xdr:rowOff>
        </xdr:from>
        <xdr:to>
          <xdr:col>13</xdr:col>
          <xdr:colOff>533400</xdr:colOff>
          <xdr:row>27</xdr:row>
          <xdr:rowOff>228600</xdr:rowOff>
        </xdr:to>
        <xdr:sp macro="" textlink="">
          <xdr:nvSpPr>
            <xdr:cNvPr id="18706" name="Drop Down 274" hidden="1">
              <a:extLst>
                <a:ext uri="{63B3BB69-23CF-44E3-9099-C40C66FF867C}">
                  <a14:compatExt spid="_x0000_s18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27</xdr:row>
          <xdr:rowOff>38100</xdr:rowOff>
        </xdr:from>
        <xdr:to>
          <xdr:col>12</xdr:col>
          <xdr:colOff>466725</xdr:colOff>
          <xdr:row>27</xdr:row>
          <xdr:rowOff>228600</xdr:rowOff>
        </xdr:to>
        <xdr:sp macro="" textlink="">
          <xdr:nvSpPr>
            <xdr:cNvPr id="18707" name="Spinner 275" hidden="1">
              <a:extLst>
                <a:ext uri="{63B3BB69-23CF-44E3-9099-C40C66FF867C}">
                  <a14:compatExt spid="_x0000_s18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29</xdr:row>
          <xdr:rowOff>28575</xdr:rowOff>
        </xdr:from>
        <xdr:to>
          <xdr:col>7</xdr:col>
          <xdr:colOff>581025</xdr:colOff>
          <xdr:row>29</xdr:row>
          <xdr:rowOff>219075</xdr:rowOff>
        </xdr:to>
        <xdr:sp macro="" textlink="">
          <xdr:nvSpPr>
            <xdr:cNvPr id="18709" name="Spinner 277" hidden="1">
              <a:extLst>
                <a:ext uri="{63B3BB69-23CF-44E3-9099-C40C66FF867C}">
                  <a14:compatExt spid="_x0000_s18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29</xdr:row>
          <xdr:rowOff>19050</xdr:rowOff>
        </xdr:from>
        <xdr:to>
          <xdr:col>3</xdr:col>
          <xdr:colOff>0</xdr:colOff>
          <xdr:row>29</xdr:row>
          <xdr:rowOff>228600</xdr:rowOff>
        </xdr:to>
        <xdr:sp macro="" textlink="">
          <xdr:nvSpPr>
            <xdr:cNvPr id="18710" name="Spinner 278" hidden="1">
              <a:extLst>
                <a:ext uri="{63B3BB69-23CF-44E3-9099-C40C66FF867C}">
                  <a14:compatExt spid="_x0000_s18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9525</xdr:rowOff>
        </xdr:from>
        <xdr:to>
          <xdr:col>9</xdr:col>
          <xdr:colOff>133350</xdr:colOff>
          <xdr:row>29</xdr:row>
          <xdr:rowOff>238125</xdr:rowOff>
        </xdr:to>
        <xdr:sp macro="" textlink="">
          <xdr:nvSpPr>
            <xdr:cNvPr id="18711" name="Spinner 279" hidden="1">
              <a:extLst>
                <a:ext uri="{63B3BB69-23CF-44E3-9099-C40C66FF867C}">
                  <a14:compatExt spid="_x0000_s18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29</xdr:row>
          <xdr:rowOff>28575</xdr:rowOff>
        </xdr:from>
        <xdr:to>
          <xdr:col>13</xdr:col>
          <xdr:colOff>533400</xdr:colOff>
          <xdr:row>29</xdr:row>
          <xdr:rowOff>228600</xdr:rowOff>
        </xdr:to>
        <xdr:sp macro="" textlink="">
          <xdr:nvSpPr>
            <xdr:cNvPr id="18713" name="Drop Down 281" hidden="1">
              <a:extLst>
                <a:ext uri="{63B3BB69-23CF-44E3-9099-C40C66FF867C}">
                  <a14:compatExt spid="_x0000_s18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29</xdr:row>
          <xdr:rowOff>38100</xdr:rowOff>
        </xdr:from>
        <xdr:to>
          <xdr:col>12</xdr:col>
          <xdr:colOff>466725</xdr:colOff>
          <xdr:row>29</xdr:row>
          <xdr:rowOff>228600</xdr:rowOff>
        </xdr:to>
        <xdr:sp macro="" textlink="">
          <xdr:nvSpPr>
            <xdr:cNvPr id="18714" name="Spinner 282" hidden="1">
              <a:extLst>
                <a:ext uri="{63B3BB69-23CF-44E3-9099-C40C66FF867C}">
                  <a14:compatExt spid="_x0000_s18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31</xdr:row>
          <xdr:rowOff>28575</xdr:rowOff>
        </xdr:from>
        <xdr:to>
          <xdr:col>7</xdr:col>
          <xdr:colOff>581025</xdr:colOff>
          <xdr:row>31</xdr:row>
          <xdr:rowOff>219075</xdr:rowOff>
        </xdr:to>
        <xdr:sp macro="" textlink="">
          <xdr:nvSpPr>
            <xdr:cNvPr id="18716" name="Spinner 284" hidden="1">
              <a:extLst>
                <a:ext uri="{63B3BB69-23CF-44E3-9099-C40C66FF867C}">
                  <a14:compatExt spid="_x0000_s18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31</xdr:row>
          <xdr:rowOff>19050</xdr:rowOff>
        </xdr:from>
        <xdr:to>
          <xdr:col>3</xdr:col>
          <xdr:colOff>0</xdr:colOff>
          <xdr:row>31</xdr:row>
          <xdr:rowOff>228600</xdr:rowOff>
        </xdr:to>
        <xdr:sp macro="" textlink="">
          <xdr:nvSpPr>
            <xdr:cNvPr id="18717" name="Spinner 285" hidden="1">
              <a:extLst>
                <a:ext uri="{63B3BB69-23CF-44E3-9099-C40C66FF867C}">
                  <a14:compatExt spid="_x0000_s18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9525</xdr:rowOff>
        </xdr:from>
        <xdr:to>
          <xdr:col>9</xdr:col>
          <xdr:colOff>133350</xdr:colOff>
          <xdr:row>31</xdr:row>
          <xdr:rowOff>238125</xdr:rowOff>
        </xdr:to>
        <xdr:sp macro="" textlink="">
          <xdr:nvSpPr>
            <xdr:cNvPr id="18718" name="Spinner 286" hidden="1">
              <a:extLst>
                <a:ext uri="{63B3BB69-23CF-44E3-9099-C40C66FF867C}">
                  <a14:compatExt spid="_x0000_s18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31</xdr:row>
          <xdr:rowOff>28575</xdr:rowOff>
        </xdr:from>
        <xdr:to>
          <xdr:col>13</xdr:col>
          <xdr:colOff>533400</xdr:colOff>
          <xdr:row>31</xdr:row>
          <xdr:rowOff>228600</xdr:rowOff>
        </xdr:to>
        <xdr:sp macro="" textlink="">
          <xdr:nvSpPr>
            <xdr:cNvPr id="18720" name="Drop Down 288" hidden="1">
              <a:extLst>
                <a:ext uri="{63B3BB69-23CF-44E3-9099-C40C66FF867C}">
                  <a14:compatExt spid="_x0000_s18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31</xdr:row>
          <xdr:rowOff>38100</xdr:rowOff>
        </xdr:from>
        <xdr:to>
          <xdr:col>12</xdr:col>
          <xdr:colOff>466725</xdr:colOff>
          <xdr:row>31</xdr:row>
          <xdr:rowOff>228600</xdr:rowOff>
        </xdr:to>
        <xdr:sp macro="" textlink="">
          <xdr:nvSpPr>
            <xdr:cNvPr id="18721" name="Spinner 289" hidden="1">
              <a:extLst>
                <a:ext uri="{63B3BB69-23CF-44E3-9099-C40C66FF867C}">
                  <a14:compatExt spid="_x0000_s1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33</xdr:row>
          <xdr:rowOff>28575</xdr:rowOff>
        </xdr:from>
        <xdr:to>
          <xdr:col>7</xdr:col>
          <xdr:colOff>581025</xdr:colOff>
          <xdr:row>33</xdr:row>
          <xdr:rowOff>219075</xdr:rowOff>
        </xdr:to>
        <xdr:sp macro="" textlink="">
          <xdr:nvSpPr>
            <xdr:cNvPr id="18723" name="Spinner 291" hidden="1">
              <a:extLst>
                <a:ext uri="{63B3BB69-23CF-44E3-9099-C40C66FF867C}">
                  <a14:compatExt spid="_x0000_s1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33</xdr:row>
          <xdr:rowOff>19050</xdr:rowOff>
        </xdr:from>
        <xdr:to>
          <xdr:col>3</xdr:col>
          <xdr:colOff>0</xdr:colOff>
          <xdr:row>33</xdr:row>
          <xdr:rowOff>228600</xdr:rowOff>
        </xdr:to>
        <xdr:sp macro="" textlink="">
          <xdr:nvSpPr>
            <xdr:cNvPr id="18724" name="Spinner 292" hidden="1">
              <a:extLst>
                <a:ext uri="{63B3BB69-23CF-44E3-9099-C40C66FF867C}">
                  <a14:compatExt spid="_x0000_s1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9525</xdr:rowOff>
        </xdr:from>
        <xdr:to>
          <xdr:col>9</xdr:col>
          <xdr:colOff>133350</xdr:colOff>
          <xdr:row>33</xdr:row>
          <xdr:rowOff>238125</xdr:rowOff>
        </xdr:to>
        <xdr:sp macro="" textlink="">
          <xdr:nvSpPr>
            <xdr:cNvPr id="18725" name="Spinner 293" hidden="1">
              <a:extLst>
                <a:ext uri="{63B3BB69-23CF-44E3-9099-C40C66FF867C}">
                  <a14:compatExt spid="_x0000_s18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33</xdr:row>
          <xdr:rowOff>28575</xdr:rowOff>
        </xdr:from>
        <xdr:to>
          <xdr:col>13</xdr:col>
          <xdr:colOff>533400</xdr:colOff>
          <xdr:row>33</xdr:row>
          <xdr:rowOff>228600</xdr:rowOff>
        </xdr:to>
        <xdr:sp macro="" textlink="">
          <xdr:nvSpPr>
            <xdr:cNvPr id="18727" name="Drop Down 295" hidden="1">
              <a:extLst>
                <a:ext uri="{63B3BB69-23CF-44E3-9099-C40C66FF867C}">
                  <a14:compatExt spid="_x0000_s18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33</xdr:row>
          <xdr:rowOff>38100</xdr:rowOff>
        </xdr:from>
        <xdr:to>
          <xdr:col>12</xdr:col>
          <xdr:colOff>466725</xdr:colOff>
          <xdr:row>33</xdr:row>
          <xdr:rowOff>228600</xdr:rowOff>
        </xdr:to>
        <xdr:sp macro="" textlink="">
          <xdr:nvSpPr>
            <xdr:cNvPr id="18728" name="Spinner 296" hidden="1">
              <a:extLst>
                <a:ext uri="{63B3BB69-23CF-44E3-9099-C40C66FF867C}">
                  <a14:compatExt spid="_x0000_s18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35</xdr:row>
          <xdr:rowOff>28575</xdr:rowOff>
        </xdr:from>
        <xdr:to>
          <xdr:col>7</xdr:col>
          <xdr:colOff>581025</xdr:colOff>
          <xdr:row>35</xdr:row>
          <xdr:rowOff>219075</xdr:rowOff>
        </xdr:to>
        <xdr:sp macro="" textlink="">
          <xdr:nvSpPr>
            <xdr:cNvPr id="18730" name="Spinner 298" hidden="1">
              <a:extLst>
                <a:ext uri="{63B3BB69-23CF-44E3-9099-C40C66FF867C}">
                  <a14:compatExt spid="_x0000_s18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35</xdr:row>
          <xdr:rowOff>19050</xdr:rowOff>
        </xdr:from>
        <xdr:to>
          <xdr:col>3</xdr:col>
          <xdr:colOff>0</xdr:colOff>
          <xdr:row>35</xdr:row>
          <xdr:rowOff>228600</xdr:rowOff>
        </xdr:to>
        <xdr:sp macro="" textlink="">
          <xdr:nvSpPr>
            <xdr:cNvPr id="18731" name="Spinner 299" hidden="1">
              <a:extLst>
                <a:ext uri="{63B3BB69-23CF-44E3-9099-C40C66FF867C}">
                  <a14:compatExt spid="_x0000_s18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9525</xdr:rowOff>
        </xdr:from>
        <xdr:to>
          <xdr:col>9</xdr:col>
          <xdr:colOff>133350</xdr:colOff>
          <xdr:row>35</xdr:row>
          <xdr:rowOff>238125</xdr:rowOff>
        </xdr:to>
        <xdr:sp macro="" textlink="">
          <xdr:nvSpPr>
            <xdr:cNvPr id="18732" name="Spinner 300" hidden="1">
              <a:extLst>
                <a:ext uri="{63B3BB69-23CF-44E3-9099-C40C66FF867C}">
                  <a14:compatExt spid="_x0000_s18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35</xdr:row>
          <xdr:rowOff>28575</xdr:rowOff>
        </xdr:from>
        <xdr:to>
          <xdr:col>13</xdr:col>
          <xdr:colOff>533400</xdr:colOff>
          <xdr:row>35</xdr:row>
          <xdr:rowOff>228600</xdr:rowOff>
        </xdr:to>
        <xdr:sp macro="" textlink="">
          <xdr:nvSpPr>
            <xdr:cNvPr id="18734" name="Drop Down 302" hidden="1">
              <a:extLst>
                <a:ext uri="{63B3BB69-23CF-44E3-9099-C40C66FF867C}">
                  <a14:compatExt spid="_x0000_s18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35</xdr:row>
          <xdr:rowOff>38100</xdr:rowOff>
        </xdr:from>
        <xdr:to>
          <xdr:col>12</xdr:col>
          <xdr:colOff>466725</xdr:colOff>
          <xdr:row>35</xdr:row>
          <xdr:rowOff>228600</xdr:rowOff>
        </xdr:to>
        <xdr:sp macro="" textlink="">
          <xdr:nvSpPr>
            <xdr:cNvPr id="18735" name="Spinner 303" hidden="1">
              <a:extLst>
                <a:ext uri="{63B3BB69-23CF-44E3-9099-C40C66FF867C}">
                  <a14:compatExt spid="_x0000_s18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37</xdr:row>
          <xdr:rowOff>28575</xdr:rowOff>
        </xdr:from>
        <xdr:to>
          <xdr:col>7</xdr:col>
          <xdr:colOff>581025</xdr:colOff>
          <xdr:row>37</xdr:row>
          <xdr:rowOff>219075</xdr:rowOff>
        </xdr:to>
        <xdr:sp macro="" textlink="">
          <xdr:nvSpPr>
            <xdr:cNvPr id="18737" name="Spinner 305" hidden="1">
              <a:extLst>
                <a:ext uri="{63B3BB69-23CF-44E3-9099-C40C66FF867C}">
                  <a14:compatExt spid="_x0000_s18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37</xdr:row>
          <xdr:rowOff>19050</xdr:rowOff>
        </xdr:from>
        <xdr:to>
          <xdr:col>3</xdr:col>
          <xdr:colOff>0</xdr:colOff>
          <xdr:row>37</xdr:row>
          <xdr:rowOff>228600</xdr:rowOff>
        </xdr:to>
        <xdr:sp macro="" textlink="">
          <xdr:nvSpPr>
            <xdr:cNvPr id="18738" name="Spinner 306" hidden="1">
              <a:extLst>
                <a:ext uri="{63B3BB69-23CF-44E3-9099-C40C66FF867C}">
                  <a14:compatExt spid="_x0000_s18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9525</xdr:rowOff>
        </xdr:from>
        <xdr:to>
          <xdr:col>9</xdr:col>
          <xdr:colOff>133350</xdr:colOff>
          <xdr:row>37</xdr:row>
          <xdr:rowOff>238125</xdr:rowOff>
        </xdr:to>
        <xdr:sp macro="" textlink="">
          <xdr:nvSpPr>
            <xdr:cNvPr id="18739" name="Spinner 307" hidden="1">
              <a:extLst>
                <a:ext uri="{63B3BB69-23CF-44E3-9099-C40C66FF867C}">
                  <a14:compatExt spid="_x0000_s18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37</xdr:row>
          <xdr:rowOff>28575</xdr:rowOff>
        </xdr:from>
        <xdr:to>
          <xdr:col>13</xdr:col>
          <xdr:colOff>533400</xdr:colOff>
          <xdr:row>37</xdr:row>
          <xdr:rowOff>228600</xdr:rowOff>
        </xdr:to>
        <xdr:sp macro="" textlink="">
          <xdr:nvSpPr>
            <xdr:cNvPr id="18741" name="Drop Down 309" hidden="1">
              <a:extLst>
                <a:ext uri="{63B3BB69-23CF-44E3-9099-C40C66FF867C}">
                  <a14:compatExt spid="_x0000_s18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37</xdr:row>
          <xdr:rowOff>38100</xdr:rowOff>
        </xdr:from>
        <xdr:to>
          <xdr:col>12</xdr:col>
          <xdr:colOff>466725</xdr:colOff>
          <xdr:row>37</xdr:row>
          <xdr:rowOff>228600</xdr:rowOff>
        </xdr:to>
        <xdr:sp macro="" textlink="">
          <xdr:nvSpPr>
            <xdr:cNvPr id="18742" name="Spinner 310" hidden="1">
              <a:extLst>
                <a:ext uri="{63B3BB69-23CF-44E3-9099-C40C66FF867C}">
                  <a14:compatExt spid="_x0000_s18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39</xdr:row>
          <xdr:rowOff>28575</xdr:rowOff>
        </xdr:from>
        <xdr:to>
          <xdr:col>7</xdr:col>
          <xdr:colOff>581025</xdr:colOff>
          <xdr:row>39</xdr:row>
          <xdr:rowOff>219075</xdr:rowOff>
        </xdr:to>
        <xdr:sp macro="" textlink="">
          <xdr:nvSpPr>
            <xdr:cNvPr id="18744" name="Spinner 312" hidden="1">
              <a:extLst>
                <a:ext uri="{63B3BB69-23CF-44E3-9099-C40C66FF867C}">
                  <a14:compatExt spid="_x0000_s18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39</xdr:row>
          <xdr:rowOff>19050</xdr:rowOff>
        </xdr:from>
        <xdr:to>
          <xdr:col>3</xdr:col>
          <xdr:colOff>0</xdr:colOff>
          <xdr:row>39</xdr:row>
          <xdr:rowOff>228600</xdr:rowOff>
        </xdr:to>
        <xdr:sp macro="" textlink="">
          <xdr:nvSpPr>
            <xdr:cNvPr id="18745" name="Spinner 313" hidden="1">
              <a:extLst>
                <a:ext uri="{63B3BB69-23CF-44E3-9099-C40C66FF867C}">
                  <a14:compatExt spid="_x0000_s18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9525</xdr:rowOff>
        </xdr:from>
        <xdr:to>
          <xdr:col>9</xdr:col>
          <xdr:colOff>133350</xdr:colOff>
          <xdr:row>39</xdr:row>
          <xdr:rowOff>238125</xdr:rowOff>
        </xdr:to>
        <xdr:sp macro="" textlink="">
          <xdr:nvSpPr>
            <xdr:cNvPr id="18746" name="Spinner 314" hidden="1">
              <a:extLst>
                <a:ext uri="{63B3BB69-23CF-44E3-9099-C40C66FF867C}">
                  <a14:compatExt spid="_x0000_s18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39</xdr:row>
          <xdr:rowOff>28575</xdr:rowOff>
        </xdr:from>
        <xdr:to>
          <xdr:col>13</xdr:col>
          <xdr:colOff>533400</xdr:colOff>
          <xdr:row>39</xdr:row>
          <xdr:rowOff>228600</xdr:rowOff>
        </xdr:to>
        <xdr:sp macro="" textlink="">
          <xdr:nvSpPr>
            <xdr:cNvPr id="18748" name="Drop Down 316" hidden="1">
              <a:extLst>
                <a:ext uri="{63B3BB69-23CF-44E3-9099-C40C66FF867C}">
                  <a14:compatExt spid="_x0000_s18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39</xdr:row>
          <xdr:rowOff>38100</xdr:rowOff>
        </xdr:from>
        <xdr:to>
          <xdr:col>12</xdr:col>
          <xdr:colOff>466725</xdr:colOff>
          <xdr:row>39</xdr:row>
          <xdr:rowOff>228600</xdr:rowOff>
        </xdr:to>
        <xdr:sp macro="" textlink="">
          <xdr:nvSpPr>
            <xdr:cNvPr id="18749" name="Spinner 317" hidden="1">
              <a:extLst>
                <a:ext uri="{63B3BB69-23CF-44E3-9099-C40C66FF867C}">
                  <a14:compatExt spid="_x0000_s18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41</xdr:row>
          <xdr:rowOff>28575</xdr:rowOff>
        </xdr:from>
        <xdr:to>
          <xdr:col>7</xdr:col>
          <xdr:colOff>581025</xdr:colOff>
          <xdr:row>41</xdr:row>
          <xdr:rowOff>219075</xdr:rowOff>
        </xdr:to>
        <xdr:sp macro="" textlink="">
          <xdr:nvSpPr>
            <xdr:cNvPr id="18751" name="Spinner 319" hidden="1">
              <a:extLst>
                <a:ext uri="{63B3BB69-23CF-44E3-9099-C40C66FF867C}">
                  <a14:compatExt spid="_x0000_s18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41</xdr:row>
          <xdr:rowOff>19050</xdr:rowOff>
        </xdr:from>
        <xdr:to>
          <xdr:col>3</xdr:col>
          <xdr:colOff>0</xdr:colOff>
          <xdr:row>41</xdr:row>
          <xdr:rowOff>228600</xdr:rowOff>
        </xdr:to>
        <xdr:sp macro="" textlink="">
          <xdr:nvSpPr>
            <xdr:cNvPr id="18752" name="Spinner 320" hidden="1">
              <a:extLst>
                <a:ext uri="{63B3BB69-23CF-44E3-9099-C40C66FF867C}">
                  <a14:compatExt spid="_x0000_s18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9525</xdr:rowOff>
        </xdr:from>
        <xdr:to>
          <xdr:col>9</xdr:col>
          <xdr:colOff>133350</xdr:colOff>
          <xdr:row>41</xdr:row>
          <xdr:rowOff>238125</xdr:rowOff>
        </xdr:to>
        <xdr:sp macro="" textlink="">
          <xdr:nvSpPr>
            <xdr:cNvPr id="18753" name="Spinner 321" hidden="1">
              <a:extLst>
                <a:ext uri="{63B3BB69-23CF-44E3-9099-C40C66FF867C}">
                  <a14:compatExt spid="_x0000_s18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41</xdr:row>
          <xdr:rowOff>28575</xdr:rowOff>
        </xdr:from>
        <xdr:to>
          <xdr:col>13</xdr:col>
          <xdr:colOff>533400</xdr:colOff>
          <xdr:row>41</xdr:row>
          <xdr:rowOff>228600</xdr:rowOff>
        </xdr:to>
        <xdr:sp macro="" textlink="">
          <xdr:nvSpPr>
            <xdr:cNvPr id="18755" name="Drop Down 323" hidden="1">
              <a:extLst>
                <a:ext uri="{63B3BB69-23CF-44E3-9099-C40C66FF867C}">
                  <a14:compatExt spid="_x0000_s18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41</xdr:row>
          <xdr:rowOff>38100</xdr:rowOff>
        </xdr:from>
        <xdr:to>
          <xdr:col>12</xdr:col>
          <xdr:colOff>466725</xdr:colOff>
          <xdr:row>41</xdr:row>
          <xdr:rowOff>228600</xdr:rowOff>
        </xdr:to>
        <xdr:sp macro="" textlink="">
          <xdr:nvSpPr>
            <xdr:cNvPr id="18756" name="Spinner 324" hidden="1">
              <a:extLst>
                <a:ext uri="{63B3BB69-23CF-44E3-9099-C40C66FF867C}">
                  <a14:compatExt spid="_x0000_s18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43</xdr:row>
          <xdr:rowOff>28575</xdr:rowOff>
        </xdr:from>
        <xdr:to>
          <xdr:col>7</xdr:col>
          <xdr:colOff>581025</xdr:colOff>
          <xdr:row>43</xdr:row>
          <xdr:rowOff>219075</xdr:rowOff>
        </xdr:to>
        <xdr:sp macro="" textlink="">
          <xdr:nvSpPr>
            <xdr:cNvPr id="18758" name="Spinner 326" hidden="1">
              <a:extLst>
                <a:ext uri="{63B3BB69-23CF-44E3-9099-C40C66FF867C}">
                  <a14:compatExt spid="_x0000_s18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43</xdr:row>
          <xdr:rowOff>19050</xdr:rowOff>
        </xdr:from>
        <xdr:to>
          <xdr:col>3</xdr:col>
          <xdr:colOff>0</xdr:colOff>
          <xdr:row>43</xdr:row>
          <xdr:rowOff>228600</xdr:rowOff>
        </xdr:to>
        <xdr:sp macro="" textlink="">
          <xdr:nvSpPr>
            <xdr:cNvPr id="18759" name="Spinner 327" hidden="1">
              <a:extLst>
                <a:ext uri="{63B3BB69-23CF-44E3-9099-C40C66FF867C}">
                  <a14:compatExt spid="_x0000_s18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9525</xdr:rowOff>
        </xdr:from>
        <xdr:to>
          <xdr:col>9</xdr:col>
          <xdr:colOff>133350</xdr:colOff>
          <xdr:row>43</xdr:row>
          <xdr:rowOff>238125</xdr:rowOff>
        </xdr:to>
        <xdr:sp macro="" textlink="">
          <xdr:nvSpPr>
            <xdr:cNvPr id="18760" name="Spinner 328" hidden="1">
              <a:extLst>
                <a:ext uri="{63B3BB69-23CF-44E3-9099-C40C66FF867C}">
                  <a14:compatExt spid="_x0000_s18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43</xdr:row>
          <xdr:rowOff>28575</xdr:rowOff>
        </xdr:from>
        <xdr:to>
          <xdr:col>13</xdr:col>
          <xdr:colOff>533400</xdr:colOff>
          <xdr:row>43</xdr:row>
          <xdr:rowOff>228600</xdr:rowOff>
        </xdr:to>
        <xdr:sp macro="" textlink="">
          <xdr:nvSpPr>
            <xdr:cNvPr id="18762" name="Drop Down 330" hidden="1">
              <a:extLst>
                <a:ext uri="{63B3BB69-23CF-44E3-9099-C40C66FF867C}">
                  <a14:compatExt spid="_x0000_s18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43</xdr:row>
          <xdr:rowOff>38100</xdr:rowOff>
        </xdr:from>
        <xdr:to>
          <xdr:col>12</xdr:col>
          <xdr:colOff>466725</xdr:colOff>
          <xdr:row>43</xdr:row>
          <xdr:rowOff>228600</xdr:rowOff>
        </xdr:to>
        <xdr:sp macro="" textlink="">
          <xdr:nvSpPr>
            <xdr:cNvPr id="18763" name="Spinner 331" hidden="1">
              <a:extLst>
                <a:ext uri="{63B3BB69-23CF-44E3-9099-C40C66FF867C}">
                  <a14:compatExt spid="_x0000_s18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7</xdr:row>
          <xdr:rowOff>28575</xdr:rowOff>
        </xdr:from>
        <xdr:to>
          <xdr:col>7</xdr:col>
          <xdr:colOff>581025</xdr:colOff>
          <xdr:row>7</xdr:row>
          <xdr:rowOff>219075</xdr:rowOff>
        </xdr:to>
        <xdr:sp macro="" textlink="">
          <xdr:nvSpPr>
            <xdr:cNvPr id="18796" name="Spinner 364" hidden="1">
              <a:extLst>
                <a:ext uri="{63B3BB69-23CF-44E3-9099-C40C66FF867C}">
                  <a14:compatExt spid="_x0000_s18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5</xdr:row>
          <xdr:rowOff>38100</xdr:rowOff>
        </xdr:from>
        <xdr:to>
          <xdr:col>15</xdr:col>
          <xdr:colOff>180975</xdr:colOff>
          <xdr:row>5</xdr:row>
          <xdr:rowOff>228600</xdr:rowOff>
        </xdr:to>
        <xdr:sp macro="" textlink="">
          <xdr:nvSpPr>
            <xdr:cNvPr id="18797" name="Spinner 365" hidden="1">
              <a:extLst>
                <a:ext uri="{63B3BB69-23CF-44E3-9099-C40C66FF867C}">
                  <a14:compatExt spid="_x0000_s18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7</xdr:row>
          <xdr:rowOff>38100</xdr:rowOff>
        </xdr:from>
        <xdr:to>
          <xdr:col>15</xdr:col>
          <xdr:colOff>180975</xdr:colOff>
          <xdr:row>7</xdr:row>
          <xdr:rowOff>228600</xdr:rowOff>
        </xdr:to>
        <xdr:sp macro="" textlink="">
          <xdr:nvSpPr>
            <xdr:cNvPr id="18806" name="Spinner 374" hidden="1">
              <a:extLst>
                <a:ext uri="{63B3BB69-23CF-44E3-9099-C40C66FF867C}">
                  <a14:compatExt spid="_x0000_s18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9</xdr:row>
          <xdr:rowOff>38100</xdr:rowOff>
        </xdr:from>
        <xdr:to>
          <xdr:col>15</xdr:col>
          <xdr:colOff>180975</xdr:colOff>
          <xdr:row>9</xdr:row>
          <xdr:rowOff>228600</xdr:rowOff>
        </xdr:to>
        <xdr:sp macro="" textlink="">
          <xdr:nvSpPr>
            <xdr:cNvPr id="18807" name="Spinner 375" hidden="1">
              <a:extLst>
                <a:ext uri="{63B3BB69-23CF-44E3-9099-C40C66FF867C}">
                  <a14:compatExt spid="_x0000_s18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11</xdr:row>
          <xdr:rowOff>38100</xdr:rowOff>
        </xdr:from>
        <xdr:to>
          <xdr:col>15</xdr:col>
          <xdr:colOff>180975</xdr:colOff>
          <xdr:row>11</xdr:row>
          <xdr:rowOff>228600</xdr:rowOff>
        </xdr:to>
        <xdr:sp macro="" textlink="">
          <xdr:nvSpPr>
            <xdr:cNvPr id="18808" name="Spinner 376" hidden="1">
              <a:extLst>
                <a:ext uri="{63B3BB69-23CF-44E3-9099-C40C66FF867C}">
                  <a14:compatExt spid="_x0000_s18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13</xdr:row>
          <xdr:rowOff>38100</xdr:rowOff>
        </xdr:from>
        <xdr:to>
          <xdr:col>15</xdr:col>
          <xdr:colOff>180975</xdr:colOff>
          <xdr:row>13</xdr:row>
          <xdr:rowOff>228600</xdr:rowOff>
        </xdr:to>
        <xdr:sp macro="" textlink="">
          <xdr:nvSpPr>
            <xdr:cNvPr id="18809" name="Spinner 377" hidden="1">
              <a:extLst>
                <a:ext uri="{63B3BB69-23CF-44E3-9099-C40C66FF867C}">
                  <a14:compatExt spid="_x0000_s18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15</xdr:row>
          <xdr:rowOff>38100</xdr:rowOff>
        </xdr:from>
        <xdr:to>
          <xdr:col>15</xdr:col>
          <xdr:colOff>180975</xdr:colOff>
          <xdr:row>15</xdr:row>
          <xdr:rowOff>228600</xdr:rowOff>
        </xdr:to>
        <xdr:sp macro="" textlink="">
          <xdr:nvSpPr>
            <xdr:cNvPr id="18810" name="Spinner 378" hidden="1">
              <a:extLst>
                <a:ext uri="{63B3BB69-23CF-44E3-9099-C40C66FF867C}">
                  <a14:compatExt spid="_x0000_s18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17</xdr:row>
          <xdr:rowOff>38100</xdr:rowOff>
        </xdr:from>
        <xdr:to>
          <xdr:col>15</xdr:col>
          <xdr:colOff>180975</xdr:colOff>
          <xdr:row>17</xdr:row>
          <xdr:rowOff>228600</xdr:rowOff>
        </xdr:to>
        <xdr:sp macro="" textlink="">
          <xdr:nvSpPr>
            <xdr:cNvPr id="18811" name="Spinner 379" hidden="1">
              <a:extLst>
                <a:ext uri="{63B3BB69-23CF-44E3-9099-C40C66FF867C}">
                  <a14:compatExt spid="_x0000_s18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19</xdr:row>
          <xdr:rowOff>38100</xdr:rowOff>
        </xdr:from>
        <xdr:to>
          <xdr:col>15</xdr:col>
          <xdr:colOff>180975</xdr:colOff>
          <xdr:row>19</xdr:row>
          <xdr:rowOff>228600</xdr:rowOff>
        </xdr:to>
        <xdr:sp macro="" textlink="">
          <xdr:nvSpPr>
            <xdr:cNvPr id="18812" name="Spinner 380" hidden="1">
              <a:extLst>
                <a:ext uri="{63B3BB69-23CF-44E3-9099-C40C66FF867C}">
                  <a14:compatExt spid="_x0000_s18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21</xdr:row>
          <xdr:rowOff>38100</xdr:rowOff>
        </xdr:from>
        <xdr:to>
          <xdr:col>15</xdr:col>
          <xdr:colOff>180975</xdr:colOff>
          <xdr:row>21</xdr:row>
          <xdr:rowOff>228600</xdr:rowOff>
        </xdr:to>
        <xdr:sp macro="" textlink="">
          <xdr:nvSpPr>
            <xdr:cNvPr id="18813" name="Spinner 381" hidden="1">
              <a:extLst>
                <a:ext uri="{63B3BB69-23CF-44E3-9099-C40C66FF867C}">
                  <a14:compatExt spid="_x0000_s18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23</xdr:row>
          <xdr:rowOff>38100</xdr:rowOff>
        </xdr:from>
        <xdr:to>
          <xdr:col>15</xdr:col>
          <xdr:colOff>180975</xdr:colOff>
          <xdr:row>23</xdr:row>
          <xdr:rowOff>228600</xdr:rowOff>
        </xdr:to>
        <xdr:sp macro="" textlink="">
          <xdr:nvSpPr>
            <xdr:cNvPr id="18814" name="Spinner 382" hidden="1">
              <a:extLst>
                <a:ext uri="{63B3BB69-23CF-44E3-9099-C40C66FF867C}">
                  <a14:compatExt spid="_x0000_s18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25</xdr:row>
          <xdr:rowOff>38100</xdr:rowOff>
        </xdr:from>
        <xdr:to>
          <xdr:col>15</xdr:col>
          <xdr:colOff>180975</xdr:colOff>
          <xdr:row>25</xdr:row>
          <xdr:rowOff>228600</xdr:rowOff>
        </xdr:to>
        <xdr:sp macro="" textlink="">
          <xdr:nvSpPr>
            <xdr:cNvPr id="18815" name="Spinner 383" hidden="1">
              <a:extLst>
                <a:ext uri="{63B3BB69-23CF-44E3-9099-C40C66FF867C}">
                  <a14:compatExt spid="_x0000_s18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27</xdr:row>
          <xdr:rowOff>38100</xdr:rowOff>
        </xdr:from>
        <xdr:to>
          <xdr:col>15</xdr:col>
          <xdr:colOff>180975</xdr:colOff>
          <xdr:row>27</xdr:row>
          <xdr:rowOff>228600</xdr:rowOff>
        </xdr:to>
        <xdr:sp macro="" textlink="">
          <xdr:nvSpPr>
            <xdr:cNvPr id="18816" name="Spinner 384" hidden="1">
              <a:extLst>
                <a:ext uri="{63B3BB69-23CF-44E3-9099-C40C66FF867C}">
                  <a14:compatExt spid="_x0000_s18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29</xdr:row>
          <xdr:rowOff>38100</xdr:rowOff>
        </xdr:from>
        <xdr:to>
          <xdr:col>15</xdr:col>
          <xdr:colOff>180975</xdr:colOff>
          <xdr:row>29</xdr:row>
          <xdr:rowOff>228600</xdr:rowOff>
        </xdr:to>
        <xdr:sp macro="" textlink="">
          <xdr:nvSpPr>
            <xdr:cNvPr id="18817" name="Spinner 385" hidden="1">
              <a:extLst>
                <a:ext uri="{63B3BB69-23CF-44E3-9099-C40C66FF867C}">
                  <a14:compatExt spid="_x0000_s18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31</xdr:row>
          <xdr:rowOff>38100</xdr:rowOff>
        </xdr:from>
        <xdr:to>
          <xdr:col>15</xdr:col>
          <xdr:colOff>180975</xdr:colOff>
          <xdr:row>31</xdr:row>
          <xdr:rowOff>228600</xdr:rowOff>
        </xdr:to>
        <xdr:sp macro="" textlink="">
          <xdr:nvSpPr>
            <xdr:cNvPr id="18818" name="Spinner 386" hidden="1">
              <a:extLst>
                <a:ext uri="{63B3BB69-23CF-44E3-9099-C40C66FF867C}">
                  <a14:compatExt spid="_x0000_s18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33</xdr:row>
          <xdr:rowOff>38100</xdr:rowOff>
        </xdr:from>
        <xdr:to>
          <xdr:col>15</xdr:col>
          <xdr:colOff>180975</xdr:colOff>
          <xdr:row>33</xdr:row>
          <xdr:rowOff>228600</xdr:rowOff>
        </xdr:to>
        <xdr:sp macro="" textlink="">
          <xdr:nvSpPr>
            <xdr:cNvPr id="18819" name="Spinner 387" hidden="1">
              <a:extLst>
                <a:ext uri="{63B3BB69-23CF-44E3-9099-C40C66FF867C}">
                  <a14:compatExt spid="_x0000_s18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35</xdr:row>
          <xdr:rowOff>38100</xdr:rowOff>
        </xdr:from>
        <xdr:to>
          <xdr:col>15</xdr:col>
          <xdr:colOff>180975</xdr:colOff>
          <xdr:row>35</xdr:row>
          <xdr:rowOff>228600</xdr:rowOff>
        </xdr:to>
        <xdr:sp macro="" textlink="">
          <xdr:nvSpPr>
            <xdr:cNvPr id="18820" name="Spinner 388" hidden="1">
              <a:extLst>
                <a:ext uri="{63B3BB69-23CF-44E3-9099-C40C66FF867C}">
                  <a14:compatExt spid="_x0000_s18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37</xdr:row>
          <xdr:rowOff>38100</xdr:rowOff>
        </xdr:from>
        <xdr:to>
          <xdr:col>15</xdr:col>
          <xdr:colOff>180975</xdr:colOff>
          <xdr:row>37</xdr:row>
          <xdr:rowOff>228600</xdr:rowOff>
        </xdr:to>
        <xdr:sp macro="" textlink="">
          <xdr:nvSpPr>
            <xdr:cNvPr id="18821" name="Spinner 389" hidden="1">
              <a:extLst>
                <a:ext uri="{63B3BB69-23CF-44E3-9099-C40C66FF867C}">
                  <a14:compatExt spid="_x0000_s18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39</xdr:row>
          <xdr:rowOff>38100</xdr:rowOff>
        </xdr:from>
        <xdr:to>
          <xdr:col>15</xdr:col>
          <xdr:colOff>180975</xdr:colOff>
          <xdr:row>39</xdr:row>
          <xdr:rowOff>228600</xdr:rowOff>
        </xdr:to>
        <xdr:sp macro="" textlink="">
          <xdr:nvSpPr>
            <xdr:cNvPr id="18822" name="Spinner 390" hidden="1">
              <a:extLst>
                <a:ext uri="{63B3BB69-23CF-44E3-9099-C40C66FF867C}">
                  <a14:compatExt spid="_x0000_s18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41</xdr:row>
          <xdr:rowOff>38100</xdr:rowOff>
        </xdr:from>
        <xdr:to>
          <xdr:col>15</xdr:col>
          <xdr:colOff>180975</xdr:colOff>
          <xdr:row>41</xdr:row>
          <xdr:rowOff>228600</xdr:rowOff>
        </xdr:to>
        <xdr:sp macro="" textlink="">
          <xdr:nvSpPr>
            <xdr:cNvPr id="18823" name="Spinner 391" hidden="1">
              <a:extLst>
                <a:ext uri="{63B3BB69-23CF-44E3-9099-C40C66FF867C}">
                  <a14:compatExt spid="_x0000_s18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43</xdr:row>
          <xdr:rowOff>38100</xdr:rowOff>
        </xdr:from>
        <xdr:to>
          <xdr:col>15</xdr:col>
          <xdr:colOff>180975</xdr:colOff>
          <xdr:row>43</xdr:row>
          <xdr:rowOff>228600</xdr:rowOff>
        </xdr:to>
        <xdr:sp macro="" textlink="">
          <xdr:nvSpPr>
            <xdr:cNvPr id="18824" name="Spinner 392" hidden="1">
              <a:extLst>
                <a:ext uri="{63B3BB69-23CF-44E3-9099-C40C66FF867C}">
                  <a14:compatExt spid="_x0000_s18824"/>
                </a:ext>
              </a:extLst>
            </xdr:cNvPr>
            <xdr:cNvSpPr/>
          </xdr:nvSpPr>
          <xdr:spPr>
            <a:xfrm>
              <a:off x="0" y="0"/>
              <a:ext cx="0" cy="0"/>
            </a:xfrm>
            <a:prstGeom prst="rect">
              <a:avLst/>
            </a:prstGeom>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863" name="Drop Down 431" hidden="1">
              <a:extLst>
                <a:ext uri="{63B3BB69-23CF-44E3-9099-C40C66FF867C}">
                  <a14:compatExt spid="_x0000_s18863"/>
                </a:ext>
              </a:extLst>
            </xdr:cNvPr>
            <xdr:cNvSpPr/>
          </xdr:nvSpPr>
          <xdr:spPr>
            <a:xfrm>
              <a:off x="0" y="0"/>
              <a:ext cx="0" cy="0"/>
            </a:xfrm>
            <a:prstGeom prst="rect">
              <a:avLst/>
            </a:prstGeom>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47625</xdr:colOff>
          <xdr:row>2</xdr:row>
          <xdr:rowOff>28575</xdr:rowOff>
        </xdr:from>
        <xdr:to>
          <xdr:col>12</xdr:col>
          <xdr:colOff>209550</xdr:colOff>
          <xdr:row>2</xdr:row>
          <xdr:rowOff>200025</xdr:rowOff>
        </xdr:to>
        <xdr:sp macro="" textlink="">
          <xdr:nvSpPr>
            <xdr:cNvPr id="18883" name="Spinner 451" hidden="1">
              <a:extLst>
                <a:ext uri="{63B3BB69-23CF-44E3-9099-C40C66FF867C}">
                  <a14:compatExt spid="_x0000_s18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2</xdr:row>
          <xdr:rowOff>28575</xdr:rowOff>
        </xdr:from>
        <xdr:to>
          <xdr:col>14</xdr:col>
          <xdr:colOff>514350</xdr:colOff>
          <xdr:row>2</xdr:row>
          <xdr:rowOff>200025</xdr:rowOff>
        </xdr:to>
        <xdr:sp macro="" textlink="">
          <xdr:nvSpPr>
            <xdr:cNvPr id="18884" name="Spinner 452" hidden="1">
              <a:extLst>
                <a:ext uri="{63B3BB69-23CF-44E3-9099-C40C66FF867C}">
                  <a14:compatExt spid="_x0000_s18884"/>
                </a:ext>
              </a:extLst>
            </xdr:cNvPr>
            <xdr:cNvSpPr/>
          </xdr:nvSpPr>
          <xdr:spPr>
            <a:xfrm>
              <a:off x="0" y="0"/>
              <a:ext cx="0" cy="0"/>
            </a:xfrm>
            <a:prstGeom prst="rect">
              <a:avLst/>
            </a:prstGeom>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19050</xdr:rowOff>
        </xdr:from>
        <xdr:to>
          <xdr:col>4</xdr:col>
          <xdr:colOff>904875</xdr:colOff>
          <xdr:row>8</xdr:row>
          <xdr:rowOff>0</xdr:rowOff>
        </xdr:to>
        <xdr:sp macro="" textlink="">
          <xdr:nvSpPr>
            <xdr:cNvPr id="11267" name="Drop Down 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19050</xdr:rowOff>
        </xdr:from>
        <xdr:to>
          <xdr:col>4</xdr:col>
          <xdr:colOff>904875</xdr:colOff>
          <xdr:row>9</xdr:row>
          <xdr:rowOff>0</xdr:rowOff>
        </xdr:to>
        <xdr:sp macro="" textlink="">
          <xdr:nvSpPr>
            <xdr:cNvPr id="11268" name="Drop Down 4"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19050</xdr:rowOff>
        </xdr:from>
        <xdr:to>
          <xdr:col>4</xdr:col>
          <xdr:colOff>904875</xdr:colOff>
          <xdr:row>10</xdr:row>
          <xdr:rowOff>0</xdr:rowOff>
        </xdr:to>
        <xdr:sp macro="" textlink="">
          <xdr:nvSpPr>
            <xdr:cNvPr id="11269" name="Drop Down 5"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19050</xdr:rowOff>
        </xdr:from>
        <xdr:to>
          <xdr:col>4</xdr:col>
          <xdr:colOff>904875</xdr:colOff>
          <xdr:row>11</xdr:row>
          <xdr:rowOff>0</xdr:rowOff>
        </xdr:to>
        <xdr:sp macro="" textlink="">
          <xdr:nvSpPr>
            <xdr:cNvPr id="11270" name="Drop Down 6"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19050</xdr:rowOff>
        </xdr:from>
        <xdr:to>
          <xdr:col>4</xdr:col>
          <xdr:colOff>904875</xdr:colOff>
          <xdr:row>12</xdr:row>
          <xdr:rowOff>0</xdr:rowOff>
        </xdr:to>
        <xdr:sp macro="" textlink="">
          <xdr:nvSpPr>
            <xdr:cNvPr id="11271" name="Drop Down 7" hidden="1">
              <a:extLst>
                <a:ext uri="{63B3BB69-23CF-44E3-9099-C40C66FF867C}">
                  <a14:compatExt spid="_x0000_s11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19050</xdr:rowOff>
        </xdr:from>
        <xdr:to>
          <xdr:col>4</xdr:col>
          <xdr:colOff>904875</xdr:colOff>
          <xdr:row>13</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19050</xdr:rowOff>
        </xdr:from>
        <xdr:to>
          <xdr:col>5</xdr:col>
          <xdr:colOff>1200150</xdr:colOff>
          <xdr:row>19</xdr:row>
          <xdr:rowOff>0</xdr:rowOff>
        </xdr:to>
        <xdr:sp macro="" textlink="">
          <xdr:nvSpPr>
            <xdr:cNvPr id="11303" name="Drop Down 39" hidden="1">
              <a:extLst>
                <a:ext uri="{63B3BB69-23CF-44E3-9099-C40C66FF867C}">
                  <a14:compatExt spid="_x0000_s11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19050</xdr:rowOff>
        </xdr:from>
        <xdr:to>
          <xdr:col>5</xdr:col>
          <xdr:colOff>1200150</xdr:colOff>
          <xdr:row>20</xdr:row>
          <xdr:rowOff>0</xdr:rowOff>
        </xdr:to>
        <xdr:sp macro="" textlink="">
          <xdr:nvSpPr>
            <xdr:cNvPr id="11304" name="Drop Down 40" hidden="1">
              <a:extLst>
                <a:ext uri="{63B3BB69-23CF-44E3-9099-C40C66FF867C}">
                  <a14:compatExt spid="_x0000_s11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5</xdr:col>
          <xdr:colOff>1200150</xdr:colOff>
          <xdr:row>21</xdr:row>
          <xdr:rowOff>0</xdr:rowOff>
        </xdr:to>
        <xdr:sp macro="" textlink="">
          <xdr:nvSpPr>
            <xdr:cNvPr id="11305" name="Drop Down 41" hidden="1">
              <a:extLst>
                <a:ext uri="{63B3BB69-23CF-44E3-9099-C40C66FF867C}">
                  <a14:compatExt spid="_x0000_s11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19050</xdr:rowOff>
        </xdr:from>
        <xdr:to>
          <xdr:col>5</xdr:col>
          <xdr:colOff>1200150</xdr:colOff>
          <xdr:row>22</xdr:row>
          <xdr:rowOff>0</xdr:rowOff>
        </xdr:to>
        <xdr:sp macro="" textlink="">
          <xdr:nvSpPr>
            <xdr:cNvPr id="11306" name="Drop Down 42" hidden="1">
              <a:extLst>
                <a:ext uri="{63B3BB69-23CF-44E3-9099-C40C66FF867C}">
                  <a14:compatExt spid="_x0000_s11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2</xdr:row>
          <xdr:rowOff>9525</xdr:rowOff>
        </xdr:from>
        <xdr:to>
          <xdr:col>7</xdr:col>
          <xdr:colOff>285750</xdr:colOff>
          <xdr:row>2</xdr:row>
          <xdr:rowOff>180975</xdr:rowOff>
        </xdr:to>
        <xdr:sp macro="" textlink="">
          <xdr:nvSpPr>
            <xdr:cNvPr id="11309" name="Spinner 45" hidden="1">
              <a:extLst>
                <a:ext uri="{63B3BB69-23CF-44E3-9099-C40C66FF867C}">
                  <a14:compatExt spid="_x0000_s11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xdr:row>
          <xdr:rowOff>0</xdr:rowOff>
        </xdr:from>
        <xdr:to>
          <xdr:col>9</xdr:col>
          <xdr:colOff>571500</xdr:colOff>
          <xdr:row>2</xdr:row>
          <xdr:rowOff>171450</xdr:rowOff>
        </xdr:to>
        <xdr:sp macro="" textlink="">
          <xdr:nvSpPr>
            <xdr:cNvPr id="11310" name="Spinner 46" hidden="1">
              <a:extLst>
                <a:ext uri="{63B3BB69-23CF-44E3-9099-C40C66FF867C}">
                  <a14:compatExt spid="_x0000_s11310"/>
                </a:ext>
              </a:extLst>
            </xdr:cNvPr>
            <xdr:cNvSpPr/>
          </xdr:nvSpPr>
          <xdr:spPr>
            <a:xfrm>
              <a:off x="0" y="0"/>
              <a:ext cx="0" cy="0"/>
            </a:xfrm>
            <a:prstGeom prst="rect">
              <a:avLst/>
            </a:prstGeom>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30</xdr:row>
          <xdr:rowOff>19050</xdr:rowOff>
        </xdr:from>
        <xdr:to>
          <xdr:col>3</xdr:col>
          <xdr:colOff>476250</xdr:colOff>
          <xdr:row>30</xdr:row>
          <xdr:rowOff>219075</xdr:rowOff>
        </xdr:to>
        <xdr:sp macro="" textlink="">
          <xdr:nvSpPr>
            <xdr:cNvPr id="11320" name="Drop Down 56" hidden="1">
              <a:extLst>
                <a:ext uri="{63B3BB69-23CF-44E3-9099-C40C66FF867C}">
                  <a14:compatExt spid="_x0000_s11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30</xdr:row>
          <xdr:rowOff>19050</xdr:rowOff>
        </xdr:from>
        <xdr:to>
          <xdr:col>6</xdr:col>
          <xdr:colOff>409575</xdr:colOff>
          <xdr:row>30</xdr:row>
          <xdr:rowOff>219075</xdr:rowOff>
        </xdr:to>
        <xdr:sp macro="" textlink="">
          <xdr:nvSpPr>
            <xdr:cNvPr id="11321" name="Drop Down 57" hidden="1">
              <a:extLst>
                <a:ext uri="{63B3BB69-23CF-44E3-9099-C40C66FF867C}">
                  <a14:compatExt spid="_x0000_s1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32</xdr:row>
          <xdr:rowOff>28575</xdr:rowOff>
        </xdr:from>
        <xdr:to>
          <xdr:col>3</xdr:col>
          <xdr:colOff>0</xdr:colOff>
          <xdr:row>33</xdr:row>
          <xdr:rowOff>38100</xdr:rowOff>
        </xdr:to>
        <xdr:sp macro="" textlink="">
          <xdr:nvSpPr>
            <xdr:cNvPr id="11328" name="Spinner 64" hidden="1">
              <a:extLst>
                <a:ext uri="{63B3BB69-23CF-44E3-9099-C40C66FF867C}">
                  <a14:compatExt spid="_x0000_s11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34</xdr:row>
          <xdr:rowOff>28575</xdr:rowOff>
        </xdr:from>
        <xdr:to>
          <xdr:col>3</xdr:col>
          <xdr:colOff>0</xdr:colOff>
          <xdr:row>34</xdr:row>
          <xdr:rowOff>200025</xdr:rowOff>
        </xdr:to>
        <xdr:sp macro="" textlink="">
          <xdr:nvSpPr>
            <xdr:cNvPr id="11329" name="Spinner 65" hidden="1">
              <a:extLst>
                <a:ext uri="{63B3BB69-23CF-44E3-9099-C40C66FF867C}">
                  <a14:compatExt spid="_x0000_s11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35</xdr:row>
          <xdr:rowOff>28575</xdr:rowOff>
        </xdr:from>
        <xdr:to>
          <xdr:col>3</xdr:col>
          <xdr:colOff>0</xdr:colOff>
          <xdr:row>35</xdr:row>
          <xdr:rowOff>200025</xdr:rowOff>
        </xdr:to>
        <xdr:sp macro="" textlink="">
          <xdr:nvSpPr>
            <xdr:cNvPr id="11330" name="Spinner 66" hidden="1">
              <a:extLst>
                <a:ext uri="{63B3BB69-23CF-44E3-9099-C40C66FF867C}">
                  <a14:compatExt spid="_x0000_s11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37</xdr:row>
          <xdr:rowOff>28575</xdr:rowOff>
        </xdr:from>
        <xdr:to>
          <xdr:col>3</xdr:col>
          <xdr:colOff>0</xdr:colOff>
          <xdr:row>37</xdr:row>
          <xdr:rowOff>200025</xdr:rowOff>
        </xdr:to>
        <xdr:sp macro="" textlink="">
          <xdr:nvSpPr>
            <xdr:cNvPr id="11331" name="Spinner 67" hidden="1">
              <a:extLst>
                <a:ext uri="{63B3BB69-23CF-44E3-9099-C40C66FF867C}">
                  <a14:compatExt spid="_x0000_s11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39</xdr:row>
          <xdr:rowOff>28575</xdr:rowOff>
        </xdr:from>
        <xdr:to>
          <xdr:col>3</xdr:col>
          <xdr:colOff>0</xdr:colOff>
          <xdr:row>39</xdr:row>
          <xdr:rowOff>200025</xdr:rowOff>
        </xdr:to>
        <xdr:sp macro="" textlink="">
          <xdr:nvSpPr>
            <xdr:cNvPr id="11332" name="Spinner 68" hidden="1">
              <a:extLst>
                <a:ext uri="{63B3BB69-23CF-44E3-9099-C40C66FF867C}">
                  <a14:compatExt spid="_x0000_s11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40</xdr:row>
          <xdr:rowOff>28575</xdr:rowOff>
        </xdr:from>
        <xdr:to>
          <xdr:col>3</xdr:col>
          <xdr:colOff>0</xdr:colOff>
          <xdr:row>40</xdr:row>
          <xdr:rowOff>200025</xdr:rowOff>
        </xdr:to>
        <xdr:sp macro="" textlink="">
          <xdr:nvSpPr>
            <xdr:cNvPr id="11333" name="Spinner 69" hidden="1">
              <a:extLst>
                <a:ext uri="{63B3BB69-23CF-44E3-9099-C40C66FF867C}">
                  <a14:compatExt spid="_x0000_s1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xdr:colOff>
          <xdr:row>28</xdr:row>
          <xdr:rowOff>104775</xdr:rowOff>
        </xdr:from>
        <xdr:to>
          <xdr:col>2</xdr:col>
          <xdr:colOff>742950</xdr:colOff>
          <xdr:row>29</xdr:row>
          <xdr:rowOff>47625</xdr:rowOff>
        </xdr:to>
        <xdr:sp macro="" textlink="">
          <xdr:nvSpPr>
            <xdr:cNvPr id="11334" name="Button 70" hidden="1">
              <a:extLst>
                <a:ext uri="{63B3BB69-23CF-44E3-9099-C40C66FF867C}">
                  <a14:compatExt spid="_x0000_s1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22</xdr:row>
          <xdr:rowOff>28575</xdr:rowOff>
        </xdr:from>
        <xdr:to>
          <xdr:col>3</xdr:col>
          <xdr:colOff>0</xdr:colOff>
          <xdr:row>22</xdr:row>
          <xdr:rowOff>200025</xdr:rowOff>
        </xdr:to>
        <xdr:sp macro="" textlink="">
          <xdr:nvSpPr>
            <xdr:cNvPr id="11335" name="Spinner 71" hidden="1">
              <a:extLst>
                <a:ext uri="{63B3BB69-23CF-44E3-9099-C40C66FF867C}">
                  <a14:compatExt spid="_x0000_s11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23</xdr:row>
          <xdr:rowOff>28575</xdr:rowOff>
        </xdr:from>
        <xdr:to>
          <xdr:col>3</xdr:col>
          <xdr:colOff>0</xdr:colOff>
          <xdr:row>23</xdr:row>
          <xdr:rowOff>200025</xdr:rowOff>
        </xdr:to>
        <xdr:sp macro="" textlink="">
          <xdr:nvSpPr>
            <xdr:cNvPr id="11336" name="Spinner 72" hidden="1">
              <a:extLst>
                <a:ext uri="{63B3BB69-23CF-44E3-9099-C40C66FF867C}">
                  <a14:compatExt spid="_x0000_s11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22</xdr:row>
          <xdr:rowOff>28575</xdr:rowOff>
        </xdr:from>
        <xdr:to>
          <xdr:col>5</xdr:col>
          <xdr:colOff>1152525</xdr:colOff>
          <xdr:row>22</xdr:row>
          <xdr:rowOff>200025</xdr:rowOff>
        </xdr:to>
        <xdr:sp macro="" textlink="">
          <xdr:nvSpPr>
            <xdr:cNvPr id="11338" name="Spinner 74" hidden="1">
              <a:extLst>
                <a:ext uri="{63B3BB69-23CF-44E3-9099-C40C66FF867C}">
                  <a14:compatExt spid="_x0000_s11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23</xdr:row>
          <xdr:rowOff>28575</xdr:rowOff>
        </xdr:from>
        <xdr:to>
          <xdr:col>5</xdr:col>
          <xdr:colOff>1152525</xdr:colOff>
          <xdr:row>23</xdr:row>
          <xdr:rowOff>200025</xdr:rowOff>
        </xdr:to>
        <xdr:sp macro="" textlink="">
          <xdr:nvSpPr>
            <xdr:cNvPr id="11339" name="Spinner 75" hidden="1">
              <a:extLst>
                <a:ext uri="{63B3BB69-23CF-44E3-9099-C40C66FF867C}">
                  <a14:compatExt spid="_x0000_s11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20</xdr:row>
          <xdr:rowOff>28575</xdr:rowOff>
        </xdr:from>
        <xdr:to>
          <xdr:col>8</xdr:col>
          <xdr:colOff>76200</xdr:colOff>
          <xdr:row>21</xdr:row>
          <xdr:rowOff>28575</xdr:rowOff>
        </xdr:to>
        <xdr:sp macro="" textlink="">
          <xdr:nvSpPr>
            <xdr:cNvPr id="11340" name="Check Box 76" hidden="1">
              <a:extLst>
                <a:ext uri="{63B3BB69-23CF-44E3-9099-C40C66FF867C}">
                  <a14:compatExt spid="_x0000_s11340"/>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733425</xdr:colOff>
          <xdr:row>7</xdr:row>
          <xdr:rowOff>76200</xdr:rowOff>
        </xdr:from>
        <xdr:to>
          <xdr:col>2</xdr:col>
          <xdr:colOff>857250</xdr:colOff>
          <xdr:row>8</xdr:row>
          <xdr:rowOff>0</xdr:rowOff>
        </xdr:to>
        <xdr:sp macro="" textlink="">
          <xdr:nvSpPr>
            <xdr:cNvPr id="8194" name="Spinner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504825</xdr:colOff>
          <xdr:row>7</xdr:row>
          <xdr:rowOff>66675</xdr:rowOff>
        </xdr:from>
        <xdr:to>
          <xdr:col>3</xdr:col>
          <xdr:colOff>628650</xdr:colOff>
          <xdr:row>7</xdr:row>
          <xdr:rowOff>238125</xdr:rowOff>
        </xdr:to>
        <xdr:sp macro="" textlink="">
          <xdr:nvSpPr>
            <xdr:cNvPr id="8195" name="Spinner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5</xdr:col>
          <xdr:colOff>838200</xdr:colOff>
          <xdr:row>7</xdr:row>
          <xdr:rowOff>238125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14</xdr:row>
          <xdr:rowOff>66675</xdr:rowOff>
        </xdr:from>
        <xdr:to>
          <xdr:col>3</xdr:col>
          <xdr:colOff>933450</xdr:colOff>
          <xdr:row>14</xdr:row>
          <xdr:rowOff>257175</xdr:rowOff>
        </xdr:to>
        <xdr:sp macro="" textlink="">
          <xdr:nvSpPr>
            <xdr:cNvPr id="8198" name="Spinner 6" hidden="1">
              <a:extLst>
                <a:ext uri="{63B3BB69-23CF-44E3-9099-C40C66FF867C}">
                  <a14:compatExt spid="_x0000_s8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xdr:row>
          <xdr:rowOff>28575</xdr:rowOff>
        </xdr:from>
        <xdr:to>
          <xdr:col>5</xdr:col>
          <xdr:colOff>228600</xdr:colOff>
          <xdr:row>17</xdr:row>
          <xdr:rowOff>219075</xdr:rowOff>
        </xdr:to>
        <xdr:sp macro="" textlink="">
          <xdr:nvSpPr>
            <xdr:cNvPr id="8207" name="Spinner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18</xdr:row>
          <xdr:rowOff>28575</xdr:rowOff>
        </xdr:from>
        <xdr:to>
          <xdr:col>5</xdr:col>
          <xdr:colOff>228600</xdr:colOff>
          <xdr:row>18</xdr:row>
          <xdr:rowOff>219075</xdr:rowOff>
        </xdr:to>
        <xdr:sp macro="" textlink="">
          <xdr:nvSpPr>
            <xdr:cNvPr id="8208" name="Spinner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20</xdr:row>
          <xdr:rowOff>28575</xdr:rowOff>
        </xdr:from>
        <xdr:to>
          <xdr:col>5</xdr:col>
          <xdr:colOff>228600</xdr:colOff>
          <xdr:row>20</xdr:row>
          <xdr:rowOff>219075</xdr:rowOff>
        </xdr:to>
        <xdr:sp macro="" textlink="">
          <xdr:nvSpPr>
            <xdr:cNvPr id="8209" name="Spinner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xdr:row>
          <xdr:rowOff>47625</xdr:rowOff>
        </xdr:from>
        <xdr:to>
          <xdr:col>2</xdr:col>
          <xdr:colOff>123825</xdr:colOff>
          <xdr:row>18</xdr:row>
          <xdr:rowOff>19050</xdr:rowOff>
        </xdr:to>
        <xdr:sp macro="" textlink="">
          <xdr:nvSpPr>
            <xdr:cNvPr id="8210" name="Check Box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xdr:row>
          <xdr:rowOff>47625</xdr:rowOff>
        </xdr:from>
        <xdr:to>
          <xdr:col>2</xdr:col>
          <xdr:colOff>123825</xdr:colOff>
          <xdr:row>19</xdr:row>
          <xdr:rowOff>19050</xdr:rowOff>
        </xdr:to>
        <xdr:sp macro="" textlink="">
          <xdr:nvSpPr>
            <xdr:cNvPr id="8211" name="Check Box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xdr:row>
          <xdr:rowOff>47625</xdr:rowOff>
        </xdr:from>
        <xdr:to>
          <xdr:col>2</xdr:col>
          <xdr:colOff>123825</xdr:colOff>
          <xdr:row>21</xdr:row>
          <xdr:rowOff>19050</xdr:rowOff>
        </xdr:to>
        <xdr:sp macro="" textlink="">
          <xdr:nvSpPr>
            <xdr:cNvPr id="8212" name="Check Box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933450</xdr:colOff>
          <xdr:row>23</xdr:row>
          <xdr:rowOff>76200</xdr:rowOff>
        </xdr:from>
        <xdr:to>
          <xdr:col>4</xdr:col>
          <xdr:colOff>133350</xdr:colOff>
          <xdr:row>23</xdr:row>
          <xdr:rowOff>266700</xdr:rowOff>
        </xdr:to>
        <xdr:sp macro="" textlink="">
          <xdr:nvSpPr>
            <xdr:cNvPr id="8213" name="Spinner 21" hidden="1">
              <a:extLst>
                <a:ext uri="{63B3BB69-23CF-44E3-9099-C40C66FF867C}">
                  <a14:compatExt spid="_x0000_s8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xdr:row>
          <xdr:rowOff>47625</xdr:rowOff>
        </xdr:from>
        <xdr:to>
          <xdr:col>2</xdr:col>
          <xdr:colOff>123825</xdr:colOff>
          <xdr:row>26</xdr:row>
          <xdr:rowOff>28575</xdr:rowOff>
        </xdr:to>
        <xdr:sp macro="" textlink="">
          <xdr:nvSpPr>
            <xdr:cNvPr id="8215" name="Check Box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26</xdr:row>
          <xdr:rowOff>47625</xdr:rowOff>
        </xdr:from>
        <xdr:to>
          <xdr:col>2</xdr:col>
          <xdr:colOff>123825</xdr:colOff>
          <xdr:row>27</xdr:row>
          <xdr:rowOff>19050</xdr:rowOff>
        </xdr:to>
        <xdr:sp macro="" textlink="">
          <xdr:nvSpPr>
            <xdr:cNvPr id="8216" name="Check Box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25</xdr:row>
          <xdr:rowOff>28575</xdr:rowOff>
        </xdr:from>
        <xdr:to>
          <xdr:col>5</xdr:col>
          <xdr:colOff>228600</xdr:colOff>
          <xdr:row>25</xdr:row>
          <xdr:rowOff>219075</xdr:rowOff>
        </xdr:to>
        <xdr:sp macro="" textlink="">
          <xdr:nvSpPr>
            <xdr:cNvPr id="8217" name="Spinner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26</xdr:row>
          <xdr:rowOff>28575</xdr:rowOff>
        </xdr:from>
        <xdr:to>
          <xdr:col>5</xdr:col>
          <xdr:colOff>228600</xdr:colOff>
          <xdr:row>26</xdr:row>
          <xdr:rowOff>219075</xdr:rowOff>
        </xdr:to>
        <xdr:sp macro="" textlink="">
          <xdr:nvSpPr>
            <xdr:cNvPr id="8218" name="Spinner 26" hidden="1">
              <a:extLst>
                <a:ext uri="{63B3BB69-23CF-44E3-9099-C40C66FF867C}">
                  <a14:compatExt spid="_x0000_s8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4</xdr:col>
          <xdr:colOff>295275</xdr:colOff>
          <xdr:row>6</xdr:row>
          <xdr:rowOff>19050</xdr:rowOff>
        </xdr:to>
        <xdr:sp macro="" textlink="">
          <xdr:nvSpPr>
            <xdr:cNvPr id="8219" name="Drop Down 27" hidden="1">
              <a:extLst>
                <a:ext uri="{63B3BB69-23CF-44E3-9099-C40C66FF867C}">
                  <a14:compatExt spid="_x0000_s82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xdr:row>
          <xdr:rowOff>47625</xdr:rowOff>
        </xdr:from>
        <xdr:to>
          <xdr:col>2</xdr:col>
          <xdr:colOff>123825</xdr:colOff>
          <xdr:row>22</xdr:row>
          <xdr:rowOff>19050</xdr:rowOff>
        </xdr:to>
        <xdr:sp macro="" textlink="">
          <xdr:nvSpPr>
            <xdr:cNvPr id="8230" name="Check Box 38" hidden="1">
              <a:extLst>
                <a:ext uri="{63B3BB69-23CF-44E3-9099-C40C66FF867C}">
                  <a14:compatExt spid="_x0000_s8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95250</xdr:rowOff>
        </xdr:from>
        <xdr:to>
          <xdr:col>2</xdr:col>
          <xdr:colOff>114300</xdr:colOff>
          <xdr:row>23</xdr:row>
          <xdr:rowOff>9525</xdr:rowOff>
        </xdr:to>
        <xdr:sp macro="" textlink="">
          <xdr:nvSpPr>
            <xdr:cNvPr id="8231" name="Check Box 39"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21</xdr:row>
          <xdr:rowOff>28575</xdr:rowOff>
        </xdr:from>
        <xdr:to>
          <xdr:col>5</xdr:col>
          <xdr:colOff>228600</xdr:colOff>
          <xdr:row>21</xdr:row>
          <xdr:rowOff>219075</xdr:rowOff>
        </xdr:to>
        <xdr:sp macro="" textlink="">
          <xdr:nvSpPr>
            <xdr:cNvPr id="8232" name="Spinner 40" hidden="1">
              <a:extLst>
                <a:ext uri="{63B3BB69-23CF-44E3-9099-C40C66FF867C}">
                  <a14:compatExt spid="_x0000_s8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22</xdr:row>
          <xdr:rowOff>123825</xdr:rowOff>
        </xdr:from>
        <xdr:to>
          <xdr:col>5</xdr:col>
          <xdr:colOff>228600</xdr:colOff>
          <xdr:row>23</xdr:row>
          <xdr:rowOff>9525</xdr:rowOff>
        </xdr:to>
        <xdr:sp macro="" textlink="">
          <xdr:nvSpPr>
            <xdr:cNvPr id="8233" name="Spinner 41" hidden="1">
              <a:extLst>
                <a:ext uri="{63B3BB69-23CF-44E3-9099-C40C66FF867C}">
                  <a14:compatExt spid="_x0000_s8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15</xdr:row>
          <xdr:rowOff>66675</xdr:rowOff>
        </xdr:from>
        <xdr:to>
          <xdr:col>3</xdr:col>
          <xdr:colOff>438150</xdr:colOff>
          <xdr:row>15</xdr:row>
          <xdr:rowOff>266700</xdr:rowOff>
        </xdr:to>
        <xdr:sp macro="" textlink="">
          <xdr:nvSpPr>
            <xdr:cNvPr id="8243" name="Drop Down 51" hidden="1">
              <a:extLst>
                <a:ext uri="{63B3BB69-23CF-44E3-9099-C40C66FF867C}">
                  <a14:compatExt spid="_x0000_s824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16</xdr:row>
          <xdr:rowOff>66675</xdr:rowOff>
        </xdr:from>
        <xdr:to>
          <xdr:col>3</xdr:col>
          <xdr:colOff>428625</xdr:colOff>
          <xdr:row>16</xdr:row>
          <xdr:rowOff>266700</xdr:rowOff>
        </xdr:to>
        <xdr:sp macro="" textlink="">
          <xdr:nvSpPr>
            <xdr:cNvPr id="8244" name="Drop Down 52" hidden="1">
              <a:extLst>
                <a:ext uri="{63B3BB69-23CF-44E3-9099-C40C66FF867C}">
                  <a14:compatExt spid="_x0000_s82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15</xdr:row>
          <xdr:rowOff>76200</xdr:rowOff>
        </xdr:from>
        <xdr:to>
          <xdr:col>5</xdr:col>
          <xdr:colOff>219075</xdr:colOff>
          <xdr:row>15</xdr:row>
          <xdr:rowOff>266700</xdr:rowOff>
        </xdr:to>
        <xdr:sp macro="" textlink="">
          <xdr:nvSpPr>
            <xdr:cNvPr id="8245" name="Spinner 53" hidden="1">
              <a:extLst>
                <a:ext uri="{63B3BB69-23CF-44E3-9099-C40C66FF867C}">
                  <a14:compatExt spid="_x0000_s8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733425</xdr:colOff>
          <xdr:row>8</xdr:row>
          <xdr:rowOff>76200</xdr:rowOff>
        </xdr:from>
        <xdr:to>
          <xdr:col>2</xdr:col>
          <xdr:colOff>857250</xdr:colOff>
          <xdr:row>9</xdr:row>
          <xdr:rowOff>0</xdr:rowOff>
        </xdr:to>
        <xdr:sp macro="" textlink="">
          <xdr:nvSpPr>
            <xdr:cNvPr id="8247" name="Spinner 55" hidden="1">
              <a:extLst>
                <a:ext uri="{63B3BB69-23CF-44E3-9099-C40C66FF867C}">
                  <a14:compatExt spid="_x0000_s8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8</xdr:row>
          <xdr:rowOff>66675</xdr:rowOff>
        </xdr:from>
        <xdr:to>
          <xdr:col>3</xdr:col>
          <xdr:colOff>800100</xdr:colOff>
          <xdr:row>8</xdr:row>
          <xdr:rowOff>238125</xdr:rowOff>
        </xdr:to>
        <xdr:sp macro="" textlink="">
          <xdr:nvSpPr>
            <xdr:cNvPr id="8248" name="Spinner 56" hidden="1">
              <a:extLst>
                <a:ext uri="{63B3BB69-23CF-44E3-9099-C40C66FF867C}">
                  <a14:compatExt spid="_x0000_s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38100</xdr:rowOff>
        </xdr:from>
        <xdr:to>
          <xdr:col>5</xdr:col>
          <xdr:colOff>838200</xdr:colOff>
          <xdr:row>8</xdr:row>
          <xdr:rowOff>238125</xdr:rowOff>
        </xdr:to>
        <xdr:sp macro="" textlink="">
          <xdr:nvSpPr>
            <xdr:cNvPr id="8249" name="Drop Down 57" hidden="1">
              <a:extLst>
                <a:ext uri="{63B3BB69-23CF-44E3-9099-C40C66FF867C}">
                  <a14:compatExt spid="_x0000_s82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15</xdr:row>
          <xdr:rowOff>76200</xdr:rowOff>
        </xdr:from>
        <xdr:to>
          <xdr:col>6</xdr:col>
          <xdr:colOff>657225</xdr:colOff>
          <xdr:row>15</xdr:row>
          <xdr:rowOff>266700</xdr:rowOff>
        </xdr:to>
        <xdr:sp macro="" textlink="">
          <xdr:nvSpPr>
            <xdr:cNvPr id="8250" name="Spinner 58" hidden="1">
              <a:extLst>
                <a:ext uri="{63B3BB69-23CF-44E3-9099-C40C66FF867C}">
                  <a14:compatExt spid="_x0000_s8250"/>
                </a:ext>
              </a:extLst>
            </xdr:cNvPr>
            <xdr:cNvSpPr/>
          </xdr:nvSpPr>
          <xdr:spPr>
            <a:xfrm>
              <a:off x="0" y="0"/>
              <a:ext cx="0" cy="0"/>
            </a:xfrm>
            <a:prstGeom prst="rect">
              <a:avLst/>
            </a:prstGeom>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733425</xdr:colOff>
          <xdr:row>9</xdr:row>
          <xdr:rowOff>76200</xdr:rowOff>
        </xdr:from>
        <xdr:to>
          <xdr:col>2</xdr:col>
          <xdr:colOff>857250</xdr:colOff>
          <xdr:row>10</xdr:row>
          <xdr:rowOff>0</xdr:rowOff>
        </xdr:to>
        <xdr:sp macro="" textlink="">
          <xdr:nvSpPr>
            <xdr:cNvPr id="8252" name="Spinner 60" hidden="1">
              <a:extLst>
                <a:ext uri="{63B3BB69-23CF-44E3-9099-C40C66FF867C}">
                  <a14:compatExt spid="_x0000_s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9</xdr:row>
          <xdr:rowOff>66675</xdr:rowOff>
        </xdr:from>
        <xdr:to>
          <xdr:col>3</xdr:col>
          <xdr:colOff>800100</xdr:colOff>
          <xdr:row>9</xdr:row>
          <xdr:rowOff>238125</xdr:rowOff>
        </xdr:to>
        <xdr:sp macro="" textlink="">
          <xdr:nvSpPr>
            <xdr:cNvPr id="8253" name="Spinner 61" hidden="1">
              <a:extLst>
                <a:ext uri="{63B3BB69-23CF-44E3-9099-C40C66FF867C}">
                  <a14:compatExt spid="_x0000_s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38100</xdr:rowOff>
        </xdr:from>
        <xdr:to>
          <xdr:col>5</xdr:col>
          <xdr:colOff>838200</xdr:colOff>
          <xdr:row>9</xdr:row>
          <xdr:rowOff>238125</xdr:rowOff>
        </xdr:to>
        <xdr:sp macro="" textlink="">
          <xdr:nvSpPr>
            <xdr:cNvPr id="8254" name="Drop Down 62" hidden="1">
              <a:extLst>
                <a:ext uri="{63B3BB69-23CF-44E3-9099-C40C66FF867C}">
                  <a14:compatExt spid="_x0000_s82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733425</xdr:colOff>
          <xdr:row>10</xdr:row>
          <xdr:rowOff>76200</xdr:rowOff>
        </xdr:from>
        <xdr:to>
          <xdr:col>2</xdr:col>
          <xdr:colOff>857250</xdr:colOff>
          <xdr:row>11</xdr:row>
          <xdr:rowOff>0</xdr:rowOff>
        </xdr:to>
        <xdr:sp macro="" textlink="">
          <xdr:nvSpPr>
            <xdr:cNvPr id="8255" name="Spinner 63" hidden="1">
              <a:extLst>
                <a:ext uri="{63B3BB69-23CF-44E3-9099-C40C66FF867C}">
                  <a14:compatExt spid="_x0000_s8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10</xdr:row>
          <xdr:rowOff>66675</xdr:rowOff>
        </xdr:from>
        <xdr:to>
          <xdr:col>3</xdr:col>
          <xdr:colOff>800100</xdr:colOff>
          <xdr:row>10</xdr:row>
          <xdr:rowOff>238125</xdr:rowOff>
        </xdr:to>
        <xdr:sp macro="" textlink="">
          <xdr:nvSpPr>
            <xdr:cNvPr id="8256" name="Spinner 64" hidden="1">
              <a:extLst>
                <a:ext uri="{63B3BB69-23CF-44E3-9099-C40C66FF867C}">
                  <a14:compatExt spid="_x0000_s8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38100</xdr:rowOff>
        </xdr:from>
        <xdr:to>
          <xdr:col>5</xdr:col>
          <xdr:colOff>838200</xdr:colOff>
          <xdr:row>10</xdr:row>
          <xdr:rowOff>238125</xdr:rowOff>
        </xdr:to>
        <xdr:sp macro="" textlink="">
          <xdr:nvSpPr>
            <xdr:cNvPr id="8257" name="Drop Down 65" hidden="1">
              <a:extLst>
                <a:ext uri="{63B3BB69-23CF-44E3-9099-C40C66FF867C}">
                  <a14:compatExt spid="_x0000_s82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771525</xdr:colOff>
          <xdr:row>14</xdr:row>
          <xdr:rowOff>66675</xdr:rowOff>
        </xdr:from>
        <xdr:to>
          <xdr:col>8</xdr:col>
          <xdr:colOff>933450</xdr:colOff>
          <xdr:row>14</xdr:row>
          <xdr:rowOff>257175</xdr:rowOff>
        </xdr:to>
        <xdr:sp macro="" textlink="">
          <xdr:nvSpPr>
            <xdr:cNvPr id="8258" name="Spinner 66" hidden="1">
              <a:extLst>
                <a:ext uri="{63B3BB69-23CF-44E3-9099-C40C66FF867C}">
                  <a14:compatExt spid="_x0000_s8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17</xdr:row>
          <xdr:rowOff>38100</xdr:rowOff>
        </xdr:from>
        <xdr:to>
          <xdr:col>10</xdr:col>
          <xdr:colOff>447675</xdr:colOff>
          <xdr:row>17</xdr:row>
          <xdr:rowOff>228600</xdr:rowOff>
        </xdr:to>
        <xdr:sp macro="" textlink="">
          <xdr:nvSpPr>
            <xdr:cNvPr id="8259" name="Spinner 67" hidden="1">
              <a:extLst>
                <a:ext uri="{63B3BB69-23CF-44E3-9099-C40C66FF867C}">
                  <a14:compatExt spid="_x0000_s8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18</xdr:row>
          <xdr:rowOff>28575</xdr:rowOff>
        </xdr:from>
        <xdr:to>
          <xdr:col>10</xdr:col>
          <xdr:colOff>457200</xdr:colOff>
          <xdr:row>18</xdr:row>
          <xdr:rowOff>219075</xdr:rowOff>
        </xdr:to>
        <xdr:sp macro="" textlink="">
          <xdr:nvSpPr>
            <xdr:cNvPr id="8260" name="Spinner 68" hidden="1">
              <a:extLst>
                <a:ext uri="{63B3BB69-23CF-44E3-9099-C40C66FF867C}">
                  <a14:compatExt spid="_x0000_s8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17</xdr:row>
          <xdr:rowOff>47625</xdr:rowOff>
        </xdr:from>
        <xdr:to>
          <xdr:col>7</xdr:col>
          <xdr:colOff>333375</xdr:colOff>
          <xdr:row>18</xdr:row>
          <xdr:rowOff>19050</xdr:rowOff>
        </xdr:to>
        <xdr:sp macro="" textlink="">
          <xdr:nvSpPr>
            <xdr:cNvPr id="8261" name="Check Box 69" hidden="1">
              <a:extLst>
                <a:ext uri="{63B3BB69-23CF-44E3-9099-C40C66FF867C}">
                  <a14:compatExt spid="_x0000_s8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18</xdr:row>
          <xdr:rowOff>47625</xdr:rowOff>
        </xdr:from>
        <xdr:to>
          <xdr:col>7</xdr:col>
          <xdr:colOff>333375</xdr:colOff>
          <xdr:row>19</xdr:row>
          <xdr:rowOff>19050</xdr:rowOff>
        </xdr:to>
        <xdr:sp macro="" textlink="">
          <xdr:nvSpPr>
            <xdr:cNvPr id="8262" name="Check Box 70" hidden="1">
              <a:extLst>
                <a:ext uri="{63B3BB69-23CF-44E3-9099-C40C66FF867C}">
                  <a14:compatExt spid="_x0000_s8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66675</xdr:rowOff>
        </xdr:from>
        <xdr:to>
          <xdr:col>8</xdr:col>
          <xdr:colOff>571500</xdr:colOff>
          <xdr:row>16</xdr:row>
          <xdr:rowOff>266700</xdr:rowOff>
        </xdr:to>
        <xdr:sp macro="" textlink="">
          <xdr:nvSpPr>
            <xdr:cNvPr id="8263" name="Drop Down 71" hidden="1">
              <a:extLst>
                <a:ext uri="{63B3BB69-23CF-44E3-9099-C40C66FF867C}">
                  <a14:compatExt spid="_x0000_s8263"/>
                </a:ext>
              </a:extLst>
            </xdr:cNvPr>
            <xdr:cNvSpPr/>
          </xdr:nvSpPr>
          <xdr:spPr>
            <a:xfrm>
              <a:off x="0" y="0"/>
              <a:ext cx="0" cy="0"/>
            </a:xfrm>
            <a:prstGeom prst="rect">
              <a:avLst/>
            </a:prstGeom>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123825</xdr:colOff>
          <xdr:row>2</xdr:row>
          <xdr:rowOff>9525</xdr:rowOff>
        </xdr:from>
        <xdr:to>
          <xdr:col>8</xdr:col>
          <xdr:colOff>285750</xdr:colOff>
          <xdr:row>2</xdr:row>
          <xdr:rowOff>180975</xdr:rowOff>
        </xdr:to>
        <xdr:sp macro="" textlink="">
          <xdr:nvSpPr>
            <xdr:cNvPr id="8267" name="Spinner 75" hidden="1">
              <a:extLst>
                <a:ext uri="{63B3BB69-23CF-44E3-9099-C40C66FF867C}">
                  <a14:compatExt spid="_x0000_s8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1</xdr:row>
          <xdr:rowOff>142875</xdr:rowOff>
        </xdr:from>
        <xdr:to>
          <xdr:col>11</xdr:col>
          <xdr:colOff>0</xdr:colOff>
          <xdr:row>2</xdr:row>
          <xdr:rowOff>142875</xdr:rowOff>
        </xdr:to>
        <xdr:sp macro="" textlink="">
          <xdr:nvSpPr>
            <xdr:cNvPr id="8268" name="Spinner 76" hidden="1">
              <a:extLst>
                <a:ext uri="{63B3BB69-23CF-44E3-9099-C40C66FF867C}">
                  <a14:compatExt spid="_x0000_s8268"/>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3</xdr:row>
          <xdr:rowOff>0</xdr:rowOff>
        </xdr:from>
        <xdr:to>
          <xdr:col>2</xdr:col>
          <xdr:colOff>628650</xdr:colOff>
          <xdr:row>3</xdr:row>
          <xdr:rowOff>219075</xdr:rowOff>
        </xdr:to>
        <xdr:sp macro="" textlink="">
          <xdr:nvSpPr>
            <xdr:cNvPr id="12289" name="Check Box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4</xdr:row>
          <xdr:rowOff>0</xdr:rowOff>
        </xdr:from>
        <xdr:to>
          <xdr:col>2</xdr:col>
          <xdr:colOff>628650</xdr:colOff>
          <xdr:row>4</xdr:row>
          <xdr:rowOff>219075</xdr:rowOff>
        </xdr:to>
        <xdr:sp macro="" textlink="">
          <xdr:nvSpPr>
            <xdr:cNvPr id="12290" name="Check Box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6</xdr:row>
          <xdr:rowOff>0</xdr:rowOff>
        </xdr:from>
        <xdr:to>
          <xdr:col>2</xdr:col>
          <xdr:colOff>628650</xdr:colOff>
          <xdr:row>6</xdr:row>
          <xdr:rowOff>219075</xdr:rowOff>
        </xdr:to>
        <xdr:sp macro="" textlink="">
          <xdr:nvSpPr>
            <xdr:cNvPr id="12291" name="Check Box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0</xdr:rowOff>
        </xdr:from>
        <xdr:to>
          <xdr:col>2</xdr:col>
          <xdr:colOff>628650</xdr:colOff>
          <xdr:row>7</xdr:row>
          <xdr:rowOff>219075</xdr:rowOff>
        </xdr:to>
        <xdr:sp macro="" textlink="">
          <xdr:nvSpPr>
            <xdr:cNvPr id="12292" name="Check Box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xdr:row>
          <xdr:rowOff>0</xdr:rowOff>
        </xdr:from>
        <xdr:to>
          <xdr:col>2</xdr:col>
          <xdr:colOff>619125</xdr:colOff>
          <xdr:row>12</xdr:row>
          <xdr:rowOff>219075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xdr:row>
          <xdr:rowOff>0</xdr:rowOff>
        </xdr:from>
        <xdr:to>
          <xdr:col>2</xdr:col>
          <xdr:colOff>628650</xdr:colOff>
          <xdr:row>11</xdr:row>
          <xdr:rowOff>219075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25</xdr:row>
          <xdr:rowOff>0</xdr:rowOff>
        </xdr:from>
        <xdr:to>
          <xdr:col>2</xdr:col>
          <xdr:colOff>628650</xdr:colOff>
          <xdr:row>25</xdr:row>
          <xdr:rowOff>219075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0</xdr:rowOff>
        </xdr:from>
        <xdr:to>
          <xdr:col>2</xdr:col>
          <xdr:colOff>628650</xdr:colOff>
          <xdr:row>14</xdr:row>
          <xdr:rowOff>219075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0</xdr:rowOff>
        </xdr:from>
        <xdr:to>
          <xdr:col>2</xdr:col>
          <xdr:colOff>628650</xdr:colOff>
          <xdr:row>16</xdr:row>
          <xdr:rowOff>219075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0</xdr:rowOff>
        </xdr:from>
        <xdr:to>
          <xdr:col>2</xdr:col>
          <xdr:colOff>628650</xdr:colOff>
          <xdr:row>17</xdr:row>
          <xdr:rowOff>219075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0</xdr:rowOff>
        </xdr:from>
        <xdr:to>
          <xdr:col>2</xdr:col>
          <xdr:colOff>628650</xdr:colOff>
          <xdr:row>18</xdr:row>
          <xdr:rowOff>219075</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0</xdr:rowOff>
        </xdr:from>
        <xdr:to>
          <xdr:col>2</xdr:col>
          <xdr:colOff>619125</xdr:colOff>
          <xdr:row>10</xdr:row>
          <xdr:rowOff>219075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628650</xdr:colOff>
          <xdr:row>26</xdr:row>
          <xdr:rowOff>238125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xdr:row>
          <xdr:rowOff>0</xdr:rowOff>
        </xdr:from>
        <xdr:to>
          <xdr:col>6</xdr:col>
          <xdr:colOff>628650</xdr:colOff>
          <xdr:row>3</xdr:row>
          <xdr:rowOff>219075</xdr:rowOff>
        </xdr:to>
        <xdr:sp macro="" textlink="">
          <xdr:nvSpPr>
            <xdr:cNvPr id="12302" name="Check Box 14" hidden="1">
              <a:extLst>
                <a:ext uri="{63B3BB69-23CF-44E3-9099-C40C66FF867C}">
                  <a14:compatExt spid="_x0000_s12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xdr:row>
          <xdr:rowOff>0</xdr:rowOff>
        </xdr:from>
        <xdr:to>
          <xdr:col>6</xdr:col>
          <xdr:colOff>628650</xdr:colOff>
          <xdr:row>4</xdr:row>
          <xdr:rowOff>219075</xdr:rowOff>
        </xdr:to>
        <xdr:sp macro="" textlink="">
          <xdr:nvSpPr>
            <xdr:cNvPr id="12303" name="Check Box 15" hidden="1">
              <a:extLst>
                <a:ext uri="{63B3BB69-23CF-44E3-9099-C40C66FF867C}">
                  <a14:compatExt spid="_x0000_s123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xdr:row>
          <xdr:rowOff>0</xdr:rowOff>
        </xdr:from>
        <xdr:to>
          <xdr:col>6</xdr:col>
          <xdr:colOff>628650</xdr:colOff>
          <xdr:row>6</xdr:row>
          <xdr:rowOff>219075</xdr:rowOff>
        </xdr:to>
        <xdr:sp macro="" textlink="">
          <xdr:nvSpPr>
            <xdr:cNvPr id="12304" name="Check Box 16" hidden="1">
              <a:extLst>
                <a:ext uri="{63B3BB69-23CF-44E3-9099-C40C66FF867C}">
                  <a14:compatExt spid="_x0000_s12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7</xdr:row>
          <xdr:rowOff>0</xdr:rowOff>
        </xdr:from>
        <xdr:to>
          <xdr:col>6</xdr:col>
          <xdr:colOff>628650</xdr:colOff>
          <xdr:row>7</xdr:row>
          <xdr:rowOff>219075</xdr:rowOff>
        </xdr:to>
        <xdr:sp macro="" textlink="">
          <xdr:nvSpPr>
            <xdr:cNvPr id="12305" name="Check Box 17" hidden="1">
              <a:extLst>
                <a:ext uri="{63B3BB69-23CF-44E3-9099-C40C66FF867C}">
                  <a14:compatExt spid="_x0000_s12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12</xdr:row>
          <xdr:rowOff>0</xdr:rowOff>
        </xdr:from>
        <xdr:to>
          <xdr:col>6</xdr:col>
          <xdr:colOff>619125</xdr:colOff>
          <xdr:row>12</xdr:row>
          <xdr:rowOff>219075</xdr:rowOff>
        </xdr:to>
        <xdr:sp macro="" textlink="">
          <xdr:nvSpPr>
            <xdr:cNvPr id="12306" name="Check Box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0</xdr:rowOff>
        </xdr:from>
        <xdr:to>
          <xdr:col>6</xdr:col>
          <xdr:colOff>628650</xdr:colOff>
          <xdr:row>11</xdr:row>
          <xdr:rowOff>219075</xdr:rowOff>
        </xdr:to>
        <xdr:sp macro="" textlink="">
          <xdr:nvSpPr>
            <xdr:cNvPr id="12307" name="Check Box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25</xdr:row>
          <xdr:rowOff>0</xdr:rowOff>
        </xdr:from>
        <xdr:to>
          <xdr:col>6</xdr:col>
          <xdr:colOff>628650</xdr:colOff>
          <xdr:row>25</xdr:row>
          <xdr:rowOff>219075</xdr:rowOff>
        </xdr:to>
        <xdr:sp macro="" textlink="">
          <xdr:nvSpPr>
            <xdr:cNvPr id="12308" name="Check Box 20" hidden="1">
              <a:extLst>
                <a:ext uri="{63B3BB69-23CF-44E3-9099-C40C66FF867C}">
                  <a14:compatExt spid="_x0000_s123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0</xdr:rowOff>
        </xdr:from>
        <xdr:to>
          <xdr:col>6</xdr:col>
          <xdr:colOff>628650</xdr:colOff>
          <xdr:row>14</xdr:row>
          <xdr:rowOff>219075</xdr:rowOff>
        </xdr:to>
        <xdr:sp macro="" textlink="">
          <xdr:nvSpPr>
            <xdr:cNvPr id="12309" name="Check Box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16</xdr:row>
          <xdr:rowOff>0</xdr:rowOff>
        </xdr:from>
        <xdr:to>
          <xdr:col>6</xdr:col>
          <xdr:colOff>628650</xdr:colOff>
          <xdr:row>16</xdr:row>
          <xdr:rowOff>219075</xdr:rowOff>
        </xdr:to>
        <xdr:sp macro="" textlink="">
          <xdr:nvSpPr>
            <xdr:cNvPr id="12310" name="Check Box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0</xdr:rowOff>
        </xdr:from>
        <xdr:to>
          <xdr:col>6</xdr:col>
          <xdr:colOff>628650</xdr:colOff>
          <xdr:row>17</xdr:row>
          <xdr:rowOff>219075</xdr:rowOff>
        </xdr:to>
        <xdr:sp macro="" textlink="">
          <xdr:nvSpPr>
            <xdr:cNvPr id="12311" name="Check Box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0</xdr:rowOff>
        </xdr:from>
        <xdr:to>
          <xdr:col>6</xdr:col>
          <xdr:colOff>628650</xdr:colOff>
          <xdr:row>18</xdr:row>
          <xdr:rowOff>219075</xdr:rowOff>
        </xdr:to>
        <xdr:sp macro="" textlink="">
          <xdr:nvSpPr>
            <xdr:cNvPr id="12312" name="Check Box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10</xdr:row>
          <xdr:rowOff>0</xdr:rowOff>
        </xdr:from>
        <xdr:to>
          <xdr:col>6</xdr:col>
          <xdr:colOff>619125</xdr:colOff>
          <xdr:row>10</xdr:row>
          <xdr:rowOff>219075</xdr:rowOff>
        </xdr:to>
        <xdr:sp macro="" textlink="">
          <xdr:nvSpPr>
            <xdr:cNvPr id="12313" name="Check Box 25" hidden="1">
              <a:extLst>
                <a:ext uri="{63B3BB69-23CF-44E3-9099-C40C66FF867C}">
                  <a14:compatExt spid="_x0000_s123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26</xdr:row>
          <xdr:rowOff>19050</xdr:rowOff>
        </xdr:from>
        <xdr:to>
          <xdr:col>6</xdr:col>
          <xdr:colOff>628650</xdr:colOff>
          <xdr:row>26</xdr:row>
          <xdr:rowOff>238125</xdr:rowOff>
        </xdr:to>
        <xdr:sp macro="" textlink="">
          <xdr:nvSpPr>
            <xdr:cNvPr id="12314" name="Check Box 26" hidden="1">
              <a:extLst>
                <a:ext uri="{63B3BB69-23CF-44E3-9099-C40C66FF867C}">
                  <a14:compatExt spid="_x0000_s123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xdr:row>
          <xdr:rowOff>0</xdr:rowOff>
        </xdr:from>
        <xdr:to>
          <xdr:col>8</xdr:col>
          <xdr:colOff>628650</xdr:colOff>
          <xdr:row>3</xdr:row>
          <xdr:rowOff>219075</xdr:rowOff>
        </xdr:to>
        <xdr:sp macro="" textlink="">
          <xdr:nvSpPr>
            <xdr:cNvPr id="12315" name="Check Box 27" hidden="1">
              <a:extLst>
                <a:ext uri="{63B3BB69-23CF-44E3-9099-C40C66FF867C}">
                  <a14:compatExt spid="_x0000_s123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4</xdr:row>
          <xdr:rowOff>0</xdr:rowOff>
        </xdr:from>
        <xdr:to>
          <xdr:col>8</xdr:col>
          <xdr:colOff>628650</xdr:colOff>
          <xdr:row>4</xdr:row>
          <xdr:rowOff>219075</xdr:rowOff>
        </xdr:to>
        <xdr:sp macro="" textlink="">
          <xdr:nvSpPr>
            <xdr:cNvPr id="12316" name="Check Box 28" hidden="1">
              <a:extLst>
                <a:ext uri="{63B3BB69-23CF-44E3-9099-C40C66FF867C}">
                  <a14:compatExt spid="_x0000_s123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xdr:row>
          <xdr:rowOff>0</xdr:rowOff>
        </xdr:from>
        <xdr:to>
          <xdr:col>8</xdr:col>
          <xdr:colOff>628650</xdr:colOff>
          <xdr:row>6</xdr:row>
          <xdr:rowOff>219075</xdr:rowOff>
        </xdr:to>
        <xdr:sp macro="" textlink="">
          <xdr:nvSpPr>
            <xdr:cNvPr id="12317" name="Check Box 29" hidden="1">
              <a:extLst>
                <a:ext uri="{63B3BB69-23CF-44E3-9099-C40C66FF867C}">
                  <a14:compatExt spid="_x0000_s123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7</xdr:row>
          <xdr:rowOff>0</xdr:rowOff>
        </xdr:from>
        <xdr:to>
          <xdr:col>8</xdr:col>
          <xdr:colOff>628650</xdr:colOff>
          <xdr:row>7</xdr:row>
          <xdr:rowOff>219075</xdr:rowOff>
        </xdr:to>
        <xdr:sp macro="" textlink="">
          <xdr:nvSpPr>
            <xdr:cNvPr id="12318" name="Check Box 30" hidden="1">
              <a:extLst>
                <a:ext uri="{63B3BB69-23CF-44E3-9099-C40C66FF867C}">
                  <a14:compatExt spid="_x0000_s123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12</xdr:row>
          <xdr:rowOff>0</xdr:rowOff>
        </xdr:from>
        <xdr:to>
          <xdr:col>8</xdr:col>
          <xdr:colOff>619125</xdr:colOff>
          <xdr:row>12</xdr:row>
          <xdr:rowOff>219075</xdr:rowOff>
        </xdr:to>
        <xdr:sp macro="" textlink="">
          <xdr:nvSpPr>
            <xdr:cNvPr id="12319" name="Check Box 31" hidden="1">
              <a:extLst>
                <a:ext uri="{63B3BB69-23CF-44E3-9099-C40C66FF867C}">
                  <a14:compatExt spid="_x0000_s123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11</xdr:row>
          <xdr:rowOff>0</xdr:rowOff>
        </xdr:from>
        <xdr:to>
          <xdr:col>8</xdr:col>
          <xdr:colOff>628650</xdr:colOff>
          <xdr:row>11</xdr:row>
          <xdr:rowOff>219075</xdr:rowOff>
        </xdr:to>
        <xdr:sp macro="" textlink="">
          <xdr:nvSpPr>
            <xdr:cNvPr id="12320" name="Check Box 32" hidden="1">
              <a:extLst>
                <a:ext uri="{63B3BB69-23CF-44E3-9099-C40C66FF867C}">
                  <a14:compatExt spid="_x0000_s123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25</xdr:row>
          <xdr:rowOff>0</xdr:rowOff>
        </xdr:from>
        <xdr:to>
          <xdr:col>8</xdr:col>
          <xdr:colOff>628650</xdr:colOff>
          <xdr:row>25</xdr:row>
          <xdr:rowOff>219075</xdr:rowOff>
        </xdr:to>
        <xdr:sp macro="" textlink="">
          <xdr:nvSpPr>
            <xdr:cNvPr id="12321" name="Check Box 33" hidden="1">
              <a:extLst>
                <a:ext uri="{63B3BB69-23CF-44E3-9099-C40C66FF867C}">
                  <a14:compatExt spid="_x0000_s12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0</xdr:rowOff>
        </xdr:from>
        <xdr:to>
          <xdr:col>8</xdr:col>
          <xdr:colOff>628650</xdr:colOff>
          <xdr:row>14</xdr:row>
          <xdr:rowOff>219075</xdr:rowOff>
        </xdr:to>
        <xdr:sp macro="" textlink="">
          <xdr:nvSpPr>
            <xdr:cNvPr id="12322" name="Check Box 34" hidden="1">
              <a:extLst>
                <a:ext uri="{63B3BB69-23CF-44E3-9099-C40C66FF867C}">
                  <a14:compatExt spid="_x0000_s123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0</xdr:rowOff>
        </xdr:from>
        <xdr:to>
          <xdr:col>8</xdr:col>
          <xdr:colOff>628650</xdr:colOff>
          <xdr:row>16</xdr:row>
          <xdr:rowOff>219075</xdr:rowOff>
        </xdr:to>
        <xdr:sp macro="" textlink="">
          <xdr:nvSpPr>
            <xdr:cNvPr id="12323" name="Check Box 35" hidden="1">
              <a:extLst>
                <a:ext uri="{63B3BB69-23CF-44E3-9099-C40C66FF867C}">
                  <a14:compatExt spid="_x0000_s123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17</xdr:row>
          <xdr:rowOff>0</xdr:rowOff>
        </xdr:from>
        <xdr:to>
          <xdr:col>8</xdr:col>
          <xdr:colOff>628650</xdr:colOff>
          <xdr:row>17</xdr:row>
          <xdr:rowOff>219075</xdr:rowOff>
        </xdr:to>
        <xdr:sp macro="" textlink="">
          <xdr:nvSpPr>
            <xdr:cNvPr id="12324" name="Check Box 36" hidden="1">
              <a:extLst>
                <a:ext uri="{63B3BB69-23CF-44E3-9099-C40C66FF867C}">
                  <a14:compatExt spid="_x0000_s123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18</xdr:row>
          <xdr:rowOff>0</xdr:rowOff>
        </xdr:from>
        <xdr:to>
          <xdr:col>8</xdr:col>
          <xdr:colOff>628650</xdr:colOff>
          <xdr:row>18</xdr:row>
          <xdr:rowOff>219075</xdr:rowOff>
        </xdr:to>
        <xdr:sp macro="" textlink="">
          <xdr:nvSpPr>
            <xdr:cNvPr id="12325" name="Check Box 37" hidden="1">
              <a:extLst>
                <a:ext uri="{63B3BB69-23CF-44E3-9099-C40C66FF867C}">
                  <a14:compatExt spid="_x0000_s123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10</xdr:row>
          <xdr:rowOff>0</xdr:rowOff>
        </xdr:from>
        <xdr:to>
          <xdr:col>8</xdr:col>
          <xdr:colOff>619125</xdr:colOff>
          <xdr:row>10</xdr:row>
          <xdr:rowOff>219075</xdr:rowOff>
        </xdr:to>
        <xdr:sp macro="" textlink="">
          <xdr:nvSpPr>
            <xdr:cNvPr id="12326" name="Check Box 38" hidden="1">
              <a:extLst>
                <a:ext uri="{63B3BB69-23CF-44E3-9099-C40C66FF867C}">
                  <a14:compatExt spid="_x0000_s123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26</xdr:row>
          <xdr:rowOff>19050</xdr:rowOff>
        </xdr:from>
        <xdr:to>
          <xdr:col>8</xdr:col>
          <xdr:colOff>628650</xdr:colOff>
          <xdr:row>26</xdr:row>
          <xdr:rowOff>238125</xdr:rowOff>
        </xdr:to>
        <xdr:sp macro="" textlink="">
          <xdr:nvSpPr>
            <xdr:cNvPr id="12327" name="Check Box 39" hidden="1">
              <a:extLst>
                <a:ext uri="{63B3BB69-23CF-44E3-9099-C40C66FF867C}">
                  <a14:compatExt spid="_x0000_s123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3</xdr:row>
          <xdr:rowOff>0</xdr:rowOff>
        </xdr:from>
        <xdr:to>
          <xdr:col>12</xdr:col>
          <xdr:colOff>628650</xdr:colOff>
          <xdr:row>3</xdr:row>
          <xdr:rowOff>219075</xdr:rowOff>
        </xdr:to>
        <xdr:sp macro="" textlink="">
          <xdr:nvSpPr>
            <xdr:cNvPr id="12351" name="Check Box 63" hidden="1">
              <a:extLst>
                <a:ext uri="{63B3BB69-23CF-44E3-9099-C40C66FF867C}">
                  <a14:compatExt spid="_x0000_s12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xdr:row>
          <xdr:rowOff>0</xdr:rowOff>
        </xdr:from>
        <xdr:to>
          <xdr:col>12</xdr:col>
          <xdr:colOff>628650</xdr:colOff>
          <xdr:row>4</xdr:row>
          <xdr:rowOff>219075</xdr:rowOff>
        </xdr:to>
        <xdr:sp macro="" textlink="">
          <xdr:nvSpPr>
            <xdr:cNvPr id="12352" name="Check Box 64" hidden="1">
              <a:extLst>
                <a:ext uri="{63B3BB69-23CF-44E3-9099-C40C66FF867C}">
                  <a14:compatExt spid="_x0000_s12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0</xdr:rowOff>
        </xdr:from>
        <xdr:to>
          <xdr:col>12</xdr:col>
          <xdr:colOff>628650</xdr:colOff>
          <xdr:row>6</xdr:row>
          <xdr:rowOff>219075</xdr:rowOff>
        </xdr:to>
        <xdr:sp macro="" textlink="">
          <xdr:nvSpPr>
            <xdr:cNvPr id="12353" name="Check Box 65" hidden="1">
              <a:extLst>
                <a:ext uri="{63B3BB69-23CF-44E3-9099-C40C66FF867C}">
                  <a14:compatExt spid="_x0000_s123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0</xdr:rowOff>
        </xdr:from>
        <xdr:to>
          <xdr:col>12</xdr:col>
          <xdr:colOff>628650</xdr:colOff>
          <xdr:row>7</xdr:row>
          <xdr:rowOff>219075</xdr:rowOff>
        </xdr:to>
        <xdr:sp macro="" textlink="">
          <xdr:nvSpPr>
            <xdr:cNvPr id="12354" name="Check Box 66" hidden="1">
              <a:extLst>
                <a:ext uri="{63B3BB69-23CF-44E3-9099-C40C66FF867C}">
                  <a14:compatExt spid="_x0000_s123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12</xdr:row>
          <xdr:rowOff>0</xdr:rowOff>
        </xdr:from>
        <xdr:to>
          <xdr:col>12</xdr:col>
          <xdr:colOff>619125</xdr:colOff>
          <xdr:row>12</xdr:row>
          <xdr:rowOff>219075</xdr:rowOff>
        </xdr:to>
        <xdr:sp macro="" textlink="">
          <xdr:nvSpPr>
            <xdr:cNvPr id="12355" name="Check Box 67" hidden="1">
              <a:extLst>
                <a:ext uri="{63B3BB69-23CF-44E3-9099-C40C66FF867C}">
                  <a14:compatExt spid="_x0000_s123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11</xdr:row>
          <xdr:rowOff>0</xdr:rowOff>
        </xdr:from>
        <xdr:to>
          <xdr:col>12</xdr:col>
          <xdr:colOff>628650</xdr:colOff>
          <xdr:row>11</xdr:row>
          <xdr:rowOff>219075</xdr:rowOff>
        </xdr:to>
        <xdr:sp macro="" textlink="">
          <xdr:nvSpPr>
            <xdr:cNvPr id="12356" name="Check Box 68" hidden="1">
              <a:extLst>
                <a:ext uri="{63B3BB69-23CF-44E3-9099-C40C66FF867C}">
                  <a14:compatExt spid="_x0000_s123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25</xdr:row>
          <xdr:rowOff>0</xdr:rowOff>
        </xdr:from>
        <xdr:to>
          <xdr:col>12</xdr:col>
          <xdr:colOff>628650</xdr:colOff>
          <xdr:row>25</xdr:row>
          <xdr:rowOff>219075</xdr:rowOff>
        </xdr:to>
        <xdr:sp macro="" textlink="">
          <xdr:nvSpPr>
            <xdr:cNvPr id="12357" name="Check Box 69" hidden="1">
              <a:extLst>
                <a:ext uri="{63B3BB69-23CF-44E3-9099-C40C66FF867C}">
                  <a14:compatExt spid="_x0000_s123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0</xdr:rowOff>
        </xdr:from>
        <xdr:to>
          <xdr:col>12</xdr:col>
          <xdr:colOff>628650</xdr:colOff>
          <xdr:row>14</xdr:row>
          <xdr:rowOff>219075</xdr:rowOff>
        </xdr:to>
        <xdr:sp macro="" textlink="">
          <xdr:nvSpPr>
            <xdr:cNvPr id="12358" name="Check Box 70" hidden="1">
              <a:extLst>
                <a:ext uri="{63B3BB69-23CF-44E3-9099-C40C66FF867C}">
                  <a14:compatExt spid="_x0000_s123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0</xdr:rowOff>
        </xdr:from>
        <xdr:to>
          <xdr:col>12</xdr:col>
          <xdr:colOff>628650</xdr:colOff>
          <xdr:row>16</xdr:row>
          <xdr:rowOff>219075</xdr:rowOff>
        </xdr:to>
        <xdr:sp macro="" textlink="">
          <xdr:nvSpPr>
            <xdr:cNvPr id="12359" name="Check Box 71" hidden="1">
              <a:extLst>
                <a:ext uri="{63B3BB69-23CF-44E3-9099-C40C66FF867C}">
                  <a14:compatExt spid="_x0000_s123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17</xdr:row>
          <xdr:rowOff>0</xdr:rowOff>
        </xdr:from>
        <xdr:to>
          <xdr:col>12</xdr:col>
          <xdr:colOff>628650</xdr:colOff>
          <xdr:row>17</xdr:row>
          <xdr:rowOff>219075</xdr:rowOff>
        </xdr:to>
        <xdr:sp macro="" textlink="">
          <xdr:nvSpPr>
            <xdr:cNvPr id="12360" name="Check Box 72" hidden="1">
              <a:extLst>
                <a:ext uri="{63B3BB69-23CF-44E3-9099-C40C66FF867C}">
                  <a14:compatExt spid="_x0000_s123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18</xdr:row>
          <xdr:rowOff>0</xdr:rowOff>
        </xdr:from>
        <xdr:to>
          <xdr:col>12</xdr:col>
          <xdr:colOff>628650</xdr:colOff>
          <xdr:row>18</xdr:row>
          <xdr:rowOff>219075</xdr:rowOff>
        </xdr:to>
        <xdr:sp macro="" textlink="">
          <xdr:nvSpPr>
            <xdr:cNvPr id="12361" name="Check Box 73" hidden="1">
              <a:extLst>
                <a:ext uri="{63B3BB69-23CF-44E3-9099-C40C66FF867C}">
                  <a14:compatExt spid="_x0000_s123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10</xdr:row>
          <xdr:rowOff>0</xdr:rowOff>
        </xdr:from>
        <xdr:to>
          <xdr:col>12</xdr:col>
          <xdr:colOff>619125</xdr:colOff>
          <xdr:row>10</xdr:row>
          <xdr:rowOff>219075</xdr:rowOff>
        </xdr:to>
        <xdr:sp macro="" textlink="">
          <xdr:nvSpPr>
            <xdr:cNvPr id="12362" name="Check Box 74" hidden="1">
              <a:extLst>
                <a:ext uri="{63B3BB69-23CF-44E3-9099-C40C66FF867C}">
                  <a14:compatExt spid="_x0000_s123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26</xdr:row>
          <xdr:rowOff>19050</xdr:rowOff>
        </xdr:from>
        <xdr:to>
          <xdr:col>12</xdr:col>
          <xdr:colOff>628650</xdr:colOff>
          <xdr:row>26</xdr:row>
          <xdr:rowOff>238125</xdr:rowOff>
        </xdr:to>
        <xdr:sp macro="" textlink="">
          <xdr:nvSpPr>
            <xdr:cNvPr id="12363" name="Check Box 75" hidden="1">
              <a:extLst>
                <a:ext uri="{63B3BB69-23CF-44E3-9099-C40C66FF867C}">
                  <a14:compatExt spid="_x0000_s123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27</xdr:row>
          <xdr:rowOff>19050</xdr:rowOff>
        </xdr:from>
        <xdr:to>
          <xdr:col>2</xdr:col>
          <xdr:colOff>628650</xdr:colOff>
          <xdr:row>27</xdr:row>
          <xdr:rowOff>238125</xdr:rowOff>
        </xdr:to>
        <xdr:sp macro="" textlink="">
          <xdr:nvSpPr>
            <xdr:cNvPr id="12364" name="Check Box 76" hidden="1">
              <a:extLst>
                <a:ext uri="{63B3BB69-23CF-44E3-9099-C40C66FF867C}">
                  <a14:compatExt spid="_x0000_s12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27</xdr:row>
          <xdr:rowOff>19050</xdr:rowOff>
        </xdr:from>
        <xdr:to>
          <xdr:col>6</xdr:col>
          <xdr:colOff>628650</xdr:colOff>
          <xdr:row>27</xdr:row>
          <xdr:rowOff>238125</xdr:rowOff>
        </xdr:to>
        <xdr:sp macro="" textlink="">
          <xdr:nvSpPr>
            <xdr:cNvPr id="12365" name="Check Box 77" hidden="1">
              <a:extLst>
                <a:ext uri="{63B3BB69-23CF-44E3-9099-C40C66FF867C}">
                  <a14:compatExt spid="_x0000_s12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27</xdr:row>
          <xdr:rowOff>19050</xdr:rowOff>
        </xdr:from>
        <xdr:to>
          <xdr:col>8</xdr:col>
          <xdr:colOff>628650</xdr:colOff>
          <xdr:row>27</xdr:row>
          <xdr:rowOff>238125</xdr:rowOff>
        </xdr:to>
        <xdr:sp macro="" textlink="">
          <xdr:nvSpPr>
            <xdr:cNvPr id="12366" name="Check Box 78" hidden="1">
              <a:extLst>
                <a:ext uri="{63B3BB69-23CF-44E3-9099-C40C66FF867C}">
                  <a14:compatExt spid="_x0000_s12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27</xdr:row>
          <xdr:rowOff>19050</xdr:rowOff>
        </xdr:from>
        <xdr:to>
          <xdr:col>12</xdr:col>
          <xdr:colOff>628650</xdr:colOff>
          <xdr:row>27</xdr:row>
          <xdr:rowOff>238125</xdr:rowOff>
        </xdr:to>
        <xdr:sp macro="" textlink="">
          <xdr:nvSpPr>
            <xdr:cNvPr id="12368" name="Check Box 80" hidden="1">
              <a:extLst>
                <a:ext uri="{63B3BB69-23CF-44E3-9099-C40C66FF867C}">
                  <a14:compatExt spid="_x0000_s12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5</xdr:row>
          <xdr:rowOff>0</xdr:rowOff>
        </xdr:from>
        <xdr:to>
          <xdr:col>2</xdr:col>
          <xdr:colOff>628650</xdr:colOff>
          <xdr:row>5</xdr:row>
          <xdr:rowOff>219075</xdr:rowOff>
        </xdr:to>
        <xdr:sp macro="" textlink="">
          <xdr:nvSpPr>
            <xdr:cNvPr id="12369" name="Check Box 81" hidden="1">
              <a:extLst>
                <a:ext uri="{63B3BB69-23CF-44E3-9099-C40C66FF867C}">
                  <a14:compatExt spid="_x0000_s123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xdr:row>
          <xdr:rowOff>0</xdr:rowOff>
        </xdr:from>
        <xdr:to>
          <xdr:col>6</xdr:col>
          <xdr:colOff>628650</xdr:colOff>
          <xdr:row>5</xdr:row>
          <xdr:rowOff>219075</xdr:rowOff>
        </xdr:to>
        <xdr:sp macro="" textlink="">
          <xdr:nvSpPr>
            <xdr:cNvPr id="12370" name="Check Box 82" hidden="1">
              <a:extLst>
                <a:ext uri="{63B3BB69-23CF-44E3-9099-C40C66FF867C}">
                  <a14:compatExt spid="_x0000_s123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xdr:row>
          <xdr:rowOff>0</xdr:rowOff>
        </xdr:from>
        <xdr:to>
          <xdr:col>8</xdr:col>
          <xdr:colOff>628650</xdr:colOff>
          <xdr:row>5</xdr:row>
          <xdr:rowOff>219075</xdr:rowOff>
        </xdr:to>
        <xdr:sp macro="" textlink="">
          <xdr:nvSpPr>
            <xdr:cNvPr id="12371" name="Check Box 83" hidden="1">
              <a:extLst>
                <a:ext uri="{63B3BB69-23CF-44E3-9099-C40C66FF867C}">
                  <a14:compatExt spid="_x0000_s12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0</xdr:rowOff>
        </xdr:from>
        <xdr:to>
          <xdr:col>12</xdr:col>
          <xdr:colOff>628650</xdr:colOff>
          <xdr:row>5</xdr:row>
          <xdr:rowOff>219075</xdr:rowOff>
        </xdr:to>
        <xdr:sp macro="" textlink="">
          <xdr:nvSpPr>
            <xdr:cNvPr id="12373" name="Check Box 85" hidden="1">
              <a:extLst>
                <a:ext uri="{63B3BB69-23CF-44E3-9099-C40C66FF867C}">
                  <a14:compatExt spid="_x0000_s123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15</xdr:row>
          <xdr:rowOff>0</xdr:rowOff>
        </xdr:from>
        <xdr:to>
          <xdr:col>2</xdr:col>
          <xdr:colOff>628650</xdr:colOff>
          <xdr:row>15</xdr:row>
          <xdr:rowOff>219075</xdr:rowOff>
        </xdr:to>
        <xdr:sp macro="" textlink="">
          <xdr:nvSpPr>
            <xdr:cNvPr id="12374" name="Check Box 86" hidden="1">
              <a:extLst>
                <a:ext uri="{63B3BB69-23CF-44E3-9099-C40C66FF867C}">
                  <a14:compatExt spid="_x0000_s123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0</xdr:rowOff>
        </xdr:from>
        <xdr:to>
          <xdr:col>6</xdr:col>
          <xdr:colOff>628650</xdr:colOff>
          <xdr:row>15</xdr:row>
          <xdr:rowOff>219075</xdr:rowOff>
        </xdr:to>
        <xdr:sp macro="" textlink="">
          <xdr:nvSpPr>
            <xdr:cNvPr id="12375" name="Check Box 87" hidden="1">
              <a:extLst>
                <a:ext uri="{63B3BB69-23CF-44E3-9099-C40C66FF867C}">
                  <a14:compatExt spid="_x0000_s123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15</xdr:row>
          <xdr:rowOff>0</xdr:rowOff>
        </xdr:from>
        <xdr:to>
          <xdr:col>8</xdr:col>
          <xdr:colOff>628650</xdr:colOff>
          <xdr:row>15</xdr:row>
          <xdr:rowOff>219075</xdr:rowOff>
        </xdr:to>
        <xdr:sp macro="" textlink="">
          <xdr:nvSpPr>
            <xdr:cNvPr id="12376" name="Check Box 88" hidden="1">
              <a:extLst>
                <a:ext uri="{63B3BB69-23CF-44E3-9099-C40C66FF867C}">
                  <a14:compatExt spid="_x0000_s12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0</xdr:rowOff>
        </xdr:from>
        <xdr:to>
          <xdr:col>12</xdr:col>
          <xdr:colOff>628650</xdr:colOff>
          <xdr:row>15</xdr:row>
          <xdr:rowOff>219075</xdr:rowOff>
        </xdr:to>
        <xdr:sp macro="" textlink="">
          <xdr:nvSpPr>
            <xdr:cNvPr id="12378" name="Check Box 90" hidden="1">
              <a:extLst>
                <a:ext uri="{63B3BB69-23CF-44E3-9099-C40C66FF867C}">
                  <a14:compatExt spid="_x0000_s12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xdr:row>
          <xdr:rowOff>0</xdr:rowOff>
        </xdr:from>
        <xdr:to>
          <xdr:col>4</xdr:col>
          <xdr:colOff>628650</xdr:colOff>
          <xdr:row>3</xdr:row>
          <xdr:rowOff>219075</xdr:rowOff>
        </xdr:to>
        <xdr:sp macro="" textlink="">
          <xdr:nvSpPr>
            <xdr:cNvPr id="12395" name="Check Box 107" hidden="1">
              <a:extLst>
                <a:ext uri="{63B3BB69-23CF-44E3-9099-C40C66FF867C}">
                  <a14:compatExt spid="_x0000_s123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xdr:row>
          <xdr:rowOff>0</xdr:rowOff>
        </xdr:from>
        <xdr:to>
          <xdr:col>4</xdr:col>
          <xdr:colOff>628650</xdr:colOff>
          <xdr:row>4</xdr:row>
          <xdr:rowOff>219075</xdr:rowOff>
        </xdr:to>
        <xdr:sp macro="" textlink="">
          <xdr:nvSpPr>
            <xdr:cNvPr id="12396" name="Check Box 108" hidden="1">
              <a:extLst>
                <a:ext uri="{63B3BB69-23CF-44E3-9099-C40C66FF867C}">
                  <a14:compatExt spid="_x0000_s123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0</xdr:rowOff>
        </xdr:from>
        <xdr:to>
          <xdr:col>4</xdr:col>
          <xdr:colOff>628650</xdr:colOff>
          <xdr:row>6</xdr:row>
          <xdr:rowOff>219075</xdr:rowOff>
        </xdr:to>
        <xdr:sp macro="" textlink="">
          <xdr:nvSpPr>
            <xdr:cNvPr id="12397" name="Check Box 109" hidden="1">
              <a:extLst>
                <a:ext uri="{63B3BB69-23CF-44E3-9099-C40C66FF867C}">
                  <a14:compatExt spid="_x0000_s123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7</xdr:row>
          <xdr:rowOff>0</xdr:rowOff>
        </xdr:from>
        <xdr:to>
          <xdr:col>4</xdr:col>
          <xdr:colOff>628650</xdr:colOff>
          <xdr:row>7</xdr:row>
          <xdr:rowOff>219075</xdr:rowOff>
        </xdr:to>
        <xdr:sp macro="" textlink="">
          <xdr:nvSpPr>
            <xdr:cNvPr id="12398" name="Check Box 110" hidden="1">
              <a:extLst>
                <a:ext uri="{63B3BB69-23CF-44E3-9099-C40C66FF867C}">
                  <a14:compatExt spid="_x0000_s123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4</xdr:col>
          <xdr:colOff>619125</xdr:colOff>
          <xdr:row>12</xdr:row>
          <xdr:rowOff>219075</xdr:rowOff>
        </xdr:to>
        <xdr:sp macro="" textlink="">
          <xdr:nvSpPr>
            <xdr:cNvPr id="12399" name="Check Box 111" hidden="1">
              <a:extLst>
                <a:ext uri="{63B3BB69-23CF-44E3-9099-C40C66FF867C}">
                  <a14:compatExt spid="_x0000_s123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0</xdr:rowOff>
        </xdr:from>
        <xdr:to>
          <xdr:col>4</xdr:col>
          <xdr:colOff>628650</xdr:colOff>
          <xdr:row>11</xdr:row>
          <xdr:rowOff>219075</xdr:rowOff>
        </xdr:to>
        <xdr:sp macro="" textlink="">
          <xdr:nvSpPr>
            <xdr:cNvPr id="12400" name="Check Box 112" hidden="1">
              <a:extLst>
                <a:ext uri="{63B3BB69-23CF-44E3-9099-C40C66FF867C}">
                  <a14:compatExt spid="_x0000_s124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25</xdr:row>
          <xdr:rowOff>0</xdr:rowOff>
        </xdr:from>
        <xdr:to>
          <xdr:col>4</xdr:col>
          <xdr:colOff>628650</xdr:colOff>
          <xdr:row>25</xdr:row>
          <xdr:rowOff>219075</xdr:rowOff>
        </xdr:to>
        <xdr:sp macro="" textlink="">
          <xdr:nvSpPr>
            <xdr:cNvPr id="12401" name="Check Box 113" hidden="1">
              <a:extLst>
                <a:ext uri="{63B3BB69-23CF-44E3-9099-C40C66FF867C}">
                  <a14:compatExt spid="_x0000_s1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0</xdr:rowOff>
        </xdr:from>
        <xdr:to>
          <xdr:col>4</xdr:col>
          <xdr:colOff>628650</xdr:colOff>
          <xdr:row>14</xdr:row>
          <xdr:rowOff>219075</xdr:rowOff>
        </xdr:to>
        <xdr:sp macro="" textlink="">
          <xdr:nvSpPr>
            <xdr:cNvPr id="12402" name="Check Box 114" hidden="1">
              <a:extLst>
                <a:ext uri="{63B3BB69-23CF-44E3-9099-C40C66FF867C}">
                  <a14:compatExt spid="_x0000_s1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16</xdr:row>
          <xdr:rowOff>0</xdr:rowOff>
        </xdr:from>
        <xdr:to>
          <xdr:col>4</xdr:col>
          <xdr:colOff>628650</xdr:colOff>
          <xdr:row>16</xdr:row>
          <xdr:rowOff>219075</xdr:rowOff>
        </xdr:to>
        <xdr:sp macro="" textlink="">
          <xdr:nvSpPr>
            <xdr:cNvPr id="12403" name="Check Box 115" hidden="1">
              <a:extLst>
                <a:ext uri="{63B3BB69-23CF-44E3-9099-C40C66FF867C}">
                  <a14:compatExt spid="_x0000_s1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17</xdr:row>
          <xdr:rowOff>0</xdr:rowOff>
        </xdr:from>
        <xdr:to>
          <xdr:col>4</xdr:col>
          <xdr:colOff>628650</xdr:colOff>
          <xdr:row>17</xdr:row>
          <xdr:rowOff>219075</xdr:rowOff>
        </xdr:to>
        <xdr:sp macro="" textlink="">
          <xdr:nvSpPr>
            <xdr:cNvPr id="12404" name="Check Box 116" hidden="1">
              <a:extLst>
                <a:ext uri="{63B3BB69-23CF-44E3-9099-C40C66FF867C}">
                  <a14:compatExt spid="_x0000_s1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18</xdr:row>
          <xdr:rowOff>0</xdr:rowOff>
        </xdr:from>
        <xdr:to>
          <xdr:col>4</xdr:col>
          <xdr:colOff>628650</xdr:colOff>
          <xdr:row>18</xdr:row>
          <xdr:rowOff>219075</xdr:rowOff>
        </xdr:to>
        <xdr:sp macro="" textlink="">
          <xdr:nvSpPr>
            <xdr:cNvPr id="12405" name="Check Box 117" hidden="1">
              <a:extLst>
                <a:ext uri="{63B3BB69-23CF-44E3-9099-C40C66FF867C}">
                  <a14:compatExt spid="_x0000_s1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0</xdr:rowOff>
        </xdr:from>
        <xdr:to>
          <xdr:col>4</xdr:col>
          <xdr:colOff>619125</xdr:colOff>
          <xdr:row>10</xdr:row>
          <xdr:rowOff>219075</xdr:rowOff>
        </xdr:to>
        <xdr:sp macro="" textlink="">
          <xdr:nvSpPr>
            <xdr:cNvPr id="12406" name="Check Box 118" hidden="1">
              <a:extLst>
                <a:ext uri="{63B3BB69-23CF-44E3-9099-C40C66FF867C}">
                  <a14:compatExt spid="_x0000_s1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26</xdr:row>
          <xdr:rowOff>19050</xdr:rowOff>
        </xdr:from>
        <xdr:to>
          <xdr:col>4</xdr:col>
          <xdr:colOff>628650</xdr:colOff>
          <xdr:row>26</xdr:row>
          <xdr:rowOff>238125</xdr:rowOff>
        </xdr:to>
        <xdr:sp macro="" textlink="">
          <xdr:nvSpPr>
            <xdr:cNvPr id="12407" name="Check Box 119" hidden="1">
              <a:extLst>
                <a:ext uri="{63B3BB69-23CF-44E3-9099-C40C66FF867C}">
                  <a14:compatExt spid="_x0000_s124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19050</xdr:rowOff>
        </xdr:from>
        <xdr:to>
          <xdr:col>4</xdr:col>
          <xdr:colOff>628650</xdr:colOff>
          <xdr:row>27</xdr:row>
          <xdr:rowOff>238125</xdr:rowOff>
        </xdr:to>
        <xdr:sp macro="" textlink="">
          <xdr:nvSpPr>
            <xdr:cNvPr id="12408" name="Check Box 120" hidden="1">
              <a:extLst>
                <a:ext uri="{63B3BB69-23CF-44E3-9099-C40C66FF867C}">
                  <a14:compatExt spid="_x0000_s1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0</xdr:rowOff>
        </xdr:from>
        <xdr:to>
          <xdr:col>4</xdr:col>
          <xdr:colOff>628650</xdr:colOff>
          <xdr:row>5</xdr:row>
          <xdr:rowOff>219075</xdr:rowOff>
        </xdr:to>
        <xdr:sp macro="" textlink="">
          <xdr:nvSpPr>
            <xdr:cNvPr id="12409" name="Check Box 121" hidden="1">
              <a:extLst>
                <a:ext uri="{63B3BB69-23CF-44E3-9099-C40C66FF867C}">
                  <a14:compatExt spid="_x0000_s124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15</xdr:row>
          <xdr:rowOff>0</xdr:rowOff>
        </xdr:from>
        <xdr:to>
          <xdr:col>4</xdr:col>
          <xdr:colOff>628650</xdr:colOff>
          <xdr:row>15</xdr:row>
          <xdr:rowOff>219075</xdr:rowOff>
        </xdr:to>
        <xdr:sp macro="" textlink="">
          <xdr:nvSpPr>
            <xdr:cNvPr id="12410" name="Check Box 122" hidden="1">
              <a:extLst>
                <a:ext uri="{63B3BB69-23CF-44E3-9099-C40C66FF867C}">
                  <a14:compatExt spid="_x0000_s124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47625</xdr:colOff>
          <xdr:row>3</xdr:row>
          <xdr:rowOff>0</xdr:rowOff>
        </xdr:from>
        <xdr:to>
          <xdr:col>14</xdr:col>
          <xdr:colOff>628650</xdr:colOff>
          <xdr:row>3</xdr:row>
          <xdr:rowOff>219075</xdr:rowOff>
        </xdr:to>
        <xdr:sp macro="" textlink="">
          <xdr:nvSpPr>
            <xdr:cNvPr id="12414" name="Check Box 126" hidden="1">
              <a:extLst>
                <a:ext uri="{63B3BB69-23CF-44E3-9099-C40C66FF867C}">
                  <a14:compatExt spid="_x0000_s124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0</xdr:rowOff>
        </xdr:from>
        <xdr:to>
          <xdr:col>14</xdr:col>
          <xdr:colOff>628650</xdr:colOff>
          <xdr:row>4</xdr:row>
          <xdr:rowOff>219075</xdr:rowOff>
        </xdr:to>
        <xdr:sp macro="" textlink="">
          <xdr:nvSpPr>
            <xdr:cNvPr id="12415" name="Check Box 127" hidden="1">
              <a:extLst>
                <a:ext uri="{63B3BB69-23CF-44E3-9099-C40C66FF867C}">
                  <a14:compatExt spid="_x0000_s124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6</xdr:row>
          <xdr:rowOff>0</xdr:rowOff>
        </xdr:from>
        <xdr:to>
          <xdr:col>14</xdr:col>
          <xdr:colOff>628650</xdr:colOff>
          <xdr:row>6</xdr:row>
          <xdr:rowOff>219075</xdr:rowOff>
        </xdr:to>
        <xdr:sp macro="" textlink="">
          <xdr:nvSpPr>
            <xdr:cNvPr id="12416" name="Check Box 128" hidden="1">
              <a:extLst>
                <a:ext uri="{63B3BB69-23CF-44E3-9099-C40C66FF867C}">
                  <a14:compatExt spid="_x0000_s124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7</xdr:row>
          <xdr:rowOff>0</xdr:rowOff>
        </xdr:from>
        <xdr:to>
          <xdr:col>14</xdr:col>
          <xdr:colOff>628650</xdr:colOff>
          <xdr:row>7</xdr:row>
          <xdr:rowOff>219075</xdr:rowOff>
        </xdr:to>
        <xdr:sp macro="" textlink="">
          <xdr:nvSpPr>
            <xdr:cNvPr id="12417" name="Check Box 129" hidden="1">
              <a:extLst>
                <a:ext uri="{63B3BB69-23CF-44E3-9099-C40C66FF867C}">
                  <a14:compatExt spid="_x0000_s124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12</xdr:row>
          <xdr:rowOff>0</xdr:rowOff>
        </xdr:from>
        <xdr:to>
          <xdr:col>14</xdr:col>
          <xdr:colOff>619125</xdr:colOff>
          <xdr:row>12</xdr:row>
          <xdr:rowOff>219075</xdr:rowOff>
        </xdr:to>
        <xdr:sp macro="" textlink="">
          <xdr:nvSpPr>
            <xdr:cNvPr id="12418" name="Check Box 130" hidden="1">
              <a:extLst>
                <a:ext uri="{63B3BB69-23CF-44E3-9099-C40C66FF867C}">
                  <a14:compatExt spid="_x0000_s124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11</xdr:row>
          <xdr:rowOff>0</xdr:rowOff>
        </xdr:from>
        <xdr:to>
          <xdr:col>14</xdr:col>
          <xdr:colOff>628650</xdr:colOff>
          <xdr:row>11</xdr:row>
          <xdr:rowOff>219075</xdr:rowOff>
        </xdr:to>
        <xdr:sp macro="" textlink="">
          <xdr:nvSpPr>
            <xdr:cNvPr id="12419" name="Check Box 131" hidden="1">
              <a:extLst>
                <a:ext uri="{63B3BB69-23CF-44E3-9099-C40C66FF867C}">
                  <a14:compatExt spid="_x0000_s124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25</xdr:row>
          <xdr:rowOff>0</xdr:rowOff>
        </xdr:from>
        <xdr:to>
          <xdr:col>14</xdr:col>
          <xdr:colOff>628650</xdr:colOff>
          <xdr:row>25</xdr:row>
          <xdr:rowOff>219075</xdr:rowOff>
        </xdr:to>
        <xdr:sp macro="" textlink="">
          <xdr:nvSpPr>
            <xdr:cNvPr id="12420" name="Check Box 132" hidden="1">
              <a:extLst>
                <a:ext uri="{63B3BB69-23CF-44E3-9099-C40C66FF867C}">
                  <a14:compatExt spid="_x0000_s124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14</xdr:row>
          <xdr:rowOff>0</xdr:rowOff>
        </xdr:from>
        <xdr:to>
          <xdr:col>14</xdr:col>
          <xdr:colOff>628650</xdr:colOff>
          <xdr:row>14</xdr:row>
          <xdr:rowOff>219075</xdr:rowOff>
        </xdr:to>
        <xdr:sp macro="" textlink="">
          <xdr:nvSpPr>
            <xdr:cNvPr id="12421" name="Check Box 133" hidden="1">
              <a:extLst>
                <a:ext uri="{63B3BB69-23CF-44E3-9099-C40C66FF867C}">
                  <a14:compatExt spid="_x0000_s124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16</xdr:row>
          <xdr:rowOff>0</xdr:rowOff>
        </xdr:from>
        <xdr:to>
          <xdr:col>14</xdr:col>
          <xdr:colOff>628650</xdr:colOff>
          <xdr:row>16</xdr:row>
          <xdr:rowOff>219075</xdr:rowOff>
        </xdr:to>
        <xdr:sp macro="" textlink="">
          <xdr:nvSpPr>
            <xdr:cNvPr id="12422" name="Check Box 134" hidden="1">
              <a:extLst>
                <a:ext uri="{63B3BB69-23CF-44E3-9099-C40C66FF867C}">
                  <a14:compatExt spid="_x0000_s124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17</xdr:row>
          <xdr:rowOff>0</xdr:rowOff>
        </xdr:from>
        <xdr:to>
          <xdr:col>14</xdr:col>
          <xdr:colOff>628650</xdr:colOff>
          <xdr:row>17</xdr:row>
          <xdr:rowOff>219075</xdr:rowOff>
        </xdr:to>
        <xdr:sp macro="" textlink="">
          <xdr:nvSpPr>
            <xdr:cNvPr id="12423" name="Check Box 135" hidden="1">
              <a:extLst>
                <a:ext uri="{63B3BB69-23CF-44E3-9099-C40C66FF867C}">
                  <a14:compatExt spid="_x0000_s124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0</xdr:rowOff>
        </xdr:from>
        <xdr:to>
          <xdr:col>14</xdr:col>
          <xdr:colOff>628650</xdr:colOff>
          <xdr:row>18</xdr:row>
          <xdr:rowOff>219075</xdr:rowOff>
        </xdr:to>
        <xdr:sp macro="" textlink="">
          <xdr:nvSpPr>
            <xdr:cNvPr id="12424" name="Check Box 136" hidden="1">
              <a:extLst>
                <a:ext uri="{63B3BB69-23CF-44E3-9099-C40C66FF867C}">
                  <a14:compatExt spid="_x0000_s124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xdr:row>
          <xdr:rowOff>0</xdr:rowOff>
        </xdr:from>
        <xdr:to>
          <xdr:col>14</xdr:col>
          <xdr:colOff>619125</xdr:colOff>
          <xdr:row>10</xdr:row>
          <xdr:rowOff>219075</xdr:rowOff>
        </xdr:to>
        <xdr:sp macro="" textlink="">
          <xdr:nvSpPr>
            <xdr:cNvPr id="12425" name="Check Box 137" hidden="1">
              <a:extLst>
                <a:ext uri="{63B3BB69-23CF-44E3-9099-C40C66FF867C}">
                  <a14:compatExt spid="_x0000_s124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26</xdr:row>
          <xdr:rowOff>19050</xdr:rowOff>
        </xdr:from>
        <xdr:to>
          <xdr:col>14</xdr:col>
          <xdr:colOff>628650</xdr:colOff>
          <xdr:row>26</xdr:row>
          <xdr:rowOff>238125</xdr:rowOff>
        </xdr:to>
        <xdr:sp macro="" textlink="">
          <xdr:nvSpPr>
            <xdr:cNvPr id="12426" name="Check Box 138" hidden="1">
              <a:extLst>
                <a:ext uri="{63B3BB69-23CF-44E3-9099-C40C66FF867C}">
                  <a14:compatExt spid="_x0000_s124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27</xdr:row>
          <xdr:rowOff>19050</xdr:rowOff>
        </xdr:from>
        <xdr:to>
          <xdr:col>14</xdr:col>
          <xdr:colOff>628650</xdr:colOff>
          <xdr:row>27</xdr:row>
          <xdr:rowOff>238125</xdr:rowOff>
        </xdr:to>
        <xdr:sp macro="" textlink="">
          <xdr:nvSpPr>
            <xdr:cNvPr id="12427" name="Check Box 139" hidden="1">
              <a:extLst>
                <a:ext uri="{63B3BB69-23CF-44E3-9099-C40C66FF867C}">
                  <a14:compatExt spid="_x0000_s124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5</xdr:row>
          <xdr:rowOff>0</xdr:rowOff>
        </xdr:from>
        <xdr:to>
          <xdr:col>14</xdr:col>
          <xdr:colOff>628650</xdr:colOff>
          <xdr:row>5</xdr:row>
          <xdr:rowOff>219075</xdr:rowOff>
        </xdr:to>
        <xdr:sp macro="" textlink="">
          <xdr:nvSpPr>
            <xdr:cNvPr id="12428" name="Check Box 140" hidden="1">
              <a:extLst>
                <a:ext uri="{63B3BB69-23CF-44E3-9099-C40C66FF867C}">
                  <a14:compatExt spid="_x0000_s124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15</xdr:row>
          <xdr:rowOff>0</xdr:rowOff>
        </xdr:from>
        <xdr:to>
          <xdr:col>14</xdr:col>
          <xdr:colOff>628650</xdr:colOff>
          <xdr:row>15</xdr:row>
          <xdr:rowOff>219075</xdr:rowOff>
        </xdr:to>
        <xdr:sp macro="" textlink="">
          <xdr:nvSpPr>
            <xdr:cNvPr id="12429" name="Check Box 141" hidden="1">
              <a:extLst>
                <a:ext uri="{63B3BB69-23CF-44E3-9099-C40C66FF867C}">
                  <a14:compatExt spid="_x0000_s124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xdr:row>
          <xdr:rowOff>0</xdr:rowOff>
        </xdr:from>
        <xdr:to>
          <xdr:col>16</xdr:col>
          <xdr:colOff>628650</xdr:colOff>
          <xdr:row>3</xdr:row>
          <xdr:rowOff>219075</xdr:rowOff>
        </xdr:to>
        <xdr:sp macro="" textlink="">
          <xdr:nvSpPr>
            <xdr:cNvPr id="12430" name="Check Box 142" hidden="1">
              <a:extLst>
                <a:ext uri="{63B3BB69-23CF-44E3-9099-C40C66FF867C}">
                  <a14:compatExt spid="_x0000_s124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4</xdr:row>
          <xdr:rowOff>0</xdr:rowOff>
        </xdr:from>
        <xdr:to>
          <xdr:col>16</xdr:col>
          <xdr:colOff>628650</xdr:colOff>
          <xdr:row>4</xdr:row>
          <xdr:rowOff>219075</xdr:rowOff>
        </xdr:to>
        <xdr:sp macro="" textlink="">
          <xdr:nvSpPr>
            <xdr:cNvPr id="12431" name="Check Box 143" hidden="1">
              <a:extLst>
                <a:ext uri="{63B3BB69-23CF-44E3-9099-C40C66FF867C}">
                  <a14:compatExt spid="_x0000_s124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6</xdr:row>
          <xdr:rowOff>0</xdr:rowOff>
        </xdr:from>
        <xdr:to>
          <xdr:col>16</xdr:col>
          <xdr:colOff>628650</xdr:colOff>
          <xdr:row>6</xdr:row>
          <xdr:rowOff>219075</xdr:rowOff>
        </xdr:to>
        <xdr:sp macro="" textlink="">
          <xdr:nvSpPr>
            <xdr:cNvPr id="12432" name="Check Box 144" hidden="1">
              <a:extLst>
                <a:ext uri="{63B3BB69-23CF-44E3-9099-C40C66FF867C}">
                  <a14:compatExt spid="_x0000_s124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7</xdr:row>
          <xdr:rowOff>0</xdr:rowOff>
        </xdr:from>
        <xdr:to>
          <xdr:col>16</xdr:col>
          <xdr:colOff>628650</xdr:colOff>
          <xdr:row>7</xdr:row>
          <xdr:rowOff>219075</xdr:rowOff>
        </xdr:to>
        <xdr:sp macro="" textlink="">
          <xdr:nvSpPr>
            <xdr:cNvPr id="12433" name="Check Box 145" hidden="1">
              <a:extLst>
                <a:ext uri="{63B3BB69-23CF-44E3-9099-C40C66FF867C}">
                  <a14:compatExt spid="_x0000_s124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12</xdr:row>
          <xdr:rowOff>0</xdr:rowOff>
        </xdr:from>
        <xdr:to>
          <xdr:col>16</xdr:col>
          <xdr:colOff>619125</xdr:colOff>
          <xdr:row>12</xdr:row>
          <xdr:rowOff>219075</xdr:rowOff>
        </xdr:to>
        <xdr:sp macro="" textlink="">
          <xdr:nvSpPr>
            <xdr:cNvPr id="12434" name="Check Box 146" hidden="1">
              <a:extLst>
                <a:ext uri="{63B3BB69-23CF-44E3-9099-C40C66FF867C}">
                  <a14:compatExt spid="_x0000_s124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11</xdr:row>
          <xdr:rowOff>0</xdr:rowOff>
        </xdr:from>
        <xdr:to>
          <xdr:col>16</xdr:col>
          <xdr:colOff>628650</xdr:colOff>
          <xdr:row>11</xdr:row>
          <xdr:rowOff>219075</xdr:rowOff>
        </xdr:to>
        <xdr:sp macro="" textlink="">
          <xdr:nvSpPr>
            <xdr:cNvPr id="12435" name="Check Box 147" hidden="1">
              <a:extLst>
                <a:ext uri="{63B3BB69-23CF-44E3-9099-C40C66FF867C}">
                  <a14:compatExt spid="_x0000_s12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25</xdr:row>
          <xdr:rowOff>0</xdr:rowOff>
        </xdr:from>
        <xdr:to>
          <xdr:col>16</xdr:col>
          <xdr:colOff>628650</xdr:colOff>
          <xdr:row>25</xdr:row>
          <xdr:rowOff>219075</xdr:rowOff>
        </xdr:to>
        <xdr:sp macro="" textlink="">
          <xdr:nvSpPr>
            <xdr:cNvPr id="12436" name="Check Box 148" hidden="1">
              <a:extLst>
                <a:ext uri="{63B3BB69-23CF-44E3-9099-C40C66FF867C}">
                  <a14:compatExt spid="_x0000_s124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14</xdr:row>
          <xdr:rowOff>0</xdr:rowOff>
        </xdr:from>
        <xdr:to>
          <xdr:col>16</xdr:col>
          <xdr:colOff>628650</xdr:colOff>
          <xdr:row>14</xdr:row>
          <xdr:rowOff>219075</xdr:rowOff>
        </xdr:to>
        <xdr:sp macro="" textlink="">
          <xdr:nvSpPr>
            <xdr:cNvPr id="12437" name="Check Box 149" hidden="1">
              <a:extLst>
                <a:ext uri="{63B3BB69-23CF-44E3-9099-C40C66FF867C}">
                  <a14:compatExt spid="_x0000_s124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16</xdr:row>
          <xdr:rowOff>0</xdr:rowOff>
        </xdr:from>
        <xdr:to>
          <xdr:col>16</xdr:col>
          <xdr:colOff>628650</xdr:colOff>
          <xdr:row>16</xdr:row>
          <xdr:rowOff>219075</xdr:rowOff>
        </xdr:to>
        <xdr:sp macro="" textlink="">
          <xdr:nvSpPr>
            <xdr:cNvPr id="12438" name="Check Box 150" hidden="1">
              <a:extLst>
                <a:ext uri="{63B3BB69-23CF-44E3-9099-C40C66FF867C}">
                  <a14:compatExt spid="_x0000_s12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17</xdr:row>
          <xdr:rowOff>0</xdr:rowOff>
        </xdr:from>
        <xdr:to>
          <xdr:col>16</xdr:col>
          <xdr:colOff>628650</xdr:colOff>
          <xdr:row>17</xdr:row>
          <xdr:rowOff>219075</xdr:rowOff>
        </xdr:to>
        <xdr:sp macro="" textlink="">
          <xdr:nvSpPr>
            <xdr:cNvPr id="12439" name="Check Box 151" hidden="1">
              <a:extLst>
                <a:ext uri="{63B3BB69-23CF-44E3-9099-C40C66FF867C}">
                  <a14:compatExt spid="_x0000_s124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18</xdr:row>
          <xdr:rowOff>0</xdr:rowOff>
        </xdr:from>
        <xdr:to>
          <xdr:col>16</xdr:col>
          <xdr:colOff>628650</xdr:colOff>
          <xdr:row>18</xdr:row>
          <xdr:rowOff>219075</xdr:rowOff>
        </xdr:to>
        <xdr:sp macro="" textlink="">
          <xdr:nvSpPr>
            <xdr:cNvPr id="12440" name="Check Box 152" hidden="1">
              <a:extLst>
                <a:ext uri="{63B3BB69-23CF-44E3-9099-C40C66FF867C}">
                  <a14:compatExt spid="_x0000_s124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10</xdr:row>
          <xdr:rowOff>0</xdr:rowOff>
        </xdr:from>
        <xdr:to>
          <xdr:col>16</xdr:col>
          <xdr:colOff>619125</xdr:colOff>
          <xdr:row>10</xdr:row>
          <xdr:rowOff>219075</xdr:rowOff>
        </xdr:to>
        <xdr:sp macro="" textlink="">
          <xdr:nvSpPr>
            <xdr:cNvPr id="12441" name="Check Box 153" hidden="1">
              <a:extLst>
                <a:ext uri="{63B3BB69-23CF-44E3-9099-C40C66FF867C}">
                  <a14:compatExt spid="_x0000_s12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26</xdr:row>
          <xdr:rowOff>19050</xdr:rowOff>
        </xdr:from>
        <xdr:to>
          <xdr:col>16</xdr:col>
          <xdr:colOff>628650</xdr:colOff>
          <xdr:row>26</xdr:row>
          <xdr:rowOff>238125</xdr:rowOff>
        </xdr:to>
        <xdr:sp macro="" textlink="">
          <xdr:nvSpPr>
            <xdr:cNvPr id="12442" name="Check Box 154" hidden="1">
              <a:extLst>
                <a:ext uri="{63B3BB69-23CF-44E3-9099-C40C66FF867C}">
                  <a14:compatExt spid="_x0000_s12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27</xdr:row>
          <xdr:rowOff>19050</xdr:rowOff>
        </xdr:from>
        <xdr:to>
          <xdr:col>16</xdr:col>
          <xdr:colOff>628650</xdr:colOff>
          <xdr:row>27</xdr:row>
          <xdr:rowOff>238125</xdr:rowOff>
        </xdr:to>
        <xdr:sp macro="" textlink="">
          <xdr:nvSpPr>
            <xdr:cNvPr id="12443" name="Check Box 155" hidden="1">
              <a:extLst>
                <a:ext uri="{63B3BB69-23CF-44E3-9099-C40C66FF867C}">
                  <a14:compatExt spid="_x0000_s12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5</xdr:row>
          <xdr:rowOff>0</xdr:rowOff>
        </xdr:from>
        <xdr:to>
          <xdr:col>16</xdr:col>
          <xdr:colOff>628650</xdr:colOff>
          <xdr:row>5</xdr:row>
          <xdr:rowOff>219075</xdr:rowOff>
        </xdr:to>
        <xdr:sp macro="" textlink="">
          <xdr:nvSpPr>
            <xdr:cNvPr id="12444" name="Check Box 156" hidden="1">
              <a:extLst>
                <a:ext uri="{63B3BB69-23CF-44E3-9099-C40C66FF867C}">
                  <a14:compatExt spid="_x0000_s124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15</xdr:row>
          <xdr:rowOff>0</xdr:rowOff>
        </xdr:from>
        <xdr:to>
          <xdr:col>16</xdr:col>
          <xdr:colOff>628650</xdr:colOff>
          <xdr:row>15</xdr:row>
          <xdr:rowOff>219075</xdr:rowOff>
        </xdr:to>
        <xdr:sp macro="" textlink="">
          <xdr:nvSpPr>
            <xdr:cNvPr id="12445" name="Check Box 157" hidden="1">
              <a:extLst>
                <a:ext uri="{63B3BB69-23CF-44E3-9099-C40C66FF867C}">
                  <a14:compatExt spid="_x0000_s124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628650</xdr:colOff>
          <xdr:row>28</xdr:row>
          <xdr:rowOff>238125</xdr:rowOff>
        </xdr:to>
        <xdr:sp macro="" textlink="">
          <xdr:nvSpPr>
            <xdr:cNvPr id="12486" name="Check Box 198" hidden="1">
              <a:extLst>
                <a:ext uri="{63B3BB69-23CF-44E3-9099-C40C66FF867C}">
                  <a14:compatExt spid="_x0000_s12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28</xdr:row>
          <xdr:rowOff>19050</xdr:rowOff>
        </xdr:from>
        <xdr:to>
          <xdr:col>6</xdr:col>
          <xdr:colOff>628650</xdr:colOff>
          <xdr:row>28</xdr:row>
          <xdr:rowOff>238125</xdr:rowOff>
        </xdr:to>
        <xdr:sp macro="" textlink="">
          <xdr:nvSpPr>
            <xdr:cNvPr id="12487" name="Check Box 199" hidden="1">
              <a:extLst>
                <a:ext uri="{63B3BB69-23CF-44E3-9099-C40C66FF867C}">
                  <a14:compatExt spid="_x0000_s124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28</xdr:row>
          <xdr:rowOff>19050</xdr:rowOff>
        </xdr:from>
        <xdr:to>
          <xdr:col>8</xdr:col>
          <xdr:colOff>628650</xdr:colOff>
          <xdr:row>28</xdr:row>
          <xdr:rowOff>238125</xdr:rowOff>
        </xdr:to>
        <xdr:sp macro="" textlink="">
          <xdr:nvSpPr>
            <xdr:cNvPr id="12488" name="Check Box 200" hidden="1">
              <a:extLst>
                <a:ext uri="{63B3BB69-23CF-44E3-9099-C40C66FF867C}">
                  <a14:compatExt spid="_x0000_s12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28</xdr:row>
          <xdr:rowOff>19050</xdr:rowOff>
        </xdr:from>
        <xdr:to>
          <xdr:col>12</xdr:col>
          <xdr:colOff>628650</xdr:colOff>
          <xdr:row>28</xdr:row>
          <xdr:rowOff>238125</xdr:rowOff>
        </xdr:to>
        <xdr:sp macro="" textlink="">
          <xdr:nvSpPr>
            <xdr:cNvPr id="12490" name="Check Box 202" hidden="1">
              <a:extLst>
                <a:ext uri="{63B3BB69-23CF-44E3-9099-C40C66FF867C}">
                  <a14:compatExt spid="_x0000_s124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628650</xdr:colOff>
          <xdr:row>28</xdr:row>
          <xdr:rowOff>238125</xdr:rowOff>
        </xdr:to>
        <xdr:sp macro="" textlink="">
          <xdr:nvSpPr>
            <xdr:cNvPr id="12491" name="Check Box 203" hidden="1">
              <a:extLst>
                <a:ext uri="{63B3BB69-23CF-44E3-9099-C40C66FF867C}">
                  <a14:compatExt spid="_x0000_s124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28</xdr:row>
          <xdr:rowOff>19050</xdr:rowOff>
        </xdr:from>
        <xdr:to>
          <xdr:col>14</xdr:col>
          <xdr:colOff>628650</xdr:colOff>
          <xdr:row>28</xdr:row>
          <xdr:rowOff>238125</xdr:rowOff>
        </xdr:to>
        <xdr:sp macro="" textlink="">
          <xdr:nvSpPr>
            <xdr:cNvPr id="12492" name="Check Box 204" hidden="1">
              <a:extLst>
                <a:ext uri="{63B3BB69-23CF-44E3-9099-C40C66FF867C}">
                  <a14:compatExt spid="_x0000_s12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28</xdr:row>
          <xdr:rowOff>19050</xdr:rowOff>
        </xdr:from>
        <xdr:to>
          <xdr:col>16</xdr:col>
          <xdr:colOff>628650</xdr:colOff>
          <xdr:row>28</xdr:row>
          <xdr:rowOff>238125</xdr:rowOff>
        </xdr:to>
        <xdr:sp macro="" textlink="">
          <xdr:nvSpPr>
            <xdr:cNvPr id="12493" name="Check Box 205" hidden="1">
              <a:extLst>
                <a:ext uri="{63B3BB69-23CF-44E3-9099-C40C66FF867C}">
                  <a14:compatExt spid="_x0000_s12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29</xdr:row>
          <xdr:rowOff>19050</xdr:rowOff>
        </xdr:from>
        <xdr:to>
          <xdr:col>2</xdr:col>
          <xdr:colOff>628650</xdr:colOff>
          <xdr:row>29</xdr:row>
          <xdr:rowOff>238125</xdr:rowOff>
        </xdr:to>
        <xdr:sp macro="" textlink="">
          <xdr:nvSpPr>
            <xdr:cNvPr id="12494" name="Check Box 206" hidden="1">
              <a:extLst>
                <a:ext uri="{63B3BB69-23CF-44E3-9099-C40C66FF867C}">
                  <a14:compatExt spid="_x0000_s124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29</xdr:row>
          <xdr:rowOff>19050</xdr:rowOff>
        </xdr:from>
        <xdr:to>
          <xdr:col>6</xdr:col>
          <xdr:colOff>628650</xdr:colOff>
          <xdr:row>29</xdr:row>
          <xdr:rowOff>238125</xdr:rowOff>
        </xdr:to>
        <xdr:sp macro="" textlink="">
          <xdr:nvSpPr>
            <xdr:cNvPr id="12495" name="Check Box 207" hidden="1">
              <a:extLst>
                <a:ext uri="{63B3BB69-23CF-44E3-9099-C40C66FF867C}">
                  <a14:compatExt spid="_x0000_s124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29</xdr:row>
          <xdr:rowOff>19050</xdr:rowOff>
        </xdr:from>
        <xdr:to>
          <xdr:col>8</xdr:col>
          <xdr:colOff>628650</xdr:colOff>
          <xdr:row>29</xdr:row>
          <xdr:rowOff>238125</xdr:rowOff>
        </xdr:to>
        <xdr:sp macro="" textlink="">
          <xdr:nvSpPr>
            <xdr:cNvPr id="12496" name="Check Box 208" hidden="1">
              <a:extLst>
                <a:ext uri="{63B3BB69-23CF-44E3-9099-C40C66FF867C}">
                  <a14:compatExt spid="_x0000_s124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29</xdr:row>
          <xdr:rowOff>19050</xdr:rowOff>
        </xdr:from>
        <xdr:to>
          <xdr:col>12</xdr:col>
          <xdr:colOff>628650</xdr:colOff>
          <xdr:row>29</xdr:row>
          <xdr:rowOff>238125</xdr:rowOff>
        </xdr:to>
        <xdr:sp macro="" textlink="">
          <xdr:nvSpPr>
            <xdr:cNvPr id="12498" name="Check Box 210" hidden="1">
              <a:extLst>
                <a:ext uri="{63B3BB69-23CF-44E3-9099-C40C66FF867C}">
                  <a14:compatExt spid="_x0000_s124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29</xdr:row>
          <xdr:rowOff>19050</xdr:rowOff>
        </xdr:from>
        <xdr:to>
          <xdr:col>4</xdr:col>
          <xdr:colOff>628650</xdr:colOff>
          <xdr:row>29</xdr:row>
          <xdr:rowOff>238125</xdr:rowOff>
        </xdr:to>
        <xdr:sp macro="" textlink="">
          <xdr:nvSpPr>
            <xdr:cNvPr id="12499" name="Check Box 211" hidden="1">
              <a:extLst>
                <a:ext uri="{63B3BB69-23CF-44E3-9099-C40C66FF867C}">
                  <a14:compatExt spid="_x0000_s124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29</xdr:row>
          <xdr:rowOff>19050</xdr:rowOff>
        </xdr:from>
        <xdr:to>
          <xdr:col>14</xdr:col>
          <xdr:colOff>628650</xdr:colOff>
          <xdr:row>29</xdr:row>
          <xdr:rowOff>238125</xdr:rowOff>
        </xdr:to>
        <xdr:sp macro="" textlink="">
          <xdr:nvSpPr>
            <xdr:cNvPr id="12500" name="Check Box 212" hidden="1">
              <a:extLst>
                <a:ext uri="{63B3BB69-23CF-44E3-9099-C40C66FF867C}">
                  <a14:compatExt spid="_x0000_s125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29</xdr:row>
          <xdr:rowOff>19050</xdr:rowOff>
        </xdr:from>
        <xdr:to>
          <xdr:col>16</xdr:col>
          <xdr:colOff>628650</xdr:colOff>
          <xdr:row>29</xdr:row>
          <xdr:rowOff>238125</xdr:rowOff>
        </xdr:to>
        <xdr:sp macro="" textlink="">
          <xdr:nvSpPr>
            <xdr:cNvPr id="12501" name="Check Box 213" hidden="1">
              <a:extLst>
                <a:ext uri="{63B3BB69-23CF-44E3-9099-C40C66FF867C}">
                  <a14:compatExt spid="_x0000_s125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0</xdr:rowOff>
        </xdr:from>
        <xdr:to>
          <xdr:col>2</xdr:col>
          <xdr:colOff>628650</xdr:colOff>
          <xdr:row>8</xdr:row>
          <xdr:rowOff>219075</xdr:rowOff>
        </xdr:to>
        <xdr:sp macro="" textlink="">
          <xdr:nvSpPr>
            <xdr:cNvPr id="12502" name="Check Box 214" hidden="1">
              <a:extLst>
                <a:ext uri="{63B3BB69-23CF-44E3-9099-C40C66FF867C}">
                  <a14:compatExt spid="_x0000_s125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0</xdr:rowOff>
        </xdr:from>
        <xdr:to>
          <xdr:col>6</xdr:col>
          <xdr:colOff>628650</xdr:colOff>
          <xdr:row>8</xdr:row>
          <xdr:rowOff>219075</xdr:rowOff>
        </xdr:to>
        <xdr:sp macro="" textlink="">
          <xdr:nvSpPr>
            <xdr:cNvPr id="12503" name="Check Box 215" hidden="1">
              <a:extLst>
                <a:ext uri="{63B3BB69-23CF-44E3-9099-C40C66FF867C}">
                  <a14:compatExt spid="_x0000_s125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0</xdr:rowOff>
        </xdr:from>
        <xdr:to>
          <xdr:col>8</xdr:col>
          <xdr:colOff>628650</xdr:colOff>
          <xdr:row>8</xdr:row>
          <xdr:rowOff>219075</xdr:rowOff>
        </xdr:to>
        <xdr:sp macro="" textlink="">
          <xdr:nvSpPr>
            <xdr:cNvPr id="12504" name="Check Box 216" hidden="1">
              <a:extLst>
                <a:ext uri="{63B3BB69-23CF-44E3-9099-C40C66FF867C}">
                  <a14:compatExt spid="_x0000_s125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0</xdr:rowOff>
        </xdr:from>
        <xdr:to>
          <xdr:col>12</xdr:col>
          <xdr:colOff>628650</xdr:colOff>
          <xdr:row>8</xdr:row>
          <xdr:rowOff>219075</xdr:rowOff>
        </xdr:to>
        <xdr:sp macro="" textlink="">
          <xdr:nvSpPr>
            <xdr:cNvPr id="12506" name="Check Box 218" hidden="1">
              <a:extLst>
                <a:ext uri="{63B3BB69-23CF-44E3-9099-C40C66FF867C}">
                  <a14:compatExt spid="_x0000_s12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8</xdr:row>
          <xdr:rowOff>0</xdr:rowOff>
        </xdr:from>
        <xdr:to>
          <xdr:col>4</xdr:col>
          <xdr:colOff>628650</xdr:colOff>
          <xdr:row>8</xdr:row>
          <xdr:rowOff>219075</xdr:rowOff>
        </xdr:to>
        <xdr:sp macro="" textlink="">
          <xdr:nvSpPr>
            <xdr:cNvPr id="12507" name="Check Box 219" hidden="1">
              <a:extLst>
                <a:ext uri="{63B3BB69-23CF-44E3-9099-C40C66FF867C}">
                  <a14:compatExt spid="_x0000_s12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8</xdr:row>
          <xdr:rowOff>0</xdr:rowOff>
        </xdr:from>
        <xdr:to>
          <xdr:col>14</xdr:col>
          <xdr:colOff>628650</xdr:colOff>
          <xdr:row>8</xdr:row>
          <xdr:rowOff>219075</xdr:rowOff>
        </xdr:to>
        <xdr:sp macro="" textlink="">
          <xdr:nvSpPr>
            <xdr:cNvPr id="12508" name="Check Box 220" hidden="1">
              <a:extLst>
                <a:ext uri="{63B3BB69-23CF-44E3-9099-C40C66FF867C}">
                  <a14:compatExt spid="_x0000_s12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8</xdr:row>
          <xdr:rowOff>0</xdr:rowOff>
        </xdr:from>
        <xdr:to>
          <xdr:col>16</xdr:col>
          <xdr:colOff>628650</xdr:colOff>
          <xdr:row>8</xdr:row>
          <xdr:rowOff>219075</xdr:rowOff>
        </xdr:to>
        <xdr:sp macro="" textlink="">
          <xdr:nvSpPr>
            <xdr:cNvPr id="12509" name="Check Box 221" hidden="1">
              <a:extLst>
                <a:ext uri="{63B3BB69-23CF-44E3-9099-C40C66FF867C}">
                  <a14:compatExt spid="_x0000_s12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9</xdr:row>
          <xdr:rowOff>0</xdr:rowOff>
        </xdr:from>
        <xdr:to>
          <xdr:col>2</xdr:col>
          <xdr:colOff>628650</xdr:colOff>
          <xdr:row>9</xdr:row>
          <xdr:rowOff>219075</xdr:rowOff>
        </xdr:to>
        <xdr:sp macro="" textlink="">
          <xdr:nvSpPr>
            <xdr:cNvPr id="12510" name="Check Box 222" hidden="1">
              <a:extLst>
                <a:ext uri="{63B3BB69-23CF-44E3-9099-C40C66FF867C}">
                  <a14:compatExt spid="_x0000_s12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9</xdr:row>
          <xdr:rowOff>0</xdr:rowOff>
        </xdr:from>
        <xdr:to>
          <xdr:col>6</xdr:col>
          <xdr:colOff>628650</xdr:colOff>
          <xdr:row>9</xdr:row>
          <xdr:rowOff>219075</xdr:rowOff>
        </xdr:to>
        <xdr:sp macro="" textlink="">
          <xdr:nvSpPr>
            <xdr:cNvPr id="12511" name="Check Box 223" hidden="1">
              <a:extLst>
                <a:ext uri="{63B3BB69-23CF-44E3-9099-C40C66FF867C}">
                  <a14:compatExt spid="_x0000_s125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9</xdr:row>
          <xdr:rowOff>0</xdr:rowOff>
        </xdr:from>
        <xdr:to>
          <xdr:col>8</xdr:col>
          <xdr:colOff>628650</xdr:colOff>
          <xdr:row>9</xdr:row>
          <xdr:rowOff>219075</xdr:rowOff>
        </xdr:to>
        <xdr:sp macro="" textlink="">
          <xdr:nvSpPr>
            <xdr:cNvPr id="12512" name="Check Box 224" hidden="1">
              <a:extLst>
                <a:ext uri="{63B3BB69-23CF-44E3-9099-C40C66FF867C}">
                  <a14:compatExt spid="_x0000_s12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9</xdr:row>
          <xdr:rowOff>0</xdr:rowOff>
        </xdr:from>
        <xdr:to>
          <xdr:col>12</xdr:col>
          <xdr:colOff>628650</xdr:colOff>
          <xdr:row>9</xdr:row>
          <xdr:rowOff>219075</xdr:rowOff>
        </xdr:to>
        <xdr:sp macro="" textlink="">
          <xdr:nvSpPr>
            <xdr:cNvPr id="12514" name="Check Box 226" hidden="1">
              <a:extLst>
                <a:ext uri="{63B3BB69-23CF-44E3-9099-C40C66FF867C}">
                  <a14:compatExt spid="_x0000_s125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9</xdr:row>
          <xdr:rowOff>0</xdr:rowOff>
        </xdr:from>
        <xdr:to>
          <xdr:col>4</xdr:col>
          <xdr:colOff>628650</xdr:colOff>
          <xdr:row>9</xdr:row>
          <xdr:rowOff>219075</xdr:rowOff>
        </xdr:to>
        <xdr:sp macro="" textlink="">
          <xdr:nvSpPr>
            <xdr:cNvPr id="12515" name="Check Box 227" hidden="1">
              <a:extLst>
                <a:ext uri="{63B3BB69-23CF-44E3-9099-C40C66FF867C}">
                  <a14:compatExt spid="_x0000_s125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9</xdr:row>
          <xdr:rowOff>0</xdr:rowOff>
        </xdr:from>
        <xdr:to>
          <xdr:col>14</xdr:col>
          <xdr:colOff>628650</xdr:colOff>
          <xdr:row>9</xdr:row>
          <xdr:rowOff>219075</xdr:rowOff>
        </xdr:to>
        <xdr:sp macro="" textlink="">
          <xdr:nvSpPr>
            <xdr:cNvPr id="12516" name="Check Box 228" hidden="1">
              <a:extLst>
                <a:ext uri="{63B3BB69-23CF-44E3-9099-C40C66FF867C}">
                  <a14:compatExt spid="_x0000_s125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9</xdr:row>
          <xdr:rowOff>0</xdr:rowOff>
        </xdr:from>
        <xdr:to>
          <xdr:col>16</xdr:col>
          <xdr:colOff>628650</xdr:colOff>
          <xdr:row>9</xdr:row>
          <xdr:rowOff>219075</xdr:rowOff>
        </xdr:to>
        <xdr:sp macro="" textlink="">
          <xdr:nvSpPr>
            <xdr:cNvPr id="12517" name="Check Box 229" hidden="1">
              <a:extLst>
                <a:ext uri="{63B3BB69-23CF-44E3-9099-C40C66FF867C}">
                  <a14:compatExt spid="_x0000_s125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0</xdr:rowOff>
        </xdr:from>
        <xdr:to>
          <xdr:col>2</xdr:col>
          <xdr:colOff>619125</xdr:colOff>
          <xdr:row>13</xdr:row>
          <xdr:rowOff>219075</xdr:rowOff>
        </xdr:to>
        <xdr:sp macro="" textlink="">
          <xdr:nvSpPr>
            <xdr:cNvPr id="12518" name="Check Box 230" hidden="1">
              <a:extLst>
                <a:ext uri="{63B3BB69-23CF-44E3-9099-C40C66FF867C}">
                  <a14:compatExt spid="_x0000_s125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13</xdr:row>
          <xdr:rowOff>0</xdr:rowOff>
        </xdr:from>
        <xdr:to>
          <xdr:col>6</xdr:col>
          <xdr:colOff>619125</xdr:colOff>
          <xdr:row>13</xdr:row>
          <xdr:rowOff>219075</xdr:rowOff>
        </xdr:to>
        <xdr:sp macro="" textlink="">
          <xdr:nvSpPr>
            <xdr:cNvPr id="12519" name="Check Box 231" hidden="1">
              <a:extLst>
                <a:ext uri="{63B3BB69-23CF-44E3-9099-C40C66FF867C}">
                  <a14:compatExt spid="_x0000_s125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13</xdr:row>
          <xdr:rowOff>0</xdr:rowOff>
        </xdr:from>
        <xdr:to>
          <xdr:col>8</xdr:col>
          <xdr:colOff>619125</xdr:colOff>
          <xdr:row>13</xdr:row>
          <xdr:rowOff>219075</xdr:rowOff>
        </xdr:to>
        <xdr:sp macro="" textlink="">
          <xdr:nvSpPr>
            <xdr:cNvPr id="12520" name="Check Box 232" hidden="1">
              <a:extLst>
                <a:ext uri="{63B3BB69-23CF-44E3-9099-C40C66FF867C}">
                  <a14:compatExt spid="_x0000_s125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13</xdr:row>
          <xdr:rowOff>0</xdr:rowOff>
        </xdr:from>
        <xdr:to>
          <xdr:col>12</xdr:col>
          <xdr:colOff>619125</xdr:colOff>
          <xdr:row>13</xdr:row>
          <xdr:rowOff>219075</xdr:rowOff>
        </xdr:to>
        <xdr:sp macro="" textlink="">
          <xdr:nvSpPr>
            <xdr:cNvPr id="12522" name="Check Box 234" hidden="1">
              <a:extLst>
                <a:ext uri="{63B3BB69-23CF-44E3-9099-C40C66FF867C}">
                  <a14:compatExt spid="_x0000_s12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0</xdr:rowOff>
        </xdr:from>
        <xdr:to>
          <xdr:col>4</xdr:col>
          <xdr:colOff>619125</xdr:colOff>
          <xdr:row>13</xdr:row>
          <xdr:rowOff>219075</xdr:rowOff>
        </xdr:to>
        <xdr:sp macro="" textlink="">
          <xdr:nvSpPr>
            <xdr:cNvPr id="12523" name="Check Box 235" hidden="1">
              <a:extLst>
                <a:ext uri="{63B3BB69-23CF-44E3-9099-C40C66FF867C}">
                  <a14:compatExt spid="_x0000_s12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13</xdr:row>
          <xdr:rowOff>0</xdr:rowOff>
        </xdr:from>
        <xdr:to>
          <xdr:col>14</xdr:col>
          <xdr:colOff>619125</xdr:colOff>
          <xdr:row>13</xdr:row>
          <xdr:rowOff>219075</xdr:rowOff>
        </xdr:to>
        <xdr:sp macro="" textlink="">
          <xdr:nvSpPr>
            <xdr:cNvPr id="12524" name="Check Box 236" hidden="1">
              <a:extLst>
                <a:ext uri="{63B3BB69-23CF-44E3-9099-C40C66FF867C}">
                  <a14:compatExt spid="_x0000_s12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16</xdr:col>
          <xdr:colOff>619125</xdr:colOff>
          <xdr:row>13</xdr:row>
          <xdr:rowOff>219075</xdr:rowOff>
        </xdr:to>
        <xdr:sp macro="" textlink="">
          <xdr:nvSpPr>
            <xdr:cNvPr id="12525" name="Check Box 237" hidden="1">
              <a:extLst>
                <a:ext uri="{63B3BB69-23CF-44E3-9099-C40C66FF867C}">
                  <a14:compatExt spid="_x0000_s12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0</xdr:rowOff>
        </xdr:from>
        <xdr:to>
          <xdr:col>2</xdr:col>
          <xdr:colOff>628650</xdr:colOff>
          <xdr:row>19</xdr:row>
          <xdr:rowOff>219075</xdr:rowOff>
        </xdr:to>
        <xdr:sp macro="" textlink="">
          <xdr:nvSpPr>
            <xdr:cNvPr id="12526" name="Check Box 238" hidden="1">
              <a:extLst>
                <a:ext uri="{63B3BB69-23CF-44E3-9099-C40C66FF867C}">
                  <a14:compatExt spid="_x0000_s12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19</xdr:row>
          <xdr:rowOff>0</xdr:rowOff>
        </xdr:from>
        <xdr:to>
          <xdr:col>6</xdr:col>
          <xdr:colOff>628650</xdr:colOff>
          <xdr:row>19</xdr:row>
          <xdr:rowOff>219075</xdr:rowOff>
        </xdr:to>
        <xdr:sp macro="" textlink="">
          <xdr:nvSpPr>
            <xdr:cNvPr id="12527" name="Check Box 239" hidden="1">
              <a:extLst>
                <a:ext uri="{63B3BB69-23CF-44E3-9099-C40C66FF867C}">
                  <a14:compatExt spid="_x0000_s12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19</xdr:row>
          <xdr:rowOff>0</xdr:rowOff>
        </xdr:from>
        <xdr:to>
          <xdr:col>8</xdr:col>
          <xdr:colOff>628650</xdr:colOff>
          <xdr:row>19</xdr:row>
          <xdr:rowOff>219075</xdr:rowOff>
        </xdr:to>
        <xdr:sp macro="" textlink="">
          <xdr:nvSpPr>
            <xdr:cNvPr id="12528" name="Check Box 240" hidden="1">
              <a:extLst>
                <a:ext uri="{63B3BB69-23CF-44E3-9099-C40C66FF867C}">
                  <a14:compatExt spid="_x0000_s12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19</xdr:row>
          <xdr:rowOff>0</xdr:rowOff>
        </xdr:from>
        <xdr:to>
          <xdr:col>12</xdr:col>
          <xdr:colOff>628650</xdr:colOff>
          <xdr:row>19</xdr:row>
          <xdr:rowOff>219075</xdr:rowOff>
        </xdr:to>
        <xdr:sp macro="" textlink="">
          <xdr:nvSpPr>
            <xdr:cNvPr id="12530" name="Check Box 242" hidden="1">
              <a:extLst>
                <a:ext uri="{63B3BB69-23CF-44E3-9099-C40C66FF867C}">
                  <a14:compatExt spid="_x0000_s12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19</xdr:row>
          <xdr:rowOff>0</xdr:rowOff>
        </xdr:from>
        <xdr:to>
          <xdr:col>4</xdr:col>
          <xdr:colOff>628650</xdr:colOff>
          <xdr:row>19</xdr:row>
          <xdr:rowOff>219075</xdr:rowOff>
        </xdr:to>
        <xdr:sp macro="" textlink="">
          <xdr:nvSpPr>
            <xdr:cNvPr id="12531" name="Check Box 243" hidden="1">
              <a:extLst>
                <a:ext uri="{63B3BB69-23CF-44E3-9099-C40C66FF867C}">
                  <a14:compatExt spid="_x0000_s12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19</xdr:row>
          <xdr:rowOff>0</xdr:rowOff>
        </xdr:from>
        <xdr:to>
          <xdr:col>14</xdr:col>
          <xdr:colOff>628650</xdr:colOff>
          <xdr:row>19</xdr:row>
          <xdr:rowOff>219075</xdr:rowOff>
        </xdr:to>
        <xdr:sp macro="" textlink="">
          <xdr:nvSpPr>
            <xdr:cNvPr id="12532" name="Check Box 244" hidden="1">
              <a:extLst>
                <a:ext uri="{63B3BB69-23CF-44E3-9099-C40C66FF867C}">
                  <a14:compatExt spid="_x0000_s12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19</xdr:row>
          <xdr:rowOff>0</xdr:rowOff>
        </xdr:from>
        <xdr:to>
          <xdr:col>16</xdr:col>
          <xdr:colOff>628650</xdr:colOff>
          <xdr:row>19</xdr:row>
          <xdr:rowOff>219075</xdr:rowOff>
        </xdr:to>
        <xdr:sp macro="" textlink="">
          <xdr:nvSpPr>
            <xdr:cNvPr id="12533" name="Check Box 245" hidden="1">
              <a:extLst>
                <a:ext uri="{63B3BB69-23CF-44E3-9099-C40C66FF867C}">
                  <a14:compatExt spid="_x0000_s125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0</xdr:rowOff>
        </xdr:from>
        <xdr:to>
          <xdr:col>2</xdr:col>
          <xdr:colOff>628650</xdr:colOff>
          <xdr:row>20</xdr:row>
          <xdr:rowOff>219075</xdr:rowOff>
        </xdr:to>
        <xdr:sp macro="" textlink="">
          <xdr:nvSpPr>
            <xdr:cNvPr id="12534" name="Check Box 246" hidden="1">
              <a:extLst>
                <a:ext uri="{63B3BB69-23CF-44E3-9099-C40C66FF867C}">
                  <a14:compatExt spid="_x0000_s12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0</xdr:rowOff>
        </xdr:from>
        <xdr:to>
          <xdr:col>6</xdr:col>
          <xdr:colOff>628650</xdr:colOff>
          <xdr:row>20</xdr:row>
          <xdr:rowOff>219075</xdr:rowOff>
        </xdr:to>
        <xdr:sp macro="" textlink="">
          <xdr:nvSpPr>
            <xdr:cNvPr id="12535" name="Check Box 247" hidden="1">
              <a:extLst>
                <a:ext uri="{63B3BB69-23CF-44E3-9099-C40C66FF867C}">
                  <a14:compatExt spid="_x0000_s125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20</xdr:row>
          <xdr:rowOff>0</xdr:rowOff>
        </xdr:from>
        <xdr:to>
          <xdr:col>8</xdr:col>
          <xdr:colOff>628650</xdr:colOff>
          <xdr:row>20</xdr:row>
          <xdr:rowOff>219075</xdr:rowOff>
        </xdr:to>
        <xdr:sp macro="" textlink="">
          <xdr:nvSpPr>
            <xdr:cNvPr id="12536" name="Check Box 248" hidden="1">
              <a:extLst>
                <a:ext uri="{63B3BB69-23CF-44E3-9099-C40C66FF867C}">
                  <a14:compatExt spid="_x0000_s125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20</xdr:row>
          <xdr:rowOff>0</xdr:rowOff>
        </xdr:from>
        <xdr:to>
          <xdr:col>12</xdr:col>
          <xdr:colOff>628650</xdr:colOff>
          <xdr:row>20</xdr:row>
          <xdr:rowOff>219075</xdr:rowOff>
        </xdr:to>
        <xdr:sp macro="" textlink="">
          <xdr:nvSpPr>
            <xdr:cNvPr id="12538" name="Check Box 250" hidden="1">
              <a:extLst>
                <a:ext uri="{63B3BB69-23CF-44E3-9099-C40C66FF867C}">
                  <a14:compatExt spid="_x0000_s125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20</xdr:row>
          <xdr:rowOff>0</xdr:rowOff>
        </xdr:from>
        <xdr:to>
          <xdr:col>4</xdr:col>
          <xdr:colOff>628650</xdr:colOff>
          <xdr:row>20</xdr:row>
          <xdr:rowOff>219075</xdr:rowOff>
        </xdr:to>
        <xdr:sp macro="" textlink="">
          <xdr:nvSpPr>
            <xdr:cNvPr id="12539" name="Check Box 251" hidden="1">
              <a:extLst>
                <a:ext uri="{63B3BB69-23CF-44E3-9099-C40C66FF867C}">
                  <a14:compatExt spid="_x0000_s125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20</xdr:row>
          <xdr:rowOff>0</xdr:rowOff>
        </xdr:from>
        <xdr:to>
          <xdr:col>14</xdr:col>
          <xdr:colOff>628650</xdr:colOff>
          <xdr:row>20</xdr:row>
          <xdr:rowOff>219075</xdr:rowOff>
        </xdr:to>
        <xdr:sp macro="" textlink="">
          <xdr:nvSpPr>
            <xdr:cNvPr id="12540" name="Check Box 252" hidden="1">
              <a:extLst>
                <a:ext uri="{63B3BB69-23CF-44E3-9099-C40C66FF867C}">
                  <a14:compatExt spid="_x0000_s125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20</xdr:row>
          <xdr:rowOff>0</xdr:rowOff>
        </xdr:from>
        <xdr:to>
          <xdr:col>16</xdr:col>
          <xdr:colOff>628650</xdr:colOff>
          <xdr:row>20</xdr:row>
          <xdr:rowOff>219075</xdr:rowOff>
        </xdr:to>
        <xdr:sp macro="" textlink="">
          <xdr:nvSpPr>
            <xdr:cNvPr id="12541" name="Check Box 253" hidden="1">
              <a:extLst>
                <a:ext uri="{63B3BB69-23CF-44E3-9099-C40C66FF867C}">
                  <a14:compatExt spid="_x0000_s125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21</xdr:row>
          <xdr:rowOff>0</xdr:rowOff>
        </xdr:from>
        <xdr:to>
          <xdr:col>2</xdr:col>
          <xdr:colOff>628650</xdr:colOff>
          <xdr:row>21</xdr:row>
          <xdr:rowOff>219075</xdr:rowOff>
        </xdr:to>
        <xdr:sp macro="" textlink="">
          <xdr:nvSpPr>
            <xdr:cNvPr id="12542" name="Check Box 254" hidden="1">
              <a:extLst>
                <a:ext uri="{63B3BB69-23CF-44E3-9099-C40C66FF867C}">
                  <a14:compatExt spid="_x0000_s125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21</xdr:row>
          <xdr:rowOff>0</xdr:rowOff>
        </xdr:from>
        <xdr:to>
          <xdr:col>6</xdr:col>
          <xdr:colOff>628650</xdr:colOff>
          <xdr:row>21</xdr:row>
          <xdr:rowOff>219075</xdr:rowOff>
        </xdr:to>
        <xdr:sp macro="" textlink="">
          <xdr:nvSpPr>
            <xdr:cNvPr id="12543" name="Check Box 255" hidden="1">
              <a:extLst>
                <a:ext uri="{63B3BB69-23CF-44E3-9099-C40C66FF867C}">
                  <a14:compatExt spid="_x0000_s125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21</xdr:row>
          <xdr:rowOff>0</xdr:rowOff>
        </xdr:from>
        <xdr:to>
          <xdr:col>8</xdr:col>
          <xdr:colOff>628650</xdr:colOff>
          <xdr:row>21</xdr:row>
          <xdr:rowOff>219075</xdr:rowOff>
        </xdr:to>
        <xdr:sp macro="" textlink="">
          <xdr:nvSpPr>
            <xdr:cNvPr id="12544" name="Check Box 256" hidden="1">
              <a:extLst>
                <a:ext uri="{63B3BB69-23CF-44E3-9099-C40C66FF867C}">
                  <a14:compatExt spid="_x0000_s125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21</xdr:row>
          <xdr:rowOff>0</xdr:rowOff>
        </xdr:from>
        <xdr:to>
          <xdr:col>12</xdr:col>
          <xdr:colOff>628650</xdr:colOff>
          <xdr:row>21</xdr:row>
          <xdr:rowOff>219075</xdr:rowOff>
        </xdr:to>
        <xdr:sp macro="" textlink="">
          <xdr:nvSpPr>
            <xdr:cNvPr id="12546" name="Check Box 258" hidden="1">
              <a:extLst>
                <a:ext uri="{63B3BB69-23CF-44E3-9099-C40C66FF867C}">
                  <a14:compatExt spid="_x0000_s125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21</xdr:row>
          <xdr:rowOff>0</xdr:rowOff>
        </xdr:from>
        <xdr:to>
          <xdr:col>4</xdr:col>
          <xdr:colOff>628650</xdr:colOff>
          <xdr:row>21</xdr:row>
          <xdr:rowOff>219075</xdr:rowOff>
        </xdr:to>
        <xdr:sp macro="" textlink="">
          <xdr:nvSpPr>
            <xdr:cNvPr id="12547" name="Check Box 259" hidden="1">
              <a:extLst>
                <a:ext uri="{63B3BB69-23CF-44E3-9099-C40C66FF867C}">
                  <a14:compatExt spid="_x0000_s125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21</xdr:row>
          <xdr:rowOff>0</xdr:rowOff>
        </xdr:from>
        <xdr:to>
          <xdr:col>14</xdr:col>
          <xdr:colOff>628650</xdr:colOff>
          <xdr:row>21</xdr:row>
          <xdr:rowOff>219075</xdr:rowOff>
        </xdr:to>
        <xdr:sp macro="" textlink="">
          <xdr:nvSpPr>
            <xdr:cNvPr id="12548" name="Check Box 260" hidden="1">
              <a:extLst>
                <a:ext uri="{63B3BB69-23CF-44E3-9099-C40C66FF867C}">
                  <a14:compatExt spid="_x0000_s125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21</xdr:row>
          <xdr:rowOff>0</xdr:rowOff>
        </xdr:from>
        <xdr:to>
          <xdr:col>16</xdr:col>
          <xdr:colOff>628650</xdr:colOff>
          <xdr:row>21</xdr:row>
          <xdr:rowOff>219075</xdr:rowOff>
        </xdr:to>
        <xdr:sp macro="" textlink="">
          <xdr:nvSpPr>
            <xdr:cNvPr id="12549" name="Check Box 261" hidden="1">
              <a:extLst>
                <a:ext uri="{63B3BB69-23CF-44E3-9099-C40C66FF867C}">
                  <a14:compatExt spid="_x0000_s125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0</xdr:rowOff>
        </xdr:from>
        <xdr:to>
          <xdr:col>2</xdr:col>
          <xdr:colOff>628650</xdr:colOff>
          <xdr:row>22</xdr:row>
          <xdr:rowOff>219075</xdr:rowOff>
        </xdr:to>
        <xdr:sp macro="" textlink="">
          <xdr:nvSpPr>
            <xdr:cNvPr id="12550" name="Check Box 262" hidden="1">
              <a:extLst>
                <a:ext uri="{63B3BB69-23CF-44E3-9099-C40C66FF867C}">
                  <a14:compatExt spid="_x0000_s125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0</xdr:rowOff>
        </xdr:from>
        <xdr:to>
          <xdr:col>6</xdr:col>
          <xdr:colOff>628650</xdr:colOff>
          <xdr:row>22</xdr:row>
          <xdr:rowOff>219075</xdr:rowOff>
        </xdr:to>
        <xdr:sp macro="" textlink="">
          <xdr:nvSpPr>
            <xdr:cNvPr id="12551" name="Check Box 263" hidden="1">
              <a:extLst>
                <a:ext uri="{63B3BB69-23CF-44E3-9099-C40C66FF867C}">
                  <a14:compatExt spid="_x0000_s125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22</xdr:row>
          <xdr:rowOff>0</xdr:rowOff>
        </xdr:from>
        <xdr:to>
          <xdr:col>8</xdr:col>
          <xdr:colOff>628650</xdr:colOff>
          <xdr:row>22</xdr:row>
          <xdr:rowOff>219075</xdr:rowOff>
        </xdr:to>
        <xdr:sp macro="" textlink="">
          <xdr:nvSpPr>
            <xdr:cNvPr id="12552" name="Check Box 264" hidden="1">
              <a:extLst>
                <a:ext uri="{63B3BB69-23CF-44E3-9099-C40C66FF867C}">
                  <a14:compatExt spid="_x0000_s125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22</xdr:row>
          <xdr:rowOff>0</xdr:rowOff>
        </xdr:from>
        <xdr:to>
          <xdr:col>12</xdr:col>
          <xdr:colOff>628650</xdr:colOff>
          <xdr:row>22</xdr:row>
          <xdr:rowOff>219075</xdr:rowOff>
        </xdr:to>
        <xdr:sp macro="" textlink="">
          <xdr:nvSpPr>
            <xdr:cNvPr id="12554" name="Check Box 266" hidden="1">
              <a:extLst>
                <a:ext uri="{63B3BB69-23CF-44E3-9099-C40C66FF867C}">
                  <a14:compatExt spid="_x0000_s12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22</xdr:row>
          <xdr:rowOff>0</xdr:rowOff>
        </xdr:from>
        <xdr:to>
          <xdr:col>4</xdr:col>
          <xdr:colOff>628650</xdr:colOff>
          <xdr:row>22</xdr:row>
          <xdr:rowOff>219075</xdr:rowOff>
        </xdr:to>
        <xdr:sp macro="" textlink="">
          <xdr:nvSpPr>
            <xdr:cNvPr id="12555" name="Check Box 267" hidden="1">
              <a:extLst>
                <a:ext uri="{63B3BB69-23CF-44E3-9099-C40C66FF867C}">
                  <a14:compatExt spid="_x0000_s12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22</xdr:row>
          <xdr:rowOff>0</xdr:rowOff>
        </xdr:from>
        <xdr:to>
          <xdr:col>14</xdr:col>
          <xdr:colOff>628650</xdr:colOff>
          <xdr:row>22</xdr:row>
          <xdr:rowOff>219075</xdr:rowOff>
        </xdr:to>
        <xdr:sp macro="" textlink="">
          <xdr:nvSpPr>
            <xdr:cNvPr id="12556" name="Check Box 268" hidden="1">
              <a:extLst>
                <a:ext uri="{63B3BB69-23CF-44E3-9099-C40C66FF867C}">
                  <a14:compatExt spid="_x0000_s125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22</xdr:row>
          <xdr:rowOff>0</xdr:rowOff>
        </xdr:from>
        <xdr:to>
          <xdr:col>16</xdr:col>
          <xdr:colOff>628650</xdr:colOff>
          <xdr:row>22</xdr:row>
          <xdr:rowOff>219075</xdr:rowOff>
        </xdr:to>
        <xdr:sp macro="" textlink="">
          <xdr:nvSpPr>
            <xdr:cNvPr id="12557" name="Check Box 269" hidden="1">
              <a:extLst>
                <a:ext uri="{63B3BB69-23CF-44E3-9099-C40C66FF867C}">
                  <a14:compatExt spid="_x0000_s125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23</xdr:row>
          <xdr:rowOff>0</xdr:rowOff>
        </xdr:from>
        <xdr:to>
          <xdr:col>2</xdr:col>
          <xdr:colOff>628650</xdr:colOff>
          <xdr:row>23</xdr:row>
          <xdr:rowOff>219075</xdr:rowOff>
        </xdr:to>
        <xdr:sp macro="" textlink="">
          <xdr:nvSpPr>
            <xdr:cNvPr id="12558" name="Check Box 270" hidden="1">
              <a:extLst>
                <a:ext uri="{63B3BB69-23CF-44E3-9099-C40C66FF867C}">
                  <a14:compatExt spid="_x0000_s125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23</xdr:row>
          <xdr:rowOff>0</xdr:rowOff>
        </xdr:from>
        <xdr:to>
          <xdr:col>6</xdr:col>
          <xdr:colOff>628650</xdr:colOff>
          <xdr:row>23</xdr:row>
          <xdr:rowOff>219075</xdr:rowOff>
        </xdr:to>
        <xdr:sp macro="" textlink="">
          <xdr:nvSpPr>
            <xdr:cNvPr id="12559" name="Check Box 271" hidden="1">
              <a:extLst>
                <a:ext uri="{63B3BB69-23CF-44E3-9099-C40C66FF867C}">
                  <a14:compatExt spid="_x0000_s125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23</xdr:row>
          <xdr:rowOff>0</xdr:rowOff>
        </xdr:from>
        <xdr:to>
          <xdr:col>8</xdr:col>
          <xdr:colOff>628650</xdr:colOff>
          <xdr:row>23</xdr:row>
          <xdr:rowOff>219075</xdr:rowOff>
        </xdr:to>
        <xdr:sp macro="" textlink="">
          <xdr:nvSpPr>
            <xdr:cNvPr id="12560" name="Check Box 272" hidden="1">
              <a:extLst>
                <a:ext uri="{63B3BB69-23CF-44E3-9099-C40C66FF867C}">
                  <a14:compatExt spid="_x0000_s125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23</xdr:row>
          <xdr:rowOff>0</xdr:rowOff>
        </xdr:from>
        <xdr:to>
          <xdr:col>12</xdr:col>
          <xdr:colOff>628650</xdr:colOff>
          <xdr:row>23</xdr:row>
          <xdr:rowOff>219075</xdr:rowOff>
        </xdr:to>
        <xdr:sp macro="" textlink="">
          <xdr:nvSpPr>
            <xdr:cNvPr id="12562" name="Check Box 274" hidden="1">
              <a:extLst>
                <a:ext uri="{63B3BB69-23CF-44E3-9099-C40C66FF867C}">
                  <a14:compatExt spid="_x0000_s125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23</xdr:row>
          <xdr:rowOff>0</xdr:rowOff>
        </xdr:from>
        <xdr:to>
          <xdr:col>4</xdr:col>
          <xdr:colOff>628650</xdr:colOff>
          <xdr:row>23</xdr:row>
          <xdr:rowOff>219075</xdr:rowOff>
        </xdr:to>
        <xdr:sp macro="" textlink="">
          <xdr:nvSpPr>
            <xdr:cNvPr id="12563" name="Check Box 275" hidden="1">
              <a:extLst>
                <a:ext uri="{63B3BB69-23CF-44E3-9099-C40C66FF867C}">
                  <a14:compatExt spid="_x0000_s125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23</xdr:row>
          <xdr:rowOff>0</xdr:rowOff>
        </xdr:from>
        <xdr:to>
          <xdr:col>14</xdr:col>
          <xdr:colOff>628650</xdr:colOff>
          <xdr:row>23</xdr:row>
          <xdr:rowOff>219075</xdr:rowOff>
        </xdr:to>
        <xdr:sp macro="" textlink="">
          <xdr:nvSpPr>
            <xdr:cNvPr id="12564" name="Check Box 276" hidden="1">
              <a:extLst>
                <a:ext uri="{63B3BB69-23CF-44E3-9099-C40C66FF867C}">
                  <a14:compatExt spid="_x0000_s125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23</xdr:row>
          <xdr:rowOff>0</xdr:rowOff>
        </xdr:from>
        <xdr:to>
          <xdr:col>16</xdr:col>
          <xdr:colOff>628650</xdr:colOff>
          <xdr:row>23</xdr:row>
          <xdr:rowOff>219075</xdr:rowOff>
        </xdr:to>
        <xdr:sp macro="" textlink="">
          <xdr:nvSpPr>
            <xdr:cNvPr id="12565" name="Check Box 277" hidden="1">
              <a:extLst>
                <a:ext uri="{63B3BB69-23CF-44E3-9099-C40C66FF867C}">
                  <a14:compatExt spid="_x0000_s125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0</xdr:rowOff>
        </xdr:from>
        <xdr:to>
          <xdr:col>2</xdr:col>
          <xdr:colOff>628650</xdr:colOff>
          <xdr:row>24</xdr:row>
          <xdr:rowOff>219075</xdr:rowOff>
        </xdr:to>
        <xdr:sp macro="" textlink="">
          <xdr:nvSpPr>
            <xdr:cNvPr id="12566" name="Check Box 278" hidden="1">
              <a:extLst>
                <a:ext uri="{63B3BB69-23CF-44E3-9099-C40C66FF867C}">
                  <a14:compatExt spid="_x0000_s125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24</xdr:row>
          <xdr:rowOff>0</xdr:rowOff>
        </xdr:from>
        <xdr:to>
          <xdr:col>6</xdr:col>
          <xdr:colOff>628650</xdr:colOff>
          <xdr:row>24</xdr:row>
          <xdr:rowOff>219075</xdr:rowOff>
        </xdr:to>
        <xdr:sp macro="" textlink="">
          <xdr:nvSpPr>
            <xdr:cNvPr id="12567" name="Check Box 279" hidden="1">
              <a:extLst>
                <a:ext uri="{63B3BB69-23CF-44E3-9099-C40C66FF867C}">
                  <a14:compatExt spid="_x0000_s125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24</xdr:row>
          <xdr:rowOff>0</xdr:rowOff>
        </xdr:from>
        <xdr:to>
          <xdr:col>8</xdr:col>
          <xdr:colOff>628650</xdr:colOff>
          <xdr:row>24</xdr:row>
          <xdr:rowOff>219075</xdr:rowOff>
        </xdr:to>
        <xdr:sp macro="" textlink="">
          <xdr:nvSpPr>
            <xdr:cNvPr id="12568" name="Check Box 280" hidden="1">
              <a:extLst>
                <a:ext uri="{63B3BB69-23CF-44E3-9099-C40C66FF867C}">
                  <a14:compatExt spid="_x0000_s125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24</xdr:row>
          <xdr:rowOff>0</xdr:rowOff>
        </xdr:from>
        <xdr:to>
          <xdr:col>12</xdr:col>
          <xdr:colOff>628650</xdr:colOff>
          <xdr:row>24</xdr:row>
          <xdr:rowOff>219075</xdr:rowOff>
        </xdr:to>
        <xdr:sp macro="" textlink="">
          <xdr:nvSpPr>
            <xdr:cNvPr id="12570" name="Check Box 282" hidden="1">
              <a:extLst>
                <a:ext uri="{63B3BB69-23CF-44E3-9099-C40C66FF867C}">
                  <a14:compatExt spid="_x0000_s125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24</xdr:row>
          <xdr:rowOff>0</xdr:rowOff>
        </xdr:from>
        <xdr:to>
          <xdr:col>4</xdr:col>
          <xdr:colOff>628650</xdr:colOff>
          <xdr:row>24</xdr:row>
          <xdr:rowOff>219075</xdr:rowOff>
        </xdr:to>
        <xdr:sp macro="" textlink="">
          <xdr:nvSpPr>
            <xdr:cNvPr id="12571" name="Check Box 283" hidden="1">
              <a:extLst>
                <a:ext uri="{63B3BB69-23CF-44E3-9099-C40C66FF867C}">
                  <a14:compatExt spid="_x0000_s125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24</xdr:row>
          <xdr:rowOff>0</xdr:rowOff>
        </xdr:from>
        <xdr:to>
          <xdr:col>14</xdr:col>
          <xdr:colOff>628650</xdr:colOff>
          <xdr:row>24</xdr:row>
          <xdr:rowOff>219075</xdr:rowOff>
        </xdr:to>
        <xdr:sp macro="" textlink="">
          <xdr:nvSpPr>
            <xdr:cNvPr id="12572" name="Check Box 284" hidden="1">
              <a:extLst>
                <a:ext uri="{63B3BB69-23CF-44E3-9099-C40C66FF867C}">
                  <a14:compatExt spid="_x0000_s125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24</xdr:row>
          <xdr:rowOff>0</xdr:rowOff>
        </xdr:from>
        <xdr:to>
          <xdr:col>16</xdr:col>
          <xdr:colOff>628650</xdr:colOff>
          <xdr:row>24</xdr:row>
          <xdr:rowOff>219075</xdr:rowOff>
        </xdr:to>
        <xdr:sp macro="" textlink="">
          <xdr:nvSpPr>
            <xdr:cNvPr id="12573" name="Check Box 285" hidden="1">
              <a:extLst>
                <a:ext uri="{63B3BB69-23CF-44E3-9099-C40C66FF867C}">
                  <a14:compatExt spid="_x0000_s125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3" Type="http://schemas.openxmlformats.org/officeDocument/2006/relationships/vmlDrawing" Target="../drawings/vmlDrawing4.v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 Type="http://schemas.openxmlformats.org/officeDocument/2006/relationships/drawing" Target="../drawings/drawing10.xml"/><Relationship Id="rId16" Type="http://schemas.openxmlformats.org/officeDocument/2006/relationships/ctrlProp" Target="../ctrlProps/ctrlProp83.xml"/><Relationship Id="rId20" Type="http://schemas.openxmlformats.org/officeDocument/2006/relationships/ctrlProp" Target="../ctrlProps/ctrlProp87.xml"/><Relationship Id="rId29" Type="http://schemas.openxmlformats.org/officeDocument/2006/relationships/ctrlProp" Target="../ctrlProps/ctrlProp96.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29.xml"/><Relationship Id="rId18" Type="http://schemas.openxmlformats.org/officeDocument/2006/relationships/ctrlProp" Target="../ctrlProps/ctrlProp134.xml"/><Relationship Id="rId26" Type="http://schemas.openxmlformats.org/officeDocument/2006/relationships/ctrlProp" Target="../ctrlProps/ctrlProp142.xml"/><Relationship Id="rId39" Type="http://schemas.openxmlformats.org/officeDocument/2006/relationships/ctrlProp" Target="../ctrlProps/ctrlProp155.xml"/><Relationship Id="rId21" Type="http://schemas.openxmlformats.org/officeDocument/2006/relationships/ctrlProp" Target="../ctrlProps/ctrlProp137.xml"/><Relationship Id="rId34" Type="http://schemas.openxmlformats.org/officeDocument/2006/relationships/ctrlProp" Target="../ctrlProps/ctrlProp150.xml"/><Relationship Id="rId42" Type="http://schemas.openxmlformats.org/officeDocument/2006/relationships/ctrlProp" Target="../ctrlProps/ctrlProp158.xml"/><Relationship Id="rId47" Type="http://schemas.openxmlformats.org/officeDocument/2006/relationships/ctrlProp" Target="../ctrlProps/ctrlProp163.xml"/><Relationship Id="rId50" Type="http://schemas.openxmlformats.org/officeDocument/2006/relationships/ctrlProp" Target="../ctrlProps/ctrlProp166.xml"/><Relationship Id="rId55" Type="http://schemas.openxmlformats.org/officeDocument/2006/relationships/ctrlProp" Target="../ctrlProps/ctrlProp171.xml"/><Relationship Id="rId63" Type="http://schemas.openxmlformats.org/officeDocument/2006/relationships/ctrlProp" Target="../ctrlProps/ctrlProp179.xml"/><Relationship Id="rId68" Type="http://schemas.openxmlformats.org/officeDocument/2006/relationships/ctrlProp" Target="../ctrlProps/ctrlProp184.xml"/><Relationship Id="rId76" Type="http://schemas.openxmlformats.org/officeDocument/2006/relationships/ctrlProp" Target="../ctrlProps/ctrlProp192.xml"/><Relationship Id="rId84" Type="http://schemas.openxmlformats.org/officeDocument/2006/relationships/ctrlProp" Target="../ctrlProps/ctrlProp200.xml"/><Relationship Id="rId89" Type="http://schemas.openxmlformats.org/officeDocument/2006/relationships/ctrlProp" Target="../ctrlProps/ctrlProp205.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16" Type="http://schemas.openxmlformats.org/officeDocument/2006/relationships/ctrlProp" Target="../ctrlProps/ctrlProp132.xml"/><Relationship Id="rId29" Type="http://schemas.openxmlformats.org/officeDocument/2006/relationships/ctrlProp" Target="../ctrlProps/ctrlProp145.xml"/><Relationship Id="rId11" Type="http://schemas.openxmlformats.org/officeDocument/2006/relationships/ctrlProp" Target="../ctrlProps/ctrlProp127.xml"/><Relationship Id="rId24" Type="http://schemas.openxmlformats.org/officeDocument/2006/relationships/ctrlProp" Target="../ctrlProps/ctrlProp140.xml"/><Relationship Id="rId32" Type="http://schemas.openxmlformats.org/officeDocument/2006/relationships/ctrlProp" Target="../ctrlProps/ctrlProp148.xml"/><Relationship Id="rId37" Type="http://schemas.openxmlformats.org/officeDocument/2006/relationships/ctrlProp" Target="../ctrlProps/ctrlProp153.xml"/><Relationship Id="rId40" Type="http://schemas.openxmlformats.org/officeDocument/2006/relationships/ctrlProp" Target="../ctrlProps/ctrlProp156.xml"/><Relationship Id="rId45" Type="http://schemas.openxmlformats.org/officeDocument/2006/relationships/ctrlProp" Target="../ctrlProps/ctrlProp161.xml"/><Relationship Id="rId53" Type="http://schemas.openxmlformats.org/officeDocument/2006/relationships/ctrlProp" Target="../ctrlProps/ctrlProp169.xml"/><Relationship Id="rId58" Type="http://schemas.openxmlformats.org/officeDocument/2006/relationships/ctrlProp" Target="../ctrlProps/ctrlProp174.xml"/><Relationship Id="rId66" Type="http://schemas.openxmlformats.org/officeDocument/2006/relationships/ctrlProp" Target="../ctrlProps/ctrlProp182.xml"/><Relationship Id="rId74" Type="http://schemas.openxmlformats.org/officeDocument/2006/relationships/ctrlProp" Target="../ctrlProps/ctrlProp190.xml"/><Relationship Id="rId79" Type="http://schemas.openxmlformats.org/officeDocument/2006/relationships/ctrlProp" Target="../ctrlProps/ctrlProp195.xml"/><Relationship Id="rId87" Type="http://schemas.openxmlformats.org/officeDocument/2006/relationships/ctrlProp" Target="../ctrlProps/ctrlProp203.xml"/><Relationship Id="rId5" Type="http://schemas.openxmlformats.org/officeDocument/2006/relationships/ctrlProp" Target="../ctrlProps/ctrlProp121.xml"/><Relationship Id="rId61" Type="http://schemas.openxmlformats.org/officeDocument/2006/relationships/ctrlProp" Target="../ctrlProps/ctrlProp177.xml"/><Relationship Id="rId82" Type="http://schemas.openxmlformats.org/officeDocument/2006/relationships/ctrlProp" Target="../ctrlProps/ctrlProp198.xml"/><Relationship Id="rId90" Type="http://schemas.openxmlformats.org/officeDocument/2006/relationships/ctrlProp" Target="../ctrlProps/ctrlProp206.xml"/><Relationship Id="rId19" Type="http://schemas.openxmlformats.org/officeDocument/2006/relationships/ctrlProp" Target="../ctrlProps/ctrlProp135.xml"/><Relationship Id="rId14" Type="http://schemas.openxmlformats.org/officeDocument/2006/relationships/ctrlProp" Target="../ctrlProps/ctrlProp130.xml"/><Relationship Id="rId22" Type="http://schemas.openxmlformats.org/officeDocument/2006/relationships/ctrlProp" Target="../ctrlProps/ctrlProp138.xml"/><Relationship Id="rId27" Type="http://schemas.openxmlformats.org/officeDocument/2006/relationships/ctrlProp" Target="../ctrlProps/ctrlProp143.xml"/><Relationship Id="rId30" Type="http://schemas.openxmlformats.org/officeDocument/2006/relationships/ctrlProp" Target="../ctrlProps/ctrlProp146.xml"/><Relationship Id="rId35" Type="http://schemas.openxmlformats.org/officeDocument/2006/relationships/ctrlProp" Target="../ctrlProps/ctrlProp151.xml"/><Relationship Id="rId43" Type="http://schemas.openxmlformats.org/officeDocument/2006/relationships/ctrlProp" Target="../ctrlProps/ctrlProp159.xml"/><Relationship Id="rId48" Type="http://schemas.openxmlformats.org/officeDocument/2006/relationships/ctrlProp" Target="../ctrlProps/ctrlProp164.xml"/><Relationship Id="rId56" Type="http://schemas.openxmlformats.org/officeDocument/2006/relationships/ctrlProp" Target="../ctrlProps/ctrlProp172.xml"/><Relationship Id="rId64" Type="http://schemas.openxmlformats.org/officeDocument/2006/relationships/ctrlProp" Target="../ctrlProps/ctrlProp180.xml"/><Relationship Id="rId69" Type="http://schemas.openxmlformats.org/officeDocument/2006/relationships/ctrlProp" Target="../ctrlProps/ctrlProp185.xml"/><Relationship Id="rId77" Type="http://schemas.openxmlformats.org/officeDocument/2006/relationships/ctrlProp" Target="../ctrlProps/ctrlProp193.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61" Type="http://schemas.openxmlformats.org/officeDocument/2006/relationships/ctrlProp" Target="../ctrlProps/ctrlProp268.xml"/><Relationship Id="rId82" Type="http://schemas.openxmlformats.org/officeDocument/2006/relationships/ctrlProp" Target="../ctrlProps/ctrlProp289.xml"/><Relationship Id="rId90" Type="http://schemas.openxmlformats.org/officeDocument/2006/relationships/ctrlProp" Target="../ctrlProps/ctrlProp297.xml"/><Relationship Id="rId95" Type="http://schemas.openxmlformats.org/officeDocument/2006/relationships/ctrlProp" Target="../ctrlProps/ctrlProp302.xml"/><Relationship Id="rId19" Type="http://schemas.openxmlformats.org/officeDocument/2006/relationships/ctrlProp" Target="../ctrlProps/ctrlProp226.xml"/><Relationship Id="rId14" Type="http://schemas.openxmlformats.org/officeDocument/2006/relationships/ctrlProp" Target="../ctrlProps/ctrlProp221.xml"/><Relationship Id="rId22" Type="http://schemas.openxmlformats.org/officeDocument/2006/relationships/ctrlProp" Target="../ctrlProps/ctrlProp229.xml"/><Relationship Id="rId27" Type="http://schemas.openxmlformats.org/officeDocument/2006/relationships/ctrlProp" Target="../ctrlProps/ctrlProp234.xml"/><Relationship Id="rId30" Type="http://schemas.openxmlformats.org/officeDocument/2006/relationships/ctrlProp" Target="../ctrlProps/ctrlProp237.xml"/><Relationship Id="rId35" Type="http://schemas.openxmlformats.org/officeDocument/2006/relationships/ctrlProp" Target="../ctrlProps/ctrlProp242.xml"/><Relationship Id="rId43" Type="http://schemas.openxmlformats.org/officeDocument/2006/relationships/ctrlProp" Target="../ctrlProps/ctrlProp250.xml"/><Relationship Id="rId48" Type="http://schemas.openxmlformats.org/officeDocument/2006/relationships/ctrlProp" Target="../ctrlProps/ctrlProp255.xml"/><Relationship Id="rId56" Type="http://schemas.openxmlformats.org/officeDocument/2006/relationships/ctrlProp" Target="../ctrlProps/ctrlProp263.xml"/><Relationship Id="rId64" Type="http://schemas.openxmlformats.org/officeDocument/2006/relationships/ctrlProp" Target="../ctrlProps/ctrlProp271.xml"/><Relationship Id="rId69" Type="http://schemas.openxmlformats.org/officeDocument/2006/relationships/ctrlProp" Target="../ctrlProps/ctrlProp276.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13" Type="http://schemas.openxmlformats.org/officeDocument/2006/relationships/ctrlProp" Target="../ctrlProps/ctrlProp320.xml"/><Relationship Id="rId118" Type="http://schemas.openxmlformats.org/officeDocument/2006/relationships/ctrlProp" Target="../ctrlProps/ctrlProp325.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80" Type="http://schemas.openxmlformats.org/officeDocument/2006/relationships/ctrlProp" Target="../ctrlProps/ctrlProp287.xml"/><Relationship Id="rId85" Type="http://schemas.openxmlformats.org/officeDocument/2006/relationships/ctrlProp" Target="../ctrlProps/ctrlProp292.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12" Type="http://schemas.openxmlformats.org/officeDocument/2006/relationships/ctrlProp" Target="../ctrlProps/ctrlProp219.xml"/><Relationship Id="rId17" Type="http://schemas.openxmlformats.org/officeDocument/2006/relationships/ctrlProp" Target="../ctrlProps/ctrlProp224.xml"/><Relationship Id="rId25" Type="http://schemas.openxmlformats.org/officeDocument/2006/relationships/ctrlProp" Target="../ctrlProps/ctrlProp232.xml"/><Relationship Id="rId33" Type="http://schemas.openxmlformats.org/officeDocument/2006/relationships/ctrlProp" Target="../ctrlProps/ctrlProp240.xml"/><Relationship Id="rId38" Type="http://schemas.openxmlformats.org/officeDocument/2006/relationships/ctrlProp" Target="../ctrlProps/ctrlProp245.xml"/><Relationship Id="rId46" Type="http://schemas.openxmlformats.org/officeDocument/2006/relationships/ctrlProp" Target="../ctrlProps/ctrlProp253.xml"/><Relationship Id="rId59" Type="http://schemas.openxmlformats.org/officeDocument/2006/relationships/ctrlProp" Target="../ctrlProps/ctrlProp266.xml"/><Relationship Id="rId67" Type="http://schemas.openxmlformats.org/officeDocument/2006/relationships/ctrlProp" Target="../ctrlProps/ctrlProp274.xml"/><Relationship Id="rId103" Type="http://schemas.openxmlformats.org/officeDocument/2006/relationships/ctrlProp" Target="../ctrlProps/ctrlProp310.xml"/><Relationship Id="rId108" Type="http://schemas.openxmlformats.org/officeDocument/2006/relationships/ctrlProp" Target="../ctrlProps/ctrlProp315.xml"/><Relationship Id="rId116" Type="http://schemas.openxmlformats.org/officeDocument/2006/relationships/ctrlProp" Target="../ctrlProps/ctrlProp323.xml"/><Relationship Id="rId124" Type="http://schemas.openxmlformats.org/officeDocument/2006/relationships/ctrlProp" Target="../ctrlProps/ctrlProp331.xml"/><Relationship Id="rId20" Type="http://schemas.openxmlformats.org/officeDocument/2006/relationships/ctrlProp" Target="../ctrlProps/ctrlProp227.xml"/><Relationship Id="rId41" Type="http://schemas.openxmlformats.org/officeDocument/2006/relationships/ctrlProp" Target="../ctrlProps/ctrlProp248.xml"/><Relationship Id="rId54" Type="http://schemas.openxmlformats.org/officeDocument/2006/relationships/ctrlProp" Target="../ctrlProps/ctrlProp261.xml"/><Relationship Id="rId62" Type="http://schemas.openxmlformats.org/officeDocument/2006/relationships/ctrlProp" Target="../ctrlProps/ctrlProp269.xml"/><Relationship Id="rId70" Type="http://schemas.openxmlformats.org/officeDocument/2006/relationships/ctrlProp" Target="../ctrlProps/ctrlProp277.xml"/><Relationship Id="rId75" Type="http://schemas.openxmlformats.org/officeDocument/2006/relationships/ctrlProp" Target="../ctrlProps/ctrlProp282.xml"/><Relationship Id="rId83" Type="http://schemas.openxmlformats.org/officeDocument/2006/relationships/ctrlProp" Target="../ctrlProps/ctrlProp290.xml"/><Relationship Id="rId88" Type="http://schemas.openxmlformats.org/officeDocument/2006/relationships/ctrlProp" Target="../ctrlProps/ctrlProp295.xml"/><Relationship Id="rId91" Type="http://schemas.openxmlformats.org/officeDocument/2006/relationships/ctrlProp" Target="../ctrlProps/ctrlProp298.xml"/><Relationship Id="rId96" Type="http://schemas.openxmlformats.org/officeDocument/2006/relationships/ctrlProp" Target="../ctrlProps/ctrlProp303.xml"/><Relationship Id="rId111" Type="http://schemas.openxmlformats.org/officeDocument/2006/relationships/ctrlProp" Target="../ctrlProps/ctrlProp318.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15" Type="http://schemas.openxmlformats.org/officeDocument/2006/relationships/ctrlProp" Target="../ctrlProps/ctrlProp222.xml"/><Relationship Id="rId23" Type="http://schemas.openxmlformats.org/officeDocument/2006/relationships/ctrlProp" Target="../ctrlProps/ctrlProp230.xml"/><Relationship Id="rId28" Type="http://schemas.openxmlformats.org/officeDocument/2006/relationships/ctrlProp" Target="../ctrlProps/ctrlProp235.xml"/><Relationship Id="rId36" Type="http://schemas.openxmlformats.org/officeDocument/2006/relationships/ctrlProp" Target="../ctrlProps/ctrlProp243.xml"/><Relationship Id="rId49" Type="http://schemas.openxmlformats.org/officeDocument/2006/relationships/ctrlProp" Target="../ctrlProps/ctrlProp256.xml"/><Relationship Id="rId57" Type="http://schemas.openxmlformats.org/officeDocument/2006/relationships/ctrlProp" Target="../ctrlProps/ctrlProp264.xml"/><Relationship Id="rId106" Type="http://schemas.openxmlformats.org/officeDocument/2006/relationships/ctrlProp" Target="../ctrlProps/ctrlProp313.xml"/><Relationship Id="rId114" Type="http://schemas.openxmlformats.org/officeDocument/2006/relationships/ctrlProp" Target="../ctrlProps/ctrlProp321.xml"/><Relationship Id="rId119" Type="http://schemas.openxmlformats.org/officeDocument/2006/relationships/ctrlProp" Target="../ctrlProps/ctrlProp326.xml"/><Relationship Id="rId10" Type="http://schemas.openxmlformats.org/officeDocument/2006/relationships/ctrlProp" Target="../ctrlProps/ctrlProp217.xml"/><Relationship Id="rId31" Type="http://schemas.openxmlformats.org/officeDocument/2006/relationships/ctrlProp" Target="../ctrlProps/ctrlProp238.xml"/><Relationship Id="rId44" Type="http://schemas.openxmlformats.org/officeDocument/2006/relationships/ctrlProp" Target="../ctrlProps/ctrlProp251.xml"/><Relationship Id="rId52" Type="http://schemas.openxmlformats.org/officeDocument/2006/relationships/ctrlProp" Target="../ctrlProps/ctrlProp259.xml"/><Relationship Id="rId60" Type="http://schemas.openxmlformats.org/officeDocument/2006/relationships/ctrlProp" Target="../ctrlProps/ctrlProp267.xml"/><Relationship Id="rId65" Type="http://schemas.openxmlformats.org/officeDocument/2006/relationships/ctrlProp" Target="../ctrlProps/ctrlProp272.xml"/><Relationship Id="rId73" Type="http://schemas.openxmlformats.org/officeDocument/2006/relationships/ctrlProp" Target="../ctrlProps/ctrlProp280.xml"/><Relationship Id="rId78" Type="http://schemas.openxmlformats.org/officeDocument/2006/relationships/ctrlProp" Target="../ctrlProps/ctrlProp285.xml"/><Relationship Id="rId81" Type="http://schemas.openxmlformats.org/officeDocument/2006/relationships/ctrlProp" Target="../ctrlProps/ctrlProp288.xml"/><Relationship Id="rId86" Type="http://schemas.openxmlformats.org/officeDocument/2006/relationships/ctrlProp" Target="../ctrlProps/ctrlProp293.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3" Type="http://schemas.openxmlformats.org/officeDocument/2006/relationships/vmlDrawing" Target="../drawings/vmlDrawing8.v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6" Type="http://schemas.openxmlformats.org/officeDocument/2006/relationships/ctrlProp" Target="../ctrlProps/ctrlProp423.xml"/><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47" Type="http://schemas.openxmlformats.org/officeDocument/2006/relationships/ctrlProp" Target="../ctrlProps/ctrlProp444.xml"/><Relationship Id="rId63" Type="http://schemas.openxmlformats.org/officeDocument/2006/relationships/ctrlProp" Target="../ctrlProps/ctrlProp460.xml"/><Relationship Id="rId68" Type="http://schemas.openxmlformats.org/officeDocument/2006/relationships/ctrlProp" Target="../ctrlProps/ctrlProp465.xml"/><Relationship Id="rId84" Type="http://schemas.openxmlformats.org/officeDocument/2006/relationships/ctrlProp" Target="../ctrlProps/ctrlProp481.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38" Type="http://schemas.openxmlformats.org/officeDocument/2006/relationships/ctrlProp" Target="../ctrlProps/ctrlProp535.xml"/><Relationship Id="rId154" Type="http://schemas.openxmlformats.org/officeDocument/2006/relationships/ctrlProp" Target="../ctrlProps/ctrlProp551.xml"/><Relationship Id="rId159" Type="http://schemas.openxmlformats.org/officeDocument/2006/relationships/ctrlProp" Target="../ctrlProps/ctrlProp556.xml"/><Relationship Id="rId175" Type="http://schemas.openxmlformats.org/officeDocument/2006/relationships/ctrlProp" Target="../ctrlProps/ctrlProp572.xml"/><Relationship Id="rId170" Type="http://schemas.openxmlformats.org/officeDocument/2006/relationships/ctrlProp" Target="../ctrlProps/ctrlProp567.xml"/><Relationship Id="rId191" Type="http://schemas.openxmlformats.org/officeDocument/2006/relationships/ctrlProp" Target="../ctrlProps/ctrlProp588.xml"/><Relationship Id="rId16" Type="http://schemas.openxmlformats.org/officeDocument/2006/relationships/ctrlProp" Target="../ctrlProps/ctrlProp413.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37" Type="http://schemas.openxmlformats.org/officeDocument/2006/relationships/ctrlProp" Target="../ctrlProps/ctrlProp434.xml"/><Relationship Id="rId53" Type="http://schemas.openxmlformats.org/officeDocument/2006/relationships/ctrlProp" Target="../ctrlProps/ctrlProp450.xml"/><Relationship Id="rId58" Type="http://schemas.openxmlformats.org/officeDocument/2006/relationships/ctrlProp" Target="../ctrlProps/ctrlProp455.xml"/><Relationship Id="rId74" Type="http://schemas.openxmlformats.org/officeDocument/2006/relationships/ctrlProp" Target="../ctrlProps/ctrlProp471.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28" Type="http://schemas.openxmlformats.org/officeDocument/2006/relationships/ctrlProp" Target="../ctrlProps/ctrlProp525.xml"/><Relationship Id="rId144" Type="http://schemas.openxmlformats.org/officeDocument/2006/relationships/ctrlProp" Target="../ctrlProps/ctrlProp541.xml"/><Relationship Id="rId149" Type="http://schemas.openxmlformats.org/officeDocument/2006/relationships/ctrlProp" Target="../ctrlProps/ctrlProp546.xml"/><Relationship Id="rId5" Type="http://schemas.openxmlformats.org/officeDocument/2006/relationships/ctrlProp" Target="../ctrlProps/ctrlProp402.xml"/><Relationship Id="rId90" Type="http://schemas.openxmlformats.org/officeDocument/2006/relationships/ctrlProp" Target="../ctrlProps/ctrlProp487.xml"/><Relationship Id="rId95" Type="http://schemas.openxmlformats.org/officeDocument/2006/relationships/ctrlProp" Target="../ctrlProps/ctrlProp492.xml"/><Relationship Id="rId160" Type="http://schemas.openxmlformats.org/officeDocument/2006/relationships/ctrlProp" Target="../ctrlProps/ctrlProp557.xml"/><Relationship Id="rId165" Type="http://schemas.openxmlformats.org/officeDocument/2006/relationships/ctrlProp" Target="../ctrlProps/ctrlProp562.xml"/><Relationship Id="rId181" Type="http://schemas.openxmlformats.org/officeDocument/2006/relationships/ctrlProp" Target="../ctrlProps/ctrlProp578.xml"/><Relationship Id="rId186" Type="http://schemas.openxmlformats.org/officeDocument/2006/relationships/ctrlProp" Target="../ctrlProps/ctrlProp583.xml"/><Relationship Id="rId22" Type="http://schemas.openxmlformats.org/officeDocument/2006/relationships/ctrlProp" Target="../ctrlProps/ctrlProp419.xml"/><Relationship Id="rId27" Type="http://schemas.openxmlformats.org/officeDocument/2006/relationships/ctrlProp" Target="../ctrlProps/ctrlProp424.xml"/><Relationship Id="rId43" Type="http://schemas.openxmlformats.org/officeDocument/2006/relationships/ctrlProp" Target="../ctrlProps/ctrlProp440.xml"/><Relationship Id="rId48" Type="http://schemas.openxmlformats.org/officeDocument/2006/relationships/ctrlProp" Target="../ctrlProps/ctrlProp445.xml"/><Relationship Id="rId64" Type="http://schemas.openxmlformats.org/officeDocument/2006/relationships/ctrlProp" Target="../ctrlProps/ctrlProp461.xml"/><Relationship Id="rId69" Type="http://schemas.openxmlformats.org/officeDocument/2006/relationships/ctrlProp" Target="../ctrlProps/ctrlProp466.xml"/><Relationship Id="rId113" Type="http://schemas.openxmlformats.org/officeDocument/2006/relationships/ctrlProp" Target="../ctrlProps/ctrlProp510.xml"/><Relationship Id="rId118" Type="http://schemas.openxmlformats.org/officeDocument/2006/relationships/ctrlProp" Target="../ctrlProps/ctrlProp515.xml"/><Relationship Id="rId134" Type="http://schemas.openxmlformats.org/officeDocument/2006/relationships/ctrlProp" Target="../ctrlProps/ctrlProp531.xml"/><Relationship Id="rId139" Type="http://schemas.openxmlformats.org/officeDocument/2006/relationships/ctrlProp" Target="../ctrlProps/ctrlProp536.xml"/><Relationship Id="rId80" Type="http://schemas.openxmlformats.org/officeDocument/2006/relationships/ctrlProp" Target="../ctrlProps/ctrlProp477.xml"/><Relationship Id="rId85" Type="http://schemas.openxmlformats.org/officeDocument/2006/relationships/ctrlProp" Target="../ctrlProps/ctrlProp482.xml"/><Relationship Id="rId150" Type="http://schemas.openxmlformats.org/officeDocument/2006/relationships/ctrlProp" Target="../ctrlProps/ctrlProp547.xml"/><Relationship Id="rId155" Type="http://schemas.openxmlformats.org/officeDocument/2006/relationships/ctrlProp" Target="../ctrlProps/ctrlProp552.xml"/><Relationship Id="rId171" Type="http://schemas.openxmlformats.org/officeDocument/2006/relationships/ctrlProp" Target="../ctrlProps/ctrlProp568.xml"/><Relationship Id="rId176" Type="http://schemas.openxmlformats.org/officeDocument/2006/relationships/ctrlProp" Target="../ctrlProps/ctrlProp573.xml"/><Relationship Id="rId192" Type="http://schemas.openxmlformats.org/officeDocument/2006/relationships/ctrlProp" Target="../ctrlProps/ctrlProp589.xml"/><Relationship Id="rId12" Type="http://schemas.openxmlformats.org/officeDocument/2006/relationships/ctrlProp" Target="../ctrlProps/ctrlProp409.xml"/><Relationship Id="rId17" Type="http://schemas.openxmlformats.org/officeDocument/2006/relationships/ctrlProp" Target="../ctrlProps/ctrlProp414.xml"/><Relationship Id="rId33" Type="http://schemas.openxmlformats.org/officeDocument/2006/relationships/ctrlProp" Target="../ctrlProps/ctrlProp430.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08" Type="http://schemas.openxmlformats.org/officeDocument/2006/relationships/ctrlProp" Target="../ctrlProps/ctrlProp505.xml"/><Relationship Id="rId124" Type="http://schemas.openxmlformats.org/officeDocument/2006/relationships/ctrlProp" Target="../ctrlProps/ctrlProp521.xml"/><Relationship Id="rId129" Type="http://schemas.openxmlformats.org/officeDocument/2006/relationships/ctrlProp" Target="../ctrlProps/ctrlProp526.xml"/><Relationship Id="rId54" Type="http://schemas.openxmlformats.org/officeDocument/2006/relationships/ctrlProp" Target="../ctrlProps/ctrlProp451.xml"/><Relationship Id="rId70" Type="http://schemas.openxmlformats.org/officeDocument/2006/relationships/ctrlProp" Target="../ctrlProps/ctrlProp467.xml"/><Relationship Id="rId75" Type="http://schemas.openxmlformats.org/officeDocument/2006/relationships/ctrlProp" Target="../ctrlProps/ctrlProp472.xml"/><Relationship Id="rId91" Type="http://schemas.openxmlformats.org/officeDocument/2006/relationships/ctrlProp" Target="../ctrlProps/ctrlProp488.xml"/><Relationship Id="rId96" Type="http://schemas.openxmlformats.org/officeDocument/2006/relationships/ctrlProp" Target="../ctrlProps/ctrlProp493.xml"/><Relationship Id="rId140" Type="http://schemas.openxmlformats.org/officeDocument/2006/relationships/ctrlProp" Target="../ctrlProps/ctrlProp537.xml"/><Relationship Id="rId145" Type="http://schemas.openxmlformats.org/officeDocument/2006/relationships/ctrlProp" Target="../ctrlProps/ctrlProp542.xml"/><Relationship Id="rId161" Type="http://schemas.openxmlformats.org/officeDocument/2006/relationships/ctrlProp" Target="../ctrlProps/ctrlProp558.xml"/><Relationship Id="rId166" Type="http://schemas.openxmlformats.org/officeDocument/2006/relationships/ctrlProp" Target="../ctrlProps/ctrlProp563.xml"/><Relationship Id="rId182" Type="http://schemas.openxmlformats.org/officeDocument/2006/relationships/ctrlProp" Target="../ctrlProps/ctrlProp579.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6" Type="http://schemas.openxmlformats.org/officeDocument/2006/relationships/ctrlProp" Target="../ctrlProps/ctrlProp403.xml"/><Relationship Id="rId23" Type="http://schemas.openxmlformats.org/officeDocument/2006/relationships/ctrlProp" Target="../ctrlProps/ctrlProp420.xml"/><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119" Type="http://schemas.openxmlformats.org/officeDocument/2006/relationships/ctrlProp" Target="../ctrlProps/ctrlProp516.xml"/><Relationship Id="rId44" Type="http://schemas.openxmlformats.org/officeDocument/2006/relationships/ctrlProp" Target="../ctrlProps/ctrlProp441.xml"/><Relationship Id="rId60" Type="http://schemas.openxmlformats.org/officeDocument/2006/relationships/ctrlProp" Target="../ctrlProps/ctrlProp457.xml"/><Relationship Id="rId65" Type="http://schemas.openxmlformats.org/officeDocument/2006/relationships/ctrlProp" Target="../ctrlProps/ctrlProp462.xml"/><Relationship Id="rId81" Type="http://schemas.openxmlformats.org/officeDocument/2006/relationships/ctrlProp" Target="../ctrlProps/ctrlProp478.xml"/><Relationship Id="rId86" Type="http://schemas.openxmlformats.org/officeDocument/2006/relationships/ctrlProp" Target="../ctrlProps/ctrlProp483.xml"/><Relationship Id="rId130" Type="http://schemas.openxmlformats.org/officeDocument/2006/relationships/ctrlProp" Target="../ctrlProps/ctrlProp527.xml"/><Relationship Id="rId135" Type="http://schemas.openxmlformats.org/officeDocument/2006/relationships/ctrlProp" Target="../ctrlProps/ctrlProp532.xml"/><Relationship Id="rId151" Type="http://schemas.openxmlformats.org/officeDocument/2006/relationships/ctrlProp" Target="../ctrlProps/ctrlProp548.xml"/><Relationship Id="rId156" Type="http://schemas.openxmlformats.org/officeDocument/2006/relationships/ctrlProp" Target="../ctrlProps/ctrlProp553.xml"/><Relationship Id="rId177" Type="http://schemas.openxmlformats.org/officeDocument/2006/relationships/ctrlProp" Target="../ctrlProps/ctrlProp574.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75" x14ac:dyDescent="0.2"/>
  <cols>
    <col min="2" max="2" width="8.28515625" customWidth="1"/>
    <col min="3" max="3" width="10.7109375" customWidth="1"/>
  </cols>
  <sheetData>
    <row r="1" spans="1:14" ht="25.5" x14ac:dyDescent="0.2">
      <c r="A1" s="37" t="s">
        <v>176</v>
      </c>
      <c r="B1" s="37" t="s">
        <v>176</v>
      </c>
      <c r="C1" s="37" t="s">
        <v>177</v>
      </c>
      <c r="I1" t="s">
        <v>179</v>
      </c>
    </row>
    <row r="2" spans="1:14" x14ac:dyDescent="0.2">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2">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2">
      <c r="A4">
        <v>0.115</v>
      </c>
      <c r="B4">
        <f t="shared" si="0"/>
        <v>0.1</v>
      </c>
      <c r="C4">
        <f t="shared" si="1"/>
        <v>1.4</v>
      </c>
      <c r="D4">
        <v>4.3</v>
      </c>
      <c r="E4">
        <v>3.54</v>
      </c>
      <c r="F4">
        <v>3.74</v>
      </c>
      <c r="G4">
        <v>3.97</v>
      </c>
      <c r="H4">
        <v>4.29</v>
      </c>
      <c r="I4">
        <v>4.63</v>
      </c>
      <c r="J4">
        <v>4.91</v>
      </c>
      <c r="K4">
        <v>5.22</v>
      </c>
      <c r="L4" s="277"/>
      <c r="M4" t="s">
        <v>182</v>
      </c>
    </row>
    <row r="5" spans="1:14" x14ac:dyDescent="0.2">
      <c r="A5">
        <v>0.17299999999999999</v>
      </c>
      <c r="B5">
        <f t="shared" si="0"/>
        <v>0.2</v>
      </c>
      <c r="C5">
        <f t="shared" si="1"/>
        <v>2.1</v>
      </c>
      <c r="D5">
        <v>4.8499999999999996</v>
      </c>
      <c r="E5">
        <v>3.99</v>
      </c>
      <c r="F5">
        <v>4.22</v>
      </c>
      <c r="G5">
        <v>4.49</v>
      </c>
      <c r="H5">
        <v>4.82</v>
      </c>
      <c r="I5">
        <v>5.19</v>
      </c>
      <c r="J5">
        <v>5.52</v>
      </c>
      <c r="K5">
        <v>5.87</v>
      </c>
      <c r="L5" s="278"/>
      <c r="M5" t="s">
        <v>183</v>
      </c>
    </row>
    <row r="6" spans="1:14" x14ac:dyDescent="0.2">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2">
      <c r="A7">
        <v>0.34599999999999997</v>
      </c>
      <c r="B7">
        <f t="shared" si="0"/>
        <v>0.3</v>
      </c>
      <c r="C7">
        <f t="shared" si="1"/>
        <v>4.2</v>
      </c>
      <c r="D7">
        <v>6.26</v>
      </c>
      <c r="E7">
        <v>5.0999999999999996</v>
      </c>
      <c r="F7">
        <v>5.47</v>
      </c>
      <c r="G7">
        <v>5.84</v>
      </c>
      <c r="H7">
        <v>6.2</v>
      </c>
      <c r="I7">
        <v>6.68</v>
      </c>
      <c r="J7">
        <v>7.09</v>
      </c>
      <c r="K7">
        <v>7.55</v>
      </c>
      <c r="L7" s="278"/>
      <c r="M7" t="s">
        <v>185</v>
      </c>
    </row>
    <row r="8" spans="1:14" x14ac:dyDescent="0.2">
      <c r="A8">
        <v>0.5</v>
      </c>
      <c r="B8">
        <f t="shared" si="0"/>
        <v>0.5</v>
      </c>
      <c r="C8">
        <f t="shared" si="1"/>
        <v>6</v>
      </c>
      <c r="D8">
        <v>7.18</v>
      </c>
      <c r="E8">
        <v>5.82</v>
      </c>
      <c r="F8">
        <v>6.31</v>
      </c>
      <c r="G8">
        <v>6.68</v>
      </c>
      <c r="H8">
        <v>7.15</v>
      </c>
      <c r="I8">
        <v>7.64</v>
      </c>
      <c r="J8">
        <v>8.1199999999999992</v>
      </c>
      <c r="K8">
        <v>8.66</v>
      </c>
      <c r="L8" s="278"/>
    </row>
    <row r="9" spans="1:14" x14ac:dyDescent="0.2">
      <c r="A9">
        <v>0.61499999999999999</v>
      </c>
      <c r="B9">
        <f t="shared" si="0"/>
        <v>0.6</v>
      </c>
      <c r="C9">
        <f t="shared" si="1"/>
        <v>7.4</v>
      </c>
      <c r="D9">
        <v>7.8</v>
      </c>
      <c r="E9">
        <v>6.34</v>
      </c>
      <c r="F9">
        <v>6.83</v>
      </c>
      <c r="G9">
        <v>7.25</v>
      </c>
      <c r="H9">
        <v>7.8</v>
      </c>
      <c r="I9">
        <v>8.3000000000000007</v>
      </c>
      <c r="J9">
        <v>8.83</v>
      </c>
      <c r="K9">
        <v>9.41</v>
      </c>
      <c r="L9" s="278"/>
    </row>
    <row r="10" spans="1:14" x14ac:dyDescent="0.2">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2">
      <c r="A11">
        <v>0.92300000000000004</v>
      </c>
      <c r="B11">
        <f t="shared" si="0"/>
        <v>0.9</v>
      </c>
      <c r="C11">
        <f t="shared" si="1"/>
        <v>11.1</v>
      </c>
      <c r="D11">
        <v>9.1999999999999993</v>
      </c>
      <c r="E11">
        <v>7.48</v>
      </c>
      <c r="F11">
        <v>8.01</v>
      </c>
      <c r="G11">
        <v>8.52</v>
      </c>
      <c r="H11">
        <v>9.16</v>
      </c>
      <c r="I11">
        <v>9.76</v>
      </c>
      <c r="J11">
        <v>10.33</v>
      </c>
      <c r="K11">
        <v>11.06</v>
      </c>
      <c r="L11" s="278"/>
    </row>
    <row r="12" spans="1:14" x14ac:dyDescent="0.2">
      <c r="A12">
        <v>1</v>
      </c>
      <c r="B12">
        <f t="shared" si="0"/>
        <v>1</v>
      </c>
      <c r="C12">
        <f t="shared" si="1"/>
        <v>12</v>
      </c>
      <c r="D12">
        <v>9.5</v>
      </c>
      <c r="E12">
        <v>7.8</v>
      </c>
      <c r="F12">
        <v>8.3000000000000007</v>
      </c>
      <c r="G12">
        <v>8.8000000000000007</v>
      </c>
      <c r="H12">
        <v>9.5</v>
      </c>
      <c r="I12">
        <v>10.1</v>
      </c>
      <c r="J12">
        <v>10.7</v>
      </c>
      <c r="K12">
        <v>11.4</v>
      </c>
      <c r="L12" s="278"/>
    </row>
    <row r="13" spans="1:14" x14ac:dyDescent="0.2">
      <c r="A13">
        <v>1.5</v>
      </c>
      <c r="B13">
        <f t="shared" si="0"/>
        <v>1.5</v>
      </c>
      <c r="C13">
        <f t="shared" si="1"/>
        <v>18</v>
      </c>
      <c r="D13">
        <v>11.2</v>
      </c>
      <c r="E13">
        <v>9.1999999999999993</v>
      </c>
      <c r="F13">
        <v>9.6999999999999993</v>
      </c>
      <c r="G13">
        <v>10.4</v>
      </c>
      <c r="H13">
        <v>11.3</v>
      </c>
      <c r="I13">
        <v>12</v>
      </c>
      <c r="J13">
        <v>12.8</v>
      </c>
      <c r="K13">
        <v>13.5</v>
      </c>
      <c r="L13" s="278"/>
    </row>
    <row r="14" spans="1:14" x14ac:dyDescent="0.2">
      <c r="A14">
        <v>2</v>
      </c>
      <c r="B14">
        <f t="shared" si="0"/>
        <v>2</v>
      </c>
      <c r="C14">
        <f t="shared" si="1"/>
        <v>24</v>
      </c>
      <c r="D14">
        <v>12.5</v>
      </c>
      <c r="E14">
        <v>10.3</v>
      </c>
      <c r="F14">
        <v>10.8</v>
      </c>
      <c r="G14">
        <v>11.7</v>
      </c>
      <c r="H14">
        <v>12.6</v>
      </c>
      <c r="I14">
        <v>13.5</v>
      </c>
      <c r="J14">
        <v>14.3</v>
      </c>
      <c r="K14">
        <v>15.2</v>
      </c>
      <c r="L14" s="278"/>
    </row>
    <row r="15" spans="1:14" x14ac:dyDescent="0.2">
      <c r="A15">
        <v>2.5</v>
      </c>
      <c r="B15">
        <f t="shared" si="0"/>
        <v>2.5</v>
      </c>
      <c r="C15">
        <f t="shared" si="1"/>
        <v>30</v>
      </c>
      <c r="D15">
        <v>13.8</v>
      </c>
      <c r="E15">
        <v>11.2</v>
      </c>
      <c r="F15">
        <v>11.8</v>
      </c>
      <c r="G15">
        <v>12.8</v>
      </c>
      <c r="H15">
        <v>13.8</v>
      </c>
      <c r="I15">
        <v>14.7</v>
      </c>
      <c r="J15">
        <v>15.7</v>
      </c>
      <c r="K15">
        <v>16.899999999999999</v>
      </c>
      <c r="L15" s="278"/>
    </row>
    <row r="16" spans="1:14" x14ac:dyDescent="0.2">
      <c r="A16">
        <v>3</v>
      </c>
      <c r="B16">
        <f t="shared" si="0"/>
        <v>3</v>
      </c>
      <c r="C16">
        <f t="shared" si="1"/>
        <v>36</v>
      </c>
      <c r="D16">
        <v>15</v>
      </c>
      <c r="E16">
        <v>12</v>
      </c>
      <c r="F16">
        <v>12.8</v>
      </c>
      <c r="G16">
        <v>13.8</v>
      </c>
      <c r="H16">
        <v>14.9</v>
      </c>
      <c r="I16">
        <v>15.9</v>
      </c>
      <c r="J16">
        <v>17.2</v>
      </c>
      <c r="K16">
        <v>18.5</v>
      </c>
      <c r="L16" s="278"/>
    </row>
    <row r="17" spans="1:12" x14ac:dyDescent="0.2">
      <c r="A17">
        <v>3.5</v>
      </c>
      <c r="B17">
        <f t="shared" si="0"/>
        <v>3.5</v>
      </c>
      <c r="C17">
        <f t="shared" si="1"/>
        <v>42</v>
      </c>
      <c r="D17">
        <v>16.100000000000001</v>
      </c>
      <c r="E17">
        <v>12.8</v>
      </c>
      <c r="F17">
        <v>13.7</v>
      </c>
      <c r="G17">
        <v>14.7</v>
      </c>
      <c r="H17">
        <v>16</v>
      </c>
      <c r="I17">
        <v>17.100000000000001</v>
      </c>
      <c r="J17">
        <v>18.5</v>
      </c>
      <c r="K17">
        <v>20</v>
      </c>
      <c r="L17" s="278"/>
    </row>
    <row r="18" spans="1:12" x14ac:dyDescent="0.2">
      <c r="A18">
        <v>4</v>
      </c>
      <c r="B18">
        <f t="shared" si="0"/>
        <v>4</v>
      </c>
      <c r="C18">
        <f t="shared" si="1"/>
        <v>48</v>
      </c>
      <c r="D18">
        <v>17.2</v>
      </c>
      <c r="E18">
        <v>13.6</v>
      </c>
      <c r="F18">
        <v>14.6</v>
      </c>
      <c r="G18">
        <v>15.6</v>
      </c>
      <c r="H18">
        <v>17</v>
      </c>
      <c r="I18">
        <v>18.3</v>
      </c>
      <c r="J18">
        <v>19.8</v>
      </c>
      <c r="K18">
        <v>21.5</v>
      </c>
      <c r="L18" s="278"/>
    </row>
    <row r="19" spans="1:12" x14ac:dyDescent="0.2">
      <c r="A19">
        <v>4.5</v>
      </c>
      <c r="B19">
        <f t="shared" si="0"/>
        <v>4.5</v>
      </c>
      <c r="C19">
        <f t="shared" si="1"/>
        <v>54</v>
      </c>
      <c r="D19">
        <v>18.3</v>
      </c>
      <c r="E19">
        <v>14.4</v>
      </c>
      <c r="F19">
        <v>15.5</v>
      </c>
      <c r="G19">
        <v>16.5</v>
      </c>
      <c r="H19">
        <v>18</v>
      </c>
      <c r="I19">
        <v>19.399999999999999</v>
      </c>
      <c r="J19">
        <v>21</v>
      </c>
      <c r="K19">
        <v>22.9</v>
      </c>
      <c r="L19" s="278"/>
    </row>
    <row r="20" spans="1:12" x14ac:dyDescent="0.2">
      <c r="A20">
        <v>5</v>
      </c>
      <c r="B20">
        <f t="shared" si="0"/>
        <v>5</v>
      </c>
      <c r="C20">
        <f t="shared" si="1"/>
        <v>60</v>
      </c>
      <c r="D20">
        <v>19.3</v>
      </c>
      <c r="E20">
        <v>15.2</v>
      </c>
      <c r="F20">
        <v>16.3</v>
      </c>
      <c r="G20">
        <v>17.399999999999999</v>
      </c>
      <c r="H20">
        <v>19</v>
      </c>
      <c r="I20">
        <v>20.5</v>
      </c>
      <c r="J20">
        <v>22.2</v>
      </c>
      <c r="K20">
        <v>24.2</v>
      </c>
      <c r="L20" s="278"/>
    </row>
    <row r="21" spans="1:12" x14ac:dyDescent="0.2">
      <c r="A21">
        <v>5.5</v>
      </c>
      <c r="B21">
        <f t="shared" si="0"/>
        <v>5.5</v>
      </c>
      <c r="C21">
        <f t="shared" si="1"/>
        <v>66</v>
      </c>
      <c r="D21">
        <v>20.3</v>
      </c>
      <c r="E21">
        <v>15.9</v>
      </c>
      <c r="F21">
        <v>17.100000000000001</v>
      </c>
      <c r="G21">
        <v>18.399999999999999</v>
      </c>
      <c r="H21">
        <v>20</v>
      </c>
      <c r="I21">
        <v>21.6</v>
      </c>
      <c r="J21">
        <v>23.6</v>
      </c>
      <c r="K21">
        <v>25.7</v>
      </c>
      <c r="L21" s="278"/>
    </row>
    <row r="22" spans="1:12" x14ac:dyDescent="0.2">
      <c r="A22">
        <v>6</v>
      </c>
      <c r="B22">
        <f t="shared" si="0"/>
        <v>6</v>
      </c>
      <c r="C22">
        <f t="shared" si="1"/>
        <v>72</v>
      </c>
      <c r="D22">
        <v>21.4</v>
      </c>
      <c r="E22">
        <v>16.7</v>
      </c>
      <c r="F22">
        <v>17.899999999999999</v>
      </c>
      <c r="G22">
        <v>19.399999999999999</v>
      </c>
      <c r="H22">
        <v>21</v>
      </c>
      <c r="I22">
        <v>22.9</v>
      </c>
      <c r="J22">
        <v>25</v>
      </c>
      <c r="K22">
        <v>27.4</v>
      </c>
      <c r="L22" s="278"/>
    </row>
    <row r="23" spans="1:12" x14ac:dyDescent="0.2">
      <c r="A23">
        <v>6.5</v>
      </c>
      <c r="B23">
        <f t="shared" si="0"/>
        <v>6.5</v>
      </c>
      <c r="C23">
        <f t="shared" si="1"/>
        <v>78</v>
      </c>
      <c r="D23">
        <v>22.7</v>
      </c>
      <c r="E23">
        <v>17.600000000000001</v>
      </c>
      <c r="F23">
        <v>18.8</v>
      </c>
      <c r="G23">
        <v>20.5</v>
      </c>
      <c r="H23">
        <v>22.2</v>
      </c>
      <c r="I23">
        <v>24.2</v>
      </c>
      <c r="J23">
        <v>26.6</v>
      </c>
      <c r="K23">
        <v>29.3</v>
      </c>
      <c r="L23" s="278"/>
    </row>
    <row r="24" spans="1:12" x14ac:dyDescent="0.2">
      <c r="A24">
        <v>7</v>
      </c>
      <c r="B24">
        <f t="shared" si="0"/>
        <v>7</v>
      </c>
      <c r="C24">
        <f t="shared" si="1"/>
        <v>84</v>
      </c>
      <c r="D24">
        <v>24.1</v>
      </c>
      <c r="E24">
        <v>18.600000000000001</v>
      </c>
      <c r="F24">
        <v>19.899999999999999</v>
      </c>
      <c r="G24">
        <v>21.6</v>
      </c>
      <c r="H24">
        <v>23.4</v>
      </c>
      <c r="I24">
        <v>25.7</v>
      </c>
      <c r="J24">
        <v>28.3</v>
      </c>
      <c r="K24">
        <v>31.3</v>
      </c>
      <c r="L24" s="278"/>
    </row>
    <row r="25" spans="1:12" x14ac:dyDescent="0.2">
      <c r="A25">
        <v>7.5</v>
      </c>
      <c r="B25">
        <f t="shared" si="0"/>
        <v>7.5</v>
      </c>
      <c r="C25">
        <f t="shared" si="1"/>
        <v>90</v>
      </c>
      <c r="D25">
        <v>25.5</v>
      </c>
      <c r="E25">
        <v>19.600000000000001</v>
      </c>
      <c r="F25">
        <v>21.1</v>
      </c>
      <c r="G25">
        <v>22.8</v>
      </c>
      <c r="H25">
        <v>24.8</v>
      </c>
      <c r="I25">
        <v>27.2</v>
      </c>
      <c r="J25">
        <v>30.2</v>
      </c>
      <c r="K25">
        <v>33.4</v>
      </c>
      <c r="L25" s="278"/>
    </row>
    <row r="26" spans="1:12" x14ac:dyDescent="0.2">
      <c r="A26">
        <v>8</v>
      </c>
      <c r="B26">
        <f t="shared" si="0"/>
        <v>8</v>
      </c>
      <c r="C26">
        <f t="shared" si="1"/>
        <v>96</v>
      </c>
      <c r="D26">
        <v>26.9</v>
      </c>
      <c r="E26">
        <v>20.7</v>
      </c>
      <c r="F26">
        <v>22.3</v>
      </c>
      <c r="G26">
        <v>24</v>
      </c>
      <c r="H26">
        <v>26.2</v>
      </c>
      <c r="I26">
        <v>28.8</v>
      </c>
      <c r="J26">
        <v>32.1</v>
      </c>
      <c r="K26">
        <v>35.5</v>
      </c>
      <c r="L26" s="278"/>
    </row>
    <row r="27" spans="1:12" x14ac:dyDescent="0.2">
      <c r="A27">
        <v>8.5</v>
      </c>
      <c r="B27">
        <f t="shared" si="0"/>
        <v>8.5</v>
      </c>
      <c r="C27">
        <f t="shared" si="1"/>
        <v>102</v>
      </c>
      <c r="D27">
        <v>28.3</v>
      </c>
      <c r="E27">
        <v>21.7</v>
      </c>
      <c r="F27">
        <v>23.5</v>
      </c>
      <c r="G27">
        <v>25.2</v>
      </c>
      <c r="H27">
        <v>27.6</v>
      </c>
      <c r="I27">
        <v>30.5</v>
      </c>
      <c r="J27">
        <v>34</v>
      </c>
      <c r="K27">
        <v>37.9</v>
      </c>
      <c r="L27" s="278"/>
    </row>
    <row r="28" spans="1:12" x14ac:dyDescent="0.2">
      <c r="A28">
        <v>9</v>
      </c>
      <c r="B28">
        <f t="shared" si="0"/>
        <v>9</v>
      </c>
      <c r="C28">
        <f t="shared" si="1"/>
        <v>108</v>
      </c>
      <c r="D28">
        <v>29.8</v>
      </c>
      <c r="E28">
        <v>22.8</v>
      </c>
      <c r="F28">
        <v>24.7</v>
      </c>
      <c r="G28">
        <v>26.5</v>
      </c>
      <c r="H28">
        <v>29</v>
      </c>
      <c r="I28">
        <v>32.200000000000003</v>
      </c>
      <c r="J28">
        <v>36</v>
      </c>
      <c r="K28">
        <v>40.299999999999997</v>
      </c>
      <c r="L28" s="278"/>
    </row>
    <row r="29" spans="1:12" x14ac:dyDescent="0.2">
      <c r="A29">
        <v>9.5</v>
      </c>
      <c r="B29">
        <f t="shared" si="0"/>
        <v>9.5</v>
      </c>
      <c r="C29">
        <f t="shared" si="1"/>
        <v>114</v>
      </c>
      <c r="D29">
        <v>31.4</v>
      </c>
      <c r="E29">
        <v>23.8</v>
      </c>
      <c r="F29">
        <v>25.9</v>
      </c>
      <c r="G29">
        <v>27.8</v>
      </c>
      <c r="H29">
        <v>30.5</v>
      </c>
      <c r="I29">
        <v>34</v>
      </c>
      <c r="J29">
        <v>38</v>
      </c>
      <c r="K29">
        <v>42.7</v>
      </c>
      <c r="L29" s="278"/>
    </row>
    <row r="30" spans="1:12" x14ac:dyDescent="0.2">
      <c r="A30">
        <v>10</v>
      </c>
      <c r="B30">
        <f t="shared" si="0"/>
        <v>10</v>
      </c>
      <c r="C30">
        <f t="shared" si="1"/>
        <v>120</v>
      </c>
      <c r="D30">
        <v>33.200000000000003</v>
      </c>
      <c r="E30">
        <v>24.8</v>
      </c>
      <c r="F30">
        <v>27.1</v>
      </c>
      <c r="G30">
        <v>29.1</v>
      </c>
      <c r="H30">
        <v>32.1</v>
      </c>
      <c r="I30">
        <v>35.799999999999997</v>
      </c>
      <c r="J30">
        <v>40.4</v>
      </c>
      <c r="K30">
        <v>45.4</v>
      </c>
      <c r="L30" s="278"/>
    </row>
    <row r="31" spans="1:12" x14ac:dyDescent="0.2">
      <c r="A31">
        <v>10.5</v>
      </c>
      <c r="B31">
        <f t="shared" si="0"/>
        <v>10.5</v>
      </c>
      <c r="C31">
        <f t="shared" si="1"/>
        <v>126</v>
      </c>
      <c r="D31">
        <v>35.1</v>
      </c>
      <c r="E31">
        <v>25.9</v>
      </c>
      <c r="F31">
        <v>28.3</v>
      </c>
      <c r="G31">
        <v>30.5</v>
      </c>
      <c r="H31">
        <v>33.9</v>
      </c>
      <c r="I31">
        <v>37.9</v>
      </c>
      <c r="J31">
        <v>43</v>
      </c>
      <c r="K31">
        <v>48.4</v>
      </c>
      <c r="L31" s="278"/>
    </row>
    <row r="32" spans="1:12" x14ac:dyDescent="0.2">
      <c r="A32">
        <v>11</v>
      </c>
      <c r="B32">
        <f t="shared" si="0"/>
        <v>11</v>
      </c>
      <c r="C32">
        <f t="shared" si="1"/>
        <v>132</v>
      </c>
      <c r="D32">
        <v>37.200000000000003</v>
      </c>
      <c r="E32">
        <v>27.1</v>
      </c>
      <c r="F32">
        <v>29.6</v>
      </c>
      <c r="G32">
        <v>32.5</v>
      </c>
      <c r="H32">
        <v>36.200000000000003</v>
      </c>
      <c r="I32">
        <v>40.5</v>
      </c>
      <c r="J32">
        <v>46.1</v>
      </c>
      <c r="K32">
        <v>51.6</v>
      </c>
      <c r="L32" s="278"/>
    </row>
    <row r="33" spans="1:12" x14ac:dyDescent="0.2">
      <c r="A33">
        <v>11.5</v>
      </c>
      <c r="B33">
        <f t="shared" si="0"/>
        <v>11.5</v>
      </c>
      <c r="C33">
        <f t="shared" si="1"/>
        <v>138</v>
      </c>
      <c r="D33">
        <v>39.6</v>
      </c>
      <c r="E33">
        <v>28.5</v>
      </c>
      <c r="F33">
        <v>31.2</v>
      </c>
      <c r="G33">
        <v>34.5</v>
      </c>
      <c r="H33">
        <v>38.799999999999997</v>
      </c>
      <c r="I33">
        <v>43.5</v>
      </c>
      <c r="J33">
        <v>49.9</v>
      </c>
      <c r="K33">
        <v>55.5</v>
      </c>
      <c r="L33" s="278"/>
    </row>
    <row r="34" spans="1:12" x14ac:dyDescent="0.2">
      <c r="A34">
        <v>12</v>
      </c>
      <c r="B34">
        <f t="shared" si="0"/>
        <v>12</v>
      </c>
      <c r="C34">
        <f t="shared" si="1"/>
        <v>144</v>
      </c>
      <c r="D34">
        <v>42.4</v>
      </c>
      <c r="E34">
        <v>30.2</v>
      </c>
      <c r="F34">
        <v>33.1</v>
      </c>
      <c r="G34">
        <v>36.9</v>
      </c>
      <c r="H34">
        <v>41.6</v>
      </c>
      <c r="I34">
        <v>46.8</v>
      </c>
      <c r="J34">
        <v>53.9</v>
      </c>
      <c r="K34">
        <v>59.7</v>
      </c>
      <c r="L34" s="278"/>
    </row>
    <row r="35" spans="1:12" x14ac:dyDescent="0.2">
      <c r="A35">
        <v>12.5</v>
      </c>
      <c r="B35">
        <f t="shared" si="0"/>
        <v>12.5</v>
      </c>
      <c r="C35">
        <f t="shared" si="1"/>
        <v>150</v>
      </c>
      <c r="D35">
        <v>45.3</v>
      </c>
      <c r="E35">
        <v>31.9</v>
      </c>
      <c r="F35">
        <v>35.200000000000003</v>
      </c>
      <c r="G35">
        <v>39.299999999999997</v>
      </c>
      <c r="H35">
        <v>44.2</v>
      </c>
      <c r="I35">
        <v>50</v>
      </c>
      <c r="J35">
        <v>56.7</v>
      </c>
      <c r="K35">
        <v>63.7</v>
      </c>
      <c r="L35" s="278"/>
    </row>
    <row r="36" spans="1:12" x14ac:dyDescent="0.2">
      <c r="A36">
        <v>13</v>
      </c>
      <c r="B36">
        <f t="shared" si="0"/>
        <v>13</v>
      </c>
      <c r="C36">
        <f t="shared" si="1"/>
        <v>156</v>
      </c>
      <c r="D36">
        <v>47.8</v>
      </c>
      <c r="E36">
        <v>33.700000000000003</v>
      </c>
      <c r="F36">
        <v>37.5</v>
      </c>
      <c r="G36">
        <v>41.7</v>
      </c>
      <c r="H36">
        <v>46.6</v>
      </c>
      <c r="I36">
        <v>52.7</v>
      </c>
      <c r="J36">
        <v>58.9</v>
      </c>
      <c r="K36">
        <v>66.400000000000006</v>
      </c>
      <c r="L36" s="278"/>
    </row>
    <row r="37" spans="1:12" x14ac:dyDescent="0.2">
      <c r="A37">
        <v>13.5</v>
      </c>
      <c r="B37">
        <f t="shared" si="0"/>
        <v>13.5</v>
      </c>
      <c r="C37">
        <f t="shared" si="1"/>
        <v>162</v>
      </c>
      <c r="D37">
        <v>50</v>
      </c>
      <c r="E37">
        <v>35.5</v>
      </c>
      <c r="F37">
        <v>39.799999999999997</v>
      </c>
      <c r="G37">
        <v>44.1</v>
      </c>
      <c r="H37">
        <v>49</v>
      </c>
      <c r="I37">
        <v>55.2</v>
      </c>
      <c r="J37">
        <v>60.9</v>
      </c>
      <c r="K37">
        <v>68.2</v>
      </c>
      <c r="L37" s="278"/>
    </row>
    <row r="38" spans="1:12" x14ac:dyDescent="0.2">
      <c r="A38">
        <v>14</v>
      </c>
      <c r="B38">
        <f t="shared" si="0"/>
        <v>14</v>
      </c>
      <c r="C38">
        <f t="shared" si="1"/>
        <v>168</v>
      </c>
      <c r="D38">
        <v>52.1</v>
      </c>
      <c r="E38">
        <v>37.299999999999997</v>
      </c>
      <c r="F38">
        <v>41.9</v>
      </c>
      <c r="G38">
        <v>46.3</v>
      </c>
      <c r="H38">
        <v>51.2</v>
      </c>
      <c r="I38">
        <v>57.4</v>
      </c>
      <c r="J38">
        <v>63</v>
      </c>
      <c r="K38">
        <v>70</v>
      </c>
      <c r="L38" s="278"/>
    </row>
    <row r="39" spans="1:12" x14ac:dyDescent="0.2">
      <c r="A39">
        <v>14.5</v>
      </c>
      <c r="B39">
        <f t="shared" si="0"/>
        <v>14.5</v>
      </c>
      <c r="C39">
        <f t="shared" si="1"/>
        <v>174</v>
      </c>
      <c r="D39">
        <v>54.1</v>
      </c>
      <c r="E39">
        <v>39.299999999999997</v>
      </c>
      <c r="F39">
        <v>43.7</v>
      </c>
      <c r="G39">
        <v>48.1</v>
      </c>
      <c r="H39">
        <v>53</v>
      </c>
      <c r="I39">
        <v>59.1</v>
      </c>
      <c r="J39">
        <v>64.8</v>
      </c>
      <c r="K39">
        <v>71.3</v>
      </c>
      <c r="L39" s="278"/>
    </row>
    <row r="40" spans="1:12" x14ac:dyDescent="0.2">
      <c r="A40">
        <v>15</v>
      </c>
      <c r="B40">
        <f t="shared" si="0"/>
        <v>15</v>
      </c>
      <c r="C40">
        <f t="shared" si="1"/>
        <v>180</v>
      </c>
      <c r="D40">
        <v>55.6</v>
      </c>
      <c r="E40">
        <v>41.3</v>
      </c>
      <c r="F40">
        <v>45.3</v>
      </c>
      <c r="G40">
        <v>49.6</v>
      </c>
      <c r="H40">
        <v>54.5</v>
      </c>
      <c r="I40">
        <v>60.5</v>
      </c>
      <c r="J40">
        <v>66.3</v>
      </c>
      <c r="K40">
        <v>72.400000000000006</v>
      </c>
      <c r="L40" s="278"/>
    </row>
    <row r="41" spans="1:12" x14ac:dyDescent="0.2">
      <c r="A41">
        <v>15.5</v>
      </c>
      <c r="B41">
        <f t="shared" si="0"/>
        <v>15.5</v>
      </c>
      <c r="C41">
        <f t="shared" si="1"/>
        <v>186</v>
      </c>
      <c r="D41">
        <v>56.7</v>
      </c>
      <c r="E41">
        <v>43</v>
      </c>
      <c r="F41">
        <v>46.9</v>
      </c>
      <c r="G41">
        <v>50.9</v>
      </c>
      <c r="H41">
        <v>55.8</v>
      </c>
      <c r="I41">
        <v>61.6</v>
      </c>
      <c r="J41">
        <v>67.2</v>
      </c>
      <c r="K41">
        <v>73.2</v>
      </c>
      <c r="L41" s="278"/>
    </row>
    <row r="42" spans="1:12" x14ac:dyDescent="0.2">
      <c r="A42">
        <v>16</v>
      </c>
      <c r="B42">
        <f t="shared" si="0"/>
        <v>16</v>
      </c>
      <c r="C42">
        <f t="shared" si="1"/>
        <v>192</v>
      </c>
      <c r="D42">
        <v>57.5</v>
      </c>
      <c r="E42">
        <v>44.4</v>
      </c>
      <c r="F42">
        <v>48.2</v>
      </c>
      <c r="G42">
        <v>51.8</v>
      </c>
      <c r="H42">
        <v>56.6</v>
      </c>
      <c r="I42">
        <v>62.2</v>
      </c>
      <c r="J42">
        <v>67.599999999999994</v>
      </c>
      <c r="K42">
        <v>73.8</v>
      </c>
      <c r="L42" s="278"/>
    </row>
    <row r="43" spans="1:12" x14ac:dyDescent="0.2">
      <c r="A43">
        <v>16.5</v>
      </c>
      <c r="B43">
        <f t="shared" si="0"/>
        <v>16.5</v>
      </c>
      <c r="C43">
        <f t="shared" si="1"/>
        <v>198</v>
      </c>
      <c r="D43">
        <v>58</v>
      </c>
      <c r="E43">
        <v>45.6</v>
      </c>
      <c r="F43">
        <v>49.2</v>
      </c>
      <c r="G43">
        <v>52.5</v>
      </c>
      <c r="H43">
        <v>57.3</v>
      </c>
      <c r="I43">
        <v>62.6</v>
      </c>
      <c r="J43">
        <v>67.8</v>
      </c>
      <c r="K43">
        <v>74</v>
      </c>
      <c r="L43" s="278"/>
    </row>
    <row r="44" spans="1:12" x14ac:dyDescent="0.2">
      <c r="A44">
        <v>17</v>
      </c>
      <c r="B44">
        <f t="shared" si="0"/>
        <v>17</v>
      </c>
      <c r="C44">
        <f t="shared" si="1"/>
        <v>204</v>
      </c>
      <c r="D44">
        <v>58.5</v>
      </c>
      <c r="E44">
        <v>46.3</v>
      </c>
      <c r="F44">
        <v>49.9</v>
      </c>
      <c r="G44">
        <v>52.9</v>
      </c>
      <c r="H44">
        <v>57.7</v>
      </c>
      <c r="I44">
        <v>62.9</v>
      </c>
      <c r="J44">
        <v>68</v>
      </c>
      <c r="K44">
        <v>74.099999999999994</v>
      </c>
      <c r="L44" s="278"/>
    </row>
    <row r="45" spans="1:12" x14ac:dyDescent="0.2">
      <c r="A45">
        <v>17.5</v>
      </c>
      <c r="B45">
        <f t="shared" si="0"/>
        <v>17.5</v>
      </c>
      <c r="C45">
        <f t="shared" si="1"/>
        <v>210</v>
      </c>
      <c r="D45">
        <v>59</v>
      </c>
      <c r="E45">
        <v>46.8</v>
      </c>
      <c r="F45">
        <v>50.2</v>
      </c>
      <c r="G45">
        <v>53.3</v>
      </c>
      <c r="H45">
        <v>58</v>
      </c>
      <c r="I45">
        <v>63.1</v>
      </c>
      <c r="J45">
        <v>68.2</v>
      </c>
      <c r="K45">
        <v>74.099999999999994</v>
      </c>
      <c r="L45" s="278"/>
    </row>
    <row r="46" spans="1:12" x14ac:dyDescent="0.2">
      <c r="A46">
        <v>18</v>
      </c>
      <c r="B46">
        <f t="shared" si="0"/>
        <v>18</v>
      </c>
      <c r="C46">
        <f t="shared" si="1"/>
        <v>216</v>
      </c>
      <c r="D46">
        <v>59.4</v>
      </c>
      <c r="E46">
        <v>47</v>
      </c>
      <c r="F46">
        <v>50.5</v>
      </c>
      <c r="G46">
        <v>53.6</v>
      </c>
      <c r="H46">
        <v>58.3</v>
      </c>
      <c r="I46">
        <v>63.3</v>
      </c>
      <c r="J46">
        <v>68.400000000000006</v>
      </c>
      <c r="K46">
        <v>74</v>
      </c>
      <c r="L46" s="278"/>
    </row>
    <row r="47" spans="1:12" x14ac:dyDescent="0.2">
      <c r="A47">
        <v>18.5</v>
      </c>
      <c r="B47">
        <f t="shared" si="0"/>
        <v>18.5</v>
      </c>
      <c r="C47">
        <f t="shared" si="1"/>
        <v>222</v>
      </c>
      <c r="D47">
        <v>59.8</v>
      </c>
      <c r="E47">
        <v>47.2</v>
      </c>
      <c r="F47">
        <v>50.7</v>
      </c>
      <c r="G47">
        <v>53.8</v>
      </c>
      <c r="H47">
        <v>58.5</v>
      </c>
      <c r="I47">
        <v>63.5</v>
      </c>
      <c r="J47">
        <v>68.5</v>
      </c>
      <c r="K47">
        <v>73.8</v>
      </c>
      <c r="L47" s="278"/>
    </row>
    <row r="48" spans="1:12" x14ac:dyDescent="0.2">
      <c r="A48">
        <v>19</v>
      </c>
      <c r="B48">
        <f t="shared" si="0"/>
        <v>19</v>
      </c>
      <c r="C48">
        <f t="shared" si="1"/>
        <v>228</v>
      </c>
      <c r="D48">
        <v>60.2</v>
      </c>
      <c r="E48">
        <v>47.3</v>
      </c>
      <c r="F48">
        <v>50.8</v>
      </c>
      <c r="G48">
        <v>53.9</v>
      </c>
      <c r="H48">
        <v>58.6</v>
      </c>
      <c r="I48">
        <v>63.7</v>
      </c>
      <c r="J48">
        <v>68.5</v>
      </c>
      <c r="K48">
        <v>73.8</v>
      </c>
      <c r="L48" s="278"/>
    </row>
    <row r="49" spans="1:12" x14ac:dyDescent="0.2">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75" x14ac:dyDescent="0.2"/>
  <sheetData>
    <row r="1" spans="1:11" ht="38.25" x14ac:dyDescent="0.2">
      <c r="A1" s="37" t="s">
        <v>176</v>
      </c>
      <c r="B1" s="37" t="s">
        <v>176</v>
      </c>
      <c r="C1" s="37" t="s">
        <v>177</v>
      </c>
      <c r="I1" t="s">
        <v>178</v>
      </c>
    </row>
    <row r="2" spans="1:11" x14ac:dyDescent="0.2">
      <c r="A2">
        <v>0</v>
      </c>
      <c r="B2">
        <v>0</v>
      </c>
      <c r="C2">
        <v>0</v>
      </c>
      <c r="D2">
        <v>3.84</v>
      </c>
      <c r="E2">
        <v>3.02</v>
      </c>
      <c r="F2">
        <v>3.23</v>
      </c>
      <c r="G2">
        <v>3.52</v>
      </c>
      <c r="H2">
        <v>3.83</v>
      </c>
      <c r="I2">
        <v>4.17</v>
      </c>
      <c r="J2">
        <v>4.46</v>
      </c>
      <c r="K2">
        <v>4.8099999999999996</v>
      </c>
    </row>
    <row r="3" spans="1:11" x14ac:dyDescent="0.2">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2">
      <c r="A4">
        <v>0.115</v>
      </c>
      <c r="B4">
        <f t="shared" si="0"/>
        <v>0.1</v>
      </c>
      <c r="C4">
        <f t="shared" si="1"/>
        <v>1.4</v>
      </c>
      <c r="D4">
        <v>4.53</v>
      </c>
      <c r="E4">
        <v>3.62</v>
      </c>
      <c r="F4">
        <v>3.83</v>
      </c>
      <c r="G4">
        <v>4.1500000000000004</v>
      </c>
      <c r="H4">
        <v>4.5</v>
      </c>
      <c r="I4">
        <v>4.8499999999999996</v>
      </c>
      <c r="J4">
        <v>5.18</v>
      </c>
      <c r="K4">
        <v>5.57</v>
      </c>
    </row>
    <row r="5" spans="1:11" x14ac:dyDescent="0.2">
      <c r="A5">
        <v>0.17299999999999999</v>
      </c>
      <c r="B5">
        <f t="shared" si="0"/>
        <v>0.2</v>
      </c>
      <c r="C5">
        <f t="shared" si="1"/>
        <v>2.1</v>
      </c>
      <c r="D5">
        <v>5.13</v>
      </c>
      <c r="E5">
        <v>4.12</v>
      </c>
      <c r="F5">
        <v>4.42</v>
      </c>
      <c r="G5">
        <v>4.74</v>
      </c>
      <c r="H5">
        <v>5.13</v>
      </c>
      <c r="I5">
        <v>5.5</v>
      </c>
      <c r="J5">
        <v>5.86</v>
      </c>
      <c r="K5">
        <v>6.28</v>
      </c>
    </row>
    <row r="6" spans="1:11" x14ac:dyDescent="0.2">
      <c r="A6">
        <v>0.23100000000000001</v>
      </c>
      <c r="B6">
        <f t="shared" si="0"/>
        <v>0.2</v>
      </c>
      <c r="C6">
        <f t="shared" si="1"/>
        <v>2.8</v>
      </c>
      <c r="D6">
        <v>5.66</v>
      </c>
      <c r="E6">
        <v>4.55</v>
      </c>
      <c r="F6">
        <v>4.92</v>
      </c>
      <c r="G6">
        <v>5.23</v>
      </c>
      <c r="H6">
        <v>5.64</v>
      </c>
      <c r="I6">
        <v>6.06</v>
      </c>
      <c r="J6">
        <v>6.44</v>
      </c>
      <c r="K6">
        <v>6.89</v>
      </c>
    </row>
    <row r="7" spans="1:11" x14ac:dyDescent="0.2">
      <c r="A7">
        <v>0.34599999999999997</v>
      </c>
      <c r="B7">
        <f t="shared" si="0"/>
        <v>0.3</v>
      </c>
      <c r="C7">
        <f t="shared" si="1"/>
        <v>4.2</v>
      </c>
      <c r="D7">
        <v>6.62</v>
      </c>
      <c r="E7">
        <v>5.35</v>
      </c>
      <c r="F7">
        <v>5.77</v>
      </c>
      <c r="G7">
        <v>6.17</v>
      </c>
      <c r="H7">
        <v>6.6</v>
      </c>
      <c r="I7">
        <v>7.06</v>
      </c>
      <c r="J7">
        <v>7.51</v>
      </c>
      <c r="K7">
        <v>8</v>
      </c>
    </row>
    <row r="8" spans="1:11" x14ac:dyDescent="0.2">
      <c r="A8">
        <v>0.5</v>
      </c>
      <c r="B8">
        <f t="shared" si="0"/>
        <v>0.5</v>
      </c>
      <c r="C8">
        <f t="shared" si="1"/>
        <v>6</v>
      </c>
      <c r="D8">
        <v>7.61</v>
      </c>
      <c r="E8">
        <v>6.18</v>
      </c>
      <c r="F8">
        <v>6.62</v>
      </c>
      <c r="G8">
        <v>7.08</v>
      </c>
      <c r="H8">
        <v>7.56</v>
      </c>
      <c r="I8">
        <v>8.1</v>
      </c>
      <c r="J8">
        <v>8.6</v>
      </c>
      <c r="K8">
        <v>9.1999999999999993</v>
      </c>
    </row>
    <row r="9" spans="1:11" x14ac:dyDescent="0.2">
      <c r="A9">
        <v>0.61499999999999999</v>
      </c>
      <c r="B9">
        <f t="shared" si="0"/>
        <v>0.6</v>
      </c>
      <c r="C9">
        <f t="shared" si="1"/>
        <v>7.4</v>
      </c>
      <c r="D9">
        <v>8.24</v>
      </c>
      <c r="E9">
        <v>6.7</v>
      </c>
      <c r="F9">
        <v>7.17</v>
      </c>
      <c r="G9">
        <v>7.67</v>
      </c>
      <c r="H9">
        <v>8.1999999999999993</v>
      </c>
      <c r="I9">
        <v>8.7899999999999991</v>
      </c>
      <c r="J9">
        <v>9.32</v>
      </c>
      <c r="K9">
        <v>10</v>
      </c>
    </row>
    <row r="10" spans="1:11" x14ac:dyDescent="0.2">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2">
      <c r="A11">
        <v>0.92300000000000004</v>
      </c>
      <c r="B11">
        <f t="shared" si="0"/>
        <v>0.9</v>
      </c>
      <c r="C11">
        <f t="shared" si="1"/>
        <v>11.1</v>
      </c>
      <c r="D11">
        <v>9.75</v>
      </c>
      <c r="E11">
        <v>8.0299999999999994</v>
      </c>
      <c r="F11">
        <v>8.5399999999999991</v>
      </c>
      <c r="G11">
        <v>9.11</v>
      </c>
      <c r="H11">
        <v>9.73</v>
      </c>
      <c r="I11">
        <v>10.44</v>
      </c>
      <c r="J11">
        <v>11.01</v>
      </c>
      <c r="K11">
        <v>11.74</v>
      </c>
    </row>
    <row r="12" spans="1:11" x14ac:dyDescent="0.2">
      <c r="A12">
        <v>1</v>
      </c>
      <c r="B12">
        <f t="shared" si="0"/>
        <v>1</v>
      </c>
      <c r="C12">
        <f t="shared" si="1"/>
        <v>12</v>
      </c>
      <c r="D12">
        <v>10.1</v>
      </c>
      <c r="E12">
        <v>8.3000000000000007</v>
      </c>
      <c r="F12">
        <v>8.8000000000000007</v>
      </c>
      <c r="G12">
        <v>9.4</v>
      </c>
      <c r="H12">
        <v>10.1</v>
      </c>
      <c r="I12">
        <v>10.8</v>
      </c>
      <c r="J12">
        <v>11.4</v>
      </c>
      <c r="K12">
        <v>12.1</v>
      </c>
    </row>
    <row r="13" spans="1:11" x14ac:dyDescent="0.2">
      <c r="B13" t="s">
        <v>180</v>
      </c>
      <c r="C13">
        <f ca="1">TRUNC((AfspraakDatum-GebDatum)/365,0)*12+TRUNC(((AfspraakDatum-GebDatum)-365*TRUNC((AfspraakDatum-GebDatum)/365,0))/30,0)</f>
        <v>42</v>
      </c>
      <c r="D13">
        <f>Gewicht/10</f>
        <v>10</v>
      </c>
    </row>
    <row r="14" spans="1:11" x14ac:dyDescent="0.2">
      <c r="B14" t="s">
        <v>181</v>
      </c>
      <c r="C14">
        <v>1.5</v>
      </c>
      <c r="D14">
        <v>3.4</v>
      </c>
    </row>
    <row r="15" spans="1:11" x14ac:dyDescent="0.2">
      <c r="B15" t="s">
        <v>182</v>
      </c>
    </row>
    <row r="16" spans="1:11" x14ac:dyDescent="0.2">
      <c r="B16" t="s">
        <v>183</v>
      </c>
    </row>
    <row r="17" spans="2:2" x14ac:dyDescent="0.2">
      <c r="B17" t="s">
        <v>184</v>
      </c>
    </row>
    <row r="18" spans="2:2" x14ac:dyDescent="0.2">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75" x14ac:dyDescent="0.2"/>
  <sheetData>
    <row r="1" spans="1:4" ht="25.5" x14ac:dyDescent="0.2">
      <c r="A1" s="37" t="s">
        <v>176</v>
      </c>
      <c r="B1" t="s">
        <v>178</v>
      </c>
      <c r="C1" t="s">
        <v>179</v>
      </c>
    </row>
    <row r="2" spans="1:4" x14ac:dyDescent="0.2">
      <c r="A2" s="37">
        <v>0</v>
      </c>
      <c r="B2">
        <v>53.2</v>
      </c>
      <c r="C2">
        <v>52.7</v>
      </c>
      <c r="D2">
        <f t="shared" ref="D2:D45" si="0">(B2+C2)/2</f>
        <v>52.95</v>
      </c>
    </row>
    <row r="3" spans="1:4" x14ac:dyDescent="0.2">
      <c r="A3">
        <v>5.6599999999999998E-2</v>
      </c>
      <c r="B3">
        <v>53.2</v>
      </c>
      <c r="C3">
        <v>52.7</v>
      </c>
      <c r="D3">
        <f t="shared" si="0"/>
        <v>52.95</v>
      </c>
    </row>
    <row r="4" spans="1:4" x14ac:dyDescent="0.2">
      <c r="A4">
        <v>0.25</v>
      </c>
      <c r="B4">
        <v>61.1</v>
      </c>
      <c r="C4">
        <v>59.9</v>
      </c>
      <c r="D4">
        <f t="shared" si="0"/>
        <v>60.5</v>
      </c>
    </row>
    <row r="5" spans="1:4" x14ac:dyDescent="0.2">
      <c r="A5">
        <v>0.5</v>
      </c>
      <c r="B5">
        <v>68.099999999999994</v>
      </c>
      <c r="C5">
        <v>66.400000000000006</v>
      </c>
      <c r="D5">
        <f t="shared" si="0"/>
        <v>67.25</v>
      </c>
    </row>
    <row r="6" spans="1:4" x14ac:dyDescent="0.2">
      <c r="A6">
        <v>0.75</v>
      </c>
      <c r="B6">
        <v>72.599999999999994</v>
      </c>
      <c r="C6">
        <v>71</v>
      </c>
      <c r="D6">
        <f t="shared" si="0"/>
        <v>71.8</v>
      </c>
    </row>
    <row r="7" spans="1:4" x14ac:dyDescent="0.2">
      <c r="A7">
        <v>1</v>
      </c>
      <c r="B7">
        <v>76.400000000000006</v>
      </c>
      <c r="C7">
        <v>74.8</v>
      </c>
      <c r="D7">
        <f t="shared" si="0"/>
        <v>75.599999999999994</v>
      </c>
    </row>
    <row r="8" spans="1:4" x14ac:dyDescent="0.2">
      <c r="A8">
        <v>1.5</v>
      </c>
      <c r="B8">
        <v>82.8</v>
      </c>
      <c r="C8">
        <v>81.8</v>
      </c>
      <c r="D8">
        <f t="shared" si="0"/>
        <v>82.3</v>
      </c>
    </row>
    <row r="9" spans="1:4" x14ac:dyDescent="0.2">
      <c r="A9">
        <v>2</v>
      </c>
      <c r="B9">
        <v>88.6</v>
      </c>
      <c r="C9">
        <v>87.7</v>
      </c>
      <c r="D9">
        <f t="shared" si="0"/>
        <v>88.15</v>
      </c>
    </row>
    <row r="10" spans="1:4" x14ac:dyDescent="0.2">
      <c r="A10">
        <v>2.5</v>
      </c>
      <c r="B10">
        <v>93.7</v>
      </c>
      <c r="C10">
        <v>92.5</v>
      </c>
      <c r="D10">
        <f t="shared" si="0"/>
        <v>93.1</v>
      </c>
    </row>
    <row r="11" spans="1:4" x14ac:dyDescent="0.2">
      <c r="A11">
        <v>3</v>
      </c>
      <c r="B11">
        <v>98.2</v>
      </c>
      <c r="C11">
        <v>97</v>
      </c>
      <c r="D11">
        <f t="shared" si="0"/>
        <v>97.6</v>
      </c>
    </row>
    <row r="12" spans="1:4" x14ac:dyDescent="0.2">
      <c r="A12">
        <v>3.5</v>
      </c>
      <c r="B12">
        <v>102</v>
      </c>
      <c r="C12">
        <v>101.1</v>
      </c>
      <c r="D12">
        <f t="shared" si="0"/>
        <v>101.55</v>
      </c>
    </row>
    <row r="13" spans="1:4" x14ac:dyDescent="0.2">
      <c r="A13">
        <v>4</v>
      </c>
      <c r="B13">
        <v>105.7</v>
      </c>
      <c r="C13">
        <v>104.8</v>
      </c>
      <c r="D13">
        <f t="shared" si="0"/>
        <v>105.25</v>
      </c>
    </row>
    <row r="14" spans="1:4" x14ac:dyDescent="0.2">
      <c r="A14">
        <v>4.5</v>
      </c>
      <c r="B14">
        <v>109.2</v>
      </c>
      <c r="C14">
        <v>108.4</v>
      </c>
      <c r="D14">
        <f t="shared" si="0"/>
        <v>108.80000000000001</v>
      </c>
    </row>
    <row r="15" spans="1:4" x14ac:dyDescent="0.2">
      <c r="A15">
        <v>5</v>
      </c>
      <c r="B15">
        <v>112.4</v>
      </c>
      <c r="C15">
        <v>111.9</v>
      </c>
      <c r="D15">
        <f t="shared" si="0"/>
        <v>112.15</v>
      </c>
    </row>
    <row r="16" spans="1:4" x14ac:dyDescent="0.2">
      <c r="A16">
        <v>5.5</v>
      </c>
      <c r="B16">
        <v>115.6</v>
      </c>
      <c r="C16">
        <v>115.1</v>
      </c>
      <c r="D16">
        <f t="shared" si="0"/>
        <v>115.35</v>
      </c>
    </row>
    <row r="17" spans="1:4" x14ac:dyDescent="0.2">
      <c r="A17">
        <v>6</v>
      </c>
      <c r="B17">
        <v>118.8</v>
      </c>
      <c r="C17">
        <v>118.3</v>
      </c>
      <c r="D17">
        <f t="shared" si="0"/>
        <v>118.55</v>
      </c>
    </row>
    <row r="18" spans="1:4" x14ac:dyDescent="0.2">
      <c r="A18">
        <v>6.5</v>
      </c>
      <c r="B18">
        <v>122</v>
      </c>
      <c r="C18">
        <v>121.4</v>
      </c>
      <c r="D18">
        <f t="shared" si="0"/>
        <v>121.7</v>
      </c>
    </row>
    <row r="19" spans="1:4" x14ac:dyDescent="0.2">
      <c r="A19">
        <v>7</v>
      </c>
      <c r="B19">
        <v>125</v>
      </c>
      <c r="C19">
        <v>124.4</v>
      </c>
      <c r="D19">
        <f t="shared" si="0"/>
        <v>124.7</v>
      </c>
    </row>
    <row r="20" spans="1:4" x14ac:dyDescent="0.2">
      <c r="A20">
        <v>7.5</v>
      </c>
      <c r="B20">
        <v>128</v>
      </c>
      <c r="C20">
        <v>127.4</v>
      </c>
      <c r="D20">
        <f t="shared" si="0"/>
        <v>127.7</v>
      </c>
    </row>
    <row r="21" spans="1:4" x14ac:dyDescent="0.2">
      <c r="A21">
        <v>8</v>
      </c>
      <c r="B21">
        <v>131</v>
      </c>
      <c r="C21">
        <v>130.4</v>
      </c>
      <c r="D21">
        <f t="shared" si="0"/>
        <v>130.69999999999999</v>
      </c>
    </row>
    <row r="22" spans="1:4" x14ac:dyDescent="0.2">
      <c r="A22">
        <v>8.5</v>
      </c>
      <c r="B22">
        <v>133.80000000000001</v>
      </c>
      <c r="C22">
        <v>133.19999999999999</v>
      </c>
      <c r="D22">
        <f t="shared" si="0"/>
        <v>133.5</v>
      </c>
    </row>
    <row r="23" spans="1:4" x14ac:dyDescent="0.2">
      <c r="A23">
        <v>9</v>
      </c>
      <c r="B23">
        <v>136.6</v>
      </c>
      <c r="C23">
        <v>135.80000000000001</v>
      </c>
      <c r="D23">
        <f t="shared" si="0"/>
        <v>136.19999999999999</v>
      </c>
    </row>
    <row r="24" spans="1:4" x14ac:dyDescent="0.2">
      <c r="A24">
        <v>9.5</v>
      </c>
      <c r="B24">
        <v>139.4</v>
      </c>
      <c r="C24">
        <v>138.6</v>
      </c>
      <c r="D24">
        <f t="shared" si="0"/>
        <v>139</v>
      </c>
    </row>
    <row r="25" spans="1:4" x14ac:dyDescent="0.2">
      <c r="A25">
        <v>10</v>
      </c>
      <c r="B25">
        <v>142.19999999999999</v>
      </c>
      <c r="C25">
        <v>141.4</v>
      </c>
      <c r="D25">
        <f t="shared" si="0"/>
        <v>141.80000000000001</v>
      </c>
    </row>
    <row r="26" spans="1:4" x14ac:dyDescent="0.2">
      <c r="A26">
        <v>10.5</v>
      </c>
      <c r="B26">
        <v>144.80000000000001</v>
      </c>
      <c r="C26">
        <v>144.19999999999999</v>
      </c>
      <c r="D26">
        <f t="shared" si="0"/>
        <v>144.5</v>
      </c>
    </row>
    <row r="27" spans="1:4" x14ac:dyDescent="0.2">
      <c r="A27">
        <v>11</v>
      </c>
      <c r="B27">
        <v>147.30000000000001</v>
      </c>
      <c r="C27">
        <v>147.19999999999999</v>
      </c>
      <c r="D27">
        <f t="shared" si="0"/>
        <v>147.25</v>
      </c>
    </row>
    <row r="28" spans="1:4" x14ac:dyDescent="0.2">
      <c r="A28">
        <v>11.5</v>
      </c>
      <c r="B28">
        <v>149.69999999999999</v>
      </c>
      <c r="C28">
        <v>150.6</v>
      </c>
      <c r="D28">
        <f t="shared" si="0"/>
        <v>150.14999999999998</v>
      </c>
    </row>
    <row r="29" spans="1:4" x14ac:dyDescent="0.2">
      <c r="A29">
        <v>12</v>
      </c>
      <c r="B29">
        <v>152.1</v>
      </c>
      <c r="C29">
        <v>154.4</v>
      </c>
      <c r="D29">
        <f t="shared" si="0"/>
        <v>153.25</v>
      </c>
    </row>
    <row r="30" spans="1:4" x14ac:dyDescent="0.2">
      <c r="A30">
        <v>12.5</v>
      </c>
      <c r="B30">
        <v>154.5</v>
      </c>
      <c r="C30">
        <v>158</v>
      </c>
      <c r="D30">
        <f t="shared" si="0"/>
        <v>156.25</v>
      </c>
    </row>
    <row r="31" spans="1:4" x14ac:dyDescent="0.2">
      <c r="A31">
        <v>13</v>
      </c>
      <c r="B31">
        <v>157.5</v>
      </c>
      <c r="C31">
        <v>160.6</v>
      </c>
      <c r="D31">
        <f t="shared" si="0"/>
        <v>159.05000000000001</v>
      </c>
    </row>
    <row r="32" spans="1:4" x14ac:dyDescent="0.2">
      <c r="A32">
        <v>13.5</v>
      </c>
      <c r="B32">
        <v>161.4</v>
      </c>
      <c r="C32">
        <v>162.5</v>
      </c>
      <c r="D32">
        <f t="shared" si="0"/>
        <v>161.94999999999999</v>
      </c>
    </row>
    <row r="33" spans="1:4" x14ac:dyDescent="0.2">
      <c r="A33">
        <v>14</v>
      </c>
      <c r="B33">
        <v>165.8</v>
      </c>
      <c r="C33">
        <v>164</v>
      </c>
      <c r="D33">
        <f t="shared" si="0"/>
        <v>164.9</v>
      </c>
    </row>
    <row r="34" spans="1:4" x14ac:dyDescent="0.2">
      <c r="A34">
        <v>14.5</v>
      </c>
      <c r="B34">
        <v>169.6</v>
      </c>
      <c r="C34">
        <v>165.3</v>
      </c>
      <c r="D34">
        <f t="shared" si="0"/>
        <v>167.45</v>
      </c>
    </row>
    <row r="35" spans="1:4" x14ac:dyDescent="0.2">
      <c r="A35">
        <v>15</v>
      </c>
      <c r="B35">
        <v>173.2</v>
      </c>
      <c r="C35">
        <v>166.4</v>
      </c>
      <c r="D35">
        <f t="shared" si="0"/>
        <v>169.8</v>
      </c>
    </row>
    <row r="36" spans="1:4" x14ac:dyDescent="0.2">
      <c r="A36">
        <v>15.5</v>
      </c>
      <c r="B36">
        <v>175.7</v>
      </c>
      <c r="C36">
        <v>167.3</v>
      </c>
      <c r="D36">
        <f t="shared" si="0"/>
        <v>171.5</v>
      </c>
    </row>
    <row r="37" spans="1:4" x14ac:dyDescent="0.2">
      <c r="A37">
        <v>16</v>
      </c>
      <c r="B37">
        <v>177.4</v>
      </c>
      <c r="C37">
        <v>167.7</v>
      </c>
      <c r="D37">
        <f t="shared" si="0"/>
        <v>172.55</v>
      </c>
    </row>
    <row r="38" spans="1:4" x14ac:dyDescent="0.2">
      <c r="A38">
        <v>16.5</v>
      </c>
      <c r="B38">
        <v>178.6</v>
      </c>
      <c r="C38">
        <v>167.9</v>
      </c>
      <c r="D38">
        <f t="shared" si="0"/>
        <v>173.25</v>
      </c>
    </row>
    <row r="39" spans="1:4" x14ac:dyDescent="0.2">
      <c r="A39">
        <v>17</v>
      </c>
      <c r="B39">
        <v>179.6</v>
      </c>
      <c r="C39">
        <v>168</v>
      </c>
      <c r="D39">
        <f t="shared" si="0"/>
        <v>173.8</v>
      </c>
    </row>
    <row r="40" spans="1:4" x14ac:dyDescent="0.2">
      <c r="A40">
        <v>17.5</v>
      </c>
      <c r="B40">
        <v>180.3</v>
      </c>
      <c r="C40">
        <v>168.1</v>
      </c>
      <c r="D40">
        <f t="shared" si="0"/>
        <v>174.2</v>
      </c>
    </row>
    <row r="41" spans="1:4" x14ac:dyDescent="0.2">
      <c r="A41">
        <v>18</v>
      </c>
      <c r="B41">
        <v>180.9</v>
      </c>
      <c r="C41">
        <v>168.2</v>
      </c>
      <c r="D41">
        <f t="shared" si="0"/>
        <v>174.55</v>
      </c>
    </row>
    <row r="42" spans="1:4" x14ac:dyDescent="0.2">
      <c r="A42">
        <v>18.5</v>
      </c>
      <c r="B42">
        <v>181.4</v>
      </c>
      <c r="C42">
        <v>168.3</v>
      </c>
      <c r="D42">
        <f t="shared" si="0"/>
        <v>174.85000000000002</v>
      </c>
    </row>
    <row r="43" spans="1:4" x14ac:dyDescent="0.2">
      <c r="A43">
        <v>19</v>
      </c>
      <c r="B43">
        <v>181.8</v>
      </c>
      <c r="C43">
        <v>168.3</v>
      </c>
      <c r="D43">
        <f t="shared" si="0"/>
        <v>175.05</v>
      </c>
    </row>
    <row r="44" spans="1:4" x14ac:dyDescent="0.2">
      <c r="A44">
        <v>19.5</v>
      </c>
      <c r="B44">
        <v>182</v>
      </c>
      <c r="C44">
        <v>168.3</v>
      </c>
      <c r="D44">
        <f t="shared" si="0"/>
        <v>175.15</v>
      </c>
    </row>
    <row r="45" spans="1:4" x14ac:dyDescent="0.2">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75" x14ac:dyDescent="0.2"/>
  <cols>
    <col min="2" max="2" width="8.28515625" customWidth="1"/>
    <col min="3" max="3" width="10.7109375" customWidth="1"/>
  </cols>
  <sheetData>
    <row r="1" spans="1:20" ht="25.5" x14ac:dyDescent="0.2">
      <c r="A1" s="37" t="s">
        <v>176</v>
      </c>
      <c r="B1" s="37" t="s">
        <v>176</v>
      </c>
      <c r="C1" s="37" t="s">
        <v>177</v>
      </c>
      <c r="I1" t="s">
        <v>178</v>
      </c>
      <c r="P1" t="s">
        <v>179</v>
      </c>
    </row>
    <row r="2" spans="1:20" x14ac:dyDescent="0.2">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2">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2">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2">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2">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2">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2">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2">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2">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2">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2">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2">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2">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2">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2">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2">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2">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2">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2">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2">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2">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2">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2">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2">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2">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2">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2">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2">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2">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2">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2">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2">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2">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2">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2">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2">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2">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2">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2">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2">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2">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2">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2">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2">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2">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2">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2">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2">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RowHeight="12.75" x14ac:dyDescent="0.2"/>
  <cols>
    <col min="1" max="1" width="9.140625" style="80"/>
    <col min="2" max="2" width="10.28515625" style="11" customWidth="1"/>
    <col min="3" max="3" width="19.7109375" style="80" customWidth="1"/>
    <col min="4" max="5" width="17.7109375" style="80" customWidth="1"/>
    <col min="6" max="7" width="18.7109375" style="80" customWidth="1"/>
    <col min="8" max="16384" width="9.140625" style="80"/>
  </cols>
  <sheetData>
    <row r="1" spans="2:25 4305:4305" x14ac:dyDescent="0.2">
      <c r="J1" s="274"/>
      <c r="K1" s="274"/>
      <c r="L1" s="200"/>
      <c r="M1" s="200"/>
      <c r="N1" s="200"/>
      <c r="O1" s="200"/>
      <c r="P1" s="200"/>
      <c r="Q1" s="200"/>
      <c r="R1" s="200"/>
      <c r="S1" s="200"/>
      <c r="T1" s="200"/>
      <c r="U1" s="200"/>
      <c r="V1" s="200"/>
      <c r="W1" s="274"/>
      <c r="X1" s="274"/>
      <c r="Y1" s="274"/>
    </row>
    <row r="2" spans="2:25 4305:4305" ht="15" customHeight="1" x14ac:dyDescent="0.2">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2">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2">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2">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2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2">
      <c r="B7" s="252" t="s">
        <v>3105</v>
      </c>
      <c r="C7" s="267" t="s">
        <v>594</v>
      </c>
      <c r="D7" s="268" t="str">
        <f ca="1">"Maat: "&amp;VLOOKUP(C5,L2:N20,3)&amp;", Lengte: "&amp;IF(C5&gt;1,ROUND((C5/2+15)/2,0)*2,IF(C5=0,12,15))&amp;" cm"&amp;" nasaal, "&amp;ROUND((C5/2+12)/2,0)*2&amp;" cm oraal"</f>
        <v>Maat: 5, Lengte: 16 cm nasaal, 14 cm oraal</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2">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2">
      <c r="B9" s="252"/>
      <c r="C9" s="251" t="s">
        <v>1295</v>
      </c>
      <c r="D9" s="82" t="str">
        <f ca="1">IF(OR(ROUND(0.01*(E5),2)&gt;1,C5&gt;=18),"1 mg iv",ROUND(0.01*(E5),2)&amp;" mg iv")</f>
        <v>0,1 mg iv</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2">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2">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2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2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2">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2">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2">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2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2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2">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2">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2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2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2">
      <c r="B23" s="252" t="s">
        <v>2678</v>
      </c>
      <c r="C23" s="267" t="str">
        <f ca="1">IF(C5=0,"alprostadil (Prostin)","")</f>
        <v/>
      </c>
      <c r="D23" s="268" t="str">
        <f ca="1">IF(C5=0,"0,5 mg in 50 ml FZ","")</f>
        <v/>
      </c>
      <c r="E23" s="269" t="str">
        <f ca="1">IF(C5=0,"1 ml/uur = "&amp;ROUND(1000*(0.5/50)*24/(E5)/1.44,0)&amp;" nanog/kg/min iv","")</f>
        <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2">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2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2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2">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2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2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2">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2">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2">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2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2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 customHeight="1" x14ac:dyDescent="0.2">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 customHeight="1" thickBot="1" x14ac:dyDescent="0.2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 customHeight="1" thickBot="1" x14ac:dyDescent="0.2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 customHeight="1" x14ac:dyDescent="0.2">
      <c r="B38" s="252" t="s">
        <v>1173</v>
      </c>
      <c r="C38" s="381" t="s">
        <v>2978</v>
      </c>
      <c r="D38" s="268" t="str">
        <f ca="1">"AMV "&amp;ROUND(E5*8*VLOOKUP(C5,L2:M20,2)/1000,1)&amp;" L/min"</f>
        <v>AMV 2 L/min</v>
      </c>
      <c r="E38" s="269"/>
      <c r="F38" s="268" t="s">
        <v>1174</v>
      </c>
      <c r="G38" s="269"/>
      <c r="H38" s="81"/>
      <c r="I38" s="81"/>
      <c r="L38" s="200"/>
      <c r="M38" s="200"/>
      <c r="N38" s="200"/>
      <c r="O38" s="200"/>
      <c r="P38" s="200"/>
      <c r="Q38" s="200"/>
      <c r="R38" s="200"/>
      <c r="S38" s="200"/>
      <c r="T38" s="200"/>
      <c r="U38" s="200"/>
      <c r="V38" s="200"/>
      <c r="W38" s="274"/>
      <c r="X38" s="274"/>
      <c r="Y38" s="274"/>
    </row>
    <row r="39" spans="2:25" ht="19.5" customHeight="1" x14ac:dyDescent="0.2">
      <c r="B39" s="252"/>
      <c r="C39" s="84"/>
      <c r="D39" s="82" t="str">
        <f ca="1">"frequentie "&amp;VLOOKUP(C5,L2:M20,2)&amp;"/min"</f>
        <v>frequentie 25/min</v>
      </c>
      <c r="E39" s="81"/>
      <c r="F39" s="82" t="s">
        <v>1175</v>
      </c>
      <c r="G39" s="81"/>
      <c r="H39" s="81"/>
      <c r="I39" s="81"/>
      <c r="L39" s="200"/>
      <c r="M39" s="200"/>
      <c r="N39" s="200"/>
      <c r="O39" s="200"/>
      <c r="P39" s="200"/>
      <c r="Q39" s="200"/>
      <c r="R39" s="200"/>
      <c r="S39" s="200">
        <v>37</v>
      </c>
      <c r="T39" s="200">
        <v>50</v>
      </c>
      <c r="U39" s="200"/>
      <c r="V39" s="200"/>
      <c r="W39" s="274"/>
      <c r="X39" s="274"/>
      <c r="Y39" s="274"/>
    </row>
    <row r="40" spans="2:25" ht="19.5" customHeight="1" x14ac:dyDescent="0.2">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 customHeight="1" x14ac:dyDescent="0.2">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 customHeight="1" thickBot="1" x14ac:dyDescent="0.2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 customHeight="1" x14ac:dyDescent="0.2">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 customHeight="1" x14ac:dyDescent="0.2">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 customHeight="1" x14ac:dyDescent="0.2">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 customHeight="1" x14ac:dyDescent="0.2">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2">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2">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2">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2">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2">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2">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2">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2">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2">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2">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2">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2">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2">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2">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2">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2">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2">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2">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2">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2">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2">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2">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2">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2">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2">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2">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2">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2">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2">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2">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2">
      <c r="H77" s="81"/>
      <c r="I77" s="81"/>
      <c r="L77" s="200"/>
      <c r="M77" s="200"/>
      <c r="N77" s="200"/>
      <c r="O77" s="200"/>
      <c r="P77" s="200"/>
      <c r="Q77" s="200"/>
      <c r="R77" s="200"/>
      <c r="S77" s="200">
        <v>75</v>
      </c>
      <c r="T77" s="200">
        <v>100</v>
      </c>
      <c r="U77" s="200"/>
      <c r="V77" s="200"/>
      <c r="W77" s="274"/>
      <c r="X77" s="274"/>
      <c r="Y77" s="274"/>
    </row>
    <row r="78" spans="2:25" x14ac:dyDescent="0.2">
      <c r="L78" s="200"/>
      <c r="M78" s="200"/>
      <c r="N78" s="200"/>
      <c r="O78" s="200"/>
      <c r="P78" s="200"/>
      <c r="Q78" s="200"/>
      <c r="R78" s="200"/>
      <c r="S78" s="200">
        <v>76</v>
      </c>
      <c r="T78" s="200">
        <v>100</v>
      </c>
      <c r="U78" s="200"/>
      <c r="V78" s="200"/>
      <c r="W78" s="274"/>
      <c r="X78" s="274"/>
      <c r="Y78" s="274"/>
    </row>
    <row r="79" spans="2:25" x14ac:dyDescent="0.2">
      <c r="L79" s="200"/>
      <c r="M79" s="200"/>
      <c r="N79" s="200"/>
      <c r="O79" s="200"/>
      <c r="P79" s="200"/>
      <c r="Q79" s="200"/>
      <c r="R79" s="200"/>
      <c r="S79" s="200">
        <v>77</v>
      </c>
      <c r="T79" s="200">
        <v>100</v>
      </c>
      <c r="U79" s="200"/>
      <c r="V79" s="200"/>
      <c r="W79" s="274"/>
      <c r="X79" s="274"/>
      <c r="Y79" s="274"/>
    </row>
    <row r="80" spans="2:25" x14ac:dyDescent="0.2">
      <c r="L80" s="200"/>
      <c r="M80" s="200"/>
      <c r="N80" s="200"/>
      <c r="O80" s="200"/>
      <c r="P80" s="200"/>
      <c r="Q80" s="200"/>
      <c r="R80" s="200"/>
      <c r="S80" s="200">
        <v>78</v>
      </c>
      <c r="T80" s="200">
        <v>100</v>
      </c>
      <c r="U80" s="200"/>
      <c r="V80" s="200"/>
      <c r="W80" s="274"/>
      <c r="X80" s="274"/>
      <c r="Y80" s="274"/>
    </row>
    <row r="81" spans="12:25" x14ac:dyDescent="0.2">
      <c r="L81" s="200"/>
      <c r="M81" s="200"/>
      <c r="N81" s="200"/>
      <c r="O81" s="200"/>
      <c r="P81" s="200"/>
      <c r="Q81" s="200"/>
      <c r="R81" s="200"/>
      <c r="S81" s="200">
        <v>79</v>
      </c>
      <c r="T81" s="200">
        <v>100</v>
      </c>
      <c r="U81" s="200"/>
      <c r="V81" s="200"/>
      <c r="W81" s="274"/>
      <c r="X81" s="274"/>
      <c r="Y81" s="274"/>
    </row>
    <row r="82" spans="12:25" x14ac:dyDescent="0.2">
      <c r="L82" s="200"/>
      <c r="M82" s="200"/>
      <c r="N82" s="200"/>
      <c r="O82" s="200"/>
      <c r="P82" s="200"/>
      <c r="Q82" s="200"/>
      <c r="R82" s="200"/>
      <c r="S82" s="200">
        <v>80</v>
      </c>
      <c r="T82" s="200">
        <v>100</v>
      </c>
      <c r="U82" s="200"/>
      <c r="V82" s="200"/>
      <c r="W82" s="274"/>
      <c r="X82" s="274"/>
      <c r="Y82" s="274"/>
    </row>
    <row r="83" spans="12:25" x14ac:dyDescent="0.2">
      <c r="L83" s="200"/>
      <c r="M83" s="200"/>
      <c r="N83" s="200"/>
      <c r="O83" s="200"/>
      <c r="P83" s="200"/>
      <c r="Q83" s="200"/>
      <c r="R83" s="200"/>
      <c r="S83" s="200">
        <v>81</v>
      </c>
      <c r="T83" s="200">
        <v>100</v>
      </c>
      <c r="U83" s="200"/>
      <c r="V83" s="200"/>
      <c r="W83" s="274"/>
      <c r="X83" s="274"/>
      <c r="Y83" s="274"/>
    </row>
    <row r="84" spans="12:25" x14ac:dyDescent="0.2">
      <c r="L84" s="200"/>
      <c r="M84" s="200"/>
      <c r="N84" s="200"/>
      <c r="O84" s="200"/>
      <c r="P84" s="200"/>
      <c r="Q84" s="200"/>
      <c r="R84" s="200"/>
      <c r="S84" s="200">
        <v>82</v>
      </c>
      <c r="T84" s="200">
        <v>100</v>
      </c>
      <c r="U84" s="200"/>
      <c r="V84" s="200"/>
      <c r="W84" s="274"/>
      <c r="X84" s="274"/>
      <c r="Y84" s="274"/>
    </row>
    <row r="85" spans="12:25" x14ac:dyDescent="0.2">
      <c r="L85" s="200"/>
      <c r="M85" s="200"/>
      <c r="N85" s="200"/>
      <c r="O85" s="200"/>
      <c r="P85" s="200"/>
      <c r="Q85" s="200"/>
      <c r="R85" s="200"/>
      <c r="S85" s="200">
        <v>83</v>
      </c>
      <c r="T85" s="200">
        <v>100</v>
      </c>
      <c r="U85" s="200"/>
      <c r="V85" s="200"/>
      <c r="W85" s="274"/>
      <c r="X85" s="274"/>
      <c r="Y85" s="274"/>
    </row>
    <row r="86" spans="12:25" x14ac:dyDescent="0.2">
      <c r="L86" s="200"/>
      <c r="M86" s="200"/>
      <c r="N86" s="200"/>
      <c r="O86" s="200"/>
      <c r="P86" s="200"/>
      <c r="Q86" s="200"/>
      <c r="R86" s="200"/>
      <c r="S86" s="200">
        <v>84</v>
      </c>
      <c r="T86" s="200">
        <v>100</v>
      </c>
      <c r="U86" s="200"/>
      <c r="V86" s="200"/>
      <c r="W86" s="274"/>
      <c r="X86" s="274"/>
      <c r="Y86" s="274"/>
    </row>
    <row r="87" spans="12:25" x14ac:dyDescent="0.2">
      <c r="L87" s="200"/>
      <c r="M87" s="200"/>
      <c r="N87" s="200"/>
      <c r="O87" s="200"/>
      <c r="P87" s="200"/>
      <c r="Q87" s="200"/>
      <c r="R87" s="200"/>
      <c r="S87" s="200">
        <v>85</v>
      </c>
      <c r="T87" s="200">
        <v>100</v>
      </c>
      <c r="U87" s="200"/>
      <c r="V87" s="200"/>
      <c r="W87" s="274"/>
      <c r="X87" s="274"/>
      <c r="Y87" s="274"/>
    </row>
    <row r="88" spans="12:25" x14ac:dyDescent="0.2">
      <c r="L88" s="200"/>
      <c r="M88" s="200"/>
      <c r="N88" s="200"/>
      <c r="O88" s="200"/>
      <c r="P88" s="200"/>
      <c r="Q88" s="200"/>
      <c r="R88" s="200"/>
      <c r="S88" s="200">
        <v>86</v>
      </c>
      <c r="T88" s="200">
        <v>100</v>
      </c>
      <c r="U88" s="200"/>
      <c r="V88" s="200"/>
      <c r="W88" s="274"/>
      <c r="X88" s="274"/>
      <c r="Y88" s="274"/>
    </row>
    <row r="89" spans="12:25" x14ac:dyDescent="0.2">
      <c r="L89" s="200"/>
      <c r="M89" s="200"/>
      <c r="N89" s="200"/>
      <c r="O89" s="200"/>
      <c r="P89" s="200"/>
      <c r="Q89" s="200"/>
      <c r="R89" s="200"/>
      <c r="S89" s="200">
        <v>87</v>
      </c>
      <c r="T89" s="200">
        <v>100</v>
      </c>
      <c r="U89" s="200"/>
      <c r="V89" s="200"/>
      <c r="W89" s="274"/>
      <c r="X89" s="274"/>
      <c r="Y89" s="274"/>
    </row>
    <row r="90" spans="12:25" x14ac:dyDescent="0.2">
      <c r="L90" s="200"/>
      <c r="M90" s="200"/>
      <c r="N90" s="200"/>
      <c r="O90" s="200"/>
      <c r="P90" s="200"/>
      <c r="Q90" s="200"/>
      <c r="R90" s="200"/>
      <c r="S90" s="200">
        <v>88</v>
      </c>
      <c r="T90" s="200">
        <v>100</v>
      </c>
      <c r="U90" s="200"/>
      <c r="V90" s="200"/>
      <c r="W90" s="274"/>
      <c r="X90" s="274"/>
      <c r="Y90" s="274"/>
    </row>
    <row r="91" spans="12:25" x14ac:dyDescent="0.2">
      <c r="L91" s="200"/>
      <c r="M91" s="200"/>
      <c r="N91" s="200"/>
      <c r="O91" s="200"/>
      <c r="P91" s="200"/>
      <c r="Q91" s="200"/>
      <c r="R91" s="200"/>
      <c r="S91" s="200">
        <v>89</v>
      </c>
      <c r="T91" s="200">
        <v>100</v>
      </c>
      <c r="U91" s="200"/>
      <c r="V91" s="200"/>
      <c r="W91" s="274"/>
      <c r="X91" s="274"/>
      <c r="Y91" s="274"/>
    </row>
    <row r="92" spans="12:25" x14ac:dyDescent="0.2">
      <c r="L92" s="200"/>
      <c r="M92" s="200"/>
      <c r="N92" s="200"/>
      <c r="O92" s="200"/>
      <c r="P92" s="200"/>
      <c r="Q92" s="200"/>
      <c r="R92" s="200"/>
      <c r="S92" s="200">
        <v>90</v>
      </c>
      <c r="T92" s="200">
        <v>100</v>
      </c>
      <c r="U92" s="200"/>
      <c r="V92" s="200"/>
      <c r="W92" s="274"/>
      <c r="X92" s="274"/>
      <c r="Y92" s="274"/>
    </row>
    <row r="93" spans="12:25" x14ac:dyDescent="0.2">
      <c r="L93" s="200"/>
      <c r="M93" s="200"/>
      <c r="N93" s="200"/>
      <c r="O93" s="200"/>
      <c r="P93" s="200"/>
      <c r="Q93" s="200"/>
      <c r="R93" s="200"/>
      <c r="S93" s="200">
        <v>91</v>
      </c>
      <c r="T93" s="200">
        <v>100</v>
      </c>
      <c r="U93" s="200"/>
      <c r="V93" s="200"/>
      <c r="W93" s="274"/>
      <c r="X93" s="274"/>
      <c r="Y93" s="274"/>
    </row>
    <row r="94" spans="12:25" x14ac:dyDescent="0.2">
      <c r="L94" s="200"/>
      <c r="M94" s="200"/>
      <c r="N94" s="200"/>
      <c r="O94" s="200"/>
      <c r="P94" s="200"/>
      <c r="Q94" s="200"/>
      <c r="R94" s="200"/>
      <c r="S94" s="200">
        <v>92</v>
      </c>
      <c r="T94" s="200">
        <v>100</v>
      </c>
      <c r="U94" s="200"/>
      <c r="V94" s="200"/>
      <c r="W94" s="274"/>
      <c r="X94" s="274"/>
      <c r="Y94" s="274"/>
    </row>
    <row r="95" spans="12:25" x14ac:dyDescent="0.2">
      <c r="L95" s="200"/>
      <c r="M95" s="200"/>
      <c r="N95" s="200"/>
      <c r="O95" s="200"/>
      <c r="P95" s="200"/>
      <c r="Q95" s="200"/>
      <c r="R95" s="200"/>
      <c r="S95" s="200">
        <v>93</v>
      </c>
      <c r="T95" s="200">
        <v>100</v>
      </c>
      <c r="U95" s="200"/>
      <c r="V95" s="200"/>
      <c r="W95" s="274"/>
      <c r="X95" s="274"/>
      <c r="Y95" s="274"/>
    </row>
    <row r="96" spans="12:25" x14ac:dyDescent="0.2">
      <c r="L96" s="200"/>
      <c r="M96" s="200"/>
      <c r="N96" s="200"/>
      <c r="O96" s="200"/>
      <c r="P96" s="200"/>
      <c r="Q96" s="200"/>
      <c r="R96" s="200"/>
      <c r="S96" s="200">
        <v>94</v>
      </c>
      <c r="T96" s="200">
        <v>100</v>
      </c>
      <c r="U96" s="200"/>
      <c r="V96" s="200"/>
      <c r="W96" s="274"/>
      <c r="X96" s="274"/>
      <c r="Y96" s="274"/>
    </row>
    <row r="97" spans="12:25" x14ac:dyDescent="0.2">
      <c r="L97" s="200"/>
      <c r="M97" s="200"/>
      <c r="N97" s="200"/>
      <c r="O97" s="200"/>
      <c r="P97" s="200"/>
      <c r="Q97" s="200"/>
      <c r="R97" s="200"/>
      <c r="S97" s="200">
        <v>95</v>
      </c>
      <c r="T97" s="200">
        <v>100</v>
      </c>
      <c r="U97" s="200"/>
      <c r="V97" s="200"/>
      <c r="W97" s="274"/>
      <c r="X97" s="274"/>
      <c r="Y97" s="274"/>
    </row>
    <row r="98" spans="12:25" x14ac:dyDescent="0.2">
      <c r="L98" s="200"/>
      <c r="M98" s="200"/>
      <c r="N98" s="200"/>
      <c r="O98" s="200"/>
      <c r="P98" s="200"/>
      <c r="Q98" s="200"/>
      <c r="R98" s="200"/>
      <c r="S98" s="200">
        <v>96</v>
      </c>
      <c r="T98" s="200">
        <v>100</v>
      </c>
      <c r="U98" s="200"/>
      <c r="V98" s="200"/>
      <c r="W98" s="274"/>
      <c r="X98" s="274"/>
      <c r="Y98" s="274"/>
    </row>
    <row r="99" spans="12:25" x14ac:dyDescent="0.2">
      <c r="L99" s="200"/>
      <c r="M99" s="200"/>
      <c r="N99" s="200"/>
      <c r="O99" s="200"/>
      <c r="P99" s="200"/>
      <c r="Q99" s="200"/>
      <c r="R99" s="200"/>
      <c r="S99" s="200">
        <v>97</v>
      </c>
      <c r="T99" s="200">
        <v>100</v>
      </c>
      <c r="U99" s="200"/>
      <c r="V99" s="200"/>
      <c r="W99" s="274"/>
      <c r="X99" s="274"/>
      <c r="Y99" s="274"/>
    </row>
    <row r="100" spans="12:25" x14ac:dyDescent="0.2">
      <c r="L100" s="200"/>
      <c r="M100" s="200"/>
      <c r="N100" s="200"/>
      <c r="O100" s="200"/>
      <c r="P100" s="200"/>
      <c r="Q100" s="200"/>
      <c r="R100" s="200"/>
      <c r="S100" s="200">
        <v>98</v>
      </c>
      <c r="T100" s="200">
        <v>100</v>
      </c>
      <c r="U100" s="200"/>
      <c r="V100" s="200"/>
      <c r="W100" s="274"/>
      <c r="X100" s="274"/>
      <c r="Y100" s="274"/>
    </row>
    <row r="101" spans="12:25" x14ac:dyDescent="0.2">
      <c r="L101" s="200"/>
      <c r="M101" s="200"/>
      <c r="N101" s="200"/>
      <c r="O101" s="200"/>
      <c r="P101" s="200"/>
      <c r="Q101" s="200"/>
      <c r="R101" s="200"/>
      <c r="S101" s="200">
        <v>99</v>
      </c>
      <c r="T101" s="200">
        <v>100</v>
      </c>
      <c r="U101" s="200"/>
      <c r="V101" s="200"/>
      <c r="W101" s="274"/>
      <c r="X101" s="274"/>
      <c r="Y101" s="274"/>
    </row>
    <row r="102" spans="12:25" x14ac:dyDescent="0.2">
      <c r="L102" s="200"/>
      <c r="M102" s="200"/>
      <c r="N102" s="200"/>
      <c r="O102" s="200"/>
      <c r="P102" s="200"/>
      <c r="Q102" s="200"/>
      <c r="R102" s="200"/>
      <c r="S102" s="200">
        <v>100</v>
      </c>
      <c r="T102" s="200">
        <v>100</v>
      </c>
      <c r="U102" s="200">
        <v>100</v>
      </c>
      <c r="V102" s="200"/>
      <c r="W102" s="274"/>
      <c r="X102" s="274"/>
      <c r="Y102" s="274"/>
    </row>
    <row r="103" spans="12:25" x14ac:dyDescent="0.2">
      <c r="L103" s="200"/>
      <c r="M103" s="200"/>
      <c r="N103" s="200"/>
      <c r="O103" s="200"/>
      <c r="P103" s="200"/>
      <c r="Q103" s="200"/>
      <c r="R103" s="200"/>
      <c r="S103" s="200">
        <v>101</v>
      </c>
      <c r="T103" s="200">
        <v>150</v>
      </c>
      <c r="U103" s="200"/>
      <c r="V103" s="200"/>
      <c r="W103" s="274"/>
      <c r="X103" s="274"/>
      <c r="Y103" s="274"/>
    </row>
    <row r="104" spans="12:25" x14ac:dyDescent="0.2">
      <c r="L104" s="200"/>
      <c r="M104" s="200"/>
      <c r="N104" s="200"/>
      <c r="O104" s="200"/>
      <c r="P104" s="200"/>
      <c r="Q104" s="200"/>
      <c r="R104" s="200"/>
      <c r="S104" s="200">
        <v>102</v>
      </c>
      <c r="T104" s="200">
        <v>150</v>
      </c>
      <c r="U104" s="200"/>
      <c r="V104" s="200"/>
      <c r="W104" s="274"/>
      <c r="X104" s="274"/>
      <c r="Y104" s="274"/>
    </row>
    <row r="105" spans="12:25" x14ac:dyDescent="0.2">
      <c r="L105" s="200"/>
      <c r="M105" s="200"/>
      <c r="N105" s="200"/>
      <c r="O105" s="200"/>
      <c r="P105" s="200"/>
      <c r="Q105" s="200"/>
      <c r="R105" s="200"/>
      <c r="S105" s="200">
        <v>103</v>
      </c>
      <c r="T105" s="200">
        <v>150</v>
      </c>
      <c r="U105" s="200"/>
      <c r="V105" s="200"/>
      <c r="W105" s="274"/>
      <c r="X105" s="274"/>
      <c r="Y105" s="274"/>
    </row>
    <row r="106" spans="12:25" x14ac:dyDescent="0.2">
      <c r="L106" s="200"/>
      <c r="M106" s="200"/>
      <c r="N106" s="200"/>
      <c r="O106" s="200"/>
      <c r="P106" s="200"/>
      <c r="Q106" s="200"/>
      <c r="R106" s="200"/>
      <c r="S106" s="200">
        <v>104</v>
      </c>
      <c r="T106" s="200">
        <v>150</v>
      </c>
      <c r="U106" s="200"/>
      <c r="V106" s="200"/>
      <c r="W106" s="274"/>
      <c r="X106" s="274"/>
      <c r="Y106" s="274"/>
    </row>
    <row r="107" spans="12:25" x14ac:dyDescent="0.2">
      <c r="L107" s="200"/>
      <c r="M107" s="200"/>
      <c r="N107" s="200"/>
      <c r="O107" s="200"/>
      <c r="P107" s="200"/>
      <c r="Q107" s="200"/>
      <c r="R107" s="200"/>
      <c r="S107" s="200">
        <v>105</v>
      </c>
      <c r="T107" s="200">
        <v>150</v>
      </c>
      <c r="U107" s="200"/>
      <c r="V107" s="200"/>
      <c r="W107" s="274"/>
      <c r="X107" s="274"/>
      <c r="Y107" s="274"/>
    </row>
    <row r="108" spans="12:25" x14ac:dyDescent="0.2">
      <c r="L108" s="200"/>
      <c r="M108" s="200"/>
      <c r="N108" s="200"/>
      <c r="O108" s="200"/>
      <c r="P108" s="200"/>
      <c r="Q108" s="200"/>
      <c r="R108" s="200"/>
      <c r="S108" s="200">
        <v>106</v>
      </c>
      <c r="T108" s="200">
        <v>150</v>
      </c>
      <c r="U108" s="200"/>
      <c r="V108" s="200"/>
      <c r="W108" s="274"/>
      <c r="X108" s="274"/>
      <c r="Y108" s="274"/>
    </row>
    <row r="109" spans="12:25" x14ac:dyDescent="0.2">
      <c r="L109" s="200"/>
      <c r="M109" s="200"/>
      <c r="N109" s="200"/>
      <c r="O109" s="200"/>
      <c r="P109" s="200"/>
      <c r="Q109" s="200"/>
      <c r="R109" s="200"/>
      <c r="S109" s="200">
        <v>107</v>
      </c>
      <c r="T109" s="200">
        <v>150</v>
      </c>
      <c r="U109" s="200"/>
      <c r="V109" s="200"/>
      <c r="W109" s="274"/>
      <c r="X109" s="274"/>
      <c r="Y109" s="274"/>
    </row>
    <row r="110" spans="12:25" x14ac:dyDescent="0.2">
      <c r="L110" s="200"/>
      <c r="M110" s="200"/>
      <c r="N110" s="200"/>
      <c r="O110" s="200"/>
      <c r="P110" s="200"/>
      <c r="Q110" s="200"/>
      <c r="R110" s="200"/>
      <c r="S110" s="200">
        <v>108</v>
      </c>
      <c r="T110" s="200">
        <v>150</v>
      </c>
      <c r="U110" s="200"/>
      <c r="V110" s="200"/>
      <c r="W110" s="274"/>
      <c r="X110" s="274"/>
      <c r="Y110" s="274"/>
    </row>
    <row r="111" spans="12:25" x14ac:dyDescent="0.2">
      <c r="L111" s="200"/>
      <c r="M111" s="200"/>
      <c r="N111" s="200"/>
      <c r="O111" s="200"/>
      <c r="P111" s="200"/>
      <c r="Q111" s="200"/>
      <c r="R111" s="200"/>
      <c r="S111" s="200">
        <v>109</v>
      </c>
      <c r="T111" s="200">
        <v>150</v>
      </c>
      <c r="U111" s="200"/>
      <c r="V111" s="200"/>
      <c r="W111" s="274"/>
      <c r="X111" s="274"/>
      <c r="Y111" s="274"/>
    </row>
    <row r="112" spans="12:25" x14ac:dyDescent="0.2">
      <c r="L112" s="200"/>
      <c r="M112" s="200"/>
      <c r="N112" s="200"/>
      <c r="O112" s="200"/>
      <c r="P112" s="200"/>
      <c r="Q112" s="200"/>
      <c r="R112" s="200"/>
      <c r="S112" s="200">
        <v>110</v>
      </c>
      <c r="T112" s="200">
        <v>150</v>
      </c>
      <c r="U112" s="200"/>
      <c r="V112" s="200"/>
      <c r="W112" s="274"/>
      <c r="X112" s="274"/>
      <c r="Y112" s="274"/>
    </row>
    <row r="113" spans="12:25" x14ac:dyDescent="0.2">
      <c r="L113" s="200"/>
      <c r="M113" s="200"/>
      <c r="N113" s="200"/>
      <c r="O113" s="200"/>
      <c r="P113" s="200"/>
      <c r="Q113" s="200"/>
      <c r="R113" s="200"/>
      <c r="S113" s="200">
        <v>111</v>
      </c>
      <c r="T113" s="200">
        <v>150</v>
      </c>
      <c r="U113" s="200"/>
      <c r="V113" s="200"/>
      <c r="W113" s="274"/>
      <c r="X113" s="274"/>
      <c r="Y113" s="274"/>
    </row>
    <row r="114" spans="12:25" x14ac:dyDescent="0.2">
      <c r="L114" s="200"/>
      <c r="M114" s="200"/>
      <c r="N114" s="200"/>
      <c r="O114" s="200"/>
      <c r="P114" s="200"/>
      <c r="Q114" s="200"/>
      <c r="R114" s="200"/>
      <c r="S114" s="200">
        <v>112</v>
      </c>
      <c r="T114" s="200">
        <v>150</v>
      </c>
      <c r="U114" s="200"/>
      <c r="V114" s="200"/>
      <c r="W114" s="274"/>
      <c r="X114" s="274"/>
      <c r="Y114" s="274"/>
    </row>
    <row r="115" spans="12:25" x14ac:dyDescent="0.2">
      <c r="L115" s="200"/>
      <c r="M115" s="200"/>
      <c r="N115" s="200"/>
      <c r="O115" s="200"/>
      <c r="P115" s="200"/>
      <c r="Q115" s="200"/>
      <c r="R115" s="200"/>
      <c r="S115" s="200">
        <v>113</v>
      </c>
      <c r="T115" s="200">
        <v>150</v>
      </c>
      <c r="U115" s="200"/>
      <c r="V115" s="200"/>
      <c r="W115" s="274"/>
      <c r="X115" s="274"/>
      <c r="Y115" s="274"/>
    </row>
    <row r="116" spans="12:25" x14ac:dyDescent="0.2">
      <c r="L116" s="200"/>
      <c r="M116" s="200"/>
      <c r="N116" s="200"/>
      <c r="O116" s="200"/>
      <c r="P116" s="200"/>
      <c r="Q116" s="200"/>
      <c r="R116" s="200"/>
      <c r="S116" s="200">
        <v>114</v>
      </c>
      <c r="T116" s="200">
        <v>150</v>
      </c>
      <c r="U116" s="200"/>
      <c r="V116" s="200"/>
      <c r="W116" s="274"/>
      <c r="X116" s="274"/>
      <c r="Y116" s="274"/>
    </row>
    <row r="117" spans="12:25" x14ac:dyDescent="0.2">
      <c r="L117" s="200"/>
      <c r="M117" s="200"/>
      <c r="N117" s="200"/>
      <c r="O117" s="200"/>
      <c r="P117" s="200"/>
      <c r="Q117" s="200"/>
      <c r="R117" s="200"/>
      <c r="S117" s="200">
        <v>115</v>
      </c>
      <c r="T117" s="200">
        <v>150</v>
      </c>
      <c r="U117" s="200"/>
      <c r="V117" s="200"/>
      <c r="W117" s="274"/>
      <c r="X117" s="274"/>
      <c r="Y117" s="274"/>
    </row>
    <row r="118" spans="12:25" x14ac:dyDescent="0.2">
      <c r="L118" s="200"/>
      <c r="M118" s="200"/>
      <c r="N118" s="200"/>
      <c r="O118" s="200"/>
      <c r="P118" s="200"/>
      <c r="Q118" s="200"/>
      <c r="R118" s="200"/>
      <c r="S118" s="200">
        <v>116</v>
      </c>
      <c r="T118" s="200">
        <v>150</v>
      </c>
      <c r="U118" s="200"/>
      <c r="V118" s="200"/>
      <c r="W118" s="274"/>
      <c r="X118" s="274"/>
      <c r="Y118" s="274"/>
    </row>
    <row r="119" spans="12:25" x14ac:dyDescent="0.2">
      <c r="L119" s="200"/>
      <c r="M119" s="200"/>
      <c r="N119" s="200"/>
      <c r="O119" s="200"/>
      <c r="P119" s="200"/>
      <c r="Q119" s="200"/>
      <c r="R119" s="200"/>
      <c r="S119" s="200">
        <v>117</v>
      </c>
      <c r="T119" s="200">
        <v>150</v>
      </c>
      <c r="U119" s="200"/>
      <c r="V119" s="200"/>
      <c r="W119" s="274"/>
      <c r="X119" s="274"/>
      <c r="Y119" s="274"/>
    </row>
    <row r="120" spans="12:25" x14ac:dyDescent="0.2">
      <c r="L120" s="200"/>
      <c r="M120" s="200"/>
      <c r="N120" s="200"/>
      <c r="O120" s="200"/>
      <c r="P120" s="200"/>
      <c r="Q120" s="200"/>
      <c r="R120" s="200"/>
      <c r="S120" s="200">
        <v>118</v>
      </c>
      <c r="T120" s="200">
        <v>150</v>
      </c>
      <c r="U120" s="200"/>
      <c r="V120" s="200"/>
      <c r="W120" s="274"/>
      <c r="X120" s="274"/>
      <c r="Y120" s="274"/>
    </row>
    <row r="121" spans="12:25" x14ac:dyDescent="0.2">
      <c r="L121" s="200"/>
      <c r="M121" s="200"/>
      <c r="N121" s="200"/>
      <c r="O121" s="200"/>
      <c r="P121" s="200"/>
      <c r="Q121" s="200"/>
      <c r="R121" s="200"/>
      <c r="S121" s="200">
        <v>119</v>
      </c>
      <c r="T121" s="200">
        <v>150</v>
      </c>
      <c r="U121" s="200"/>
      <c r="V121" s="200"/>
      <c r="W121" s="274"/>
      <c r="X121" s="274"/>
      <c r="Y121" s="274"/>
    </row>
    <row r="122" spans="12:25" x14ac:dyDescent="0.2">
      <c r="L122" s="200"/>
      <c r="M122" s="200"/>
      <c r="N122" s="200"/>
      <c r="O122" s="200"/>
      <c r="P122" s="200"/>
      <c r="Q122" s="200"/>
      <c r="R122" s="200"/>
      <c r="S122" s="200">
        <v>120</v>
      </c>
      <c r="T122" s="200">
        <v>150</v>
      </c>
      <c r="U122" s="200"/>
      <c r="V122" s="200"/>
      <c r="W122" s="274"/>
      <c r="X122" s="274"/>
      <c r="Y122" s="274"/>
    </row>
    <row r="123" spans="12:25" x14ac:dyDescent="0.2">
      <c r="L123" s="200"/>
      <c r="M123" s="200"/>
      <c r="N123" s="200"/>
      <c r="O123" s="200"/>
      <c r="P123" s="200"/>
      <c r="Q123" s="200"/>
      <c r="R123" s="200"/>
      <c r="S123" s="200">
        <v>121</v>
      </c>
      <c r="T123" s="200">
        <v>150</v>
      </c>
      <c r="U123" s="200"/>
      <c r="V123" s="200"/>
      <c r="W123" s="274"/>
      <c r="X123" s="274"/>
      <c r="Y123" s="274"/>
    </row>
    <row r="124" spans="12:25" x14ac:dyDescent="0.2">
      <c r="L124" s="200"/>
      <c r="M124" s="200"/>
      <c r="N124" s="200"/>
      <c r="O124" s="200"/>
      <c r="P124" s="200"/>
      <c r="Q124" s="200"/>
      <c r="R124" s="200"/>
      <c r="S124" s="200">
        <v>122</v>
      </c>
      <c r="T124" s="200">
        <v>150</v>
      </c>
      <c r="U124" s="200"/>
      <c r="V124" s="200"/>
      <c r="W124" s="274"/>
      <c r="X124" s="274"/>
      <c r="Y124" s="274"/>
    </row>
    <row r="125" spans="12:25" x14ac:dyDescent="0.2">
      <c r="L125" s="200"/>
      <c r="M125" s="200"/>
      <c r="N125" s="200"/>
      <c r="O125" s="200"/>
      <c r="P125" s="200"/>
      <c r="Q125" s="200"/>
      <c r="R125" s="200"/>
      <c r="S125" s="200">
        <v>123</v>
      </c>
      <c r="T125" s="200">
        <v>150</v>
      </c>
      <c r="U125" s="200"/>
      <c r="V125" s="200"/>
      <c r="W125" s="274"/>
      <c r="X125" s="274"/>
      <c r="Y125" s="274"/>
    </row>
    <row r="126" spans="12:25" x14ac:dyDescent="0.2">
      <c r="L126" s="200"/>
      <c r="M126" s="200"/>
      <c r="N126" s="200"/>
      <c r="O126" s="200"/>
      <c r="P126" s="200"/>
      <c r="Q126" s="200"/>
      <c r="R126" s="200"/>
      <c r="S126" s="200">
        <v>124</v>
      </c>
      <c r="T126" s="200">
        <v>150</v>
      </c>
      <c r="U126" s="200"/>
      <c r="V126" s="200"/>
      <c r="W126" s="274"/>
      <c r="X126" s="274"/>
      <c r="Y126" s="274"/>
    </row>
    <row r="127" spans="12:25" x14ac:dyDescent="0.2">
      <c r="L127" s="200"/>
      <c r="M127" s="200"/>
      <c r="N127" s="200"/>
      <c r="O127" s="200"/>
      <c r="P127" s="200"/>
      <c r="Q127" s="200"/>
      <c r="R127" s="200"/>
      <c r="S127" s="200">
        <v>125</v>
      </c>
      <c r="T127" s="200">
        <v>150</v>
      </c>
      <c r="U127" s="200"/>
      <c r="V127" s="200"/>
      <c r="W127" s="274"/>
      <c r="X127" s="274"/>
      <c r="Y127" s="274"/>
    </row>
    <row r="128" spans="12:25" x14ac:dyDescent="0.2">
      <c r="L128" s="200"/>
      <c r="M128" s="200"/>
      <c r="N128" s="200"/>
      <c r="O128" s="200"/>
      <c r="P128" s="200"/>
      <c r="Q128" s="200"/>
      <c r="R128" s="200"/>
      <c r="S128" s="200">
        <v>126</v>
      </c>
      <c r="T128" s="200">
        <v>150</v>
      </c>
      <c r="U128" s="200"/>
      <c r="V128" s="200"/>
      <c r="W128" s="274"/>
      <c r="X128" s="274"/>
      <c r="Y128" s="274"/>
    </row>
    <row r="129" spans="12:25" x14ac:dyDescent="0.2">
      <c r="L129" s="200"/>
      <c r="M129" s="200"/>
      <c r="N129" s="200"/>
      <c r="O129" s="200"/>
      <c r="P129" s="200"/>
      <c r="Q129" s="200"/>
      <c r="R129" s="200"/>
      <c r="S129" s="200">
        <v>127</v>
      </c>
      <c r="T129" s="200">
        <v>150</v>
      </c>
      <c r="U129" s="200"/>
      <c r="V129" s="200"/>
      <c r="W129" s="274"/>
      <c r="X129" s="274"/>
      <c r="Y129" s="274"/>
    </row>
    <row r="130" spans="12:25" x14ac:dyDescent="0.2">
      <c r="L130" s="200"/>
      <c r="M130" s="200"/>
      <c r="N130" s="200"/>
      <c r="O130" s="200"/>
      <c r="P130" s="200"/>
      <c r="Q130" s="200"/>
      <c r="R130" s="200"/>
      <c r="S130" s="200">
        <v>128</v>
      </c>
      <c r="T130" s="200">
        <v>150</v>
      </c>
      <c r="U130" s="200"/>
      <c r="V130" s="200"/>
      <c r="W130" s="274"/>
      <c r="X130" s="274"/>
      <c r="Y130" s="274"/>
    </row>
    <row r="131" spans="12:25" x14ac:dyDescent="0.2">
      <c r="L131" s="200"/>
      <c r="M131" s="200"/>
      <c r="N131" s="200"/>
      <c r="O131" s="200"/>
      <c r="P131" s="200"/>
      <c r="Q131" s="200"/>
      <c r="R131" s="200"/>
      <c r="S131" s="200">
        <v>129</v>
      </c>
      <c r="T131" s="200">
        <v>150</v>
      </c>
      <c r="U131" s="200"/>
      <c r="V131" s="200"/>
      <c r="W131" s="274"/>
      <c r="X131" s="274"/>
      <c r="Y131" s="274"/>
    </row>
    <row r="132" spans="12:25" x14ac:dyDescent="0.2">
      <c r="L132" s="200"/>
      <c r="M132" s="200"/>
      <c r="N132" s="200"/>
      <c r="O132" s="200"/>
      <c r="P132" s="200"/>
      <c r="Q132" s="200"/>
      <c r="R132" s="200"/>
      <c r="S132" s="200">
        <v>130</v>
      </c>
      <c r="T132" s="200">
        <v>150</v>
      </c>
      <c r="U132" s="200"/>
      <c r="V132" s="200"/>
      <c r="W132" s="274"/>
      <c r="X132" s="274"/>
      <c r="Y132" s="274"/>
    </row>
    <row r="133" spans="12:25" x14ac:dyDescent="0.2">
      <c r="L133" s="200"/>
      <c r="M133" s="200"/>
      <c r="N133" s="200"/>
      <c r="O133" s="200"/>
      <c r="P133" s="200"/>
      <c r="Q133" s="200"/>
      <c r="R133" s="200"/>
      <c r="S133" s="200">
        <v>131</v>
      </c>
      <c r="T133" s="200">
        <v>150</v>
      </c>
      <c r="U133" s="200"/>
      <c r="V133" s="200"/>
      <c r="W133" s="274"/>
      <c r="X133" s="274"/>
      <c r="Y133" s="274"/>
    </row>
    <row r="134" spans="12:25" x14ac:dyDescent="0.2">
      <c r="L134" s="200"/>
      <c r="M134" s="200"/>
      <c r="N134" s="200"/>
      <c r="O134" s="200"/>
      <c r="P134" s="200"/>
      <c r="Q134" s="200"/>
      <c r="R134" s="200"/>
      <c r="S134" s="200">
        <v>132</v>
      </c>
      <c r="T134" s="200">
        <v>150</v>
      </c>
      <c r="U134" s="200"/>
      <c r="V134" s="200"/>
      <c r="W134" s="274"/>
      <c r="X134" s="274"/>
      <c r="Y134" s="274"/>
    </row>
    <row r="135" spans="12:25" x14ac:dyDescent="0.2">
      <c r="L135" s="200"/>
      <c r="M135" s="200"/>
      <c r="N135" s="200"/>
      <c r="O135" s="200"/>
      <c r="P135" s="200"/>
      <c r="Q135" s="200"/>
      <c r="R135" s="200"/>
      <c r="S135" s="200">
        <v>133</v>
      </c>
      <c r="T135" s="200">
        <v>150</v>
      </c>
      <c r="U135" s="200"/>
      <c r="V135" s="200"/>
      <c r="W135" s="274"/>
      <c r="X135" s="274"/>
      <c r="Y135" s="274"/>
    </row>
    <row r="136" spans="12:25" x14ac:dyDescent="0.2">
      <c r="L136" s="200"/>
      <c r="M136" s="200"/>
      <c r="N136" s="200"/>
      <c r="O136" s="200"/>
      <c r="P136" s="200"/>
      <c r="Q136" s="200"/>
      <c r="R136" s="200"/>
      <c r="S136" s="200">
        <v>134</v>
      </c>
      <c r="T136" s="200">
        <v>150</v>
      </c>
      <c r="U136" s="200"/>
      <c r="V136" s="200"/>
      <c r="W136" s="274"/>
      <c r="X136" s="274"/>
      <c r="Y136" s="274"/>
    </row>
    <row r="137" spans="12:25" x14ac:dyDescent="0.2">
      <c r="L137" s="200"/>
      <c r="M137" s="200"/>
      <c r="N137" s="200"/>
      <c r="O137" s="200"/>
      <c r="P137" s="200"/>
      <c r="Q137" s="200"/>
      <c r="R137" s="200"/>
      <c r="S137" s="200">
        <v>135</v>
      </c>
      <c r="T137" s="200">
        <v>150</v>
      </c>
      <c r="U137" s="200"/>
      <c r="V137" s="200"/>
      <c r="W137" s="274"/>
      <c r="X137" s="274"/>
      <c r="Y137" s="274"/>
    </row>
    <row r="138" spans="12:25" x14ac:dyDescent="0.2">
      <c r="L138" s="200"/>
      <c r="M138" s="200"/>
      <c r="N138" s="200"/>
      <c r="O138" s="200"/>
      <c r="P138" s="200"/>
      <c r="Q138" s="200"/>
      <c r="R138" s="200"/>
      <c r="S138" s="200">
        <v>136</v>
      </c>
      <c r="T138" s="200">
        <v>150</v>
      </c>
      <c r="U138" s="200"/>
      <c r="V138" s="200"/>
      <c r="W138" s="274"/>
      <c r="X138" s="274"/>
      <c r="Y138" s="274"/>
    </row>
    <row r="139" spans="12:25" x14ac:dyDescent="0.2">
      <c r="L139" s="200"/>
      <c r="M139" s="200"/>
      <c r="N139" s="200"/>
      <c r="O139" s="200"/>
      <c r="P139" s="200"/>
      <c r="Q139" s="200"/>
      <c r="R139" s="200"/>
      <c r="S139" s="200">
        <v>137</v>
      </c>
      <c r="T139" s="200">
        <v>150</v>
      </c>
      <c r="U139" s="200"/>
      <c r="V139" s="200"/>
      <c r="W139" s="274"/>
      <c r="X139" s="274"/>
      <c r="Y139" s="274"/>
    </row>
    <row r="140" spans="12:25" x14ac:dyDescent="0.2">
      <c r="L140" s="200"/>
      <c r="M140" s="200"/>
      <c r="N140" s="200"/>
      <c r="O140" s="200"/>
      <c r="P140" s="200"/>
      <c r="Q140" s="200"/>
      <c r="R140" s="200"/>
      <c r="S140" s="200">
        <v>138</v>
      </c>
      <c r="T140" s="200">
        <v>150</v>
      </c>
      <c r="U140" s="200"/>
      <c r="V140" s="200"/>
      <c r="W140" s="274"/>
      <c r="X140" s="274"/>
      <c r="Y140" s="274"/>
    </row>
    <row r="141" spans="12:25" x14ac:dyDescent="0.2">
      <c r="L141" s="200"/>
      <c r="M141" s="200"/>
      <c r="N141" s="200"/>
      <c r="O141" s="200"/>
      <c r="P141" s="200"/>
      <c r="Q141" s="200"/>
      <c r="R141" s="200"/>
      <c r="S141" s="200">
        <v>139</v>
      </c>
      <c r="T141" s="200">
        <v>150</v>
      </c>
      <c r="U141" s="200"/>
      <c r="V141" s="200"/>
      <c r="W141" s="274"/>
      <c r="X141" s="274"/>
      <c r="Y141" s="274"/>
    </row>
    <row r="142" spans="12:25" x14ac:dyDescent="0.2">
      <c r="L142" s="200"/>
      <c r="M142" s="200"/>
      <c r="N142" s="200"/>
      <c r="O142" s="200"/>
      <c r="P142" s="200"/>
      <c r="Q142" s="200"/>
      <c r="R142" s="200"/>
      <c r="S142" s="200">
        <v>140</v>
      </c>
      <c r="T142" s="200">
        <v>150</v>
      </c>
      <c r="U142" s="200"/>
      <c r="V142" s="200"/>
      <c r="W142" s="274"/>
      <c r="X142" s="274"/>
      <c r="Y142" s="274"/>
    </row>
    <row r="143" spans="12:25" x14ac:dyDescent="0.2">
      <c r="L143" s="200"/>
      <c r="M143" s="200"/>
      <c r="N143" s="200"/>
      <c r="O143" s="200"/>
      <c r="P143" s="200"/>
      <c r="Q143" s="200"/>
      <c r="R143" s="200"/>
      <c r="S143" s="200">
        <v>141</v>
      </c>
      <c r="T143" s="200">
        <v>150</v>
      </c>
      <c r="U143" s="200"/>
      <c r="V143" s="200"/>
      <c r="W143" s="274"/>
      <c r="X143" s="274"/>
      <c r="Y143" s="274"/>
    </row>
    <row r="144" spans="12:25" x14ac:dyDescent="0.2">
      <c r="L144" s="200"/>
      <c r="M144" s="200"/>
      <c r="N144" s="200"/>
      <c r="O144" s="200"/>
      <c r="P144" s="200"/>
      <c r="Q144" s="200"/>
      <c r="R144" s="200"/>
      <c r="S144" s="200">
        <v>142</v>
      </c>
      <c r="T144" s="200">
        <v>150</v>
      </c>
      <c r="U144" s="200"/>
      <c r="V144" s="200"/>
      <c r="W144" s="274"/>
      <c r="X144" s="274"/>
      <c r="Y144" s="274"/>
    </row>
    <row r="145" spans="12:25" x14ac:dyDescent="0.2">
      <c r="L145" s="200"/>
      <c r="M145" s="200"/>
      <c r="N145" s="200"/>
      <c r="O145" s="200"/>
      <c r="P145" s="200"/>
      <c r="Q145" s="200"/>
      <c r="R145" s="200"/>
      <c r="S145" s="200">
        <v>143</v>
      </c>
      <c r="T145" s="200">
        <v>150</v>
      </c>
      <c r="U145" s="200"/>
      <c r="V145" s="200"/>
      <c r="W145" s="274"/>
      <c r="X145" s="274"/>
      <c r="Y145" s="274"/>
    </row>
    <row r="146" spans="12:25" x14ac:dyDescent="0.2">
      <c r="L146" s="200"/>
      <c r="M146" s="200"/>
      <c r="N146" s="200"/>
      <c r="O146" s="200"/>
      <c r="P146" s="200"/>
      <c r="Q146" s="200"/>
      <c r="R146" s="200"/>
      <c r="S146" s="200">
        <v>144</v>
      </c>
      <c r="T146" s="200">
        <v>150</v>
      </c>
      <c r="U146" s="200"/>
      <c r="V146" s="200"/>
      <c r="W146" s="274"/>
      <c r="X146" s="274"/>
      <c r="Y146" s="274"/>
    </row>
    <row r="147" spans="12:25" x14ac:dyDescent="0.2">
      <c r="L147" s="200"/>
      <c r="M147" s="200"/>
      <c r="N147" s="200"/>
      <c r="O147" s="200"/>
      <c r="P147" s="200"/>
      <c r="Q147" s="200"/>
      <c r="R147" s="200"/>
      <c r="S147" s="200">
        <v>145</v>
      </c>
      <c r="T147" s="200">
        <v>150</v>
      </c>
      <c r="U147" s="200"/>
      <c r="V147" s="200"/>
      <c r="W147" s="274"/>
      <c r="X147" s="274"/>
      <c r="Y147" s="274"/>
    </row>
    <row r="148" spans="12:25" x14ac:dyDescent="0.2">
      <c r="L148" s="200"/>
      <c r="M148" s="200"/>
      <c r="N148" s="200"/>
      <c r="O148" s="200"/>
      <c r="P148" s="200"/>
      <c r="Q148" s="200"/>
      <c r="R148" s="200"/>
      <c r="S148" s="200">
        <v>146</v>
      </c>
      <c r="T148" s="200">
        <v>150</v>
      </c>
      <c r="U148" s="200"/>
      <c r="V148" s="200"/>
      <c r="W148" s="274"/>
      <c r="X148" s="274"/>
      <c r="Y148" s="274"/>
    </row>
    <row r="149" spans="12:25" x14ac:dyDescent="0.2">
      <c r="L149" s="200"/>
      <c r="M149" s="200"/>
      <c r="N149" s="200"/>
      <c r="O149" s="200"/>
      <c r="P149" s="200"/>
      <c r="Q149" s="200"/>
      <c r="R149" s="200"/>
      <c r="S149" s="200">
        <v>147</v>
      </c>
      <c r="T149" s="200">
        <v>150</v>
      </c>
      <c r="U149" s="200"/>
      <c r="V149" s="200"/>
      <c r="W149" s="274"/>
      <c r="X149" s="274"/>
      <c r="Y149" s="274"/>
    </row>
    <row r="150" spans="12:25" x14ac:dyDescent="0.2">
      <c r="L150" s="200"/>
      <c r="M150" s="200"/>
      <c r="N150" s="200"/>
      <c r="O150" s="200"/>
      <c r="P150" s="200"/>
      <c r="Q150" s="200"/>
      <c r="R150" s="200"/>
      <c r="S150" s="200">
        <v>148</v>
      </c>
      <c r="T150" s="200">
        <v>150</v>
      </c>
      <c r="U150" s="200"/>
      <c r="V150" s="200"/>
      <c r="W150" s="274"/>
      <c r="X150" s="274"/>
      <c r="Y150" s="274"/>
    </row>
    <row r="151" spans="12:25" x14ac:dyDescent="0.2">
      <c r="L151" s="200"/>
      <c r="M151" s="200"/>
      <c r="N151" s="200"/>
      <c r="O151" s="200"/>
      <c r="P151" s="200"/>
      <c r="Q151" s="200"/>
      <c r="R151" s="200"/>
      <c r="S151" s="200">
        <v>149</v>
      </c>
      <c r="T151" s="200">
        <v>150</v>
      </c>
      <c r="U151" s="200"/>
      <c r="V151" s="200"/>
      <c r="W151" s="274"/>
      <c r="X151" s="274"/>
      <c r="Y151" s="274"/>
    </row>
    <row r="152" spans="12:25" x14ac:dyDescent="0.2">
      <c r="L152" s="200"/>
      <c r="M152" s="200"/>
      <c r="N152" s="200"/>
      <c r="O152" s="200"/>
      <c r="P152" s="200"/>
      <c r="Q152" s="200"/>
      <c r="R152" s="200"/>
      <c r="S152" s="200">
        <v>150</v>
      </c>
      <c r="T152" s="200">
        <v>150</v>
      </c>
      <c r="U152" s="200">
        <v>150</v>
      </c>
      <c r="V152" s="200"/>
      <c r="W152" s="274"/>
      <c r="X152" s="274"/>
      <c r="Y152" s="274"/>
    </row>
    <row r="153" spans="12:25" x14ac:dyDescent="0.2">
      <c r="L153" s="200"/>
      <c r="M153" s="200"/>
      <c r="N153" s="200"/>
      <c r="O153" s="200"/>
      <c r="P153" s="200"/>
      <c r="Q153" s="200"/>
      <c r="R153" s="200"/>
      <c r="S153" s="200">
        <v>151</v>
      </c>
      <c r="T153" s="200">
        <v>150</v>
      </c>
      <c r="U153" s="200"/>
      <c r="V153" s="200"/>
      <c r="W153" s="274"/>
      <c r="X153" s="274"/>
      <c r="Y153" s="274"/>
    </row>
    <row r="154" spans="12:25" x14ac:dyDescent="0.2">
      <c r="L154" s="200"/>
      <c r="M154" s="200"/>
      <c r="N154" s="200"/>
      <c r="O154" s="200"/>
      <c r="P154" s="200"/>
      <c r="Q154" s="200"/>
      <c r="R154" s="200"/>
      <c r="S154" s="200">
        <v>152</v>
      </c>
      <c r="T154" s="200">
        <v>150</v>
      </c>
      <c r="U154" s="200"/>
      <c r="V154" s="200"/>
      <c r="W154" s="274"/>
      <c r="X154" s="274"/>
      <c r="Y154" s="274"/>
    </row>
    <row r="155" spans="12:25" x14ac:dyDescent="0.2">
      <c r="L155" s="200"/>
      <c r="M155" s="200"/>
      <c r="N155" s="200"/>
      <c r="O155" s="200"/>
      <c r="P155" s="200"/>
      <c r="Q155" s="200"/>
      <c r="R155" s="200"/>
      <c r="S155" s="200">
        <v>153</v>
      </c>
      <c r="T155" s="200">
        <v>150</v>
      </c>
      <c r="U155" s="200"/>
      <c r="V155" s="200"/>
      <c r="W155" s="274"/>
      <c r="X155" s="274"/>
      <c r="Y155" s="274"/>
    </row>
    <row r="156" spans="12:25" x14ac:dyDescent="0.2">
      <c r="L156" s="200"/>
      <c r="M156" s="200"/>
      <c r="N156" s="200"/>
      <c r="O156" s="200"/>
      <c r="P156" s="200"/>
      <c r="Q156" s="200"/>
      <c r="R156" s="200"/>
      <c r="S156" s="200">
        <v>154</v>
      </c>
      <c r="T156" s="200">
        <v>150</v>
      </c>
      <c r="U156" s="200"/>
      <c r="V156" s="200"/>
      <c r="W156" s="274"/>
      <c r="X156" s="274"/>
      <c r="Y156" s="274"/>
    </row>
    <row r="157" spans="12:25" x14ac:dyDescent="0.2">
      <c r="L157" s="200"/>
      <c r="M157" s="200"/>
      <c r="N157" s="200"/>
      <c r="O157" s="200"/>
      <c r="P157" s="200"/>
      <c r="Q157" s="200"/>
      <c r="R157" s="200"/>
      <c r="S157" s="200">
        <v>155</v>
      </c>
      <c r="T157" s="200">
        <v>150</v>
      </c>
      <c r="U157" s="200"/>
      <c r="V157" s="200"/>
      <c r="W157" s="274"/>
      <c r="X157" s="274"/>
      <c r="Y157" s="274"/>
    </row>
    <row r="158" spans="12:25" x14ac:dyDescent="0.2">
      <c r="L158" s="200"/>
      <c r="M158" s="200"/>
      <c r="N158" s="200"/>
      <c r="O158" s="200"/>
      <c r="P158" s="200"/>
      <c r="Q158" s="200"/>
      <c r="R158" s="200"/>
      <c r="S158" s="200">
        <v>156</v>
      </c>
      <c r="T158" s="200">
        <v>150</v>
      </c>
      <c r="U158" s="200"/>
      <c r="V158" s="200"/>
      <c r="W158" s="274"/>
      <c r="X158" s="274"/>
      <c r="Y158" s="274"/>
    </row>
    <row r="159" spans="12:25" x14ac:dyDescent="0.2">
      <c r="L159" s="200"/>
      <c r="M159" s="200"/>
      <c r="N159" s="200"/>
      <c r="O159" s="200"/>
      <c r="P159" s="200"/>
      <c r="Q159" s="200"/>
      <c r="R159" s="200"/>
      <c r="S159" s="200">
        <v>157</v>
      </c>
      <c r="T159" s="200">
        <v>150</v>
      </c>
      <c r="U159" s="200"/>
      <c r="V159" s="200"/>
      <c r="W159" s="274"/>
      <c r="X159" s="274"/>
      <c r="Y159" s="274"/>
    </row>
    <row r="160" spans="12:25" x14ac:dyDescent="0.2">
      <c r="L160" s="200"/>
      <c r="M160" s="200"/>
      <c r="N160" s="200"/>
      <c r="O160" s="200"/>
      <c r="P160" s="200"/>
      <c r="Q160" s="200"/>
      <c r="R160" s="200"/>
      <c r="S160" s="200">
        <v>158</v>
      </c>
      <c r="T160" s="200">
        <v>150</v>
      </c>
      <c r="U160" s="200"/>
      <c r="V160" s="200"/>
      <c r="W160" s="274"/>
      <c r="X160" s="274"/>
      <c r="Y160" s="274"/>
    </row>
    <row r="161" spans="12:25" x14ac:dyDescent="0.2">
      <c r="L161" s="200"/>
      <c r="M161" s="200"/>
      <c r="N161" s="200"/>
      <c r="O161" s="200"/>
      <c r="P161" s="200"/>
      <c r="Q161" s="200"/>
      <c r="R161" s="200"/>
      <c r="S161" s="200">
        <v>159</v>
      </c>
      <c r="T161" s="200">
        <v>150</v>
      </c>
      <c r="U161" s="200"/>
      <c r="V161" s="200"/>
      <c r="W161" s="274"/>
      <c r="X161" s="274"/>
      <c r="Y161" s="274"/>
    </row>
    <row r="162" spans="12:25" x14ac:dyDescent="0.2">
      <c r="L162" s="200"/>
      <c r="M162" s="200"/>
      <c r="N162" s="200"/>
      <c r="O162" s="200"/>
      <c r="P162" s="200"/>
      <c r="Q162" s="200"/>
      <c r="R162" s="200"/>
      <c r="S162" s="200">
        <v>160</v>
      </c>
      <c r="T162" s="200">
        <v>150</v>
      </c>
      <c r="U162" s="200"/>
      <c r="V162" s="200"/>
      <c r="W162" s="274"/>
      <c r="X162" s="274"/>
      <c r="Y162" s="274"/>
    </row>
    <row r="163" spans="12:25" x14ac:dyDescent="0.2">
      <c r="L163" s="200"/>
      <c r="M163" s="200"/>
      <c r="N163" s="200"/>
      <c r="O163" s="200"/>
      <c r="P163" s="200"/>
      <c r="Q163" s="200"/>
      <c r="R163" s="200"/>
      <c r="S163" s="200">
        <v>161</v>
      </c>
      <c r="T163" s="200">
        <v>150</v>
      </c>
      <c r="U163" s="200"/>
      <c r="V163" s="200"/>
      <c r="W163" s="274"/>
      <c r="X163" s="274"/>
      <c r="Y163" s="274"/>
    </row>
    <row r="164" spans="12:25" x14ac:dyDescent="0.2">
      <c r="L164" s="200"/>
      <c r="M164" s="200"/>
      <c r="N164" s="200"/>
      <c r="O164" s="200"/>
      <c r="P164" s="200"/>
      <c r="Q164" s="200"/>
      <c r="R164" s="200"/>
      <c r="S164" s="200">
        <v>162</v>
      </c>
      <c r="T164" s="200">
        <v>150</v>
      </c>
      <c r="U164" s="200"/>
      <c r="V164" s="200"/>
      <c r="W164" s="274"/>
      <c r="X164" s="274"/>
      <c r="Y164" s="274"/>
    </row>
    <row r="165" spans="12:25" x14ac:dyDescent="0.2">
      <c r="L165" s="200"/>
      <c r="M165" s="200"/>
      <c r="N165" s="200"/>
      <c r="O165" s="200"/>
      <c r="P165" s="200"/>
      <c r="Q165" s="200"/>
      <c r="R165" s="200"/>
      <c r="S165" s="200">
        <v>163</v>
      </c>
      <c r="T165" s="200">
        <v>150</v>
      </c>
      <c r="U165" s="200"/>
      <c r="V165" s="200"/>
      <c r="W165" s="274"/>
      <c r="X165" s="274"/>
      <c r="Y165" s="274"/>
    </row>
    <row r="166" spans="12:25" x14ac:dyDescent="0.2">
      <c r="L166" s="200"/>
      <c r="M166" s="200"/>
      <c r="N166" s="200"/>
      <c r="O166" s="200"/>
      <c r="P166" s="200"/>
      <c r="Q166" s="200"/>
      <c r="R166" s="200"/>
      <c r="S166" s="200">
        <v>164</v>
      </c>
      <c r="T166" s="200">
        <v>150</v>
      </c>
      <c r="U166" s="200"/>
      <c r="V166" s="200"/>
      <c r="W166" s="274"/>
      <c r="X166" s="274"/>
      <c r="Y166" s="274"/>
    </row>
    <row r="167" spans="12:25" x14ac:dyDescent="0.2">
      <c r="L167" s="200"/>
      <c r="M167" s="200"/>
      <c r="N167" s="200"/>
      <c r="O167" s="200"/>
      <c r="P167" s="200"/>
      <c r="Q167" s="200"/>
      <c r="R167" s="200"/>
      <c r="S167" s="200">
        <v>165</v>
      </c>
      <c r="T167" s="200">
        <v>150</v>
      </c>
      <c r="U167" s="200"/>
      <c r="V167" s="200"/>
      <c r="W167" s="274"/>
      <c r="X167" s="274"/>
      <c r="Y167" s="274"/>
    </row>
    <row r="168" spans="12:25" x14ac:dyDescent="0.2">
      <c r="L168" s="200"/>
      <c r="M168" s="200"/>
      <c r="N168" s="200"/>
      <c r="O168" s="200"/>
      <c r="P168" s="200"/>
      <c r="Q168" s="200"/>
      <c r="R168" s="200"/>
      <c r="S168" s="200">
        <v>166</v>
      </c>
      <c r="T168" s="200">
        <v>150</v>
      </c>
      <c r="U168" s="200"/>
      <c r="V168" s="200"/>
      <c r="W168" s="274"/>
      <c r="X168" s="274"/>
      <c r="Y168" s="274"/>
    </row>
    <row r="169" spans="12:25" x14ac:dyDescent="0.2">
      <c r="L169" s="200"/>
      <c r="M169" s="200"/>
      <c r="N169" s="200"/>
      <c r="O169" s="200"/>
      <c r="P169" s="200"/>
      <c r="Q169" s="200"/>
      <c r="R169" s="200"/>
      <c r="S169" s="200">
        <v>167</v>
      </c>
      <c r="T169" s="200">
        <v>150</v>
      </c>
      <c r="U169" s="200"/>
      <c r="V169" s="200"/>
      <c r="W169" s="274"/>
      <c r="X169" s="274"/>
      <c r="Y169" s="274"/>
    </row>
    <row r="170" spans="12:25" x14ac:dyDescent="0.2">
      <c r="L170" s="200"/>
      <c r="M170" s="200"/>
      <c r="N170" s="200"/>
      <c r="O170" s="200"/>
      <c r="P170" s="200"/>
      <c r="Q170" s="200"/>
      <c r="R170" s="200"/>
      <c r="S170" s="200">
        <v>168</v>
      </c>
      <c r="T170" s="200">
        <v>150</v>
      </c>
      <c r="U170" s="200"/>
      <c r="V170" s="200"/>
      <c r="W170" s="274"/>
      <c r="X170" s="274"/>
      <c r="Y170" s="274"/>
    </row>
    <row r="171" spans="12:25" x14ac:dyDescent="0.2">
      <c r="L171" s="200"/>
      <c r="M171" s="200"/>
      <c r="N171" s="200"/>
      <c r="O171" s="200"/>
      <c r="P171" s="200"/>
      <c r="Q171" s="200"/>
      <c r="R171" s="200"/>
      <c r="S171" s="200">
        <v>169</v>
      </c>
      <c r="T171" s="200">
        <v>150</v>
      </c>
      <c r="U171" s="200"/>
      <c r="V171" s="200"/>
      <c r="W171" s="274"/>
      <c r="X171" s="274"/>
      <c r="Y171" s="274"/>
    </row>
    <row r="172" spans="12:25" x14ac:dyDescent="0.2">
      <c r="L172" s="200"/>
      <c r="M172" s="200"/>
      <c r="N172" s="200"/>
      <c r="O172" s="200"/>
      <c r="P172" s="200"/>
      <c r="Q172" s="200"/>
      <c r="R172" s="200"/>
      <c r="S172" s="200">
        <v>170</v>
      </c>
      <c r="T172" s="200">
        <v>150</v>
      </c>
      <c r="U172" s="200"/>
      <c r="V172" s="200"/>
      <c r="W172" s="274"/>
      <c r="X172" s="274"/>
      <c r="Y172" s="274"/>
    </row>
    <row r="173" spans="12:25" x14ac:dyDescent="0.2">
      <c r="L173" s="200"/>
      <c r="M173" s="200"/>
      <c r="N173" s="200"/>
      <c r="O173" s="200"/>
      <c r="P173" s="200"/>
      <c r="Q173" s="200"/>
      <c r="R173" s="200"/>
      <c r="S173" s="200">
        <v>171</v>
      </c>
      <c r="T173" s="200">
        <v>150</v>
      </c>
      <c r="U173" s="200"/>
      <c r="V173" s="200"/>
      <c r="W173" s="274"/>
      <c r="X173" s="274"/>
      <c r="Y173" s="274"/>
    </row>
    <row r="174" spans="12:25" x14ac:dyDescent="0.2">
      <c r="L174" s="200"/>
      <c r="M174" s="200"/>
      <c r="N174" s="200"/>
      <c r="O174" s="200"/>
      <c r="P174" s="200"/>
      <c r="Q174" s="200"/>
      <c r="R174" s="200"/>
      <c r="S174" s="200">
        <v>172</v>
      </c>
      <c r="T174" s="200">
        <v>150</v>
      </c>
      <c r="U174" s="200"/>
      <c r="V174" s="200"/>
      <c r="W174" s="274"/>
      <c r="X174" s="274"/>
      <c r="Y174" s="274"/>
    </row>
    <row r="175" spans="12:25" x14ac:dyDescent="0.2">
      <c r="L175" s="200"/>
      <c r="M175" s="200"/>
      <c r="N175" s="200"/>
      <c r="O175" s="200"/>
      <c r="P175" s="200"/>
      <c r="Q175" s="200"/>
      <c r="R175" s="200"/>
      <c r="S175" s="200">
        <v>173</v>
      </c>
      <c r="T175" s="200">
        <v>150</v>
      </c>
      <c r="U175" s="200"/>
      <c r="V175" s="200"/>
      <c r="W175" s="274"/>
      <c r="X175" s="274"/>
      <c r="Y175" s="274"/>
    </row>
    <row r="176" spans="12:25" x14ac:dyDescent="0.2">
      <c r="L176" s="200"/>
      <c r="M176" s="200"/>
      <c r="N176" s="200"/>
      <c r="O176" s="200"/>
      <c r="P176" s="200"/>
      <c r="Q176" s="200"/>
      <c r="R176" s="200"/>
      <c r="S176" s="200">
        <v>174</v>
      </c>
      <c r="T176" s="200">
        <v>150</v>
      </c>
      <c r="U176" s="200"/>
      <c r="V176" s="200"/>
      <c r="W176" s="274"/>
      <c r="X176" s="274"/>
      <c r="Y176" s="274"/>
    </row>
    <row r="177" spans="12:25" x14ac:dyDescent="0.2">
      <c r="L177" s="200"/>
      <c r="M177" s="200"/>
      <c r="N177" s="200"/>
      <c r="O177" s="200"/>
      <c r="P177" s="200"/>
      <c r="Q177" s="200"/>
      <c r="R177" s="200"/>
      <c r="S177" s="200">
        <v>175</v>
      </c>
      <c r="T177" s="200">
        <v>150</v>
      </c>
      <c r="U177" s="200"/>
      <c r="V177" s="200"/>
      <c r="W177" s="274"/>
      <c r="X177" s="274"/>
      <c r="Y177" s="274"/>
    </row>
    <row r="178" spans="12:25" x14ac:dyDescent="0.2">
      <c r="L178" s="200"/>
      <c r="M178" s="200"/>
      <c r="N178" s="200"/>
      <c r="O178" s="200"/>
      <c r="P178" s="200"/>
      <c r="Q178" s="200"/>
      <c r="R178" s="200"/>
      <c r="S178" s="200">
        <v>176</v>
      </c>
      <c r="T178" s="200">
        <v>150</v>
      </c>
      <c r="U178" s="200"/>
      <c r="V178" s="200"/>
      <c r="W178" s="274"/>
      <c r="X178" s="274"/>
      <c r="Y178" s="274"/>
    </row>
    <row r="179" spans="12:25" x14ac:dyDescent="0.2">
      <c r="L179" s="200"/>
      <c r="M179" s="200"/>
      <c r="N179" s="200"/>
      <c r="O179" s="200"/>
      <c r="P179" s="200"/>
      <c r="Q179" s="200"/>
      <c r="R179" s="200"/>
      <c r="S179" s="200">
        <v>177</v>
      </c>
      <c r="T179" s="200">
        <v>150</v>
      </c>
      <c r="U179" s="200"/>
      <c r="V179" s="200"/>
      <c r="W179" s="274"/>
      <c r="X179" s="274"/>
      <c r="Y179" s="274"/>
    </row>
    <row r="180" spans="12:25" x14ac:dyDescent="0.2">
      <c r="L180" s="200"/>
      <c r="M180" s="200"/>
      <c r="N180" s="200"/>
      <c r="O180" s="200"/>
      <c r="P180" s="200"/>
      <c r="Q180" s="200"/>
      <c r="R180" s="200"/>
      <c r="S180" s="200">
        <v>178</v>
      </c>
      <c r="T180" s="200">
        <v>150</v>
      </c>
      <c r="U180" s="200"/>
      <c r="V180" s="200"/>
      <c r="W180" s="274"/>
      <c r="X180" s="274"/>
      <c r="Y180" s="274"/>
    </row>
    <row r="181" spans="12:25" x14ac:dyDescent="0.2">
      <c r="L181" s="200"/>
      <c r="M181" s="200"/>
      <c r="N181" s="200"/>
      <c r="O181" s="200"/>
      <c r="P181" s="200"/>
      <c r="Q181" s="200"/>
      <c r="R181" s="200"/>
      <c r="S181" s="200">
        <v>179</v>
      </c>
      <c r="T181" s="200">
        <v>150</v>
      </c>
      <c r="U181" s="200"/>
      <c r="V181" s="200"/>
      <c r="W181" s="274"/>
      <c r="X181" s="274"/>
      <c r="Y181" s="274"/>
    </row>
    <row r="182" spans="12:25" x14ac:dyDescent="0.2">
      <c r="L182" s="200"/>
      <c r="M182" s="200"/>
      <c r="N182" s="200"/>
      <c r="O182" s="200"/>
      <c r="P182" s="200"/>
      <c r="Q182" s="200"/>
      <c r="R182" s="200"/>
      <c r="S182" s="200">
        <v>180</v>
      </c>
      <c r="T182" s="200">
        <v>150</v>
      </c>
      <c r="U182" s="200"/>
      <c r="V182" s="200"/>
      <c r="W182" s="274"/>
      <c r="X182" s="274"/>
      <c r="Y182" s="274"/>
    </row>
    <row r="183" spans="12:25" x14ac:dyDescent="0.2">
      <c r="L183" s="200"/>
      <c r="M183" s="200"/>
      <c r="N183" s="200"/>
      <c r="O183" s="200"/>
      <c r="P183" s="200"/>
      <c r="Q183" s="200"/>
      <c r="R183" s="200"/>
      <c r="S183" s="200">
        <v>181</v>
      </c>
      <c r="T183" s="200">
        <v>150</v>
      </c>
      <c r="U183" s="200"/>
      <c r="V183" s="200"/>
      <c r="W183" s="274"/>
      <c r="X183" s="274"/>
      <c r="Y183" s="274"/>
    </row>
    <row r="184" spans="12:25" x14ac:dyDescent="0.2">
      <c r="L184" s="200"/>
      <c r="M184" s="200"/>
      <c r="N184" s="200"/>
      <c r="O184" s="200"/>
      <c r="P184" s="200"/>
      <c r="Q184" s="200"/>
      <c r="R184" s="200"/>
      <c r="S184" s="200">
        <v>182</v>
      </c>
      <c r="T184" s="200">
        <v>150</v>
      </c>
      <c r="U184" s="200"/>
      <c r="V184" s="200"/>
      <c r="W184" s="274"/>
      <c r="X184" s="274"/>
      <c r="Y184" s="274"/>
    </row>
    <row r="185" spans="12:25" x14ac:dyDescent="0.2">
      <c r="L185" s="200"/>
      <c r="M185" s="200"/>
      <c r="N185" s="200"/>
      <c r="O185" s="200"/>
      <c r="P185" s="200"/>
      <c r="Q185" s="200"/>
      <c r="R185" s="200"/>
      <c r="S185" s="200">
        <v>183</v>
      </c>
      <c r="T185" s="200">
        <v>150</v>
      </c>
      <c r="U185" s="200"/>
      <c r="V185" s="200"/>
      <c r="W185" s="274"/>
      <c r="X185" s="274"/>
      <c r="Y185" s="274"/>
    </row>
    <row r="186" spans="12:25" x14ac:dyDescent="0.2">
      <c r="L186" s="200"/>
      <c r="M186" s="200"/>
      <c r="N186" s="200"/>
      <c r="O186" s="200"/>
      <c r="P186" s="200"/>
      <c r="Q186" s="200"/>
      <c r="R186" s="200"/>
      <c r="S186" s="200">
        <v>184</v>
      </c>
      <c r="T186" s="200">
        <v>150</v>
      </c>
      <c r="U186" s="200"/>
      <c r="V186" s="200"/>
      <c r="W186" s="274"/>
      <c r="X186" s="274"/>
      <c r="Y186" s="274"/>
    </row>
    <row r="187" spans="12:25" x14ac:dyDescent="0.2">
      <c r="L187" s="200"/>
      <c r="M187" s="200"/>
      <c r="N187" s="200"/>
      <c r="O187" s="200"/>
      <c r="P187" s="200"/>
      <c r="Q187" s="200"/>
      <c r="R187" s="200"/>
      <c r="S187" s="200">
        <v>185</v>
      </c>
      <c r="T187" s="200">
        <v>150</v>
      </c>
      <c r="U187" s="200"/>
      <c r="V187" s="200"/>
      <c r="W187" s="274"/>
      <c r="X187" s="274"/>
      <c r="Y187" s="274"/>
    </row>
    <row r="188" spans="12:25" x14ac:dyDescent="0.2">
      <c r="L188" s="200"/>
      <c r="M188" s="200"/>
      <c r="N188" s="200"/>
      <c r="O188" s="200"/>
      <c r="P188" s="200"/>
      <c r="Q188" s="200"/>
      <c r="R188" s="200"/>
      <c r="S188" s="200">
        <v>186</v>
      </c>
      <c r="T188" s="200">
        <v>150</v>
      </c>
      <c r="U188" s="200"/>
      <c r="V188" s="200"/>
      <c r="W188" s="274"/>
      <c r="X188" s="274"/>
      <c r="Y188" s="274"/>
    </row>
    <row r="189" spans="12:25" x14ac:dyDescent="0.2">
      <c r="L189" s="200"/>
      <c r="M189" s="200"/>
      <c r="N189" s="200"/>
      <c r="O189" s="200"/>
      <c r="P189" s="200"/>
      <c r="Q189" s="200"/>
      <c r="R189" s="200"/>
      <c r="S189" s="200">
        <v>187</v>
      </c>
      <c r="T189" s="200">
        <v>150</v>
      </c>
      <c r="U189" s="200"/>
      <c r="V189" s="200"/>
      <c r="W189" s="274"/>
      <c r="X189" s="274"/>
      <c r="Y189" s="274"/>
    </row>
    <row r="190" spans="12:25" x14ac:dyDescent="0.2">
      <c r="L190" s="200"/>
      <c r="M190" s="200"/>
      <c r="N190" s="200"/>
      <c r="O190" s="200"/>
      <c r="P190" s="200"/>
      <c r="Q190" s="200"/>
      <c r="R190" s="200"/>
      <c r="S190" s="200">
        <v>188</v>
      </c>
      <c r="T190" s="200">
        <v>150</v>
      </c>
      <c r="U190" s="200"/>
      <c r="V190" s="200"/>
      <c r="W190" s="274"/>
      <c r="X190" s="274"/>
      <c r="Y190" s="274"/>
    </row>
    <row r="191" spans="12:25" x14ac:dyDescent="0.2">
      <c r="L191" s="200"/>
      <c r="M191" s="200"/>
      <c r="N191" s="200"/>
      <c r="O191" s="200"/>
      <c r="P191" s="200"/>
      <c r="Q191" s="200"/>
      <c r="R191" s="200"/>
      <c r="S191" s="200">
        <v>189</v>
      </c>
      <c r="T191" s="200">
        <v>150</v>
      </c>
      <c r="U191" s="200"/>
      <c r="V191" s="200"/>
      <c r="W191" s="274"/>
      <c r="X191" s="274"/>
      <c r="Y191" s="274"/>
    </row>
    <row r="192" spans="12:25" x14ac:dyDescent="0.2">
      <c r="L192" s="200"/>
      <c r="M192" s="200"/>
      <c r="N192" s="200"/>
      <c r="O192" s="200"/>
      <c r="P192" s="200"/>
      <c r="Q192" s="200"/>
      <c r="R192" s="200"/>
      <c r="S192" s="200">
        <v>190</v>
      </c>
      <c r="T192" s="200">
        <v>150</v>
      </c>
      <c r="U192" s="200"/>
      <c r="V192" s="200"/>
      <c r="W192" s="274"/>
      <c r="X192" s="274"/>
      <c r="Y192" s="274"/>
    </row>
    <row r="193" spans="12:25" x14ac:dyDescent="0.2">
      <c r="L193" s="200"/>
      <c r="M193" s="200"/>
      <c r="N193" s="200"/>
      <c r="O193" s="200"/>
      <c r="P193" s="200"/>
      <c r="Q193" s="200"/>
      <c r="R193" s="200"/>
      <c r="S193" s="200">
        <v>191</v>
      </c>
      <c r="T193" s="200">
        <v>150</v>
      </c>
      <c r="U193" s="200"/>
      <c r="V193" s="200"/>
      <c r="W193" s="274"/>
      <c r="X193" s="274"/>
      <c r="Y193" s="274"/>
    </row>
    <row r="194" spans="12:25" x14ac:dyDescent="0.2">
      <c r="L194" s="200"/>
      <c r="M194" s="200"/>
      <c r="N194" s="200"/>
      <c r="O194" s="200"/>
      <c r="P194" s="200"/>
      <c r="Q194" s="200"/>
      <c r="R194" s="200"/>
      <c r="S194" s="200">
        <v>192</v>
      </c>
      <c r="T194" s="200">
        <v>150</v>
      </c>
      <c r="U194" s="200"/>
      <c r="V194" s="200"/>
      <c r="W194" s="274"/>
      <c r="X194" s="274"/>
      <c r="Y194" s="274"/>
    </row>
    <row r="195" spans="12:25" x14ac:dyDescent="0.2">
      <c r="L195" s="200"/>
      <c r="M195" s="200"/>
      <c r="N195" s="200"/>
      <c r="O195" s="200"/>
      <c r="P195" s="200"/>
      <c r="Q195" s="200"/>
      <c r="R195" s="200"/>
      <c r="S195" s="200">
        <v>193</v>
      </c>
      <c r="T195" s="200">
        <v>150</v>
      </c>
      <c r="U195" s="200"/>
      <c r="V195" s="200"/>
      <c r="W195" s="274"/>
      <c r="X195" s="274"/>
      <c r="Y195" s="274"/>
    </row>
    <row r="196" spans="12:25" x14ac:dyDescent="0.2">
      <c r="L196" s="200"/>
      <c r="M196" s="200"/>
      <c r="N196" s="200"/>
      <c r="O196" s="200"/>
      <c r="P196" s="200"/>
      <c r="Q196" s="200"/>
      <c r="R196" s="200"/>
      <c r="S196" s="200">
        <v>194</v>
      </c>
      <c r="T196" s="200">
        <v>150</v>
      </c>
      <c r="U196" s="200"/>
      <c r="V196" s="200"/>
      <c r="W196" s="274"/>
      <c r="X196" s="274"/>
      <c r="Y196" s="274"/>
    </row>
    <row r="197" spans="12:25" x14ac:dyDescent="0.2">
      <c r="L197" s="200"/>
      <c r="M197" s="200"/>
      <c r="N197" s="200"/>
      <c r="O197" s="200"/>
      <c r="P197" s="200"/>
      <c r="Q197" s="200"/>
      <c r="R197" s="200"/>
      <c r="S197" s="200">
        <v>195</v>
      </c>
      <c r="T197" s="200">
        <v>150</v>
      </c>
      <c r="U197" s="200"/>
      <c r="V197" s="200"/>
      <c r="W197" s="274"/>
      <c r="X197" s="274"/>
      <c r="Y197" s="274"/>
    </row>
    <row r="198" spans="12:25" x14ac:dyDescent="0.2">
      <c r="L198" s="200"/>
      <c r="M198" s="200"/>
      <c r="N198" s="200"/>
      <c r="O198" s="200"/>
      <c r="P198" s="200"/>
      <c r="Q198" s="200"/>
      <c r="R198" s="200"/>
      <c r="S198" s="200">
        <v>196</v>
      </c>
      <c r="T198" s="200">
        <v>150</v>
      </c>
      <c r="U198" s="200"/>
      <c r="V198" s="200"/>
      <c r="W198" s="274"/>
      <c r="X198" s="274"/>
      <c r="Y198" s="274"/>
    </row>
    <row r="199" spans="12:25" x14ac:dyDescent="0.2">
      <c r="L199" s="200"/>
      <c r="M199" s="200"/>
      <c r="N199" s="200"/>
      <c r="O199" s="200"/>
      <c r="P199" s="200"/>
      <c r="Q199" s="200"/>
      <c r="R199" s="200"/>
      <c r="S199" s="200">
        <v>197</v>
      </c>
      <c r="T199" s="200">
        <v>150</v>
      </c>
      <c r="U199" s="200"/>
      <c r="V199" s="200"/>
      <c r="W199" s="274"/>
      <c r="X199" s="274"/>
      <c r="Y199" s="274"/>
    </row>
    <row r="200" spans="12:25" x14ac:dyDescent="0.2">
      <c r="L200" s="200"/>
      <c r="M200" s="200"/>
      <c r="N200" s="200"/>
      <c r="O200" s="200"/>
      <c r="P200" s="200"/>
      <c r="Q200" s="200"/>
      <c r="R200" s="200"/>
      <c r="S200" s="200">
        <v>198</v>
      </c>
      <c r="T200" s="200">
        <v>150</v>
      </c>
      <c r="U200" s="200"/>
      <c r="V200" s="200"/>
      <c r="W200" s="274"/>
      <c r="X200" s="274"/>
      <c r="Y200" s="274"/>
    </row>
    <row r="201" spans="12:25" x14ac:dyDescent="0.2">
      <c r="L201" s="200"/>
      <c r="M201" s="200"/>
      <c r="N201" s="200"/>
      <c r="O201" s="200"/>
      <c r="P201" s="200"/>
      <c r="Q201" s="200"/>
      <c r="R201" s="200"/>
      <c r="S201" s="200">
        <v>199</v>
      </c>
      <c r="T201" s="200">
        <v>150</v>
      </c>
      <c r="U201" s="200"/>
      <c r="V201" s="200"/>
      <c r="W201" s="274"/>
      <c r="X201" s="274"/>
      <c r="Y201" s="274"/>
    </row>
    <row r="202" spans="12:25" x14ac:dyDescent="0.2">
      <c r="L202" s="200"/>
      <c r="M202" s="200"/>
      <c r="N202" s="200"/>
      <c r="O202" s="200"/>
      <c r="P202" s="200"/>
      <c r="Q202" s="200"/>
      <c r="R202" s="200"/>
      <c r="S202" s="200">
        <v>200</v>
      </c>
      <c r="T202" s="200">
        <v>150</v>
      </c>
      <c r="U202" s="200">
        <v>200</v>
      </c>
      <c r="V202" s="200"/>
      <c r="W202" s="274"/>
      <c r="X202" s="274"/>
      <c r="Y202" s="274"/>
    </row>
    <row r="203" spans="12:25" x14ac:dyDescent="0.2">
      <c r="L203" s="200"/>
      <c r="M203" s="200"/>
      <c r="N203" s="200"/>
      <c r="O203" s="200"/>
      <c r="P203" s="200"/>
      <c r="Q203" s="200"/>
      <c r="R203" s="200"/>
      <c r="S203" s="200">
        <v>201</v>
      </c>
      <c r="T203" s="200">
        <v>150</v>
      </c>
      <c r="U203" s="200"/>
      <c r="V203" s="200"/>
      <c r="W203" s="274"/>
      <c r="X203" s="274"/>
      <c r="Y203" s="274"/>
    </row>
    <row r="204" spans="12:25" x14ac:dyDescent="0.2">
      <c r="L204" s="200"/>
      <c r="M204" s="200"/>
      <c r="N204" s="200"/>
      <c r="O204" s="200"/>
      <c r="P204" s="200"/>
      <c r="Q204" s="200"/>
      <c r="R204" s="200"/>
      <c r="S204" s="200">
        <v>202</v>
      </c>
      <c r="T204" s="200">
        <v>150</v>
      </c>
      <c r="U204" s="200"/>
      <c r="V204" s="200"/>
      <c r="W204" s="274"/>
      <c r="X204" s="274"/>
      <c r="Y204" s="274"/>
    </row>
    <row r="205" spans="12:25" x14ac:dyDescent="0.2">
      <c r="L205" s="200"/>
      <c r="M205" s="200"/>
      <c r="N205" s="200"/>
      <c r="O205" s="200"/>
      <c r="P205" s="200"/>
      <c r="Q205" s="200"/>
      <c r="R205" s="200"/>
      <c r="S205" s="200">
        <v>203</v>
      </c>
      <c r="T205" s="200">
        <v>150</v>
      </c>
      <c r="U205" s="200"/>
      <c r="V205" s="200"/>
      <c r="W205" s="274"/>
      <c r="X205" s="274"/>
      <c r="Y205" s="274"/>
    </row>
    <row r="206" spans="12:25" x14ac:dyDescent="0.2">
      <c r="L206" s="200"/>
      <c r="M206" s="200"/>
      <c r="N206" s="200"/>
      <c r="O206" s="200"/>
      <c r="P206" s="200"/>
      <c r="Q206" s="200"/>
      <c r="R206" s="200"/>
      <c r="S206" s="200">
        <v>204</v>
      </c>
      <c r="T206" s="200">
        <v>150</v>
      </c>
      <c r="U206" s="200"/>
      <c r="V206" s="200"/>
      <c r="W206" s="274"/>
      <c r="X206" s="274"/>
      <c r="Y206" s="274"/>
    </row>
    <row r="207" spans="12:25" x14ac:dyDescent="0.2">
      <c r="L207" s="200"/>
      <c r="M207" s="200"/>
      <c r="N207" s="200"/>
      <c r="O207" s="200"/>
      <c r="P207" s="200"/>
      <c r="Q207" s="200"/>
      <c r="R207" s="200"/>
      <c r="S207" s="200">
        <v>205</v>
      </c>
      <c r="T207" s="200">
        <v>150</v>
      </c>
      <c r="U207" s="200"/>
      <c r="V207" s="200"/>
      <c r="W207" s="274"/>
      <c r="X207" s="274"/>
      <c r="Y207" s="274"/>
    </row>
    <row r="208" spans="12:25" x14ac:dyDescent="0.2">
      <c r="L208" s="200"/>
      <c r="M208" s="200"/>
      <c r="N208" s="200"/>
      <c r="O208" s="200"/>
      <c r="P208" s="200"/>
      <c r="Q208" s="200"/>
      <c r="R208" s="200"/>
      <c r="S208" s="200">
        <v>206</v>
      </c>
      <c r="T208" s="200">
        <v>150</v>
      </c>
      <c r="U208" s="200"/>
      <c r="V208" s="200"/>
      <c r="W208" s="274"/>
      <c r="X208" s="274"/>
      <c r="Y208" s="274"/>
    </row>
    <row r="209" spans="12:25" x14ac:dyDescent="0.2">
      <c r="L209" s="200"/>
      <c r="M209" s="200"/>
      <c r="N209" s="200"/>
      <c r="O209" s="200"/>
      <c r="P209" s="200"/>
      <c r="Q209" s="200"/>
      <c r="R209" s="200"/>
      <c r="S209" s="200">
        <v>207</v>
      </c>
      <c r="T209" s="200">
        <v>150</v>
      </c>
      <c r="U209" s="200"/>
      <c r="V209" s="200"/>
      <c r="W209" s="274"/>
      <c r="X209" s="274"/>
      <c r="Y209" s="274"/>
    </row>
    <row r="210" spans="12:25" x14ac:dyDescent="0.2">
      <c r="L210" s="200"/>
      <c r="M210" s="200"/>
      <c r="N210" s="200"/>
      <c r="O210" s="200"/>
      <c r="P210" s="200"/>
      <c r="Q210" s="200"/>
      <c r="R210" s="200"/>
      <c r="S210" s="200">
        <v>208</v>
      </c>
      <c r="T210" s="200">
        <v>150</v>
      </c>
      <c r="U210" s="200"/>
      <c r="V210" s="200"/>
      <c r="W210" s="274"/>
      <c r="X210" s="274"/>
      <c r="Y210" s="274"/>
    </row>
    <row r="211" spans="12:25" x14ac:dyDescent="0.2">
      <c r="L211" s="200"/>
      <c r="M211" s="200"/>
      <c r="N211" s="200"/>
      <c r="O211" s="200"/>
      <c r="P211" s="200"/>
      <c r="Q211" s="200"/>
      <c r="R211" s="200"/>
      <c r="S211" s="200">
        <v>209</v>
      </c>
      <c r="T211" s="200">
        <v>150</v>
      </c>
      <c r="U211" s="200"/>
      <c r="V211" s="200"/>
      <c r="W211" s="274"/>
      <c r="X211" s="274"/>
      <c r="Y211" s="274"/>
    </row>
    <row r="212" spans="12:25" x14ac:dyDescent="0.2">
      <c r="L212" s="200"/>
      <c r="M212" s="200"/>
      <c r="N212" s="200"/>
      <c r="O212" s="200"/>
      <c r="P212" s="200"/>
      <c r="Q212" s="200"/>
      <c r="R212" s="200"/>
      <c r="S212" s="200">
        <v>210</v>
      </c>
      <c r="T212" s="200">
        <v>150</v>
      </c>
      <c r="U212" s="200"/>
      <c r="V212" s="200"/>
      <c r="W212" s="274"/>
      <c r="X212" s="274"/>
      <c r="Y212" s="274"/>
    </row>
    <row r="213" spans="12:25" x14ac:dyDescent="0.2">
      <c r="L213" s="200"/>
      <c r="M213" s="200"/>
      <c r="N213" s="200"/>
      <c r="O213" s="200"/>
      <c r="P213" s="200"/>
      <c r="Q213" s="200"/>
      <c r="R213" s="200"/>
      <c r="S213" s="200">
        <v>211</v>
      </c>
      <c r="T213" s="200">
        <v>150</v>
      </c>
      <c r="U213" s="200"/>
      <c r="V213" s="200"/>
      <c r="W213" s="274"/>
      <c r="X213" s="274"/>
      <c r="Y213" s="274"/>
    </row>
    <row r="214" spans="12:25" x14ac:dyDescent="0.2">
      <c r="L214" s="200"/>
      <c r="M214" s="200"/>
      <c r="N214" s="200"/>
      <c r="O214" s="200"/>
      <c r="P214" s="200"/>
      <c r="Q214" s="200"/>
      <c r="R214" s="200"/>
      <c r="S214" s="200">
        <v>212</v>
      </c>
      <c r="T214" s="200">
        <v>150</v>
      </c>
      <c r="U214" s="200"/>
      <c r="V214" s="200"/>
      <c r="W214" s="274"/>
      <c r="X214" s="274"/>
      <c r="Y214" s="274"/>
    </row>
    <row r="215" spans="12:25" x14ac:dyDescent="0.2">
      <c r="L215" s="200"/>
      <c r="M215" s="200"/>
      <c r="N215" s="200"/>
      <c r="O215" s="200"/>
      <c r="P215" s="200"/>
      <c r="Q215" s="200"/>
      <c r="R215" s="200"/>
      <c r="S215" s="200">
        <v>213</v>
      </c>
      <c r="T215" s="200">
        <v>150</v>
      </c>
      <c r="U215" s="200"/>
      <c r="V215" s="200"/>
      <c r="W215" s="274"/>
      <c r="X215" s="274"/>
      <c r="Y215" s="274"/>
    </row>
    <row r="216" spans="12:25" x14ac:dyDescent="0.2">
      <c r="L216" s="200"/>
      <c r="M216" s="200"/>
      <c r="N216" s="200"/>
      <c r="O216" s="200"/>
      <c r="P216" s="200"/>
      <c r="Q216" s="200"/>
      <c r="R216" s="200"/>
      <c r="S216" s="200">
        <v>214</v>
      </c>
      <c r="T216" s="200">
        <v>150</v>
      </c>
      <c r="U216" s="200"/>
      <c r="V216" s="200"/>
      <c r="W216" s="274"/>
      <c r="X216" s="274"/>
      <c r="Y216" s="274"/>
    </row>
    <row r="217" spans="12:25" x14ac:dyDescent="0.2">
      <c r="L217" s="200"/>
      <c r="M217" s="200"/>
      <c r="N217" s="200"/>
      <c r="O217" s="200"/>
      <c r="P217" s="200"/>
      <c r="Q217" s="200"/>
      <c r="R217" s="200"/>
      <c r="S217" s="200">
        <v>215</v>
      </c>
      <c r="T217" s="200">
        <v>150</v>
      </c>
      <c r="U217" s="200"/>
      <c r="V217" s="200"/>
      <c r="W217" s="274"/>
      <c r="X217" s="274"/>
      <c r="Y217" s="274"/>
    </row>
    <row r="218" spans="12:25" x14ac:dyDescent="0.2">
      <c r="L218" s="200"/>
      <c r="M218" s="200"/>
      <c r="N218" s="200"/>
      <c r="O218" s="200"/>
      <c r="P218" s="200"/>
      <c r="Q218" s="200"/>
      <c r="R218" s="200"/>
      <c r="S218" s="200">
        <v>216</v>
      </c>
      <c r="T218" s="200">
        <v>150</v>
      </c>
      <c r="U218" s="200"/>
      <c r="V218" s="200"/>
      <c r="W218" s="274"/>
      <c r="X218" s="274"/>
      <c r="Y218" s="274"/>
    </row>
    <row r="219" spans="12:25" x14ac:dyDescent="0.2">
      <c r="L219" s="200"/>
      <c r="M219" s="200"/>
      <c r="N219" s="200"/>
      <c r="O219" s="200"/>
      <c r="P219" s="200"/>
      <c r="Q219" s="200"/>
      <c r="R219" s="200"/>
      <c r="S219" s="200">
        <v>217</v>
      </c>
      <c r="T219" s="200">
        <v>150</v>
      </c>
      <c r="U219" s="200"/>
      <c r="V219" s="200"/>
      <c r="W219" s="274"/>
      <c r="X219" s="274"/>
      <c r="Y219" s="274"/>
    </row>
    <row r="220" spans="12:25" x14ac:dyDescent="0.2">
      <c r="L220" s="200"/>
      <c r="M220" s="200"/>
      <c r="N220" s="200"/>
      <c r="O220" s="200"/>
      <c r="P220" s="200"/>
      <c r="Q220" s="200"/>
      <c r="R220" s="200"/>
      <c r="S220" s="200">
        <v>218</v>
      </c>
      <c r="T220" s="200">
        <v>150</v>
      </c>
      <c r="U220" s="200"/>
      <c r="V220" s="200"/>
      <c r="W220" s="274"/>
      <c r="X220" s="274"/>
      <c r="Y220" s="274"/>
    </row>
    <row r="221" spans="12:25" x14ac:dyDescent="0.2">
      <c r="L221" s="200"/>
      <c r="M221" s="200"/>
      <c r="N221" s="200"/>
      <c r="O221" s="200"/>
      <c r="P221" s="200"/>
      <c r="Q221" s="200"/>
      <c r="R221" s="200"/>
      <c r="S221" s="200">
        <v>219</v>
      </c>
      <c r="T221" s="200">
        <v>150</v>
      </c>
      <c r="U221" s="200"/>
      <c r="V221" s="200"/>
      <c r="W221" s="274"/>
      <c r="X221" s="274"/>
      <c r="Y221" s="274"/>
    </row>
    <row r="222" spans="12:25" x14ac:dyDescent="0.2">
      <c r="L222" s="200"/>
      <c r="M222" s="200"/>
      <c r="N222" s="200"/>
      <c r="O222" s="200"/>
      <c r="P222" s="200"/>
      <c r="Q222" s="200"/>
      <c r="R222" s="200"/>
      <c r="S222" s="200">
        <v>220</v>
      </c>
      <c r="T222" s="200">
        <v>150</v>
      </c>
      <c r="U222" s="200"/>
      <c r="V222" s="200"/>
      <c r="W222" s="274"/>
      <c r="X222" s="274"/>
      <c r="Y222" s="274"/>
    </row>
    <row r="223" spans="12:25" x14ac:dyDescent="0.2">
      <c r="L223" s="200"/>
      <c r="M223" s="200"/>
      <c r="N223" s="200"/>
      <c r="O223" s="200"/>
      <c r="P223" s="200"/>
      <c r="Q223" s="200"/>
      <c r="R223" s="200"/>
      <c r="S223" s="200">
        <v>221</v>
      </c>
      <c r="T223" s="200">
        <v>150</v>
      </c>
      <c r="U223" s="200"/>
      <c r="V223" s="200"/>
      <c r="W223" s="274"/>
      <c r="X223" s="274"/>
      <c r="Y223" s="274"/>
    </row>
    <row r="224" spans="12:25" x14ac:dyDescent="0.2">
      <c r="L224" s="200"/>
      <c r="M224" s="200"/>
      <c r="N224" s="200"/>
      <c r="O224" s="200"/>
      <c r="P224" s="200"/>
      <c r="Q224" s="200"/>
      <c r="R224" s="200"/>
      <c r="S224" s="200">
        <v>222</v>
      </c>
      <c r="T224" s="200">
        <v>150</v>
      </c>
      <c r="U224" s="200"/>
      <c r="V224" s="200"/>
      <c r="W224" s="274"/>
      <c r="X224" s="274"/>
      <c r="Y224" s="274"/>
    </row>
    <row r="225" spans="12:25" x14ac:dyDescent="0.2">
      <c r="L225" s="200"/>
      <c r="M225" s="200"/>
      <c r="N225" s="200"/>
      <c r="O225" s="200"/>
      <c r="P225" s="200"/>
      <c r="Q225" s="200"/>
      <c r="R225" s="200"/>
      <c r="S225" s="200">
        <v>223</v>
      </c>
      <c r="T225" s="200">
        <v>150</v>
      </c>
      <c r="U225" s="200"/>
      <c r="V225" s="200"/>
      <c r="W225" s="274"/>
      <c r="X225" s="274"/>
      <c r="Y225" s="274"/>
    </row>
    <row r="226" spans="12:25" x14ac:dyDescent="0.2">
      <c r="L226" s="200"/>
      <c r="M226" s="200"/>
      <c r="N226" s="200"/>
      <c r="O226" s="200"/>
      <c r="P226" s="200"/>
      <c r="Q226" s="200"/>
      <c r="R226" s="200"/>
      <c r="S226" s="200">
        <v>224</v>
      </c>
      <c r="T226" s="200">
        <v>150</v>
      </c>
      <c r="U226" s="200"/>
      <c r="V226" s="200"/>
      <c r="W226" s="274"/>
      <c r="X226" s="274"/>
      <c r="Y226" s="274"/>
    </row>
    <row r="227" spans="12:25" x14ac:dyDescent="0.2">
      <c r="L227" s="200"/>
      <c r="M227" s="200"/>
      <c r="N227" s="200"/>
      <c r="O227" s="200"/>
      <c r="P227" s="200"/>
      <c r="Q227" s="200"/>
      <c r="R227" s="200"/>
      <c r="S227" s="200">
        <v>225</v>
      </c>
      <c r="T227" s="200">
        <v>150</v>
      </c>
      <c r="U227" s="200"/>
      <c r="V227" s="200"/>
      <c r="W227" s="274"/>
      <c r="X227" s="274"/>
      <c r="Y227" s="274"/>
    </row>
    <row r="228" spans="12:25" x14ac:dyDescent="0.2">
      <c r="L228" s="200"/>
      <c r="M228" s="200"/>
      <c r="N228" s="200"/>
      <c r="O228" s="200"/>
      <c r="P228" s="200"/>
      <c r="Q228" s="200"/>
      <c r="R228" s="200"/>
      <c r="S228" s="200">
        <v>226</v>
      </c>
      <c r="T228" s="200">
        <v>150</v>
      </c>
      <c r="U228" s="200"/>
      <c r="V228" s="200"/>
      <c r="W228" s="274"/>
      <c r="X228" s="274"/>
      <c r="Y228" s="274"/>
    </row>
    <row r="229" spans="12:25" x14ac:dyDescent="0.2">
      <c r="L229" s="200"/>
      <c r="M229" s="200"/>
      <c r="N229" s="200"/>
      <c r="O229" s="200"/>
      <c r="P229" s="200"/>
      <c r="Q229" s="200"/>
      <c r="R229" s="200"/>
      <c r="S229" s="200">
        <v>227</v>
      </c>
      <c r="T229" s="200">
        <v>150</v>
      </c>
      <c r="U229" s="200"/>
      <c r="V229" s="200"/>
      <c r="W229" s="274"/>
      <c r="X229" s="274"/>
      <c r="Y229" s="274"/>
    </row>
    <row r="230" spans="12:25" x14ac:dyDescent="0.2">
      <c r="L230" s="200"/>
      <c r="M230" s="200"/>
      <c r="N230" s="200"/>
      <c r="O230" s="200"/>
      <c r="P230" s="200"/>
      <c r="Q230" s="200"/>
      <c r="R230" s="200"/>
      <c r="S230" s="200">
        <v>228</v>
      </c>
      <c r="T230" s="200">
        <v>150</v>
      </c>
      <c r="U230" s="200"/>
      <c r="V230" s="200"/>
      <c r="W230" s="274"/>
      <c r="X230" s="274"/>
      <c r="Y230" s="274"/>
    </row>
    <row r="231" spans="12:25" x14ac:dyDescent="0.2">
      <c r="L231" s="200"/>
      <c r="M231" s="200"/>
      <c r="N231" s="200"/>
      <c r="O231" s="200"/>
      <c r="P231" s="200"/>
      <c r="Q231" s="200"/>
      <c r="R231" s="200"/>
      <c r="S231" s="200">
        <v>229</v>
      </c>
      <c r="T231" s="200">
        <v>150</v>
      </c>
      <c r="U231" s="200"/>
      <c r="V231" s="200"/>
      <c r="W231" s="274"/>
      <c r="X231" s="274"/>
      <c r="Y231" s="274"/>
    </row>
    <row r="232" spans="12:25" x14ac:dyDescent="0.2">
      <c r="L232" s="200"/>
      <c r="M232" s="200"/>
      <c r="N232" s="200"/>
      <c r="O232" s="200"/>
      <c r="P232" s="200"/>
      <c r="Q232" s="200"/>
      <c r="R232" s="200"/>
      <c r="S232" s="200">
        <v>230</v>
      </c>
      <c r="T232" s="200">
        <v>150</v>
      </c>
      <c r="U232" s="200"/>
      <c r="V232" s="200"/>
      <c r="W232" s="274"/>
      <c r="X232" s="274"/>
      <c r="Y232" s="274"/>
    </row>
    <row r="233" spans="12:25" x14ac:dyDescent="0.2">
      <c r="L233" s="200"/>
      <c r="M233" s="200"/>
      <c r="N233" s="200"/>
      <c r="O233" s="200"/>
      <c r="P233" s="200"/>
      <c r="Q233" s="200"/>
      <c r="R233" s="200"/>
      <c r="S233" s="200">
        <v>231</v>
      </c>
      <c r="T233" s="200">
        <v>150</v>
      </c>
      <c r="U233" s="200"/>
      <c r="V233" s="200"/>
      <c r="W233" s="274"/>
      <c r="X233" s="274"/>
      <c r="Y233" s="274"/>
    </row>
    <row r="234" spans="12:25" x14ac:dyDescent="0.2">
      <c r="L234" s="200"/>
      <c r="M234" s="200"/>
      <c r="N234" s="200"/>
      <c r="O234" s="200"/>
      <c r="P234" s="200"/>
      <c r="Q234" s="200"/>
      <c r="R234" s="200"/>
      <c r="S234" s="200">
        <v>232</v>
      </c>
      <c r="T234" s="200">
        <v>150</v>
      </c>
      <c r="U234" s="200"/>
      <c r="V234" s="200"/>
      <c r="W234" s="274"/>
      <c r="X234" s="274"/>
      <c r="Y234" s="274"/>
    </row>
    <row r="235" spans="12:25" x14ac:dyDescent="0.2">
      <c r="L235" s="200"/>
      <c r="M235" s="200"/>
      <c r="N235" s="200"/>
      <c r="O235" s="200"/>
      <c r="P235" s="200"/>
      <c r="Q235" s="200"/>
      <c r="R235" s="200"/>
      <c r="S235" s="200">
        <v>233</v>
      </c>
      <c r="T235" s="200">
        <v>150</v>
      </c>
      <c r="U235" s="200"/>
      <c r="V235" s="200"/>
      <c r="W235" s="274"/>
      <c r="X235" s="274"/>
      <c r="Y235" s="274"/>
    </row>
    <row r="236" spans="12:25" x14ac:dyDescent="0.2">
      <c r="L236" s="200"/>
      <c r="M236" s="200"/>
      <c r="N236" s="200"/>
      <c r="O236" s="200"/>
      <c r="P236" s="200"/>
      <c r="Q236" s="200"/>
      <c r="R236" s="200"/>
      <c r="S236" s="200">
        <v>234</v>
      </c>
      <c r="T236" s="200">
        <v>150</v>
      </c>
      <c r="U236" s="200"/>
      <c r="V236" s="200"/>
      <c r="W236" s="274"/>
      <c r="X236" s="274"/>
      <c r="Y236" s="274"/>
    </row>
    <row r="237" spans="12:25" x14ac:dyDescent="0.2">
      <c r="L237" s="200"/>
      <c r="M237" s="200"/>
      <c r="N237" s="200"/>
      <c r="O237" s="200"/>
      <c r="P237" s="200"/>
      <c r="Q237" s="200"/>
      <c r="R237" s="200"/>
      <c r="S237" s="200">
        <v>235</v>
      </c>
      <c r="T237" s="200">
        <v>150</v>
      </c>
      <c r="U237" s="200"/>
      <c r="V237" s="200"/>
      <c r="W237" s="274"/>
      <c r="X237" s="274"/>
      <c r="Y237" s="274"/>
    </row>
    <row r="238" spans="12:25" x14ac:dyDescent="0.2">
      <c r="L238" s="200"/>
      <c r="M238" s="200"/>
      <c r="N238" s="200"/>
      <c r="O238" s="200"/>
      <c r="P238" s="200"/>
      <c r="Q238" s="200"/>
      <c r="R238" s="200"/>
      <c r="S238" s="200">
        <v>236</v>
      </c>
      <c r="T238" s="200">
        <v>150</v>
      </c>
      <c r="U238" s="200"/>
      <c r="V238" s="200"/>
      <c r="W238" s="274"/>
      <c r="X238" s="274"/>
      <c r="Y238" s="274"/>
    </row>
    <row r="239" spans="12:25" x14ac:dyDescent="0.2">
      <c r="L239" s="200"/>
      <c r="M239" s="200"/>
      <c r="N239" s="200"/>
      <c r="O239" s="200"/>
      <c r="P239" s="200"/>
      <c r="Q239" s="200"/>
      <c r="R239" s="200"/>
      <c r="S239" s="200">
        <v>237</v>
      </c>
      <c r="T239" s="200">
        <v>150</v>
      </c>
      <c r="U239" s="200"/>
      <c r="V239" s="200"/>
      <c r="W239" s="274"/>
      <c r="X239" s="274"/>
      <c r="Y239" s="274"/>
    </row>
    <row r="240" spans="12:25" x14ac:dyDescent="0.2">
      <c r="L240" s="200"/>
      <c r="M240" s="200"/>
      <c r="N240" s="200"/>
      <c r="O240" s="200"/>
      <c r="P240" s="200"/>
      <c r="Q240" s="200"/>
      <c r="R240" s="200"/>
      <c r="S240" s="200">
        <v>238</v>
      </c>
      <c r="T240" s="200">
        <v>150</v>
      </c>
      <c r="U240" s="200"/>
      <c r="V240" s="200"/>
      <c r="W240" s="274"/>
      <c r="X240" s="274"/>
      <c r="Y240" s="274"/>
    </row>
    <row r="241" spans="12:25" x14ac:dyDescent="0.2">
      <c r="L241" s="200"/>
      <c r="M241" s="200"/>
      <c r="N241" s="200"/>
      <c r="O241" s="200"/>
      <c r="P241" s="200"/>
      <c r="Q241" s="200"/>
      <c r="R241" s="200"/>
      <c r="S241" s="200">
        <v>239</v>
      </c>
      <c r="T241" s="200">
        <v>150</v>
      </c>
      <c r="U241" s="200"/>
      <c r="V241" s="200"/>
      <c r="W241" s="274"/>
      <c r="X241" s="274"/>
      <c r="Y241" s="274"/>
    </row>
    <row r="242" spans="12:25" x14ac:dyDescent="0.2">
      <c r="L242" s="200"/>
      <c r="M242" s="200"/>
      <c r="N242" s="200"/>
      <c r="O242" s="200"/>
      <c r="P242" s="200"/>
      <c r="Q242" s="200"/>
      <c r="R242" s="200"/>
      <c r="S242" s="200">
        <v>240</v>
      </c>
      <c r="T242" s="200">
        <v>150</v>
      </c>
      <c r="U242" s="200"/>
      <c r="V242" s="200"/>
      <c r="W242" s="274"/>
      <c r="X242" s="274"/>
      <c r="Y242" s="274"/>
    </row>
    <row r="243" spans="12:25" x14ac:dyDescent="0.2">
      <c r="L243" s="200"/>
      <c r="M243" s="200"/>
      <c r="N243" s="200"/>
      <c r="O243" s="200"/>
      <c r="P243" s="200"/>
      <c r="Q243" s="200"/>
      <c r="R243" s="200"/>
      <c r="S243" s="200">
        <v>241</v>
      </c>
      <c r="T243" s="200">
        <v>150</v>
      </c>
      <c r="U243" s="200"/>
      <c r="V243" s="200"/>
      <c r="W243" s="274"/>
      <c r="X243" s="274"/>
      <c r="Y243" s="274"/>
    </row>
    <row r="244" spans="12:25" x14ac:dyDescent="0.2">
      <c r="L244" s="200"/>
      <c r="M244" s="200"/>
      <c r="N244" s="200"/>
      <c r="O244" s="200"/>
      <c r="P244" s="200"/>
      <c r="Q244" s="200"/>
      <c r="R244" s="200"/>
      <c r="S244" s="200">
        <v>242</v>
      </c>
      <c r="T244" s="200">
        <v>150</v>
      </c>
      <c r="U244" s="200"/>
      <c r="V244" s="200"/>
      <c r="W244" s="274"/>
      <c r="X244" s="274"/>
      <c r="Y244" s="274"/>
    </row>
    <row r="245" spans="12:25" x14ac:dyDescent="0.2">
      <c r="L245" s="200"/>
      <c r="M245" s="200"/>
      <c r="N245" s="200"/>
      <c r="O245" s="200"/>
      <c r="P245" s="200"/>
      <c r="Q245" s="200"/>
      <c r="R245" s="200"/>
      <c r="S245" s="200">
        <v>243</v>
      </c>
      <c r="T245" s="200">
        <v>150</v>
      </c>
      <c r="U245" s="200"/>
      <c r="V245" s="200"/>
      <c r="W245" s="274"/>
      <c r="X245" s="274"/>
      <c r="Y245" s="274"/>
    </row>
    <row r="246" spans="12:25" x14ac:dyDescent="0.2">
      <c r="L246" s="200"/>
      <c r="M246" s="200"/>
      <c r="N246" s="200"/>
      <c r="O246" s="200"/>
      <c r="P246" s="200"/>
      <c r="Q246" s="200"/>
      <c r="R246" s="200"/>
      <c r="S246" s="200">
        <v>244</v>
      </c>
      <c r="T246" s="200">
        <v>150</v>
      </c>
      <c r="U246" s="200"/>
      <c r="V246" s="200"/>
      <c r="W246" s="274"/>
      <c r="X246" s="274"/>
      <c r="Y246" s="274"/>
    </row>
    <row r="247" spans="12:25" x14ac:dyDescent="0.2">
      <c r="L247" s="200"/>
      <c r="M247" s="200"/>
      <c r="N247" s="200"/>
      <c r="O247" s="200"/>
      <c r="P247" s="200"/>
      <c r="Q247" s="200"/>
      <c r="R247" s="200"/>
      <c r="S247" s="200">
        <v>245</v>
      </c>
      <c r="T247" s="200">
        <v>150</v>
      </c>
      <c r="U247" s="200"/>
      <c r="V247" s="200"/>
      <c r="W247" s="274"/>
      <c r="X247" s="274"/>
      <c r="Y247" s="274"/>
    </row>
    <row r="248" spans="12:25" x14ac:dyDescent="0.2">
      <c r="L248" s="200"/>
      <c r="M248" s="200"/>
      <c r="N248" s="200"/>
      <c r="O248" s="200"/>
      <c r="P248" s="200"/>
      <c r="Q248" s="200"/>
      <c r="R248" s="200"/>
      <c r="S248" s="200">
        <v>246</v>
      </c>
      <c r="T248" s="200">
        <v>150</v>
      </c>
      <c r="U248" s="200"/>
      <c r="V248" s="200"/>
      <c r="W248" s="274"/>
      <c r="X248" s="274"/>
      <c r="Y248" s="274"/>
    </row>
    <row r="249" spans="12:25" x14ac:dyDescent="0.2">
      <c r="L249" s="200"/>
      <c r="M249" s="200"/>
      <c r="N249" s="200"/>
      <c r="O249" s="200"/>
      <c r="P249" s="200"/>
      <c r="Q249" s="200"/>
      <c r="R249" s="200"/>
      <c r="S249" s="200">
        <v>247</v>
      </c>
      <c r="T249" s="200">
        <v>150</v>
      </c>
      <c r="U249" s="200"/>
      <c r="V249" s="200"/>
      <c r="W249" s="274"/>
      <c r="X249" s="274"/>
      <c r="Y249" s="274"/>
    </row>
    <row r="250" spans="12:25" x14ac:dyDescent="0.2">
      <c r="L250" s="200"/>
      <c r="M250" s="200"/>
      <c r="N250" s="200"/>
      <c r="O250" s="200"/>
      <c r="P250" s="200"/>
      <c r="Q250" s="200"/>
      <c r="R250" s="200"/>
      <c r="S250" s="200">
        <v>248</v>
      </c>
      <c r="T250" s="200">
        <v>150</v>
      </c>
      <c r="U250" s="200"/>
      <c r="V250" s="200"/>
      <c r="W250" s="274"/>
      <c r="X250" s="274"/>
      <c r="Y250" s="274"/>
    </row>
    <row r="251" spans="12:25" x14ac:dyDescent="0.2">
      <c r="L251" s="200"/>
      <c r="M251" s="200"/>
      <c r="N251" s="200"/>
      <c r="O251" s="200"/>
      <c r="P251" s="200"/>
      <c r="Q251" s="200"/>
      <c r="R251" s="200"/>
      <c r="S251" s="200">
        <v>249</v>
      </c>
      <c r="T251" s="200">
        <v>150</v>
      </c>
      <c r="U251" s="200"/>
      <c r="V251" s="200"/>
      <c r="W251" s="274"/>
      <c r="X251" s="274"/>
      <c r="Y251" s="274"/>
    </row>
    <row r="252" spans="12:25" x14ac:dyDescent="0.2">
      <c r="L252" s="200"/>
      <c r="M252" s="200"/>
      <c r="N252" s="200"/>
      <c r="O252" s="200"/>
      <c r="P252" s="200"/>
      <c r="Q252" s="200"/>
      <c r="R252" s="200"/>
      <c r="S252" s="200">
        <v>250</v>
      </c>
      <c r="T252" s="200">
        <v>150</v>
      </c>
      <c r="U252" s="200"/>
      <c r="V252" s="200"/>
      <c r="W252" s="274"/>
      <c r="X252" s="274"/>
      <c r="Y252" s="274"/>
    </row>
    <row r="253" spans="12:25" x14ac:dyDescent="0.2">
      <c r="L253" s="200"/>
      <c r="M253" s="200"/>
      <c r="N253" s="200"/>
      <c r="O253" s="200"/>
      <c r="P253" s="200"/>
      <c r="Q253" s="200"/>
      <c r="R253" s="200"/>
      <c r="S253" s="200">
        <v>251</v>
      </c>
      <c r="T253" s="200">
        <v>150</v>
      </c>
      <c r="U253" s="200"/>
      <c r="V253" s="200"/>
      <c r="W253" s="274"/>
      <c r="X253" s="274"/>
      <c r="Y253" s="274"/>
    </row>
    <row r="254" spans="12:25" x14ac:dyDescent="0.2">
      <c r="L254" s="200"/>
      <c r="M254" s="200"/>
      <c r="N254" s="200"/>
      <c r="O254" s="200"/>
      <c r="P254" s="200"/>
      <c r="Q254" s="200"/>
      <c r="R254" s="200"/>
      <c r="S254" s="200">
        <v>252</v>
      </c>
      <c r="T254" s="200">
        <v>150</v>
      </c>
      <c r="U254" s="200"/>
      <c r="V254" s="200"/>
      <c r="W254" s="274"/>
      <c r="X254" s="274"/>
      <c r="Y254" s="274"/>
    </row>
    <row r="255" spans="12:25" x14ac:dyDescent="0.2">
      <c r="L255" s="200"/>
      <c r="M255" s="200"/>
      <c r="N255" s="200"/>
      <c r="O255" s="200"/>
      <c r="P255" s="200"/>
      <c r="Q255" s="200"/>
      <c r="R255" s="200"/>
      <c r="S255" s="200">
        <v>253</v>
      </c>
      <c r="T255" s="200">
        <v>150</v>
      </c>
      <c r="U255" s="200"/>
      <c r="V255" s="200"/>
      <c r="W255" s="274"/>
      <c r="X255" s="274"/>
      <c r="Y255" s="274"/>
    </row>
    <row r="256" spans="12:25" x14ac:dyDescent="0.2">
      <c r="L256" s="200"/>
      <c r="M256" s="200"/>
      <c r="N256" s="200"/>
      <c r="O256" s="200"/>
      <c r="P256" s="200"/>
      <c r="Q256" s="200"/>
      <c r="R256" s="200"/>
      <c r="S256" s="200">
        <v>254</v>
      </c>
      <c r="T256" s="200">
        <v>150</v>
      </c>
      <c r="U256" s="200"/>
      <c r="V256" s="200"/>
      <c r="W256" s="274"/>
      <c r="X256" s="274"/>
      <c r="Y256" s="274"/>
    </row>
    <row r="257" spans="12:25" x14ac:dyDescent="0.2">
      <c r="L257" s="200"/>
      <c r="M257" s="200"/>
      <c r="N257" s="200"/>
      <c r="O257" s="200"/>
      <c r="P257" s="200"/>
      <c r="Q257" s="200"/>
      <c r="R257" s="200"/>
      <c r="S257" s="200">
        <v>255</v>
      </c>
      <c r="T257" s="200">
        <v>150</v>
      </c>
      <c r="U257" s="200"/>
      <c r="V257" s="200"/>
      <c r="W257" s="274"/>
      <c r="X257" s="274"/>
      <c r="Y257" s="274"/>
    </row>
    <row r="258" spans="12:25" x14ac:dyDescent="0.2">
      <c r="L258" s="200"/>
      <c r="M258" s="200"/>
      <c r="N258" s="200"/>
      <c r="O258" s="200"/>
      <c r="P258" s="200"/>
      <c r="Q258" s="200"/>
      <c r="R258" s="200"/>
      <c r="S258" s="200">
        <v>256</v>
      </c>
      <c r="T258" s="200">
        <v>150</v>
      </c>
      <c r="U258" s="200"/>
      <c r="V258" s="200"/>
      <c r="W258" s="274"/>
      <c r="X258" s="274"/>
      <c r="Y258" s="274"/>
    </row>
    <row r="259" spans="12:25" x14ac:dyDescent="0.2">
      <c r="L259" s="200"/>
      <c r="M259" s="200"/>
      <c r="N259" s="200"/>
      <c r="O259" s="200"/>
      <c r="P259" s="200"/>
      <c r="Q259" s="200"/>
      <c r="R259" s="200"/>
      <c r="S259" s="200">
        <v>257</v>
      </c>
      <c r="T259" s="200">
        <v>150</v>
      </c>
      <c r="U259" s="200"/>
      <c r="V259" s="200"/>
      <c r="W259" s="274"/>
      <c r="X259" s="274"/>
      <c r="Y259" s="274"/>
    </row>
    <row r="260" spans="12:25" x14ac:dyDescent="0.2">
      <c r="L260" s="200"/>
      <c r="M260" s="200"/>
      <c r="N260" s="200"/>
      <c r="O260" s="200"/>
      <c r="P260" s="200"/>
      <c r="Q260" s="200"/>
      <c r="R260" s="200"/>
      <c r="S260" s="200">
        <v>258</v>
      </c>
      <c r="T260" s="200">
        <v>150</v>
      </c>
      <c r="U260" s="200"/>
      <c r="V260" s="200"/>
      <c r="W260" s="274"/>
      <c r="X260" s="274"/>
      <c r="Y260" s="274"/>
    </row>
    <row r="261" spans="12:25" x14ac:dyDescent="0.2">
      <c r="L261" s="200"/>
      <c r="M261" s="200"/>
      <c r="N261" s="200"/>
      <c r="O261" s="200"/>
      <c r="P261" s="200"/>
      <c r="Q261" s="200"/>
      <c r="R261" s="200"/>
      <c r="S261" s="200">
        <v>259</v>
      </c>
      <c r="T261" s="200">
        <v>150</v>
      </c>
      <c r="U261" s="200"/>
      <c r="V261" s="200"/>
      <c r="W261" s="274"/>
      <c r="X261" s="274"/>
      <c r="Y261" s="274"/>
    </row>
    <row r="262" spans="12:25" x14ac:dyDescent="0.2">
      <c r="L262" s="200"/>
      <c r="M262" s="200"/>
      <c r="N262" s="200"/>
      <c r="O262" s="200"/>
      <c r="P262" s="200"/>
      <c r="Q262" s="200"/>
      <c r="R262" s="200"/>
      <c r="S262" s="200">
        <v>260</v>
      </c>
      <c r="T262" s="200">
        <v>150</v>
      </c>
      <c r="U262" s="200"/>
      <c r="V262" s="200"/>
      <c r="W262" s="274"/>
      <c r="X262" s="274"/>
      <c r="Y262" s="274"/>
    </row>
    <row r="263" spans="12:25" x14ac:dyDescent="0.2">
      <c r="L263" s="200"/>
      <c r="M263" s="200"/>
      <c r="N263" s="200"/>
      <c r="O263" s="200"/>
      <c r="P263" s="200"/>
      <c r="Q263" s="200"/>
      <c r="R263" s="200"/>
      <c r="S263" s="200">
        <v>261</v>
      </c>
      <c r="T263" s="200">
        <v>150</v>
      </c>
      <c r="U263" s="200"/>
      <c r="V263" s="200"/>
      <c r="W263" s="274"/>
      <c r="X263" s="274"/>
      <c r="Y263" s="274"/>
    </row>
    <row r="264" spans="12:25" x14ac:dyDescent="0.2">
      <c r="L264" s="200"/>
      <c r="M264" s="200"/>
      <c r="N264" s="200"/>
      <c r="O264" s="200"/>
      <c r="P264" s="200"/>
      <c r="Q264" s="200"/>
      <c r="R264" s="200"/>
      <c r="S264" s="200">
        <v>262</v>
      </c>
      <c r="T264" s="200">
        <v>150</v>
      </c>
      <c r="U264" s="200"/>
      <c r="V264" s="200"/>
      <c r="W264" s="274"/>
      <c r="X264" s="274"/>
      <c r="Y264" s="274"/>
    </row>
    <row r="265" spans="12:25" x14ac:dyDescent="0.2">
      <c r="L265" s="200"/>
      <c r="M265" s="200"/>
      <c r="N265" s="200"/>
      <c r="O265" s="200"/>
      <c r="P265" s="200"/>
      <c r="Q265" s="200"/>
      <c r="R265" s="200"/>
      <c r="S265" s="200">
        <v>263</v>
      </c>
      <c r="T265" s="200">
        <v>150</v>
      </c>
      <c r="U265" s="200"/>
      <c r="V265" s="200"/>
      <c r="W265" s="274"/>
      <c r="X265" s="274"/>
      <c r="Y265" s="274"/>
    </row>
    <row r="266" spans="12:25" x14ac:dyDescent="0.2">
      <c r="L266" s="200"/>
      <c r="M266" s="200"/>
      <c r="N266" s="200"/>
      <c r="O266" s="200"/>
      <c r="P266" s="200"/>
      <c r="Q266" s="200"/>
      <c r="R266" s="200"/>
      <c r="S266" s="200">
        <v>264</v>
      </c>
      <c r="T266" s="200">
        <v>150</v>
      </c>
      <c r="U266" s="200"/>
      <c r="V266" s="200"/>
      <c r="W266" s="274"/>
      <c r="X266" s="274"/>
      <c r="Y266" s="274"/>
    </row>
    <row r="267" spans="12:25" x14ac:dyDescent="0.2">
      <c r="L267" s="200"/>
      <c r="M267" s="200"/>
      <c r="N267" s="200"/>
      <c r="O267" s="200"/>
      <c r="P267" s="200"/>
      <c r="Q267" s="200"/>
      <c r="R267" s="200"/>
      <c r="S267" s="200">
        <v>265</v>
      </c>
      <c r="T267" s="200">
        <v>150</v>
      </c>
      <c r="U267" s="200"/>
      <c r="V267" s="200"/>
      <c r="W267" s="274"/>
      <c r="X267" s="274"/>
      <c r="Y267" s="274"/>
    </row>
    <row r="268" spans="12:25" x14ac:dyDescent="0.2">
      <c r="L268" s="200"/>
      <c r="M268" s="200"/>
      <c r="N268" s="200"/>
      <c r="O268" s="200"/>
      <c r="P268" s="200"/>
      <c r="Q268" s="200"/>
      <c r="R268" s="200"/>
      <c r="S268" s="200">
        <v>266</v>
      </c>
      <c r="T268" s="200">
        <v>150</v>
      </c>
      <c r="U268" s="200"/>
      <c r="V268" s="200"/>
      <c r="W268" s="274"/>
      <c r="X268" s="274"/>
      <c r="Y268" s="274"/>
    </row>
    <row r="269" spans="12:25" x14ac:dyDescent="0.2">
      <c r="L269" s="200"/>
      <c r="M269" s="200"/>
      <c r="N269" s="200"/>
      <c r="O269" s="200"/>
      <c r="P269" s="200"/>
      <c r="Q269" s="200"/>
      <c r="R269" s="200"/>
      <c r="S269" s="200">
        <v>267</v>
      </c>
      <c r="T269" s="200">
        <v>150</v>
      </c>
      <c r="U269" s="200"/>
      <c r="V269" s="200"/>
      <c r="W269" s="274"/>
      <c r="X269" s="274"/>
      <c r="Y269" s="274"/>
    </row>
    <row r="270" spans="12:25" x14ac:dyDescent="0.2">
      <c r="L270" s="200"/>
      <c r="M270" s="200"/>
      <c r="N270" s="200"/>
      <c r="O270" s="200"/>
      <c r="P270" s="200"/>
      <c r="Q270" s="200"/>
      <c r="R270" s="200"/>
      <c r="S270" s="200">
        <v>268</v>
      </c>
      <c r="T270" s="200">
        <v>150</v>
      </c>
      <c r="U270" s="200"/>
      <c r="V270" s="200"/>
      <c r="W270" s="274"/>
      <c r="X270" s="274"/>
      <c r="Y270" s="274"/>
    </row>
    <row r="271" spans="12:25" x14ac:dyDescent="0.2">
      <c r="L271" s="200"/>
      <c r="M271" s="200"/>
      <c r="N271" s="200"/>
      <c r="O271" s="200"/>
      <c r="P271" s="200"/>
      <c r="Q271" s="200"/>
      <c r="R271" s="200"/>
      <c r="S271" s="200">
        <v>269</v>
      </c>
      <c r="T271" s="200">
        <v>150</v>
      </c>
      <c r="U271" s="200"/>
      <c r="V271" s="200"/>
      <c r="W271" s="274"/>
      <c r="X271" s="274"/>
      <c r="Y271" s="274"/>
    </row>
    <row r="272" spans="12:25" x14ac:dyDescent="0.2">
      <c r="L272" s="200"/>
      <c r="M272" s="200"/>
      <c r="N272" s="200"/>
      <c r="O272" s="200"/>
      <c r="P272" s="200"/>
      <c r="Q272" s="200"/>
      <c r="R272" s="200"/>
      <c r="S272" s="200">
        <v>270</v>
      </c>
      <c r="T272" s="200">
        <v>150</v>
      </c>
      <c r="U272" s="200"/>
      <c r="V272" s="200"/>
      <c r="W272" s="274"/>
      <c r="X272" s="274"/>
      <c r="Y272" s="274"/>
    </row>
    <row r="273" spans="12:25" x14ac:dyDescent="0.2">
      <c r="L273" s="200"/>
      <c r="M273" s="200"/>
      <c r="N273" s="200"/>
      <c r="O273" s="200"/>
      <c r="P273" s="200"/>
      <c r="Q273" s="200"/>
      <c r="R273" s="200"/>
      <c r="S273" s="200">
        <v>271</v>
      </c>
      <c r="T273" s="200">
        <v>150</v>
      </c>
      <c r="U273" s="200"/>
      <c r="V273" s="200"/>
      <c r="W273" s="274"/>
      <c r="X273" s="274"/>
      <c r="Y273" s="274"/>
    </row>
    <row r="274" spans="12:25" x14ac:dyDescent="0.2">
      <c r="L274" s="200"/>
      <c r="M274" s="200"/>
      <c r="N274" s="200"/>
      <c r="O274" s="200"/>
      <c r="P274" s="200"/>
      <c r="Q274" s="200"/>
      <c r="R274" s="200"/>
      <c r="S274" s="200">
        <v>272</v>
      </c>
      <c r="T274" s="200">
        <v>150</v>
      </c>
      <c r="U274" s="200"/>
      <c r="V274" s="200"/>
      <c r="W274" s="274"/>
      <c r="X274" s="274"/>
      <c r="Y274" s="274"/>
    </row>
    <row r="275" spans="12:25" x14ac:dyDescent="0.2">
      <c r="L275" s="200"/>
      <c r="M275" s="200"/>
      <c r="N275" s="200"/>
      <c r="O275" s="200"/>
      <c r="P275" s="200"/>
      <c r="Q275" s="200"/>
      <c r="R275" s="200"/>
      <c r="S275" s="200">
        <v>273</v>
      </c>
      <c r="T275" s="200">
        <v>150</v>
      </c>
      <c r="U275" s="200"/>
      <c r="V275" s="200"/>
      <c r="W275" s="274"/>
      <c r="X275" s="274"/>
      <c r="Y275" s="274"/>
    </row>
    <row r="276" spans="12:25" x14ac:dyDescent="0.2">
      <c r="L276" s="200"/>
      <c r="M276" s="200"/>
      <c r="N276" s="200"/>
      <c r="O276" s="200"/>
      <c r="P276" s="200"/>
      <c r="Q276" s="200"/>
      <c r="R276" s="200"/>
      <c r="S276" s="200">
        <v>274</v>
      </c>
      <c r="T276" s="200">
        <v>150</v>
      </c>
      <c r="U276" s="200"/>
      <c r="V276" s="200"/>
      <c r="W276" s="274"/>
      <c r="X276" s="274"/>
      <c r="Y276" s="274"/>
    </row>
    <row r="277" spans="12:25" x14ac:dyDescent="0.2">
      <c r="L277" s="200"/>
      <c r="M277" s="200"/>
      <c r="N277" s="200"/>
      <c r="O277" s="200"/>
      <c r="P277" s="200"/>
      <c r="Q277" s="200"/>
      <c r="R277" s="200"/>
      <c r="S277" s="200">
        <v>275</v>
      </c>
      <c r="T277" s="200">
        <v>150</v>
      </c>
      <c r="U277" s="200"/>
      <c r="V277" s="200"/>
      <c r="W277" s="274"/>
      <c r="X277" s="274"/>
      <c r="Y277" s="274"/>
    </row>
    <row r="278" spans="12:25" x14ac:dyDescent="0.2">
      <c r="L278" s="200"/>
      <c r="M278" s="200"/>
      <c r="N278" s="200"/>
      <c r="O278" s="200"/>
      <c r="P278" s="200"/>
      <c r="Q278" s="200"/>
      <c r="R278" s="200"/>
      <c r="S278" s="200">
        <v>276</v>
      </c>
      <c r="T278" s="200">
        <v>150</v>
      </c>
      <c r="U278" s="200"/>
      <c r="V278" s="200"/>
      <c r="W278" s="274"/>
      <c r="X278" s="274"/>
      <c r="Y278" s="274"/>
    </row>
    <row r="279" spans="12:25" x14ac:dyDescent="0.2">
      <c r="L279" s="200"/>
      <c r="M279" s="200"/>
      <c r="N279" s="200"/>
      <c r="O279" s="200"/>
      <c r="P279" s="200"/>
      <c r="Q279" s="200"/>
      <c r="R279" s="200"/>
      <c r="S279" s="200">
        <v>277</v>
      </c>
      <c r="T279" s="200">
        <v>150</v>
      </c>
      <c r="U279" s="200"/>
      <c r="V279" s="200"/>
      <c r="W279" s="274"/>
      <c r="X279" s="274"/>
      <c r="Y279" s="274"/>
    </row>
    <row r="280" spans="12:25" x14ac:dyDescent="0.2">
      <c r="L280" s="200"/>
      <c r="M280" s="200"/>
      <c r="N280" s="200"/>
      <c r="O280" s="200"/>
      <c r="P280" s="200"/>
      <c r="Q280" s="200"/>
      <c r="R280" s="200"/>
      <c r="S280" s="200">
        <v>278</v>
      </c>
      <c r="T280" s="200">
        <v>150</v>
      </c>
      <c r="U280" s="200"/>
      <c r="V280" s="200"/>
      <c r="W280" s="274"/>
      <c r="X280" s="274"/>
      <c r="Y280" s="274"/>
    </row>
    <row r="281" spans="12:25" x14ac:dyDescent="0.2">
      <c r="L281" s="200"/>
      <c r="M281" s="200"/>
      <c r="N281" s="200"/>
      <c r="O281" s="200"/>
      <c r="P281" s="200"/>
      <c r="Q281" s="200"/>
      <c r="R281" s="200"/>
      <c r="S281" s="200">
        <v>279</v>
      </c>
      <c r="T281" s="200">
        <v>150</v>
      </c>
      <c r="U281" s="200"/>
      <c r="V281" s="200"/>
      <c r="W281" s="274"/>
      <c r="X281" s="274"/>
      <c r="Y281" s="274"/>
    </row>
    <row r="282" spans="12:25" x14ac:dyDescent="0.2">
      <c r="L282" s="200"/>
      <c r="M282" s="200"/>
      <c r="N282" s="200"/>
      <c r="O282" s="200"/>
      <c r="P282" s="200"/>
      <c r="Q282" s="200"/>
      <c r="R282" s="200"/>
      <c r="S282" s="200">
        <v>280</v>
      </c>
      <c r="T282" s="200">
        <v>150</v>
      </c>
      <c r="U282" s="200"/>
      <c r="V282" s="200"/>
      <c r="W282" s="274"/>
      <c r="X282" s="274"/>
      <c r="Y282" s="274"/>
    </row>
    <row r="283" spans="12:25" x14ac:dyDescent="0.2">
      <c r="L283" s="200"/>
      <c r="M283" s="200"/>
      <c r="N283" s="200"/>
      <c r="O283" s="200"/>
      <c r="P283" s="200"/>
      <c r="Q283" s="200"/>
      <c r="R283" s="200"/>
      <c r="S283" s="200">
        <v>281</v>
      </c>
      <c r="T283" s="200">
        <v>150</v>
      </c>
      <c r="U283" s="200"/>
      <c r="V283" s="200"/>
      <c r="W283" s="274"/>
      <c r="X283" s="274"/>
      <c r="Y283" s="274"/>
    </row>
    <row r="284" spans="12:25" x14ac:dyDescent="0.2">
      <c r="L284" s="200"/>
      <c r="M284" s="200"/>
      <c r="N284" s="200"/>
      <c r="O284" s="200"/>
      <c r="P284" s="200"/>
      <c r="Q284" s="200"/>
      <c r="R284" s="200"/>
      <c r="S284" s="200">
        <v>282</v>
      </c>
      <c r="T284" s="200">
        <v>150</v>
      </c>
      <c r="U284" s="200"/>
      <c r="V284" s="200"/>
      <c r="W284" s="274"/>
      <c r="X284" s="274"/>
      <c r="Y284" s="274"/>
    </row>
    <row r="285" spans="12:25" x14ac:dyDescent="0.2">
      <c r="L285" s="200"/>
      <c r="M285" s="200"/>
      <c r="N285" s="200"/>
      <c r="O285" s="200"/>
      <c r="P285" s="200"/>
      <c r="Q285" s="200"/>
      <c r="R285" s="200"/>
      <c r="S285" s="200">
        <v>283</v>
      </c>
      <c r="T285" s="200">
        <v>150</v>
      </c>
      <c r="U285" s="200"/>
      <c r="V285" s="200"/>
      <c r="W285" s="274"/>
      <c r="X285" s="274"/>
      <c r="Y285" s="274"/>
    </row>
    <row r="286" spans="12:25" x14ac:dyDescent="0.2">
      <c r="L286" s="200"/>
      <c r="M286" s="200"/>
      <c r="N286" s="200"/>
      <c r="O286" s="200"/>
      <c r="P286" s="200"/>
      <c r="Q286" s="200"/>
      <c r="R286" s="200"/>
      <c r="S286" s="200">
        <v>284</v>
      </c>
      <c r="T286" s="200">
        <v>150</v>
      </c>
      <c r="U286" s="200"/>
      <c r="V286" s="200"/>
      <c r="W286" s="274"/>
      <c r="X286" s="274"/>
      <c r="Y286" s="274"/>
    </row>
    <row r="287" spans="12:25" x14ac:dyDescent="0.2">
      <c r="L287" s="200"/>
      <c r="M287" s="200"/>
      <c r="N287" s="200"/>
      <c r="O287" s="200"/>
      <c r="P287" s="200"/>
      <c r="Q287" s="200"/>
      <c r="R287" s="200"/>
      <c r="S287" s="200">
        <v>285</v>
      </c>
      <c r="T287" s="200">
        <v>150</v>
      </c>
      <c r="U287" s="200"/>
      <c r="V287" s="200"/>
      <c r="W287" s="274"/>
      <c r="X287" s="274"/>
      <c r="Y287" s="274"/>
    </row>
    <row r="288" spans="12:25" x14ac:dyDescent="0.2">
      <c r="L288" s="200"/>
      <c r="M288" s="200"/>
      <c r="N288" s="200"/>
      <c r="O288" s="200"/>
      <c r="P288" s="200"/>
      <c r="Q288" s="200"/>
      <c r="R288" s="200"/>
      <c r="S288" s="200">
        <v>286</v>
      </c>
      <c r="T288" s="200">
        <v>150</v>
      </c>
      <c r="U288" s="200"/>
      <c r="V288" s="200"/>
      <c r="W288" s="274"/>
      <c r="X288" s="274"/>
      <c r="Y288" s="274"/>
    </row>
    <row r="289" spans="12:25" x14ac:dyDescent="0.2">
      <c r="L289" s="200"/>
      <c r="M289" s="200"/>
      <c r="N289" s="200"/>
      <c r="O289" s="200"/>
      <c r="P289" s="200"/>
      <c r="Q289" s="200"/>
      <c r="R289" s="200"/>
      <c r="S289" s="200">
        <v>287</v>
      </c>
      <c r="T289" s="200">
        <v>150</v>
      </c>
      <c r="U289" s="200"/>
      <c r="V289" s="200"/>
      <c r="W289" s="274"/>
      <c r="X289" s="274"/>
      <c r="Y289" s="274"/>
    </row>
    <row r="290" spans="12:25" x14ac:dyDescent="0.2">
      <c r="L290" s="200"/>
      <c r="M290" s="200"/>
      <c r="N290" s="200"/>
      <c r="O290" s="200"/>
      <c r="P290" s="200"/>
      <c r="Q290" s="200"/>
      <c r="R290" s="200"/>
      <c r="S290" s="200">
        <v>288</v>
      </c>
      <c r="T290" s="200">
        <v>150</v>
      </c>
      <c r="U290" s="200"/>
      <c r="V290" s="200"/>
      <c r="W290" s="274"/>
      <c r="X290" s="274"/>
      <c r="Y290" s="274"/>
    </row>
    <row r="291" spans="12:25" x14ac:dyDescent="0.2">
      <c r="L291" s="200"/>
      <c r="M291" s="200"/>
      <c r="N291" s="200"/>
      <c r="O291" s="200"/>
      <c r="P291" s="200"/>
      <c r="Q291" s="200"/>
      <c r="R291" s="200"/>
      <c r="S291" s="200">
        <v>289</v>
      </c>
      <c r="T291" s="200">
        <v>150</v>
      </c>
      <c r="U291" s="200"/>
      <c r="V291" s="200"/>
      <c r="W291" s="274"/>
      <c r="X291" s="274"/>
      <c r="Y291" s="274"/>
    </row>
    <row r="292" spans="12:25" x14ac:dyDescent="0.2">
      <c r="L292" s="200"/>
      <c r="M292" s="200"/>
      <c r="N292" s="200"/>
      <c r="O292" s="200"/>
      <c r="P292" s="200"/>
      <c r="Q292" s="200"/>
      <c r="R292" s="200"/>
      <c r="S292" s="200">
        <v>290</v>
      </c>
      <c r="T292" s="200">
        <v>150</v>
      </c>
      <c r="U292" s="200"/>
      <c r="V292" s="200"/>
      <c r="W292" s="274"/>
      <c r="X292" s="274"/>
      <c r="Y292" s="274"/>
    </row>
    <row r="293" spans="12:25" x14ac:dyDescent="0.2">
      <c r="L293" s="200"/>
      <c r="M293" s="200"/>
      <c r="N293" s="200"/>
      <c r="O293" s="200"/>
      <c r="P293" s="200"/>
      <c r="Q293" s="200"/>
      <c r="R293" s="200"/>
      <c r="S293" s="200">
        <v>291</v>
      </c>
      <c r="T293" s="200">
        <v>150</v>
      </c>
      <c r="U293" s="200"/>
      <c r="V293" s="200"/>
      <c r="W293" s="274"/>
      <c r="X293" s="274"/>
      <c r="Y293" s="274"/>
    </row>
    <row r="294" spans="12:25" x14ac:dyDescent="0.2">
      <c r="L294" s="200"/>
      <c r="M294" s="200"/>
      <c r="N294" s="200"/>
      <c r="O294" s="200"/>
      <c r="P294" s="200"/>
      <c r="Q294" s="200"/>
      <c r="R294" s="200"/>
      <c r="S294" s="200">
        <v>292</v>
      </c>
      <c r="T294" s="200">
        <v>150</v>
      </c>
      <c r="U294" s="200"/>
      <c r="V294" s="200"/>
      <c r="W294" s="274"/>
      <c r="X294" s="274"/>
      <c r="Y294" s="274"/>
    </row>
    <row r="295" spans="12:25" x14ac:dyDescent="0.2">
      <c r="L295" s="200"/>
      <c r="M295" s="200"/>
      <c r="N295" s="200"/>
      <c r="O295" s="200"/>
      <c r="P295" s="200"/>
      <c r="Q295" s="200"/>
      <c r="R295" s="200"/>
      <c r="S295" s="200">
        <v>293</v>
      </c>
      <c r="T295" s="200">
        <v>150</v>
      </c>
      <c r="U295" s="200"/>
      <c r="V295" s="200"/>
      <c r="W295" s="274"/>
      <c r="X295" s="274"/>
      <c r="Y295" s="274"/>
    </row>
    <row r="296" spans="12:25" x14ac:dyDescent="0.2">
      <c r="L296" s="200"/>
      <c r="M296" s="200"/>
      <c r="N296" s="200"/>
      <c r="O296" s="200"/>
      <c r="P296" s="200"/>
      <c r="Q296" s="200"/>
      <c r="R296" s="200"/>
      <c r="S296" s="200">
        <v>294</v>
      </c>
      <c r="T296" s="200">
        <v>150</v>
      </c>
      <c r="U296" s="200"/>
      <c r="V296" s="200"/>
      <c r="W296" s="274"/>
      <c r="X296" s="274"/>
      <c r="Y296" s="274"/>
    </row>
    <row r="297" spans="12:25" x14ac:dyDescent="0.2">
      <c r="L297" s="200"/>
      <c r="M297" s="200"/>
      <c r="N297" s="200"/>
      <c r="O297" s="200"/>
      <c r="P297" s="200"/>
      <c r="Q297" s="200"/>
      <c r="R297" s="200"/>
      <c r="S297" s="200">
        <v>295</v>
      </c>
      <c r="T297" s="200">
        <v>150</v>
      </c>
      <c r="U297" s="200"/>
      <c r="V297" s="200"/>
      <c r="W297" s="274"/>
      <c r="X297" s="274"/>
      <c r="Y297" s="274"/>
    </row>
    <row r="298" spans="12:25" x14ac:dyDescent="0.2">
      <c r="L298" s="200"/>
      <c r="M298" s="200"/>
      <c r="N298" s="200"/>
      <c r="O298" s="200"/>
      <c r="P298" s="200"/>
      <c r="Q298" s="200"/>
      <c r="R298" s="200"/>
      <c r="S298" s="200">
        <v>296</v>
      </c>
      <c r="T298" s="200">
        <v>150</v>
      </c>
      <c r="U298" s="200"/>
      <c r="V298" s="200"/>
      <c r="W298" s="274"/>
      <c r="X298" s="274"/>
      <c r="Y298" s="274"/>
    </row>
    <row r="299" spans="12:25" x14ac:dyDescent="0.2">
      <c r="L299" s="200"/>
      <c r="M299" s="200"/>
      <c r="N299" s="200"/>
      <c r="O299" s="200"/>
      <c r="P299" s="200"/>
      <c r="Q299" s="200"/>
      <c r="R299" s="200"/>
      <c r="S299" s="200">
        <v>297</v>
      </c>
      <c r="T299" s="200">
        <v>150</v>
      </c>
      <c r="U299" s="200"/>
      <c r="V299" s="200"/>
      <c r="W299" s="274"/>
      <c r="X299" s="274"/>
      <c r="Y299" s="274"/>
    </row>
    <row r="300" spans="12:25" x14ac:dyDescent="0.2">
      <c r="L300" s="200"/>
      <c r="M300" s="200"/>
      <c r="N300" s="200"/>
      <c r="O300" s="200"/>
      <c r="P300" s="200"/>
      <c r="Q300" s="200"/>
      <c r="R300" s="200"/>
      <c r="S300" s="200">
        <v>298</v>
      </c>
      <c r="T300" s="200">
        <v>150</v>
      </c>
      <c r="U300" s="200"/>
      <c r="V300" s="200"/>
      <c r="W300" s="274"/>
      <c r="X300" s="274"/>
      <c r="Y300" s="274"/>
    </row>
    <row r="301" spans="12:25" x14ac:dyDescent="0.2">
      <c r="L301" s="200"/>
      <c r="M301" s="200"/>
      <c r="N301" s="200"/>
      <c r="O301" s="200"/>
      <c r="P301" s="200"/>
      <c r="Q301" s="200"/>
      <c r="R301" s="200"/>
      <c r="S301" s="200">
        <v>299</v>
      </c>
      <c r="T301" s="200">
        <v>150</v>
      </c>
      <c r="U301" s="200"/>
      <c r="V301" s="200"/>
      <c r="W301" s="274"/>
      <c r="X301" s="274"/>
      <c r="Y301" s="274"/>
    </row>
    <row r="302" spans="12:25" x14ac:dyDescent="0.2">
      <c r="L302" s="200"/>
      <c r="M302" s="200"/>
      <c r="N302" s="200"/>
      <c r="O302" s="200"/>
      <c r="P302" s="200"/>
      <c r="Q302" s="200"/>
      <c r="R302" s="200"/>
      <c r="S302" s="200">
        <v>300</v>
      </c>
      <c r="T302" s="200">
        <v>150</v>
      </c>
      <c r="U302" s="200">
        <v>300</v>
      </c>
      <c r="V302" s="200"/>
      <c r="W302" s="274"/>
      <c r="X302" s="274"/>
      <c r="Y302" s="274"/>
    </row>
    <row r="303" spans="12:25" x14ac:dyDescent="0.2">
      <c r="L303" s="200"/>
      <c r="M303" s="200"/>
      <c r="N303" s="200"/>
      <c r="O303" s="200"/>
      <c r="P303" s="200"/>
      <c r="Q303" s="200"/>
      <c r="R303" s="200"/>
      <c r="S303" s="200">
        <v>301</v>
      </c>
      <c r="T303" s="200">
        <v>150</v>
      </c>
      <c r="U303" s="200"/>
      <c r="V303" s="200"/>
      <c r="W303" s="274"/>
      <c r="X303" s="274"/>
      <c r="Y303" s="274"/>
    </row>
    <row r="304" spans="12:25" x14ac:dyDescent="0.2">
      <c r="L304" s="200"/>
      <c r="M304" s="200"/>
      <c r="N304" s="200"/>
      <c r="O304" s="200"/>
      <c r="P304" s="200"/>
      <c r="Q304" s="200"/>
      <c r="R304" s="200"/>
      <c r="S304" s="200">
        <v>302</v>
      </c>
      <c r="T304" s="200">
        <v>150</v>
      </c>
      <c r="U304" s="200"/>
      <c r="V304" s="200"/>
      <c r="W304" s="274"/>
      <c r="X304" s="274"/>
      <c r="Y304" s="274"/>
    </row>
    <row r="305" spans="12:25" x14ac:dyDescent="0.2">
      <c r="L305" s="200"/>
      <c r="M305" s="200"/>
      <c r="N305" s="200"/>
      <c r="O305" s="200"/>
      <c r="P305" s="200"/>
      <c r="Q305" s="200"/>
      <c r="R305" s="200"/>
      <c r="S305" s="200">
        <v>303</v>
      </c>
      <c r="T305" s="200">
        <v>150</v>
      </c>
      <c r="U305" s="200"/>
      <c r="V305" s="200"/>
      <c r="W305" s="274"/>
      <c r="X305" s="274"/>
      <c r="Y305" s="274"/>
    </row>
    <row r="306" spans="12:25" x14ac:dyDescent="0.2">
      <c r="L306" s="200"/>
      <c r="M306" s="200"/>
      <c r="N306" s="200"/>
      <c r="O306" s="200"/>
      <c r="P306" s="200"/>
      <c r="Q306" s="200"/>
      <c r="R306" s="200"/>
      <c r="S306" s="200">
        <v>304</v>
      </c>
      <c r="T306" s="200">
        <v>150</v>
      </c>
      <c r="U306" s="200"/>
      <c r="V306" s="200"/>
      <c r="W306" s="274"/>
      <c r="X306" s="274"/>
      <c r="Y306" s="274"/>
    </row>
    <row r="307" spans="12:25" x14ac:dyDescent="0.2">
      <c r="L307" s="200"/>
      <c r="M307" s="200"/>
      <c r="N307" s="200"/>
      <c r="O307" s="200"/>
      <c r="P307" s="200"/>
      <c r="Q307" s="200"/>
      <c r="R307" s="200"/>
      <c r="S307" s="200">
        <v>305</v>
      </c>
      <c r="T307" s="200">
        <v>150</v>
      </c>
      <c r="U307" s="200"/>
      <c r="V307" s="200"/>
      <c r="W307" s="274"/>
      <c r="X307" s="274"/>
      <c r="Y307" s="274"/>
    </row>
    <row r="308" spans="12:25" x14ac:dyDescent="0.2">
      <c r="L308" s="200"/>
      <c r="M308" s="200"/>
      <c r="N308" s="200"/>
      <c r="O308" s="200"/>
      <c r="P308" s="200"/>
      <c r="Q308" s="200"/>
      <c r="R308" s="200"/>
      <c r="S308" s="200">
        <v>306</v>
      </c>
      <c r="T308" s="200">
        <v>150</v>
      </c>
      <c r="U308" s="200"/>
      <c r="V308" s="200"/>
      <c r="W308" s="274"/>
      <c r="X308" s="274"/>
      <c r="Y308" s="274"/>
    </row>
    <row r="309" spans="12:25" x14ac:dyDescent="0.2">
      <c r="L309" s="200"/>
      <c r="M309" s="200"/>
      <c r="N309" s="200"/>
      <c r="O309" s="200"/>
      <c r="P309" s="200"/>
      <c r="Q309" s="200"/>
      <c r="R309" s="200"/>
      <c r="S309" s="200">
        <v>307</v>
      </c>
      <c r="T309" s="200">
        <v>150</v>
      </c>
      <c r="U309" s="200"/>
      <c r="V309" s="200"/>
      <c r="W309" s="274"/>
      <c r="X309" s="274"/>
      <c r="Y309" s="274"/>
    </row>
    <row r="310" spans="12:25" x14ac:dyDescent="0.2">
      <c r="L310" s="200"/>
      <c r="M310" s="200"/>
      <c r="N310" s="200"/>
      <c r="O310" s="200"/>
      <c r="P310" s="200"/>
      <c r="Q310" s="200"/>
      <c r="R310" s="200"/>
      <c r="S310" s="200">
        <v>308</v>
      </c>
      <c r="T310" s="200">
        <v>150</v>
      </c>
      <c r="U310" s="200"/>
      <c r="V310" s="200"/>
      <c r="W310" s="274"/>
      <c r="X310" s="274"/>
      <c r="Y310" s="274"/>
    </row>
    <row r="311" spans="12:25" x14ac:dyDescent="0.2">
      <c r="L311" s="200"/>
      <c r="M311" s="200"/>
      <c r="N311" s="200"/>
      <c r="O311" s="200"/>
      <c r="P311" s="200"/>
      <c r="Q311" s="200"/>
      <c r="R311" s="200"/>
      <c r="S311" s="200">
        <v>309</v>
      </c>
      <c r="T311" s="200">
        <v>150</v>
      </c>
      <c r="U311" s="200"/>
      <c r="V311" s="200"/>
      <c r="W311" s="274"/>
      <c r="X311" s="274"/>
      <c r="Y311" s="274"/>
    </row>
    <row r="312" spans="12:25" x14ac:dyDescent="0.2">
      <c r="L312" s="200"/>
      <c r="M312" s="200"/>
      <c r="N312" s="200"/>
      <c r="O312" s="200"/>
      <c r="P312" s="200"/>
      <c r="Q312" s="200"/>
      <c r="R312" s="200"/>
      <c r="S312" s="200">
        <v>310</v>
      </c>
      <c r="T312" s="200">
        <v>150</v>
      </c>
      <c r="U312" s="200"/>
      <c r="V312" s="200"/>
      <c r="W312" s="274"/>
      <c r="X312" s="274"/>
      <c r="Y312" s="274"/>
    </row>
    <row r="313" spans="12:25" x14ac:dyDescent="0.2">
      <c r="L313" s="200"/>
      <c r="M313" s="200"/>
      <c r="N313" s="200"/>
      <c r="O313" s="200"/>
      <c r="P313" s="200"/>
      <c r="Q313" s="200"/>
      <c r="R313" s="200"/>
      <c r="S313" s="200">
        <v>311</v>
      </c>
      <c r="T313" s="200">
        <v>150</v>
      </c>
      <c r="U313" s="200"/>
      <c r="V313" s="200"/>
      <c r="W313" s="274"/>
      <c r="X313" s="274"/>
      <c r="Y313" s="274"/>
    </row>
    <row r="314" spans="12:25" x14ac:dyDescent="0.2">
      <c r="L314" s="200"/>
      <c r="M314" s="200"/>
      <c r="N314" s="200"/>
      <c r="O314" s="200"/>
      <c r="P314" s="200"/>
      <c r="Q314" s="200"/>
      <c r="R314" s="200"/>
      <c r="S314" s="200">
        <v>312</v>
      </c>
      <c r="T314" s="200">
        <v>150</v>
      </c>
      <c r="U314" s="200"/>
      <c r="V314" s="200"/>
      <c r="W314" s="274"/>
      <c r="X314" s="274"/>
      <c r="Y314" s="274"/>
    </row>
    <row r="315" spans="12:25" x14ac:dyDescent="0.2">
      <c r="L315" s="200"/>
      <c r="M315" s="200"/>
      <c r="N315" s="200"/>
      <c r="O315" s="200"/>
      <c r="P315" s="200"/>
      <c r="Q315" s="200"/>
      <c r="R315" s="200"/>
      <c r="S315" s="200">
        <v>313</v>
      </c>
      <c r="T315" s="200">
        <v>150</v>
      </c>
      <c r="U315" s="200"/>
      <c r="V315" s="200"/>
      <c r="W315" s="274"/>
      <c r="X315" s="274"/>
      <c r="Y315" s="274"/>
    </row>
    <row r="316" spans="12:25" x14ac:dyDescent="0.2">
      <c r="L316" s="200"/>
      <c r="M316" s="200"/>
      <c r="N316" s="200"/>
      <c r="O316" s="200"/>
      <c r="P316" s="200"/>
      <c r="Q316" s="200"/>
      <c r="R316" s="200"/>
      <c r="S316" s="200">
        <v>314</v>
      </c>
      <c r="T316" s="200">
        <v>150</v>
      </c>
      <c r="U316" s="200"/>
      <c r="V316" s="200"/>
      <c r="W316" s="274"/>
      <c r="X316" s="274"/>
      <c r="Y316" s="274"/>
    </row>
    <row r="317" spans="12:25" x14ac:dyDescent="0.2">
      <c r="L317" s="200"/>
      <c r="M317" s="200"/>
      <c r="N317" s="200"/>
      <c r="O317" s="200"/>
      <c r="P317" s="200"/>
      <c r="Q317" s="200"/>
      <c r="R317" s="200"/>
      <c r="S317" s="200">
        <v>315</v>
      </c>
      <c r="T317" s="200">
        <v>150</v>
      </c>
      <c r="U317" s="200"/>
      <c r="V317" s="200"/>
      <c r="W317" s="274"/>
      <c r="X317" s="274"/>
      <c r="Y317" s="274"/>
    </row>
    <row r="318" spans="12:25" x14ac:dyDescent="0.2">
      <c r="L318" s="200"/>
      <c r="M318" s="200"/>
      <c r="N318" s="200"/>
      <c r="O318" s="200"/>
      <c r="P318" s="200"/>
      <c r="Q318" s="200"/>
      <c r="R318" s="200"/>
      <c r="S318" s="200">
        <v>316</v>
      </c>
      <c r="T318" s="200">
        <v>150</v>
      </c>
      <c r="U318" s="200"/>
      <c r="V318" s="200"/>
      <c r="W318" s="274"/>
      <c r="X318" s="274"/>
      <c r="Y318" s="274"/>
    </row>
    <row r="319" spans="12:25" x14ac:dyDescent="0.2">
      <c r="L319" s="200"/>
      <c r="M319" s="200"/>
      <c r="N319" s="200"/>
      <c r="O319" s="200"/>
      <c r="P319" s="200"/>
      <c r="Q319" s="200"/>
      <c r="R319" s="200"/>
      <c r="S319" s="200">
        <v>317</v>
      </c>
      <c r="T319" s="200">
        <v>150</v>
      </c>
      <c r="U319" s="200"/>
      <c r="V319" s="200"/>
      <c r="W319" s="274"/>
      <c r="X319" s="274"/>
      <c r="Y319" s="274"/>
    </row>
    <row r="320" spans="12:25" x14ac:dyDescent="0.2">
      <c r="L320" s="200"/>
      <c r="M320" s="200"/>
      <c r="N320" s="200"/>
      <c r="O320" s="200"/>
      <c r="P320" s="200"/>
      <c r="Q320" s="200"/>
      <c r="R320" s="200"/>
      <c r="S320" s="200">
        <v>318</v>
      </c>
      <c r="T320" s="200">
        <v>150</v>
      </c>
      <c r="U320" s="200"/>
      <c r="V320" s="200"/>
      <c r="W320" s="274"/>
      <c r="X320" s="274"/>
      <c r="Y320" s="274"/>
    </row>
    <row r="321" spans="12:25" x14ac:dyDescent="0.2">
      <c r="L321" s="200"/>
      <c r="M321" s="200"/>
      <c r="N321" s="200"/>
      <c r="O321" s="200"/>
      <c r="P321" s="200"/>
      <c r="Q321" s="200"/>
      <c r="R321" s="200"/>
      <c r="S321" s="200">
        <v>319</v>
      </c>
      <c r="T321" s="200">
        <v>150</v>
      </c>
      <c r="U321" s="200"/>
      <c r="V321" s="200"/>
      <c r="W321" s="274"/>
      <c r="X321" s="274"/>
      <c r="Y321" s="274"/>
    </row>
    <row r="322" spans="12:25" x14ac:dyDescent="0.2">
      <c r="L322" s="200"/>
      <c r="M322" s="200"/>
      <c r="N322" s="200"/>
      <c r="O322" s="200"/>
      <c r="P322" s="200"/>
      <c r="Q322" s="200"/>
      <c r="R322" s="200"/>
      <c r="S322" s="200">
        <v>320</v>
      </c>
      <c r="T322" s="200">
        <v>150</v>
      </c>
      <c r="U322" s="200"/>
      <c r="V322" s="200"/>
      <c r="W322" s="274"/>
      <c r="X322" s="274"/>
      <c r="Y322" s="274"/>
    </row>
    <row r="323" spans="12:25" x14ac:dyDescent="0.2">
      <c r="L323" s="200"/>
      <c r="M323" s="200"/>
      <c r="N323" s="200"/>
      <c r="O323" s="200"/>
      <c r="P323" s="200"/>
      <c r="Q323" s="200"/>
      <c r="R323" s="200"/>
      <c r="S323" s="200">
        <v>321</v>
      </c>
      <c r="T323" s="200">
        <v>150</v>
      </c>
      <c r="U323" s="200"/>
      <c r="V323" s="200"/>
      <c r="W323" s="274"/>
      <c r="X323" s="274"/>
      <c r="Y323" s="274"/>
    </row>
    <row r="324" spans="12:25" x14ac:dyDescent="0.2">
      <c r="L324" s="200"/>
      <c r="M324" s="200"/>
      <c r="N324" s="200"/>
      <c r="O324" s="200"/>
      <c r="P324" s="200"/>
      <c r="Q324" s="200"/>
      <c r="R324" s="200"/>
      <c r="S324" s="200">
        <v>322</v>
      </c>
      <c r="T324" s="200">
        <v>150</v>
      </c>
      <c r="U324" s="200"/>
      <c r="V324" s="200"/>
      <c r="W324" s="274"/>
      <c r="X324" s="274"/>
      <c r="Y324" s="274"/>
    </row>
    <row r="325" spans="12:25" x14ac:dyDescent="0.2">
      <c r="L325" s="200"/>
      <c r="M325" s="200"/>
      <c r="N325" s="200"/>
      <c r="O325" s="200"/>
      <c r="P325" s="200"/>
      <c r="Q325" s="200"/>
      <c r="R325" s="200"/>
      <c r="S325" s="200">
        <v>323</v>
      </c>
      <c r="T325" s="200">
        <v>150</v>
      </c>
      <c r="U325" s="200"/>
      <c r="V325" s="200"/>
      <c r="W325" s="274"/>
      <c r="X325" s="274"/>
      <c r="Y325" s="274"/>
    </row>
    <row r="326" spans="12:25" x14ac:dyDescent="0.2">
      <c r="L326" s="200"/>
      <c r="M326" s="200"/>
      <c r="N326" s="200"/>
      <c r="O326" s="200"/>
      <c r="P326" s="200"/>
      <c r="Q326" s="200"/>
      <c r="R326" s="200"/>
      <c r="S326" s="200">
        <v>324</v>
      </c>
      <c r="T326" s="200">
        <v>150</v>
      </c>
      <c r="U326" s="200"/>
      <c r="V326" s="200"/>
      <c r="W326" s="274"/>
      <c r="X326" s="274"/>
      <c r="Y326" s="274"/>
    </row>
    <row r="327" spans="12:25" x14ac:dyDescent="0.2">
      <c r="L327" s="200"/>
      <c r="M327" s="200"/>
      <c r="N327" s="200"/>
      <c r="O327" s="200"/>
      <c r="P327" s="200"/>
      <c r="Q327" s="200"/>
      <c r="R327" s="200"/>
      <c r="S327" s="200">
        <v>325</v>
      </c>
      <c r="T327" s="200">
        <v>150</v>
      </c>
      <c r="U327" s="200"/>
      <c r="V327" s="200"/>
      <c r="W327" s="274"/>
      <c r="X327" s="274"/>
      <c r="Y327" s="274"/>
    </row>
    <row r="328" spans="12:25" x14ac:dyDescent="0.2">
      <c r="L328" s="200"/>
      <c r="M328" s="200"/>
      <c r="N328" s="200"/>
      <c r="O328" s="200"/>
      <c r="P328" s="200"/>
      <c r="Q328" s="200"/>
      <c r="R328" s="200"/>
      <c r="S328" s="200">
        <v>326</v>
      </c>
      <c r="T328" s="200">
        <v>150</v>
      </c>
      <c r="U328" s="200"/>
      <c r="V328" s="200"/>
      <c r="W328" s="274"/>
      <c r="X328" s="274"/>
      <c r="Y328" s="274"/>
    </row>
    <row r="329" spans="12:25" x14ac:dyDescent="0.2">
      <c r="L329" s="200"/>
      <c r="M329" s="200"/>
      <c r="N329" s="200"/>
      <c r="O329" s="200"/>
      <c r="P329" s="200"/>
      <c r="Q329" s="200"/>
      <c r="R329" s="200"/>
      <c r="S329" s="200">
        <v>327</v>
      </c>
      <c r="T329" s="200">
        <v>150</v>
      </c>
      <c r="U329" s="200"/>
      <c r="V329" s="200"/>
      <c r="W329" s="274"/>
      <c r="X329" s="274"/>
      <c r="Y329" s="274"/>
    </row>
    <row r="330" spans="12:25" x14ac:dyDescent="0.2">
      <c r="L330" s="200"/>
      <c r="M330" s="200"/>
      <c r="N330" s="200"/>
      <c r="O330" s="200"/>
      <c r="P330" s="200"/>
      <c r="Q330" s="200"/>
      <c r="R330" s="200"/>
      <c r="S330" s="200">
        <v>328</v>
      </c>
      <c r="T330" s="200">
        <v>150</v>
      </c>
      <c r="U330" s="200"/>
      <c r="V330" s="200"/>
      <c r="W330" s="274"/>
      <c r="X330" s="274"/>
      <c r="Y330" s="274"/>
    </row>
    <row r="331" spans="12:25" x14ac:dyDescent="0.2">
      <c r="L331" s="200"/>
      <c r="M331" s="200"/>
      <c r="N331" s="200"/>
      <c r="O331" s="200"/>
      <c r="P331" s="200"/>
      <c r="Q331" s="200"/>
      <c r="R331" s="200"/>
      <c r="S331" s="200">
        <v>329</v>
      </c>
      <c r="T331" s="200">
        <v>150</v>
      </c>
      <c r="U331" s="200"/>
      <c r="V331" s="200"/>
      <c r="W331" s="274"/>
      <c r="X331" s="274"/>
      <c r="Y331" s="274"/>
    </row>
    <row r="332" spans="12:25" x14ac:dyDescent="0.2">
      <c r="L332" s="200"/>
      <c r="M332" s="200"/>
      <c r="N332" s="200"/>
      <c r="O332" s="200"/>
      <c r="P332" s="200"/>
      <c r="Q332" s="200"/>
      <c r="R332" s="200"/>
      <c r="S332" s="200">
        <v>330</v>
      </c>
      <c r="T332" s="200">
        <v>150</v>
      </c>
      <c r="U332" s="200"/>
      <c r="V332" s="200"/>
      <c r="W332" s="274"/>
      <c r="X332" s="274"/>
      <c r="Y332" s="274"/>
    </row>
    <row r="333" spans="12:25" x14ac:dyDescent="0.2">
      <c r="L333" s="200"/>
      <c r="M333" s="200"/>
      <c r="N333" s="200"/>
      <c r="O333" s="200"/>
      <c r="P333" s="200"/>
      <c r="Q333" s="200"/>
      <c r="R333" s="200"/>
      <c r="S333" s="200">
        <v>331</v>
      </c>
      <c r="T333" s="200">
        <v>150</v>
      </c>
      <c r="U333" s="200"/>
      <c r="V333" s="200"/>
      <c r="W333" s="274"/>
      <c r="X333" s="274"/>
      <c r="Y333" s="274"/>
    </row>
    <row r="334" spans="12:25" x14ac:dyDescent="0.2">
      <c r="L334" s="200"/>
      <c r="M334" s="200"/>
      <c r="N334" s="200"/>
      <c r="O334" s="200"/>
      <c r="P334" s="200"/>
      <c r="Q334" s="200"/>
      <c r="R334" s="200"/>
      <c r="S334" s="200">
        <v>332</v>
      </c>
      <c r="T334" s="200">
        <v>150</v>
      </c>
      <c r="U334" s="200"/>
      <c r="V334" s="200"/>
      <c r="W334" s="274"/>
      <c r="X334" s="274"/>
      <c r="Y334" s="274"/>
    </row>
    <row r="335" spans="12:25" x14ac:dyDescent="0.2">
      <c r="L335" s="200"/>
      <c r="M335" s="200"/>
      <c r="N335" s="200"/>
      <c r="O335" s="200"/>
      <c r="P335" s="200"/>
      <c r="Q335" s="200"/>
      <c r="R335" s="200"/>
      <c r="S335" s="200">
        <v>333</v>
      </c>
      <c r="T335" s="200">
        <v>150</v>
      </c>
      <c r="U335" s="200"/>
      <c r="V335" s="200"/>
      <c r="W335" s="274"/>
      <c r="X335" s="274"/>
      <c r="Y335" s="274"/>
    </row>
    <row r="336" spans="12:25" x14ac:dyDescent="0.2">
      <c r="L336" s="200"/>
      <c r="M336" s="200"/>
      <c r="N336" s="200"/>
      <c r="O336" s="200"/>
      <c r="P336" s="200"/>
      <c r="Q336" s="200"/>
      <c r="R336" s="200"/>
      <c r="S336" s="200">
        <v>334</v>
      </c>
      <c r="T336" s="200">
        <v>150</v>
      </c>
      <c r="U336" s="200"/>
      <c r="V336" s="200"/>
      <c r="W336" s="274"/>
      <c r="X336" s="274"/>
      <c r="Y336" s="274"/>
    </row>
    <row r="337" spans="12:25" x14ac:dyDescent="0.2">
      <c r="L337" s="200"/>
      <c r="M337" s="200"/>
      <c r="N337" s="200"/>
      <c r="O337" s="200"/>
      <c r="P337" s="200"/>
      <c r="Q337" s="200"/>
      <c r="R337" s="200"/>
      <c r="S337" s="200">
        <v>335</v>
      </c>
      <c r="T337" s="200">
        <v>150</v>
      </c>
      <c r="U337" s="200"/>
      <c r="V337" s="200"/>
      <c r="W337" s="274"/>
      <c r="X337" s="274"/>
      <c r="Y337" s="274"/>
    </row>
    <row r="338" spans="12:25" x14ac:dyDescent="0.2">
      <c r="L338" s="200"/>
      <c r="M338" s="200"/>
      <c r="N338" s="200"/>
      <c r="O338" s="200"/>
      <c r="P338" s="200"/>
      <c r="Q338" s="200"/>
      <c r="R338" s="200"/>
      <c r="S338" s="200">
        <v>336</v>
      </c>
      <c r="T338" s="200">
        <v>150</v>
      </c>
      <c r="U338" s="200"/>
      <c r="V338" s="200"/>
      <c r="W338" s="274"/>
      <c r="X338" s="274"/>
      <c r="Y338" s="274"/>
    </row>
    <row r="339" spans="12:25" x14ac:dyDescent="0.2">
      <c r="L339" s="200"/>
      <c r="M339" s="200"/>
      <c r="N339" s="200"/>
      <c r="O339" s="200"/>
      <c r="P339" s="200"/>
      <c r="Q339" s="200"/>
      <c r="R339" s="200"/>
      <c r="S339" s="200">
        <v>337</v>
      </c>
      <c r="T339" s="200">
        <v>150</v>
      </c>
      <c r="U339" s="200"/>
      <c r="V339" s="200"/>
      <c r="W339" s="274"/>
      <c r="X339" s="274"/>
      <c r="Y339" s="274"/>
    </row>
    <row r="340" spans="12:25" x14ac:dyDescent="0.2">
      <c r="L340" s="200"/>
      <c r="M340" s="200"/>
      <c r="N340" s="200"/>
      <c r="O340" s="200"/>
      <c r="P340" s="200"/>
      <c r="Q340" s="200"/>
      <c r="R340" s="200"/>
      <c r="S340" s="200">
        <v>338</v>
      </c>
      <c r="T340" s="200">
        <v>150</v>
      </c>
      <c r="U340" s="200"/>
      <c r="V340" s="200"/>
      <c r="W340" s="274"/>
      <c r="X340" s="274"/>
      <c r="Y340" s="274"/>
    </row>
    <row r="341" spans="12:25" x14ac:dyDescent="0.2">
      <c r="L341" s="200"/>
      <c r="M341" s="200"/>
      <c r="N341" s="200"/>
      <c r="O341" s="200"/>
      <c r="P341" s="200"/>
      <c r="Q341" s="200"/>
      <c r="R341" s="200"/>
      <c r="S341" s="200">
        <v>339</v>
      </c>
      <c r="T341" s="200">
        <v>150</v>
      </c>
      <c r="U341" s="200"/>
      <c r="V341" s="200"/>
      <c r="W341" s="274"/>
      <c r="X341" s="274"/>
      <c r="Y341" s="274"/>
    </row>
    <row r="342" spans="12:25" x14ac:dyDescent="0.2">
      <c r="L342" s="200"/>
      <c r="M342" s="200"/>
      <c r="N342" s="200"/>
      <c r="O342" s="200"/>
      <c r="P342" s="200"/>
      <c r="Q342" s="200"/>
      <c r="R342" s="200"/>
      <c r="S342" s="200">
        <v>340</v>
      </c>
      <c r="T342" s="200">
        <v>150</v>
      </c>
      <c r="U342" s="200"/>
      <c r="V342" s="200"/>
      <c r="W342" s="274"/>
      <c r="X342" s="274"/>
      <c r="Y342" s="274"/>
    </row>
    <row r="343" spans="12:25" x14ac:dyDescent="0.2">
      <c r="L343" s="200"/>
      <c r="M343" s="200"/>
      <c r="N343" s="200"/>
      <c r="O343" s="200"/>
      <c r="P343" s="200"/>
      <c r="Q343" s="200"/>
      <c r="R343" s="200"/>
      <c r="S343" s="200">
        <v>341</v>
      </c>
      <c r="T343" s="200">
        <v>150</v>
      </c>
      <c r="U343" s="200"/>
      <c r="V343" s="200"/>
      <c r="W343" s="274"/>
      <c r="X343" s="274"/>
      <c r="Y343" s="274"/>
    </row>
    <row r="344" spans="12:25" x14ac:dyDescent="0.2">
      <c r="L344" s="200"/>
      <c r="M344" s="200"/>
      <c r="N344" s="200"/>
      <c r="O344" s="200"/>
      <c r="P344" s="200"/>
      <c r="Q344" s="200"/>
      <c r="R344" s="200"/>
      <c r="S344" s="200">
        <v>342</v>
      </c>
      <c r="T344" s="200">
        <v>150</v>
      </c>
      <c r="U344" s="200"/>
      <c r="V344" s="200"/>
      <c r="W344" s="274"/>
      <c r="X344" s="274"/>
      <c r="Y344" s="274"/>
    </row>
    <row r="345" spans="12:25" x14ac:dyDescent="0.2">
      <c r="L345" s="200"/>
      <c r="M345" s="200"/>
      <c r="N345" s="200"/>
      <c r="O345" s="200"/>
      <c r="P345" s="200"/>
      <c r="Q345" s="200"/>
      <c r="R345" s="200"/>
      <c r="S345" s="200">
        <v>343</v>
      </c>
      <c r="T345" s="200">
        <v>150</v>
      </c>
      <c r="U345" s="200"/>
      <c r="V345" s="200"/>
      <c r="W345" s="274"/>
      <c r="X345" s="274"/>
      <c r="Y345" s="274"/>
    </row>
    <row r="346" spans="12:25" x14ac:dyDescent="0.2">
      <c r="L346" s="200"/>
      <c r="M346" s="200"/>
      <c r="N346" s="200"/>
      <c r="O346" s="200"/>
      <c r="P346" s="200"/>
      <c r="Q346" s="200"/>
      <c r="R346" s="200"/>
      <c r="S346" s="200">
        <v>344</v>
      </c>
      <c r="T346" s="200">
        <v>150</v>
      </c>
      <c r="U346" s="200"/>
      <c r="V346" s="200"/>
      <c r="W346" s="274"/>
      <c r="X346" s="274"/>
      <c r="Y346" s="274"/>
    </row>
    <row r="347" spans="12:25" x14ac:dyDescent="0.2">
      <c r="L347" s="200"/>
      <c r="M347" s="200"/>
      <c r="N347" s="200"/>
      <c r="O347" s="200"/>
      <c r="P347" s="200"/>
      <c r="Q347" s="200"/>
      <c r="R347" s="200"/>
      <c r="S347" s="200">
        <v>345</v>
      </c>
      <c r="T347" s="200">
        <v>150</v>
      </c>
      <c r="U347" s="200"/>
      <c r="V347" s="200"/>
      <c r="W347" s="274"/>
      <c r="X347" s="274"/>
      <c r="Y347" s="274"/>
    </row>
    <row r="348" spans="12:25" x14ac:dyDescent="0.2">
      <c r="L348" s="200"/>
      <c r="M348" s="200"/>
      <c r="N348" s="200"/>
      <c r="O348" s="200"/>
      <c r="P348" s="200"/>
      <c r="Q348" s="200"/>
      <c r="R348" s="200"/>
      <c r="S348" s="200">
        <v>346</v>
      </c>
      <c r="T348" s="200">
        <v>150</v>
      </c>
      <c r="U348" s="200"/>
      <c r="V348" s="200"/>
      <c r="W348" s="274"/>
      <c r="X348" s="274"/>
      <c r="Y348" s="274"/>
    </row>
    <row r="349" spans="12:25" x14ac:dyDescent="0.2">
      <c r="L349" s="200"/>
      <c r="M349" s="200"/>
      <c r="N349" s="200"/>
      <c r="O349" s="200"/>
      <c r="P349" s="200"/>
      <c r="Q349" s="200"/>
      <c r="R349" s="200"/>
      <c r="S349" s="200">
        <v>347</v>
      </c>
      <c r="T349" s="200">
        <v>150</v>
      </c>
      <c r="U349" s="200"/>
      <c r="V349" s="200"/>
      <c r="W349" s="274"/>
      <c r="X349" s="274"/>
      <c r="Y349" s="274"/>
    </row>
    <row r="350" spans="12:25" x14ac:dyDescent="0.2">
      <c r="L350" s="200"/>
      <c r="M350" s="200"/>
      <c r="N350" s="200"/>
      <c r="O350" s="200"/>
      <c r="P350" s="200"/>
      <c r="Q350" s="200"/>
      <c r="R350" s="200"/>
      <c r="S350" s="200">
        <v>348</v>
      </c>
      <c r="T350" s="200">
        <v>150</v>
      </c>
      <c r="U350" s="200"/>
      <c r="V350" s="200"/>
      <c r="W350" s="274"/>
      <c r="X350" s="274"/>
      <c r="Y350" s="274"/>
    </row>
    <row r="351" spans="12:25" x14ac:dyDescent="0.2">
      <c r="L351" s="200"/>
      <c r="M351" s="200"/>
      <c r="N351" s="200"/>
      <c r="O351" s="200"/>
      <c r="P351" s="200"/>
      <c r="Q351" s="200"/>
      <c r="R351" s="200"/>
      <c r="S351" s="200">
        <v>349</v>
      </c>
      <c r="T351" s="200">
        <v>150</v>
      </c>
      <c r="U351" s="200"/>
      <c r="V351" s="200"/>
      <c r="W351" s="274"/>
      <c r="X351" s="274"/>
      <c r="Y351" s="274"/>
    </row>
    <row r="352" spans="12:25" x14ac:dyDescent="0.2">
      <c r="L352" s="200"/>
      <c r="M352" s="200"/>
      <c r="N352" s="200"/>
      <c r="O352" s="200"/>
      <c r="P352" s="200"/>
      <c r="Q352" s="200"/>
      <c r="R352" s="200"/>
      <c r="S352" s="200">
        <v>350</v>
      </c>
      <c r="T352" s="200">
        <v>150</v>
      </c>
      <c r="U352" s="200"/>
      <c r="V352" s="200"/>
      <c r="W352" s="274"/>
      <c r="X352" s="274"/>
      <c r="Y352" s="274"/>
    </row>
    <row r="353" spans="12:25" x14ac:dyDescent="0.2">
      <c r="L353" s="200"/>
      <c r="M353" s="200"/>
      <c r="N353" s="200"/>
      <c r="O353" s="200"/>
      <c r="P353" s="200"/>
      <c r="Q353" s="200"/>
      <c r="R353" s="200"/>
      <c r="S353" s="200">
        <v>351</v>
      </c>
      <c r="T353" s="200">
        <v>150</v>
      </c>
      <c r="U353" s="200"/>
      <c r="V353" s="200"/>
      <c r="W353" s="274"/>
      <c r="X353" s="274"/>
      <c r="Y353" s="274"/>
    </row>
    <row r="354" spans="12:25" x14ac:dyDescent="0.2">
      <c r="L354" s="200"/>
      <c r="M354" s="200"/>
      <c r="N354" s="200"/>
      <c r="O354" s="200"/>
      <c r="P354" s="200"/>
      <c r="Q354" s="200"/>
      <c r="R354" s="200"/>
      <c r="S354" s="200">
        <v>352</v>
      </c>
      <c r="T354" s="200">
        <v>150</v>
      </c>
      <c r="U354" s="200"/>
      <c r="V354" s="200"/>
      <c r="W354" s="274"/>
      <c r="X354" s="274"/>
      <c r="Y354" s="274"/>
    </row>
    <row r="355" spans="12:25" x14ac:dyDescent="0.2">
      <c r="L355" s="200"/>
      <c r="M355" s="200"/>
      <c r="N355" s="200"/>
      <c r="O355" s="200"/>
      <c r="P355" s="200"/>
      <c r="Q355" s="200"/>
      <c r="R355" s="200"/>
      <c r="S355" s="200">
        <v>353</v>
      </c>
      <c r="T355" s="200">
        <v>150</v>
      </c>
      <c r="U355" s="200"/>
      <c r="V355" s="200"/>
      <c r="W355" s="274"/>
      <c r="X355" s="274"/>
      <c r="Y355" s="274"/>
    </row>
    <row r="356" spans="12:25" x14ac:dyDescent="0.2">
      <c r="L356" s="200"/>
      <c r="M356" s="200"/>
      <c r="N356" s="200"/>
      <c r="O356" s="200"/>
      <c r="P356" s="200"/>
      <c r="Q356" s="200"/>
      <c r="R356" s="200"/>
      <c r="S356" s="200">
        <v>354</v>
      </c>
      <c r="T356" s="200">
        <v>150</v>
      </c>
      <c r="U356" s="200"/>
      <c r="V356" s="200"/>
      <c r="W356" s="274"/>
      <c r="X356" s="274"/>
      <c r="Y356" s="274"/>
    </row>
    <row r="357" spans="12:25" x14ac:dyDescent="0.2">
      <c r="L357" s="200"/>
      <c r="M357" s="200"/>
      <c r="N357" s="200"/>
      <c r="O357" s="200"/>
      <c r="P357" s="200"/>
      <c r="Q357" s="200"/>
      <c r="R357" s="200"/>
      <c r="S357" s="200">
        <v>355</v>
      </c>
      <c r="T357" s="200">
        <v>150</v>
      </c>
      <c r="U357" s="200"/>
      <c r="V357" s="200"/>
      <c r="W357" s="274"/>
      <c r="X357" s="274"/>
      <c r="Y357" s="274"/>
    </row>
    <row r="358" spans="12:25" x14ac:dyDescent="0.2">
      <c r="L358" s="200"/>
      <c r="M358" s="200"/>
      <c r="N358" s="200"/>
      <c r="O358" s="200"/>
      <c r="P358" s="200"/>
      <c r="Q358" s="200"/>
      <c r="R358" s="200"/>
      <c r="S358" s="200">
        <v>356</v>
      </c>
      <c r="T358" s="200">
        <v>150</v>
      </c>
      <c r="U358" s="200"/>
      <c r="V358" s="200"/>
      <c r="W358" s="274"/>
      <c r="X358" s="274"/>
      <c r="Y358" s="274"/>
    </row>
    <row r="359" spans="12:25" x14ac:dyDescent="0.2">
      <c r="L359" s="200"/>
      <c r="M359" s="200"/>
      <c r="N359" s="200"/>
      <c r="O359" s="200"/>
      <c r="P359" s="200"/>
      <c r="Q359" s="200"/>
      <c r="R359" s="200"/>
      <c r="S359" s="200">
        <v>357</v>
      </c>
      <c r="T359" s="200">
        <v>150</v>
      </c>
      <c r="U359" s="200"/>
      <c r="V359" s="200"/>
      <c r="W359" s="274"/>
      <c r="X359" s="274"/>
      <c r="Y359" s="274"/>
    </row>
    <row r="360" spans="12:25" x14ac:dyDescent="0.2">
      <c r="L360" s="200"/>
      <c r="M360" s="200"/>
      <c r="N360" s="200"/>
      <c r="O360" s="200"/>
      <c r="P360" s="200"/>
      <c r="Q360" s="200"/>
      <c r="R360" s="200"/>
      <c r="S360" s="200">
        <v>358</v>
      </c>
      <c r="T360" s="200">
        <v>150</v>
      </c>
      <c r="U360" s="200"/>
      <c r="V360" s="200"/>
      <c r="W360" s="274"/>
      <c r="X360" s="274"/>
      <c r="Y360" s="274"/>
    </row>
    <row r="361" spans="12:25" x14ac:dyDescent="0.2">
      <c r="L361" s="200"/>
      <c r="M361" s="200"/>
      <c r="N361" s="200"/>
      <c r="O361" s="200"/>
      <c r="P361" s="200"/>
      <c r="Q361" s="200"/>
      <c r="R361" s="200"/>
      <c r="S361" s="200">
        <v>359</v>
      </c>
      <c r="T361" s="200">
        <v>150</v>
      </c>
      <c r="U361" s="200"/>
      <c r="V361" s="200"/>
      <c r="W361" s="274"/>
      <c r="X361" s="274"/>
      <c r="Y361" s="274"/>
    </row>
    <row r="362" spans="12:25" x14ac:dyDescent="0.2">
      <c r="L362" s="200"/>
      <c r="M362" s="200"/>
      <c r="N362" s="200"/>
      <c r="O362" s="200"/>
      <c r="P362" s="200"/>
      <c r="Q362" s="200"/>
      <c r="R362" s="200"/>
      <c r="S362" s="200">
        <v>360</v>
      </c>
      <c r="T362" s="200">
        <v>150</v>
      </c>
      <c r="U362" s="200">
        <v>360</v>
      </c>
      <c r="V362" s="200"/>
      <c r="W362" s="274"/>
      <c r="X362" s="274"/>
      <c r="Y362" s="274"/>
    </row>
    <row r="363" spans="12:25" x14ac:dyDescent="0.2">
      <c r="L363" s="200"/>
      <c r="M363" s="200"/>
      <c r="N363" s="200"/>
      <c r="O363" s="200"/>
      <c r="P363" s="200"/>
      <c r="Q363" s="200"/>
      <c r="R363" s="200"/>
      <c r="S363" s="200"/>
      <c r="T363" s="200"/>
      <c r="U363" s="200"/>
      <c r="V363" s="200"/>
      <c r="W363" s="274"/>
      <c r="X363" s="274"/>
      <c r="Y363" s="274"/>
    </row>
    <row r="364" spans="12:25" x14ac:dyDescent="0.2">
      <c r="L364" s="200"/>
      <c r="M364" s="200"/>
      <c r="N364" s="200"/>
      <c r="O364" s="200"/>
      <c r="P364" s="200"/>
      <c r="Q364" s="200"/>
      <c r="R364" s="200"/>
      <c r="S364" s="200"/>
      <c r="T364" s="200"/>
      <c r="U364" s="200"/>
      <c r="V364" s="200"/>
      <c r="W364" s="274"/>
      <c r="X364" s="274"/>
      <c r="Y364" s="274"/>
    </row>
    <row r="365" spans="12:25" x14ac:dyDescent="0.2">
      <c r="L365" s="200"/>
      <c r="M365" s="200"/>
      <c r="N365" s="200"/>
      <c r="O365" s="200"/>
      <c r="P365" s="200"/>
      <c r="Q365" s="200"/>
      <c r="R365" s="200"/>
      <c r="S365" s="200"/>
      <c r="T365" s="200"/>
      <c r="U365" s="200"/>
      <c r="V365" s="200"/>
      <c r="W365" s="274"/>
      <c r="X365" s="274"/>
      <c r="Y365" s="274"/>
    </row>
    <row r="366" spans="12:25" x14ac:dyDescent="0.2">
      <c r="L366" s="200"/>
      <c r="M366" s="200"/>
      <c r="N366" s="200"/>
      <c r="O366" s="200"/>
      <c r="P366" s="200"/>
      <c r="Q366" s="200"/>
      <c r="R366" s="200"/>
      <c r="S366" s="200"/>
      <c r="T366" s="200"/>
      <c r="U366" s="200"/>
      <c r="V366" s="200"/>
      <c r="W366" s="274"/>
      <c r="X366" s="274"/>
      <c r="Y366" s="274"/>
    </row>
    <row r="367" spans="12:25" x14ac:dyDescent="0.2">
      <c r="L367" s="200"/>
      <c r="M367" s="200"/>
      <c r="N367" s="200"/>
      <c r="O367" s="200"/>
      <c r="P367" s="200"/>
      <c r="Q367" s="200"/>
      <c r="R367" s="200"/>
      <c r="S367" s="200"/>
      <c r="T367" s="200"/>
      <c r="U367" s="200"/>
      <c r="V367" s="200"/>
      <c r="W367" s="274"/>
      <c r="X367" s="274"/>
      <c r="Y367" s="274"/>
    </row>
    <row r="368" spans="12:25" x14ac:dyDescent="0.2">
      <c r="L368" s="200"/>
      <c r="M368" s="200"/>
      <c r="N368" s="200"/>
      <c r="O368" s="200"/>
      <c r="P368" s="200"/>
      <c r="Q368" s="200"/>
      <c r="R368" s="200"/>
      <c r="S368" s="200"/>
      <c r="T368" s="200"/>
      <c r="U368" s="200"/>
      <c r="V368" s="200"/>
      <c r="W368" s="274"/>
      <c r="X368" s="274"/>
      <c r="Y368" s="274"/>
    </row>
    <row r="369" spans="12:25" x14ac:dyDescent="0.2">
      <c r="L369" s="200"/>
      <c r="M369" s="200"/>
      <c r="N369" s="200"/>
      <c r="O369" s="200"/>
      <c r="P369" s="200"/>
      <c r="Q369" s="200"/>
      <c r="R369" s="200"/>
      <c r="S369" s="200"/>
      <c r="T369" s="200"/>
      <c r="U369" s="200"/>
      <c r="V369" s="200"/>
      <c r="W369" s="274"/>
      <c r="X369" s="274"/>
      <c r="Y369" s="274"/>
    </row>
    <row r="370" spans="12:25" x14ac:dyDescent="0.2">
      <c r="L370" s="200"/>
      <c r="M370" s="200"/>
      <c r="N370" s="200"/>
      <c r="O370" s="200"/>
      <c r="P370" s="200"/>
      <c r="Q370" s="200"/>
      <c r="R370" s="200"/>
      <c r="S370" s="200"/>
      <c r="T370" s="200"/>
      <c r="U370" s="200"/>
      <c r="V370" s="200"/>
      <c r="W370" s="274"/>
      <c r="X370" s="274"/>
      <c r="Y370" s="274"/>
    </row>
    <row r="371" spans="12:25" x14ac:dyDescent="0.2">
      <c r="L371" s="200"/>
      <c r="M371" s="200"/>
      <c r="N371" s="200"/>
      <c r="O371" s="200"/>
      <c r="P371" s="200"/>
      <c r="Q371" s="200"/>
      <c r="R371" s="200"/>
      <c r="S371" s="200"/>
      <c r="T371" s="200"/>
      <c r="U371" s="200"/>
      <c r="V371" s="200"/>
      <c r="W371" s="274"/>
      <c r="X371" s="274"/>
      <c r="Y371" s="274"/>
    </row>
    <row r="372" spans="12:25" x14ac:dyDescent="0.2">
      <c r="L372" s="200"/>
      <c r="M372" s="200"/>
      <c r="N372" s="200"/>
      <c r="O372" s="200"/>
      <c r="P372" s="200"/>
      <c r="Q372" s="200"/>
      <c r="R372" s="200"/>
      <c r="S372" s="200"/>
      <c r="T372" s="200"/>
      <c r="U372" s="200"/>
      <c r="V372" s="200"/>
      <c r="W372" s="274"/>
      <c r="X372" s="274"/>
      <c r="Y372" s="274"/>
    </row>
    <row r="373" spans="12:25" x14ac:dyDescent="0.2">
      <c r="L373" s="200"/>
      <c r="M373" s="200"/>
      <c r="N373" s="200"/>
      <c r="O373" s="200"/>
      <c r="P373" s="200"/>
      <c r="Q373" s="200"/>
      <c r="R373" s="200"/>
      <c r="S373" s="200"/>
      <c r="T373" s="200"/>
      <c r="U373" s="200"/>
      <c r="V373" s="200"/>
      <c r="W373" s="274"/>
      <c r="X373" s="274"/>
      <c r="Y373" s="274"/>
    </row>
    <row r="374" spans="12:25" x14ac:dyDescent="0.2">
      <c r="L374" s="200"/>
      <c r="M374" s="200"/>
      <c r="N374" s="200"/>
      <c r="O374" s="200"/>
      <c r="P374" s="200"/>
      <c r="Q374" s="200"/>
      <c r="R374" s="200"/>
      <c r="S374" s="200"/>
      <c r="T374" s="200"/>
      <c r="U374" s="200"/>
      <c r="V374" s="200"/>
      <c r="W374" s="274"/>
      <c r="X374" s="274"/>
      <c r="Y374" s="274"/>
    </row>
    <row r="375" spans="12:25" x14ac:dyDescent="0.2">
      <c r="L375" s="200"/>
      <c r="M375" s="200"/>
      <c r="N375" s="200"/>
      <c r="O375" s="200"/>
      <c r="P375" s="200"/>
      <c r="Q375" s="200"/>
      <c r="R375" s="200"/>
      <c r="S375" s="200"/>
      <c r="T375" s="200"/>
      <c r="U375" s="200"/>
      <c r="V375" s="200"/>
      <c r="W375" s="274"/>
      <c r="X375" s="274"/>
      <c r="Y375" s="274"/>
    </row>
    <row r="376" spans="12:25" x14ac:dyDescent="0.2">
      <c r="L376" s="200"/>
      <c r="M376" s="200"/>
      <c r="N376" s="200"/>
      <c r="O376" s="200"/>
      <c r="P376" s="200"/>
      <c r="Q376" s="200"/>
      <c r="R376" s="200"/>
      <c r="S376" s="200"/>
      <c r="T376" s="200"/>
      <c r="U376" s="200"/>
      <c r="V376" s="200"/>
      <c r="W376" s="274"/>
      <c r="X376" s="274"/>
      <c r="Y376" s="274"/>
    </row>
    <row r="377" spans="12:25" x14ac:dyDescent="0.2">
      <c r="L377" s="200"/>
      <c r="M377" s="200"/>
      <c r="N377" s="200"/>
      <c r="O377" s="200"/>
      <c r="P377" s="200"/>
      <c r="Q377" s="200"/>
      <c r="R377" s="200"/>
      <c r="S377" s="200"/>
      <c r="T377" s="200"/>
      <c r="U377" s="200"/>
      <c r="V377" s="200"/>
      <c r="W377" s="274"/>
      <c r="X377" s="274"/>
      <c r="Y377" s="274"/>
    </row>
    <row r="378" spans="12:25" x14ac:dyDescent="0.2">
      <c r="L378" s="200"/>
      <c r="M378" s="200"/>
      <c r="N378" s="200"/>
      <c r="O378" s="200"/>
      <c r="P378" s="200"/>
      <c r="Q378" s="200"/>
      <c r="R378" s="200"/>
      <c r="S378" s="200"/>
      <c r="T378" s="200"/>
      <c r="U378" s="200"/>
      <c r="V378" s="200"/>
      <c r="W378" s="274"/>
      <c r="X378" s="274"/>
      <c r="Y378" s="274"/>
    </row>
    <row r="379" spans="12:25" x14ac:dyDescent="0.2">
      <c r="L379" s="200"/>
      <c r="M379" s="200"/>
      <c r="N379" s="200"/>
      <c r="O379" s="200"/>
      <c r="P379" s="200"/>
      <c r="Q379" s="200"/>
      <c r="R379" s="200"/>
      <c r="S379" s="200"/>
      <c r="T379" s="200"/>
      <c r="U379" s="200"/>
      <c r="V379" s="200"/>
      <c r="W379" s="274"/>
      <c r="X379" s="274"/>
      <c r="Y379" s="274"/>
    </row>
    <row r="380" spans="12:25" x14ac:dyDescent="0.2">
      <c r="L380" s="200"/>
      <c r="M380" s="200"/>
      <c r="N380" s="200"/>
      <c r="O380" s="200"/>
      <c r="P380" s="200"/>
      <c r="Q380" s="200"/>
      <c r="R380" s="200"/>
      <c r="S380" s="200"/>
      <c r="T380" s="200"/>
      <c r="U380" s="200"/>
      <c r="V380" s="200"/>
      <c r="W380" s="274"/>
      <c r="X380" s="274"/>
      <c r="Y380" s="274"/>
    </row>
    <row r="381" spans="12:25" x14ac:dyDescent="0.2">
      <c r="L381" s="200"/>
      <c r="M381" s="200"/>
      <c r="N381" s="200"/>
      <c r="O381" s="200"/>
      <c r="P381" s="200"/>
      <c r="Q381" s="200"/>
      <c r="R381" s="200"/>
      <c r="S381" s="200"/>
      <c r="T381" s="200"/>
      <c r="U381" s="200"/>
      <c r="V381" s="200"/>
      <c r="W381" s="274"/>
      <c r="X381" s="274"/>
      <c r="Y381" s="274"/>
    </row>
    <row r="382" spans="12:25" x14ac:dyDescent="0.2">
      <c r="L382" s="200"/>
      <c r="M382" s="200"/>
      <c r="N382" s="200"/>
      <c r="O382" s="200"/>
      <c r="P382" s="200"/>
      <c r="Q382" s="200"/>
      <c r="R382" s="200"/>
      <c r="S382" s="200"/>
      <c r="T382" s="200"/>
      <c r="U382" s="200"/>
      <c r="V382" s="200"/>
      <c r="W382" s="274"/>
      <c r="X382" s="274"/>
      <c r="Y382" s="274"/>
    </row>
    <row r="383" spans="12:25" x14ac:dyDescent="0.2">
      <c r="L383" s="200"/>
      <c r="M383" s="200"/>
      <c r="N383" s="200"/>
      <c r="O383" s="200"/>
      <c r="P383" s="200"/>
      <c r="Q383" s="200"/>
      <c r="R383" s="200"/>
      <c r="S383" s="200"/>
      <c r="T383" s="200"/>
      <c r="U383" s="200"/>
      <c r="V383" s="200"/>
      <c r="W383" s="274"/>
      <c r="X383" s="274"/>
      <c r="Y383" s="274"/>
    </row>
    <row r="384" spans="12:25" x14ac:dyDescent="0.2">
      <c r="L384" s="200"/>
      <c r="M384" s="200"/>
      <c r="N384" s="200"/>
      <c r="O384" s="200"/>
      <c r="P384" s="200"/>
      <c r="Q384" s="200"/>
      <c r="R384" s="200"/>
      <c r="S384" s="200"/>
      <c r="T384" s="200"/>
      <c r="U384" s="200"/>
      <c r="V384" s="200"/>
      <c r="W384" s="274"/>
      <c r="X384" s="274"/>
      <c r="Y384" s="274"/>
    </row>
    <row r="385" spans="12:25" x14ac:dyDescent="0.2">
      <c r="L385" s="200"/>
      <c r="M385" s="200"/>
      <c r="N385" s="200"/>
      <c r="O385" s="200"/>
      <c r="P385" s="200"/>
      <c r="Q385" s="200"/>
      <c r="R385" s="200"/>
      <c r="S385" s="200"/>
      <c r="T385" s="200"/>
      <c r="U385" s="200"/>
      <c r="V385" s="200"/>
      <c r="W385" s="274"/>
      <c r="X385" s="274"/>
      <c r="Y385" s="274"/>
    </row>
    <row r="386" spans="12:25" x14ac:dyDescent="0.2">
      <c r="L386" s="200"/>
      <c r="M386" s="200"/>
      <c r="N386" s="200"/>
      <c r="O386" s="200"/>
      <c r="P386" s="200"/>
      <c r="Q386" s="200"/>
      <c r="R386" s="200"/>
      <c r="S386" s="200"/>
      <c r="T386" s="200"/>
      <c r="U386" s="200"/>
      <c r="V386" s="200"/>
      <c r="W386" s="274"/>
      <c r="X386" s="274"/>
      <c r="Y386" s="274"/>
    </row>
    <row r="387" spans="12:25" x14ac:dyDescent="0.2">
      <c r="L387" s="200"/>
      <c r="M387" s="200"/>
      <c r="N387" s="200"/>
      <c r="O387" s="200"/>
      <c r="P387" s="200"/>
      <c r="Q387" s="200"/>
      <c r="R387" s="200"/>
      <c r="S387" s="200"/>
      <c r="T387" s="200"/>
      <c r="U387" s="200"/>
      <c r="V387" s="200"/>
      <c r="W387" s="274"/>
      <c r="X387" s="274"/>
      <c r="Y387" s="274"/>
    </row>
    <row r="388" spans="12:25" x14ac:dyDescent="0.2">
      <c r="L388" s="200"/>
      <c r="M388" s="200"/>
      <c r="N388" s="200"/>
      <c r="O388" s="200"/>
      <c r="P388" s="200"/>
      <c r="Q388" s="200"/>
      <c r="R388" s="200"/>
      <c r="S388" s="200"/>
      <c r="T388" s="200"/>
      <c r="U388" s="200"/>
      <c r="V388" s="200"/>
      <c r="W388" s="274"/>
      <c r="X388" s="274"/>
      <c r="Y388" s="274"/>
    </row>
    <row r="389" spans="12:25" x14ac:dyDescent="0.2">
      <c r="L389" s="200"/>
      <c r="M389" s="200"/>
      <c r="N389" s="200"/>
      <c r="O389" s="200"/>
      <c r="P389" s="200"/>
      <c r="Q389" s="200"/>
      <c r="R389" s="200"/>
      <c r="S389" s="200"/>
      <c r="T389" s="200"/>
      <c r="U389" s="200"/>
      <c r="V389" s="200"/>
      <c r="W389" s="274"/>
      <c r="X389" s="274"/>
      <c r="Y389" s="274"/>
    </row>
    <row r="390" spans="12:25" x14ac:dyDescent="0.2">
      <c r="L390" s="274"/>
      <c r="M390" s="274"/>
      <c r="N390" s="274"/>
      <c r="O390" s="274"/>
      <c r="P390" s="274"/>
      <c r="Q390" s="274"/>
      <c r="R390" s="274"/>
      <c r="S390" s="274"/>
      <c r="T390" s="274"/>
      <c r="U390" s="274"/>
      <c r="V390" s="274"/>
      <c r="W390" s="274"/>
      <c r="X390" s="274"/>
      <c r="Y390" s="274"/>
    </row>
    <row r="391" spans="12:25" x14ac:dyDescent="0.2">
      <c r="L391" s="274"/>
      <c r="M391" s="274"/>
      <c r="N391" s="274"/>
      <c r="O391" s="274"/>
      <c r="P391" s="274"/>
      <c r="Q391" s="274"/>
      <c r="R391" s="274"/>
      <c r="S391" s="274"/>
      <c r="T391" s="274"/>
      <c r="U391" s="274"/>
      <c r="V391" s="274"/>
      <c r="W391" s="274"/>
      <c r="X391" s="274"/>
      <c r="Y391" s="274"/>
    </row>
    <row r="392" spans="12:25" x14ac:dyDescent="0.2">
      <c r="L392" s="274"/>
      <c r="M392" s="274"/>
      <c r="N392" s="274"/>
      <c r="O392" s="274"/>
      <c r="P392" s="274"/>
      <c r="Q392" s="274"/>
      <c r="R392" s="274"/>
      <c r="S392" s="274"/>
      <c r="T392" s="274"/>
      <c r="U392" s="274"/>
      <c r="V392" s="274"/>
      <c r="W392" s="274"/>
      <c r="X392" s="274"/>
      <c r="Y392" s="274"/>
    </row>
    <row r="393" spans="12:25" x14ac:dyDescent="0.2">
      <c r="L393" s="274"/>
      <c r="M393" s="274"/>
      <c r="N393" s="274"/>
      <c r="O393" s="274"/>
      <c r="P393" s="274"/>
      <c r="Q393" s="274"/>
      <c r="R393" s="274"/>
      <c r="S393" s="274"/>
      <c r="T393" s="274"/>
      <c r="U393" s="274"/>
      <c r="V393" s="274"/>
      <c r="W393" s="274"/>
      <c r="X393" s="274"/>
      <c r="Y393" s="274"/>
    </row>
    <row r="394" spans="12:25" x14ac:dyDescent="0.2">
      <c r="L394" s="274"/>
      <c r="M394" s="274"/>
      <c r="N394" s="274"/>
      <c r="O394" s="274"/>
      <c r="P394" s="274"/>
      <c r="Q394" s="274"/>
      <c r="R394" s="274"/>
      <c r="S394" s="274"/>
      <c r="T394" s="274"/>
      <c r="U394" s="274"/>
      <c r="V394" s="274"/>
      <c r="W394" s="274"/>
      <c r="X394" s="274"/>
      <c r="Y394" s="274"/>
    </row>
    <row r="395" spans="12:25" x14ac:dyDescent="0.2">
      <c r="L395" s="274"/>
      <c r="M395" s="274"/>
      <c r="N395" s="274"/>
      <c r="O395" s="274"/>
      <c r="P395" s="274"/>
      <c r="Q395" s="274"/>
      <c r="R395" s="274"/>
      <c r="S395" s="274"/>
      <c r="T395" s="274"/>
      <c r="U395" s="274"/>
      <c r="V395" s="274"/>
      <c r="W395" s="274"/>
      <c r="X395" s="274"/>
      <c r="Y395" s="274"/>
    </row>
    <row r="396" spans="12:25" x14ac:dyDescent="0.2">
      <c r="L396" s="274"/>
      <c r="M396" s="274"/>
      <c r="N396" s="274"/>
      <c r="O396" s="274"/>
      <c r="P396" s="274"/>
      <c r="Q396" s="274"/>
      <c r="R396" s="274"/>
      <c r="S396" s="274"/>
      <c r="T396" s="274"/>
      <c r="U396" s="274"/>
      <c r="V396" s="274"/>
      <c r="W396" s="274"/>
      <c r="X396" s="274"/>
      <c r="Y396" s="274"/>
    </row>
    <row r="397" spans="12:25" x14ac:dyDescent="0.2">
      <c r="L397" s="274"/>
      <c r="M397" s="274"/>
      <c r="N397" s="274"/>
      <c r="O397" s="274"/>
      <c r="P397" s="274"/>
      <c r="Q397" s="274"/>
      <c r="R397" s="274"/>
      <c r="S397" s="274"/>
      <c r="T397" s="274"/>
      <c r="U397" s="274"/>
      <c r="V397" s="274"/>
      <c r="W397" s="274"/>
      <c r="X397" s="274"/>
      <c r="Y397" s="274"/>
    </row>
    <row r="398" spans="12:25" x14ac:dyDescent="0.2">
      <c r="L398" s="274"/>
      <c r="M398" s="274"/>
      <c r="N398" s="274"/>
      <c r="O398" s="274"/>
      <c r="P398" s="274"/>
      <c r="Q398" s="274"/>
      <c r="R398" s="274"/>
      <c r="S398" s="274"/>
      <c r="T398" s="274"/>
      <c r="U398" s="274"/>
      <c r="V398" s="274"/>
      <c r="W398" s="274"/>
      <c r="X398" s="274"/>
      <c r="Y398" s="274"/>
    </row>
    <row r="399" spans="12:25" x14ac:dyDescent="0.2">
      <c r="L399" s="274"/>
      <c r="M399" s="274"/>
      <c r="N399" s="274"/>
      <c r="O399" s="274"/>
      <c r="P399" s="274"/>
      <c r="Q399" s="274"/>
      <c r="R399" s="274"/>
      <c r="S399" s="274"/>
      <c r="T399" s="274"/>
      <c r="U399" s="274"/>
      <c r="V399" s="274"/>
      <c r="W399" s="274"/>
      <c r="X399" s="274"/>
      <c r="Y399" s="274"/>
    </row>
    <row r="400" spans="12:25" x14ac:dyDescent="0.2">
      <c r="L400" s="274"/>
      <c r="M400" s="274"/>
      <c r="N400" s="274"/>
      <c r="O400" s="274"/>
      <c r="P400" s="274"/>
      <c r="Q400" s="274"/>
      <c r="R400" s="274"/>
      <c r="S400" s="274"/>
      <c r="T400" s="274"/>
      <c r="U400" s="274"/>
      <c r="V400" s="274"/>
      <c r="W400" s="274"/>
      <c r="X400" s="274"/>
      <c r="Y400" s="274"/>
    </row>
    <row r="401" spans="12:25" x14ac:dyDescent="0.2">
      <c r="L401" s="274"/>
      <c r="M401" s="274"/>
      <c r="N401" s="274"/>
      <c r="O401" s="274"/>
      <c r="P401" s="274"/>
      <c r="Q401" s="274"/>
      <c r="R401" s="274"/>
      <c r="S401" s="274"/>
      <c r="T401" s="274"/>
      <c r="U401" s="274"/>
      <c r="V401" s="274"/>
      <c r="W401" s="274"/>
      <c r="X401" s="274"/>
      <c r="Y401" s="274"/>
    </row>
    <row r="402" spans="12:25" x14ac:dyDescent="0.2">
      <c r="L402" s="274"/>
      <c r="M402" s="274"/>
      <c r="N402" s="274"/>
      <c r="O402" s="274"/>
      <c r="P402" s="274"/>
      <c r="Q402" s="274"/>
      <c r="R402" s="274"/>
      <c r="S402" s="274"/>
      <c r="T402" s="274"/>
      <c r="U402" s="274"/>
      <c r="V402" s="274"/>
      <c r="W402" s="274"/>
      <c r="X402" s="274"/>
      <c r="Y402" s="274"/>
    </row>
    <row r="403" spans="12:25" x14ac:dyDescent="0.2">
      <c r="L403" s="274"/>
      <c r="M403" s="274"/>
      <c r="N403" s="274"/>
      <c r="O403" s="274"/>
      <c r="P403" s="274"/>
      <c r="Q403" s="274"/>
      <c r="R403" s="274"/>
      <c r="S403" s="274"/>
      <c r="T403" s="274"/>
      <c r="U403" s="274"/>
      <c r="V403" s="274"/>
      <c r="W403" s="274"/>
      <c r="X403" s="274"/>
      <c r="Y403" s="274"/>
    </row>
    <row r="404" spans="12:25" x14ac:dyDescent="0.2">
      <c r="L404" s="274"/>
      <c r="M404" s="274"/>
      <c r="N404" s="274"/>
      <c r="O404" s="274"/>
      <c r="P404" s="274"/>
      <c r="Q404" s="274"/>
      <c r="R404" s="274"/>
      <c r="S404" s="274"/>
      <c r="T404" s="274"/>
      <c r="U404" s="274"/>
      <c r="V404" s="274"/>
      <c r="W404" s="274"/>
      <c r="X404" s="274"/>
      <c r="Y404" s="274"/>
    </row>
    <row r="405" spans="12:25" x14ac:dyDescent="0.2">
      <c r="L405" s="274"/>
      <c r="M405" s="274"/>
      <c r="N405" s="274"/>
      <c r="O405" s="274"/>
      <c r="P405" s="274"/>
      <c r="Q405" s="274"/>
      <c r="R405" s="274"/>
      <c r="S405" s="274"/>
      <c r="T405" s="274"/>
      <c r="U405" s="274"/>
      <c r="V405" s="274"/>
      <c r="W405" s="274"/>
      <c r="X405" s="274"/>
      <c r="Y405" s="274"/>
    </row>
    <row r="406" spans="12:25" x14ac:dyDescent="0.2">
      <c r="L406" s="274"/>
      <c r="M406" s="274"/>
      <c r="N406" s="274"/>
      <c r="O406" s="274"/>
      <c r="P406" s="274"/>
      <c r="Q406" s="274"/>
      <c r="R406" s="274"/>
      <c r="S406" s="274"/>
      <c r="T406" s="274"/>
      <c r="U406" s="274"/>
      <c r="V406" s="274"/>
      <c r="W406" s="274"/>
      <c r="X406" s="274"/>
      <c r="Y406" s="274"/>
    </row>
    <row r="407" spans="12:25" x14ac:dyDescent="0.2">
      <c r="L407" s="274"/>
      <c r="M407" s="274"/>
      <c r="N407" s="274"/>
      <c r="O407" s="274"/>
      <c r="P407" s="274"/>
      <c r="Q407" s="274"/>
      <c r="R407" s="274"/>
      <c r="S407" s="274"/>
      <c r="T407" s="274"/>
      <c r="U407" s="274"/>
      <c r="V407" s="274"/>
      <c r="W407" s="274"/>
      <c r="X407" s="274"/>
      <c r="Y407" s="274"/>
    </row>
    <row r="408" spans="12:25" x14ac:dyDescent="0.2">
      <c r="L408" s="274"/>
      <c r="M408" s="274"/>
      <c r="N408" s="274"/>
      <c r="O408" s="274"/>
      <c r="P408" s="274"/>
      <c r="Q408" s="274"/>
      <c r="R408" s="274"/>
      <c r="S408" s="274"/>
      <c r="T408" s="274"/>
      <c r="U408" s="274"/>
      <c r="V408" s="274"/>
      <c r="W408" s="274"/>
      <c r="X408" s="274"/>
      <c r="Y408" s="274"/>
    </row>
    <row r="409" spans="12:25" x14ac:dyDescent="0.2">
      <c r="L409" s="274"/>
      <c r="M409" s="274"/>
      <c r="N409" s="274"/>
      <c r="O409" s="274"/>
      <c r="P409" s="274"/>
      <c r="Q409" s="274"/>
      <c r="R409" s="274"/>
      <c r="S409" s="274"/>
      <c r="T409" s="274"/>
      <c r="U409" s="274"/>
      <c r="V409" s="274"/>
      <c r="W409" s="274"/>
      <c r="X409" s="274"/>
      <c r="Y409" s="274"/>
    </row>
    <row r="410" spans="12:25" x14ac:dyDescent="0.2">
      <c r="L410" s="274"/>
      <c r="M410" s="274"/>
      <c r="N410" s="274"/>
      <c r="O410" s="274"/>
      <c r="P410" s="274"/>
      <c r="Q410" s="274"/>
      <c r="R410" s="274"/>
      <c r="S410" s="274"/>
      <c r="T410" s="274"/>
      <c r="U410" s="274"/>
      <c r="V410" s="274"/>
      <c r="W410" s="274"/>
      <c r="X410" s="274"/>
      <c r="Y410" s="274"/>
    </row>
    <row r="411" spans="12:25" x14ac:dyDescent="0.2">
      <c r="L411" s="274"/>
      <c r="M411" s="274"/>
      <c r="N411" s="274"/>
      <c r="O411" s="274"/>
      <c r="P411" s="274"/>
      <c r="Q411" s="274"/>
      <c r="R411" s="274"/>
      <c r="S411" s="274"/>
      <c r="T411" s="274"/>
      <c r="U411" s="274"/>
      <c r="V411" s="274"/>
      <c r="W411" s="274"/>
      <c r="X411" s="274"/>
      <c r="Y411" s="274"/>
    </row>
    <row r="412" spans="12:25" x14ac:dyDescent="0.2">
      <c r="L412" s="274"/>
      <c r="M412" s="274"/>
      <c r="N412" s="274"/>
      <c r="O412" s="274"/>
      <c r="P412" s="274"/>
      <c r="Q412" s="274"/>
      <c r="R412" s="274"/>
      <c r="S412" s="274"/>
      <c r="T412" s="274"/>
      <c r="U412" s="274"/>
      <c r="V412" s="274"/>
      <c r="W412" s="274"/>
      <c r="X412" s="274"/>
      <c r="Y412" s="274"/>
    </row>
    <row r="413" spans="12:25" x14ac:dyDescent="0.2">
      <c r="L413" s="274"/>
      <c r="M413" s="274"/>
      <c r="N413" s="274"/>
      <c r="O413" s="274"/>
      <c r="P413" s="274"/>
      <c r="Q413" s="274"/>
      <c r="R413" s="274"/>
      <c r="S413" s="274"/>
      <c r="T413" s="274"/>
      <c r="U413" s="274"/>
      <c r="V413" s="274"/>
      <c r="W413" s="274"/>
      <c r="X413" s="274"/>
      <c r="Y413" s="274"/>
    </row>
    <row r="414" spans="12:25" x14ac:dyDescent="0.2">
      <c r="L414" s="274"/>
      <c r="M414" s="274"/>
      <c r="N414" s="274"/>
      <c r="O414" s="274"/>
      <c r="P414" s="274"/>
      <c r="Q414" s="274"/>
      <c r="R414" s="274"/>
      <c r="S414" s="274"/>
      <c r="T414" s="274"/>
      <c r="U414" s="274"/>
      <c r="V414" s="274"/>
      <c r="W414" s="274"/>
      <c r="X414" s="274"/>
      <c r="Y414" s="274"/>
    </row>
    <row r="415" spans="12:25" x14ac:dyDescent="0.2">
      <c r="L415" s="274"/>
      <c r="M415" s="274"/>
      <c r="N415" s="274"/>
      <c r="O415" s="274"/>
      <c r="P415" s="274"/>
      <c r="Q415" s="274"/>
      <c r="R415" s="274"/>
      <c r="S415" s="274"/>
      <c r="T415" s="274"/>
      <c r="U415" s="274"/>
      <c r="V415" s="274"/>
      <c r="W415" s="274"/>
      <c r="X415" s="274"/>
      <c r="Y415" s="274"/>
    </row>
    <row r="416" spans="12:25" x14ac:dyDescent="0.2">
      <c r="L416" s="274"/>
      <c r="M416" s="274"/>
      <c r="N416" s="274"/>
      <c r="O416" s="274"/>
      <c r="P416" s="274"/>
      <c r="Q416" s="274"/>
      <c r="R416" s="274"/>
      <c r="S416" s="274"/>
      <c r="T416" s="274"/>
      <c r="U416" s="274"/>
      <c r="V416" s="274"/>
      <c r="W416" s="274"/>
      <c r="X416" s="274"/>
      <c r="Y416" s="274"/>
    </row>
    <row r="417" spans="12:25" x14ac:dyDescent="0.2">
      <c r="L417" s="274"/>
      <c r="M417" s="274"/>
      <c r="N417" s="274"/>
      <c r="O417" s="274"/>
      <c r="P417" s="274"/>
      <c r="Q417" s="274"/>
      <c r="R417" s="274"/>
      <c r="S417" s="274"/>
      <c r="T417" s="274"/>
      <c r="U417" s="274"/>
      <c r="V417" s="274"/>
      <c r="W417" s="274"/>
      <c r="X417" s="274"/>
      <c r="Y417" s="274"/>
    </row>
    <row r="418" spans="12:25" x14ac:dyDescent="0.2">
      <c r="L418" s="274"/>
      <c r="M418" s="274"/>
      <c r="N418" s="274"/>
      <c r="O418" s="274"/>
      <c r="P418" s="274"/>
      <c r="Q418" s="274"/>
      <c r="R418" s="274"/>
      <c r="S418" s="274"/>
      <c r="T418" s="274"/>
      <c r="U418" s="274"/>
      <c r="V418" s="274"/>
      <c r="W418" s="274"/>
      <c r="X418" s="274"/>
      <c r="Y418" s="274"/>
    </row>
    <row r="419" spans="12:25" x14ac:dyDescent="0.2">
      <c r="L419" s="274"/>
      <c r="M419" s="274"/>
      <c r="N419" s="274"/>
      <c r="O419" s="274"/>
      <c r="P419" s="274"/>
      <c r="Q419" s="274"/>
      <c r="R419" s="274"/>
      <c r="S419" s="274"/>
      <c r="T419" s="274"/>
      <c r="U419" s="274"/>
      <c r="V419" s="274"/>
      <c r="W419" s="274"/>
      <c r="X419" s="274"/>
      <c r="Y419" s="274"/>
    </row>
    <row r="420" spans="12:25" x14ac:dyDescent="0.2">
      <c r="L420" s="274"/>
      <c r="M420" s="274"/>
      <c r="N420" s="274"/>
      <c r="O420" s="274"/>
      <c r="P420" s="274"/>
      <c r="Q420" s="274"/>
      <c r="R420" s="274"/>
      <c r="S420" s="274"/>
      <c r="T420" s="274"/>
      <c r="U420" s="274"/>
      <c r="V420" s="274"/>
      <c r="W420" s="274"/>
      <c r="X420" s="274"/>
      <c r="Y420" s="274"/>
    </row>
    <row r="421" spans="12:25" x14ac:dyDescent="0.2">
      <c r="L421" s="274"/>
      <c r="M421" s="274"/>
      <c r="N421" s="274"/>
      <c r="O421" s="274"/>
      <c r="P421" s="274"/>
      <c r="Q421" s="274"/>
      <c r="R421" s="274"/>
      <c r="S421" s="274"/>
      <c r="T421" s="274"/>
      <c r="U421" s="274"/>
      <c r="V421" s="274"/>
      <c r="W421" s="274"/>
      <c r="X421" s="274"/>
      <c r="Y421" s="274"/>
    </row>
    <row r="422" spans="12:25" x14ac:dyDescent="0.2">
      <c r="L422" s="274"/>
      <c r="M422" s="274"/>
      <c r="N422" s="274"/>
      <c r="O422" s="274"/>
      <c r="P422" s="274"/>
      <c r="Q422" s="274"/>
      <c r="R422" s="274"/>
      <c r="S422" s="274"/>
      <c r="T422" s="274"/>
      <c r="U422" s="274"/>
      <c r="V422" s="274"/>
      <c r="W422" s="274"/>
      <c r="X422" s="274"/>
      <c r="Y422" s="274"/>
    </row>
    <row r="423" spans="12:25" x14ac:dyDescent="0.2">
      <c r="L423" s="274"/>
      <c r="M423" s="274"/>
      <c r="N423" s="274"/>
      <c r="O423" s="274"/>
      <c r="P423" s="274"/>
      <c r="Q423" s="274"/>
      <c r="R423" s="274"/>
      <c r="S423" s="274"/>
      <c r="T423" s="274"/>
      <c r="U423" s="274"/>
      <c r="V423" s="274"/>
      <c r="W423" s="274"/>
      <c r="X423" s="274"/>
      <c r="Y423" s="274"/>
    </row>
    <row r="424" spans="12:25" x14ac:dyDescent="0.2">
      <c r="L424" s="274"/>
      <c r="M424" s="274"/>
      <c r="N424" s="274"/>
      <c r="O424" s="274"/>
      <c r="P424" s="274"/>
      <c r="Q424" s="274"/>
      <c r="R424" s="274"/>
      <c r="S424" s="274"/>
      <c r="T424" s="274"/>
      <c r="U424" s="274"/>
      <c r="V424" s="274"/>
      <c r="W424" s="274"/>
      <c r="X424" s="274"/>
      <c r="Y424" s="274"/>
    </row>
    <row r="425" spans="12:25" x14ac:dyDescent="0.2">
      <c r="L425" s="274"/>
      <c r="M425" s="274"/>
      <c r="N425" s="274"/>
      <c r="O425" s="274"/>
      <c r="P425" s="274"/>
      <c r="Q425" s="274"/>
      <c r="R425" s="274"/>
      <c r="S425" s="274"/>
      <c r="T425" s="274"/>
      <c r="U425" s="274"/>
      <c r="V425" s="274"/>
      <c r="W425" s="274"/>
      <c r="X425" s="274"/>
      <c r="Y425" s="274"/>
    </row>
    <row r="426" spans="12:25" x14ac:dyDescent="0.2">
      <c r="L426" s="274"/>
      <c r="M426" s="274"/>
      <c r="N426" s="274"/>
      <c r="O426" s="274"/>
      <c r="P426" s="274"/>
      <c r="Q426" s="274"/>
      <c r="R426" s="274"/>
      <c r="S426" s="274"/>
      <c r="T426" s="274"/>
      <c r="U426" s="274"/>
      <c r="V426" s="274"/>
      <c r="W426" s="274"/>
      <c r="X426" s="274"/>
      <c r="Y426" s="274"/>
    </row>
    <row r="427" spans="12:25" x14ac:dyDescent="0.2">
      <c r="L427" s="274"/>
      <c r="M427" s="274"/>
      <c r="N427" s="274"/>
      <c r="O427" s="274"/>
      <c r="P427" s="274"/>
      <c r="Q427" s="274"/>
      <c r="R427" s="274"/>
      <c r="S427" s="274"/>
      <c r="T427" s="274"/>
      <c r="U427" s="274"/>
      <c r="V427" s="274"/>
      <c r="W427" s="274"/>
      <c r="X427" s="274"/>
      <c r="Y427" s="274"/>
    </row>
    <row r="428" spans="12:25" x14ac:dyDescent="0.2">
      <c r="L428" s="274"/>
      <c r="M428" s="274"/>
      <c r="N428" s="274"/>
      <c r="O428" s="274"/>
      <c r="P428" s="274"/>
      <c r="Q428" s="274"/>
      <c r="R428" s="274"/>
      <c r="S428" s="274"/>
      <c r="T428" s="274"/>
      <c r="U428" s="274"/>
      <c r="V428" s="274"/>
      <c r="W428" s="274"/>
      <c r="X428" s="274"/>
      <c r="Y428" s="274"/>
    </row>
    <row r="429" spans="12:25" x14ac:dyDescent="0.2">
      <c r="L429" s="274"/>
      <c r="M429" s="274"/>
      <c r="N429" s="274"/>
      <c r="O429" s="274"/>
      <c r="P429" s="274"/>
      <c r="Q429" s="274"/>
      <c r="R429" s="274"/>
      <c r="S429" s="274"/>
      <c r="T429" s="274"/>
      <c r="U429" s="274"/>
      <c r="V429" s="274"/>
      <c r="W429" s="274"/>
      <c r="X429" s="274"/>
      <c r="Y429" s="274"/>
    </row>
    <row r="430" spans="12:25" x14ac:dyDescent="0.2">
      <c r="L430" s="274"/>
      <c r="M430" s="274"/>
      <c r="N430" s="274"/>
      <c r="O430" s="274"/>
      <c r="P430" s="274"/>
      <c r="Q430" s="274"/>
      <c r="R430" s="274"/>
      <c r="S430" s="274"/>
      <c r="T430" s="274"/>
      <c r="U430" s="274"/>
      <c r="V430" s="274"/>
      <c r="W430" s="274"/>
      <c r="X430" s="274"/>
      <c r="Y430" s="274"/>
    </row>
    <row r="431" spans="12:25" x14ac:dyDescent="0.2">
      <c r="L431" s="274"/>
      <c r="M431" s="274"/>
      <c r="N431" s="274"/>
      <c r="O431" s="274"/>
      <c r="P431" s="274"/>
      <c r="Q431" s="274"/>
      <c r="R431" s="274"/>
      <c r="S431" s="274"/>
      <c r="T431" s="274"/>
      <c r="U431" s="274"/>
      <c r="V431" s="274"/>
      <c r="W431" s="274"/>
      <c r="X431" s="274"/>
      <c r="Y431" s="274"/>
    </row>
    <row r="432" spans="12:25" x14ac:dyDescent="0.2">
      <c r="L432" s="274"/>
      <c r="M432" s="274"/>
      <c r="N432" s="274"/>
      <c r="O432" s="274"/>
      <c r="P432" s="274"/>
      <c r="Q432" s="274"/>
      <c r="R432" s="274"/>
      <c r="S432" s="274"/>
      <c r="T432" s="274"/>
      <c r="U432" s="274"/>
      <c r="V432" s="274"/>
      <c r="W432" s="274"/>
      <c r="X432" s="274"/>
      <c r="Y432" s="274"/>
    </row>
    <row r="433" spans="12:25" x14ac:dyDescent="0.2">
      <c r="L433" s="274"/>
      <c r="M433" s="274"/>
      <c r="N433" s="274"/>
      <c r="O433" s="274"/>
      <c r="P433" s="274"/>
      <c r="Q433" s="274"/>
      <c r="R433" s="274"/>
      <c r="S433" s="274"/>
      <c r="T433" s="274"/>
      <c r="U433" s="274"/>
      <c r="V433" s="274"/>
      <c r="W433" s="274"/>
      <c r="X433" s="274"/>
      <c r="Y433" s="274"/>
    </row>
    <row r="434" spans="12:25" x14ac:dyDescent="0.2">
      <c r="L434" s="274"/>
      <c r="M434" s="274"/>
      <c r="N434" s="274"/>
      <c r="O434" s="274"/>
      <c r="P434" s="274"/>
      <c r="Q434" s="274"/>
      <c r="R434" s="274"/>
      <c r="S434" s="274"/>
      <c r="T434" s="274"/>
      <c r="U434" s="274"/>
      <c r="V434" s="274"/>
      <c r="W434" s="274"/>
      <c r="X434" s="274"/>
      <c r="Y434" s="274"/>
    </row>
    <row r="435" spans="12:25" x14ac:dyDescent="0.2">
      <c r="L435" s="274"/>
      <c r="M435" s="274"/>
      <c r="N435" s="274"/>
      <c r="O435" s="274"/>
      <c r="P435" s="274"/>
      <c r="Q435" s="274"/>
      <c r="R435" s="274"/>
      <c r="S435" s="274"/>
      <c r="T435" s="274"/>
      <c r="U435" s="274"/>
      <c r="V435" s="274"/>
      <c r="W435" s="274"/>
      <c r="X435" s="274"/>
      <c r="Y435" s="274"/>
    </row>
    <row r="436" spans="12:25" x14ac:dyDescent="0.2">
      <c r="L436" s="274"/>
      <c r="M436" s="274"/>
      <c r="N436" s="274"/>
      <c r="O436" s="274"/>
      <c r="P436" s="274"/>
      <c r="Q436" s="274"/>
      <c r="R436" s="274"/>
      <c r="S436" s="274"/>
      <c r="T436" s="274"/>
      <c r="U436" s="274"/>
      <c r="V436" s="274"/>
      <c r="W436" s="274"/>
      <c r="X436" s="274"/>
      <c r="Y436" s="274"/>
    </row>
    <row r="437" spans="12:25" x14ac:dyDescent="0.2">
      <c r="L437" s="274"/>
      <c r="M437" s="274"/>
      <c r="N437" s="274"/>
      <c r="O437" s="274"/>
      <c r="P437" s="274"/>
      <c r="Q437" s="274"/>
      <c r="R437" s="274"/>
      <c r="S437" s="274"/>
      <c r="T437" s="274"/>
      <c r="U437" s="274"/>
      <c r="V437" s="274"/>
      <c r="W437" s="274"/>
      <c r="X437" s="274"/>
      <c r="Y437" s="274"/>
    </row>
    <row r="438" spans="12:25" x14ac:dyDescent="0.2">
      <c r="L438" s="274"/>
      <c r="M438" s="274"/>
      <c r="N438" s="274"/>
      <c r="O438" s="274"/>
      <c r="P438" s="274"/>
      <c r="Q438" s="274"/>
      <c r="R438" s="274"/>
      <c r="S438" s="274"/>
      <c r="T438" s="274"/>
      <c r="U438" s="274"/>
      <c r="V438" s="274"/>
      <c r="W438" s="274"/>
      <c r="X438" s="274"/>
      <c r="Y438" s="274"/>
    </row>
    <row r="439" spans="12:25" x14ac:dyDescent="0.2">
      <c r="L439" s="274"/>
      <c r="M439" s="274"/>
      <c r="N439" s="274"/>
      <c r="O439" s="274"/>
      <c r="P439" s="274"/>
      <c r="Q439" s="274"/>
      <c r="R439" s="274"/>
      <c r="S439" s="274"/>
      <c r="T439" s="274"/>
      <c r="U439" s="274"/>
      <c r="V439" s="274"/>
      <c r="W439" s="274"/>
      <c r="X439" s="274"/>
      <c r="Y439" s="274"/>
    </row>
    <row r="440" spans="12:25" x14ac:dyDescent="0.2">
      <c r="L440" s="274"/>
      <c r="M440" s="274"/>
      <c r="N440" s="274"/>
      <c r="O440" s="274"/>
      <c r="P440" s="274"/>
      <c r="Q440" s="274"/>
      <c r="R440" s="274"/>
      <c r="S440" s="274"/>
      <c r="T440" s="274"/>
      <c r="U440" s="274"/>
      <c r="V440" s="274"/>
      <c r="W440" s="274"/>
      <c r="X440" s="274"/>
      <c r="Y440" s="274"/>
    </row>
    <row r="441" spans="12:25" x14ac:dyDescent="0.2">
      <c r="L441" s="274"/>
      <c r="M441" s="274"/>
      <c r="N441" s="274"/>
      <c r="O441" s="274"/>
      <c r="P441" s="274"/>
      <c r="Q441" s="274"/>
      <c r="R441" s="274"/>
      <c r="S441" s="274"/>
      <c r="T441" s="274"/>
      <c r="U441" s="274"/>
      <c r="V441" s="274"/>
      <c r="W441" s="274"/>
      <c r="X441" s="274"/>
      <c r="Y441" s="274"/>
    </row>
    <row r="442" spans="12:25" x14ac:dyDescent="0.2">
      <c r="L442" s="274"/>
      <c r="M442" s="274"/>
      <c r="N442" s="274"/>
      <c r="O442" s="274"/>
      <c r="P442" s="274"/>
      <c r="Q442" s="274"/>
      <c r="R442" s="274"/>
      <c r="S442" s="274"/>
      <c r="T442" s="274"/>
      <c r="U442" s="274"/>
      <c r="V442" s="274"/>
      <c r="W442" s="274"/>
      <c r="X442" s="274"/>
      <c r="Y442" s="274"/>
    </row>
    <row r="443" spans="12:25" x14ac:dyDescent="0.2">
      <c r="L443" s="274"/>
      <c r="M443" s="274"/>
      <c r="N443" s="274"/>
      <c r="O443" s="274"/>
      <c r="P443" s="274"/>
      <c r="Q443" s="274"/>
      <c r="R443" s="274"/>
      <c r="S443" s="274"/>
      <c r="T443" s="274"/>
      <c r="U443" s="274"/>
      <c r="V443" s="274"/>
      <c r="W443" s="274"/>
      <c r="X443" s="274"/>
      <c r="Y443" s="274"/>
    </row>
    <row r="444" spans="12:25" x14ac:dyDescent="0.2">
      <c r="L444" s="274"/>
      <c r="M444" s="274"/>
      <c r="N444" s="274"/>
      <c r="O444" s="274"/>
      <c r="P444" s="274"/>
      <c r="Q444" s="274"/>
      <c r="R444" s="274"/>
      <c r="S444" s="274"/>
      <c r="T444" s="274"/>
      <c r="U444" s="274"/>
      <c r="V444" s="274"/>
      <c r="W444" s="274"/>
      <c r="X444" s="274"/>
      <c r="Y444" s="274"/>
    </row>
    <row r="445" spans="12:25" x14ac:dyDescent="0.2">
      <c r="L445" s="274"/>
      <c r="M445" s="274"/>
      <c r="N445" s="274"/>
      <c r="O445" s="274"/>
      <c r="P445" s="274"/>
      <c r="Q445" s="274"/>
      <c r="R445" s="274"/>
      <c r="S445" s="274"/>
      <c r="T445" s="274"/>
      <c r="U445" s="274"/>
      <c r="V445" s="274"/>
      <c r="W445" s="274"/>
      <c r="X445" s="274"/>
      <c r="Y445" s="274"/>
    </row>
    <row r="446" spans="12:25" x14ac:dyDescent="0.2">
      <c r="L446" s="274"/>
      <c r="M446" s="274"/>
      <c r="N446" s="274"/>
      <c r="O446" s="274"/>
      <c r="P446" s="274"/>
      <c r="Q446" s="274"/>
      <c r="R446" s="274"/>
      <c r="S446" s="274"/>
      <c r="T446" s="274"/>
      <c r="U446" s="274"/>
      <c r="V446" s="274"/>
      <c r="W446" s="274"/>
      <c r="X446" s="274"/>
      <c r="Y446" s="274"/>
    </row>
    <row r="447" spans="12:25" x14ac:dyDescent="0.2">
      <c r="L447" s="274"/>
      <c r="M447" s="274"/>
      <c r="N447" s="274"/>
      <c r="O447" s="274"/>
      <c r="P447" s="274"/>
      <c r="Q447" s="274"/>
      <c r="R447" s="274"/>
      <c r="S447" s="274"/>
      <c r="T447" s="274"/>
      <c r="U447" s="274"/>
      <c r="V447" s="274"/>
      <c r="W447" s="274"/>
      <c r="X447" s="274"/>
      <c r="Y447" s="274"/>
    </row>
    <row r="448" spans="12:25" x14ac:dyDescent="0.2">
      <c r="L448" s="274"/>
      <c r="M448" s="274"/>
      <c r="N448" s="274"/>
      <c r="O448" s="274"/>
      <c r="P448" s="274"/>
      <c r="Q448" s="274"/>
      <c r="R448" s="274"/>
      <c r="S448" s="274"/>
      <c r="T448" s="274"/>
      <c r="U448" s="274"/>
      <c r="V448" s="274"/>
      <c r="W448" s="274"/>
      <c r="X448" s="274"/>
      <c r="Y448" s="274"/>
    </row>
    <row r="449" spans="12:25" x14ac:dyDescent="0.2">
      <c r="L449" s="274"/>
      <c r="M449" s="274"/>
      <c r="N449" s="274"/>
      <c r="O449" s="274"/>
      <c r="P449" s="274"/>
      <c r="Q449" s="274"/>
      <c r="R449" s="274"/>
      <c r="S449" s="274"/>
      <c r="T449" s="274"/>
      <c r="U449" s="274"/>
      <c r="V449" s="274"/>
      <c r="W449" s="274"/>
      <c r="X449" s="274"/>
      <c r="Y449" s="274"/>
    </row>
    <row r="450" spans="12:25" x14ac:dyDescent="0.2">
      <c r="L450" s="274"/>
      <c r="M450" s="274"/>
      <c r="N450" s="274"/>
      <c r="O450" s="274"/>
      <c r="P450" s="274"/>
      <c r="Q450" s="274"/>
      <c r="R450" s="274"/>
      <c r="S450" s="274"/>
      <c r="T450" s="274"/>
      <c r="U450" s="274"/>
      <c r="V450" s="274"/>
      <c r="W450" s="274"/>
      <c r="X450" s="274"/>
      <c r="Y450" s="274"/>
    </row>
    <row r="451" spans="12:25" x14ac:dyDescent="0.2">
      <c r="Y451" s="274"/>
    </row>
    <row r="452" spans="12:25" x14ac:dyDescent="0.2">
      <c r="Y452" s="274"/>
    </row>
  </sheetData>
  <sheetProtection password="CC2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75" x14ac:dyDescent="0.2"/>
  <cols>
    <col min="1" max="1" width="11.28515625" customWidth="1"/>
    <col min="2" max="2" width="37.7109375" customWidth="1"/>
    <col min="3" max="3" width="13.28515625" customWidth="1"/>
  </cols>
  <sheetData>
    <row r="1" spans="1:3" x14ac:dyDescent="0.2">
      <c r="A1" t="s">
        <v>2444</v>
      </c>
      <c r="B1" t="s">
        <v>982</v>
      </c>
      <c r="C1" t="s">
        <v>2445</v>
      </c>
    </row>
    <row r="2" spans="1:3" x14ac:dyDescent="0.2">
      <c r="A2" t="s">
        <v>2446</v>
      </c>
      <c r="B2" t="s">
        <v>1173</v>
      </c>
    </row>
    <row r="3" spans="1:3" x14ac:dyDescent="0.2">
      <c r="A3" t="s">
        <v>2446</v>
      </c>
      <c r="B3" t="s">
        <v>1219</v>
      </c>
    </row>
    <row r="4" spans="1:3" x14ac:dyDescent="0.2">
      <c r="A4" t="s">
        <v>2446</v>
      </c>
      <c r="B4" t="s">
        <v>714</v>
      </c>
    </row>
    <row r="5" spans="1:3" x14ac:dyDescent="0.2">
      <c r="A5" t="s">
        <v>2446</v>
      </c>
      <c r="B5" t="s">
        <v>715</v>
      </c>
    </row>
    <row r="6" spans="1:3" x14ac:dyDescent="0.2">
      <c r="A6" t="s">
        <v>2446</v>
      </c>
      <c r="B6" t="s">
        <v>716</v>
      </c>
    </row>
    <row r="7" spans="1:3" x14ac:dyDescent="0.2">
      <c r="A7" t="s">
        <v>2446</v>
      </c>
      <c r="B7" t="s">
        <v>717</v>
      </c>
    </row>
    <row r="8" spans="1:3" x14ac:dyDescent="0.2">
      <c r="A8" t="s">
        <v>2446</v>
      </c>
      <c r="B8" t="s">
        <v>718</v>
      </c>
    </row>
    <row r="9" spans="1:3" x14ac:dyDescent="0.2">
      <c r="A9" t="s">
        <v>2446</v>
      </c>
      <c r="B9" t="s">
        <v>719</v>
      </c>
    </row>
    <row r="10" spans="1:3" x14ac:dyDescent="0.2">
      <c r="A10" t="s">
        <v>2446</v>
      </c>
      <c r="B10" t="s">
        <v>1281</v>
      </c>
      <c r="C10" s="37"/>
    </row>
    <row r="11" spans="1:3" x14ac:dyDescent="0.2">
      <c r="A11" t="s">
        <v>2446</v>
      </c>
      <c r="B11" t="s">
        <v>1597</v>
      </c>
      <c r="C11" s="37"/>
    </row>
    <row r="12" spans="1:3" x14ac:dyDescent="0.2">
      <c r="A12" t="s">
        <v>2446</v>
      </c>
      <c r="B12" t="s">
        <v>1598</v>
      </c>
    </row>
    <row r="13" spans="1:3" x14ac:dyDescent="0.2">
      <c r="A13" t="s">
        <v>2446</v>
      </c>
      <c r="B13" t="s">
        <v>1599</v>
      </c>
    </row>
    <row r="14" spans="1:3" x14ac:dyDescent="0.2">
      <c r="A14" t="s">
        <v>2446</v>
      </c>
      <c r="B14" t="s">
        <v>1600</v>
      </c>
    </row>
    <row r="15" spans="1:3" x14ac:dyDescent="0.2">
      <c r="A15" t="s">
        <v>2446</v>
      </c>
      <c r="B15" t="s">
        <v>1601</v>
      </c>
    </row>
    <row r="16" spans="1:3" x14ac:dyDescent="0.2">
      <c r="A16" t="s">
        <v>1248</v>
      </c>
      <c r="B16" t="s">
        <v>1249</v>
      </c>
    </row>
    <row r="17" spans="1:2" x14ac:dyDescent="0.2">
      <c r="A17" t="s">
        <v>1248</v>
      </c>
      <c r="B17" t="s">
        <v>1249</v>
      </c>
    </row>
    <row r="18" spans="1:2" x14ac:dyDescent="0.2">
      <c r="A18" t="s">
        <v>1248</v>
      </c>
      <c r="B18" t="s">
        <v>1249</v>
      </c>
    </row>
    <row r="19" spans="1:2" x14ac:dyDescent="0.2">
      <c r="A19" t="s">
        <v>1248</v>
      </c>
      <c r="B19" t="s">
        <v>1249</v>
      </c>
    </row>
    <row r="20" spans="1:2" x14ac:dyDescent="0.2">
      <c r="A20" t="s">
        <v>1248</v>
      </c>
      <c r="B20" t="s">
        <v>1249</v>
      </c>
    </row>
    <row r="21" spans="1:2" x14ac:dyDescent="0.2">
      <c r="A21" t="s">
        <v>1248</v>
      </c>
      <c r="B21" t="s">
        <v>1249</v>
      </c>
    </row>
    <row r="22" spans="1:2" x14ac:dyDescent="0.2">
      <c r="A22" t="s">
        <v>1248</v>
      </c>
      <c r="B22" t="s">
        <v>1249</v>
      </c>
    </row>
    <row r="23" spans="1:2" x14ac:dyDescent="0.2">
      <c r="A23" t="s">
        <v>1248</v>
      </c>
      <c r="B23" t="s">
        <v>1249</v>
      </c>
    </row>
    <row r="24" spans="1:2" x14ac:dyDescent="0.2">
      <c r="A24" t="s">
        <v>1248</v>
      </c>
      <c r="B24" t="s">
        <v>1249</v>
      </c>
    </row>
    <row r="25" spans="1:2" x14ac:dyDescent="0.2">
      <c r="A25" t="s">
        <v>1248</v>
      </c>
      <c r="B25" t="s">
        <v>1249</v>
      </c>
    </row>
    <row r="26" spans="1:2" x14ac:dyDescent="0.2">
      <c r="A26" t="s">
        <v>1248</v>
      </c>
      <c r="B26" t="s">
        <v>1249</v>
      </c>
    </row>
    <row r="27" spans="1:2" x14ac:dyDescent="0.2">
      <c r="A27" t="s">
        <v>1248</v>
      </c>
      <c r="B27" t="s">
        <v>1249</v>
      </c>
    </row>
    <row r="28" spans="1:2" x14ac:dyDescent="0.2">
      <c r="A28" t="s">
        <v>1248</v>
      </c>
      <c r="B28" t="s">
        <v>1249</v>
      </c>
    </row>
    <row r="29" spans="1:2" x14ac:dyDescent="0.2">
      <c r="A29" t="s">
        <v>1248</v>
      </c>
      <c r="B29" t="s">
        <v>1249</v>
      </c>
    </row>
    <row r="30" spans="1:2" x14ac:dyDescent="0.2">
      <c r="A30" t="s">
        <v>1248</v>
      </c>
      <c r="B30" t="s">
        <v>1249</v>
      </c>
    </row>
    <row r="31" spans="1:2" x14ac:dyDescent="0.2">
      <c r="A31" t="s">
        <v>1248</v>
      </c>
      <c r="B31" t="s">
        <v>1249</v>
      </c>
    </row>
    <row r="32" spans="1:2" x14ac:dyDescent="0.2">
      <c r="A32" t="s">
        <v>1248</v>
      </c>
      <c r="B32" t="s">
        <v>1249</v>
      </c>
    </row>
    <row r="33" spans="1:2" x14ac:dyDescent="0.2">
      <c r="A33" t="s">
        <v>1248</v>
      </c>
      <c r="B33" t="s">
        <v>1249</v>
      </c>
    </row>
    <row r="34" spans="1:2" x14ac:dyDescent="0.2">
      <c r="A34" t="s">
        <v>1248</v>
      </c>
      <c r="B34" t="s">
        <v>1249</v>
      </c>
    </row>
    <row r="35" spans="1:2" x14ac:dyDescent="0.2">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109375" defaultRowHeight="12.6" customHeight="1" x14ac:dyDescent="0.2"/>
  <cols>
    <col min="1" max="1" width="2.7109375" style="58" customWidth="1"/>
    <col min="2" max="2" width="2.5703125" style="61" customWidth="1"/>
    <col min="3" max="3" width="14" style="58" customWidth="1"/>
    <col min="4" max="4" width="11.28515625" style="58" customWidth="1"/>
    <col min="5" max="5" width="12.7109375" style="58" customWidth="1"/>
    <col min="6" max="6" width="10.7109375" style="58" customWidth="1"/>
    <col min="7" max="10" width="11.28515625" style="58" customWidth="1"/>
    <col min="11" max="11" width="10.7109375" style="58" customWidth="1"/>
    <col min="12" max="12" width="10.7109375" style="105" customWidth="1"/>
    <col min="13" max="16384" width="10.7109375" style="58"/>
  </cols>
  <sheetData>
    <row r="2" spans="1:19" ht="12.6" customHeight="1" x14ac:dyDescent="0.2">
      <c r="B2" s="86"/>
      <c r="C2" s="87" t="str">
        <f>BeademingCV!$Q$2</f>
        <v>Opnamedatum:</v>
      </c>
      <c r="D2" s="56">
        <f>BeademingCV!$V$2</f>
        <v>41363</v>
      </c>
      <c r="E2" s="87" t="str">
        <f>BeademingCV!$C$3</f>
        <v>Naam:</v>
      </c>
      <c r="F2" s="401" t="str">
        <f>BeademingCV!$H$3</f>
        <v>Achternaam, Voornaam</v>
      </c>
      <c r="G2" s="401"/>
      <c r="H2" s="88" t="s">
        <v>2762</v>
      </c>
      <c r="I2" s="58" t="str">
        <f>Gewicht/10&amp;" kg"</f>
        <v>10 kg</v>
      </c>
      <c r="J2" s="57"/>
      <c r="L2" s="104"/>
    </row>
    <row r="3" spans="1:19" ht="12.6" customHeight="1" x14ac:dyDescent="0.2">
      <c r="B3" s="86"/>
      <c r="C3" s="87" t="s">
        <v>2122</v>
      </c>
      <c r="D3" s="59">
        <f ca="1">AfspraakDatum-OpnDatum+1</f>
        <v>823</v>
      </c>
      <c r="E3" s="87" t="str">
        <f>BeademingCV!$Q$3</f>
        <v>Geboorte datum:</v>
      </c>
      <c r="F3" s="60">
        <f>BeademingCV!$V$3</f>
        <v>40909</v>
      </c>
      <c r="G3" s="57"/>
      <c r="H3" s="88" t="s">
        <v>1348</v>
      </c>
      <c r="I3" s="58" t="str">
        <f>Lengte&amp;" cm"</f>
        <v>80 cm</v>
      </c>
      <c r="J3" s="57"/>
      <c r="L3" s="104"/>
    </row>
    <row r="4" spans="1:19" ht="12" customHeight="1" x14ac:dyDescent="0.2">
      <c r="D4" s="57"/>
      <c r="F4" s="57"/>
      <c r="H4" s="88" t="s">
        <v>1361</v>
      </c>
      <c r="I4" s="58" t="str">
        <f>ROUND(POWER(Gewicht/10,0.425)*POWER(((Lengte/100)*100),0.725)*0.007184,2)&amp;" m2"</f>
        <v>0,46 m2</v>
      </c>
      <c r="L4" s="104"/>
    </row>
    <row r="5" spans="1:19" ht="12.6" customHeight="1" x14ac:dyDescent="0.2">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 customHeight="1" x14ac:dyDescent="0.2">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 customHeight="1" x14ac:dyDescent="0.2">
      <c r="B7" s="86"/>
      <c r="C7" s="88">
        <f>IF(E7&lt;&gt;"",BeademingCV!C12,)</f>
        <v>0</v>
      </c>
      <c r="D7" s="88"/>
      <c r="E7" s="58" t="str">
        <f>IF(Toegang&gt;2,INDEX(tblDruppelen,dbBead!L2,1),"")</f>
        <v/>
      </c>
      <c r="G7" s="88">
        <f>IF(I7&lt;&gt;"",BeademingCV!C10,)</f>
        <v>0</v>
      </c>
      <c r="H7" s="88"/>
      <c r="I7" s="58" t="str">
        <f>BeademingCV!F10</f>
        <v/>
      </c>
      <c r="L7" s="104"/>
      <c r="Q7" s="62"/>
      <c r="R7" s="62"/>
      <c r="S7" s="62"/>
    </row>
    <row r="8" spans="1:19" ht="12.6" customHeight="1" x14ac:dyDescent="0.2">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 customHeight="1" x14ac:dyDescent="0.2">
      <c r="G9" s="62"/>
      <c r="H9" s="62"/>
      <c r="K9" s="62"/>
      <c r="L9" s="104"/>
      <c r="M9" s="62"/>
      <c r="N9" s="62"/>
      <c r="O9" s="62"/>
      <c r="Q9" s="62"/>
      <c r="R9" s="62"/>
      <c r="S9" s="62"/>
    </row>
    <row r="10" spans="1:19" ht="12.6" customHeight="1" x14ac:dyDescent="0.2">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 customHeight="1" x14ac:dyDescent="0.2">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 customHeight="1" x14ac:dyDescent="0.2">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 customHeight="1" x14ac:dyDescent="0.2">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 customHeight="1" x14ac:dyDescent="0.2">
      <c r="B14" s="86"/>
      <c r="C14" s="88">
        <f>IF(E14&lt;&gt;"",BeademingCV!M21,)</f>
        <v>0</v>
      </c>
      <c r="D14" s="88"/>
      <c r="E14" s="58" t="str">
        <f>BeademingCV!N21</f>
        <v/>
      </c>
      <c r="G14" s="88">
        <f>IF(I14&lt;&gt;"",BeademingCV!AJ21,)</f>
        <v>0</v>
      </c>
      <c r="H14" s="88"/>
      <c r="I14" s="58" t="str">
        <f>BeademingCV!AK21</f>
        <v/>
      </c>
      <c r="L14" s="104"/>
    </row>
    <row r="15" spans="1:19" ht="12.6" customHeight="1" x14ac:dyDescent="0.2">
      <c r="B15" s="86"/>
      <c r="C15" s="88">
        <f>IF(E15&lt;&gt;"","Automode",)</f>
        <v>0</v>
      </c>
      <c r="D15" s="88"/>
      <c r="E15" s="58" t="str">
        <f>BeademingCV!G22</f>
        <v/>
      </c>
      <c r="G15" s="88" t="str">
        <f>IF(I15&lt;&gt;"","Trigger Time Out","")</f>
        <v/>
      </c>
      <c r="H15" s="88"/>
      <c r="I15" s="58" t="str">
        <f>IF(E15="Ja",BeademingCV!$X$22,"")</f>
        <v/>
      </c>
      <c r="L15" s="104"/>
    </row>
    <row r="16" spans="1:19" ht="12.6" customHeight="1" x14ac:dyDescent="0.2">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 customHeight="1" x14ac:dyDescent="0.2">
      <c r="F17" s="63"/>
      <c r="G17" s="62"/>
      <c r="H17" s="62"/>
      <c r="I17" s="158"/>
      <c r="K17" s="64"/>
      <c r="L17" s="104"/>
    </row>
    <row r="18" spans="1:12" ht="12.6" customHeight="1" x14ac:dyDescent="0.2">
      <c r="B18" s="86"/>
      <c r="C18" s="88" t="s">
        <v>2881</v>
      </c>
      <c r="D18" s="408">
        <f>ber_Opm!C2</f>
        <v>0</v>
      </c>
      <c r="E18" s="409"/>
      <c r="F18" s="409"/>
      <c r="G18" s="409"/>
      <c r="H18" s="409"/>
      <c r="I18" s="409"/>
      <c r="J18" s="409"/>
      <c r="K18" s="61"/>
      <c r="L18" s="104"/>
    </row>
    <row r="19" spans="1:12" ht="12.6" customHeight="1" x14ac:dyDescent="0.2">
      <c r="B19" s="86"/>
      <c r="C19" s="88"/>
      <c r="D19" s="409"/>
      <c r="E19" s="409"/>
      <c r="F19" s="409"/>
      <c r="G19" s="409"/>
      <c r="H19" s="409"/>
      <c r="I19" s="409"/>
      <c r="J19" s="409"/>
      <c r="K19" s="61"/>
      <c r="L19" s="104"/>
    </row>
    <row r="20" spans="1:12" ht="9" customHeight="1" x14ac:dyDescent="0.2">
      <c r="F20" s="61"/>
      <c r="G20" s="61"/>
      <c r="H20" s="62"/>
      <c r="I20" s="62"/>
      <c r="J20" s="62"/>
      <c r="K20" s="61"/>
      <c r="L20" s="104"/>
    </row>
    <row r="21" spans="1:12" ht="14.1" customHeight="1" x14ac:dyDescent="0.2">
      <c r="C21" s="147" t="s">
        <v>2347</v>
      </c>
      <c r="D21" s="148" t="s">
        <v>2514</v>
      </c>
      <c r="E21" s="149"/>
      <c r="F21" s="150" t="s">
        <v>2437</v>
      </c>
      <c r="G21" s="150" t="s">
        <v>2347</v>
      </c>
      <c r="H21" s="151" t="s">
        <v>2514</v>
      </c>
      <c r="I21" s="152"/>
      <c r="J21" s="155" t="s">
        <v>2437</v>
      </c>
      <c r="K21" s="61"/>
      <c r="L21" s="104"/>
    </row>
    <row r="22" spans="1:12" ht="14.1" customHeight="1" x14ac:dyDescent="0.2">
      <c r="C22" s="147"/>
      <c r="D22" s="148"/>
      <c r="E22" s="149"/>
      <c r="F22" s="150"/>
      <c r="G22" s="150"/>
      <c r="H22" s="153"/>
      <c r="I22" s="154"/>
      <c r="J22" s="156"/>
      <c r="K22" s="61"/>
      <c r="L22" s="104"/>
    </row>
    <row r="23" spans="1:12" ht="14.1" customHeight="1" x14ac:dyDescent="0.2">
      <c r="C23" s="147"/>
      <c r="D23" s="148"/>
      <c r="E23" s="149"/>
      <c r="F23" s="150"/>
      <c r="G23" s="150"/>
      <c r="H23" s="153"/>
      <c r="I23" s="154"/>
      <c r="J23" s="156"/>
      <c r="K23" s="61"/>
      <c r="L23" s="104"/>
    </row>
    <row r="24" spans="1:12" ht="14.1" customHeight="1" x14ac:dyDescent="0.2">
      <c r="C24" s="147"/>
      <c r="D24" s="148"/>
      <c r="E24" s="149"/>
      <c r="F24" s="150"/>
      <c r="G24" s="150"/>
      <c r="H24" s="153"/>
      <c r="I24" s="154"/>
      <c r="J24" s="156"/>
      <c r="K24" s="61"/>
      <c r="L24" s="104"/>
    </row>
    <row r="25" spans="1:12" ht="14.1" customHeight="1" x14ac:dyDescent="0.2">
      <c r="C25" s="147"/>
      <c r="D25" s="148"/>
      <c r="E25" s="149"/>
      <c r="F25" s="150"/>
      <c r="G25" s="150"/>
      <c r="H25" s="153"/>
      <c r="I25" s="154"/>
      <c r="J25" s="156"/>
      <c r="K25" s="61"/>
      <c r="L25" s="104"/>
    </row>
    <row r="26" spans="1:12" ht="14.1" customHeight="1" x14ac:dyDescent="0.2">
      <c r="C26" s="147"/>
      <c r="D26" s="148"/>
      <c r="E26" s="149"/>
      <c r="F26" s="150"/>
      <c r="G26" s="150"/>
      <c r="H26" s="153"/>
      <c r="I26" s="154"/>
      <c r="J26" s="156"/>
      <c r="K26" s="61"/>
      <c r="L26" s="104"/>
    </row>
    <row r="27" spans="1:12" ht="14.1" customHeight="1" x14ac:dyDescent="0.2">
      <c r="C27" s="147"/>
      <c r="D27" s="148"/>
      <c r="E27" s="149"/>
      <c r="F27" s="150"/>
      <c r="G27" s="150"/>
      <c r="H27" s="153"/>
      <c r="I27" s="154"/>
      <c r="J27" s="156"/>
      <c r="K27" s="61"/>
      <c r="L27" s="104"/>
    </row>
    <row r="28" spans="1:12" ht="14.1" customHeight="1" x14ac:dyDescent="0.2">
      <c r="C28" s="147"/>
      <c r="D28" s="148"/>
      <c r="E28" s="149"/>
      <c r="F28" s="150"/>
      <c r="G28" s="150"/>
      <c r="H28" s="153"/>
      <c r="I28" s="154"/>
      <c r="J28" s="156"/>
      <c r="K28" s="61"/>
      <c r="L28" s="104"/>
    </row>
    <row r="29" spans="1:12" ht="14.1" customHeight="1" x14ac:dyDescent="0.2">
      <c r="C29" s="147"/>
      <c r="D29" s="148"/>
      <c r="E29" s="149"/>
      <c r="F29" s="150"/>
      <c r="G29" s="150"/>
      <c r="H29" s="153"/>
      <c r="I29" s="154"/>
      <c r="J29" s="156"/>
      <c r="K29" s="61"/>
      <c r="L29" s="104"/>
    </row>
    <row r="30" spans="1:12" ht="14.1" customHeight="1" x14ac:dyDescent="0.2">
      <c r="H30" s="62"/>
      <c r="I30" s="62"/>
      <c r="J30" s="62"/>
      <c r="K30" s="61"/>
      <c r="L30" s="104"/>
    </row>
    <row r="31" spans="1:12" ht="14.1" customHeight="1" x14ac:dyDescent="0.2">
      <c r="A31" s="66"/>
      <c r="B31" s="71" t="str">
        <f>Intake!C7</f>
        <v>Voeding</v>
      </c>
      <c r="C31" s="66"/>
      <c r="D31" s="66"/>
      <c r="E31" s="66"/>
      <c r="F31" s="66"/>
      <c r="G31" s="66"/>
      <c r="H31" s="66"/>
      <c r="I31" s="66"/>
      <c r="J31" s="66"/>
      <c r="K31" s="61"/>
      <c r="L31" s="104"/>
    </row>
    <row r="32" spans="1:12" ht="14.1" customHeight="1" x14ac:dyDescent="0.2">
      <c r="B32" s="86"/>
      <c r="C32" s="88" t="s">
        <v>2336</v>
      </c>
      <c r="D32" s="88"/>
      <c r="E32" s="58" t="str">
        <f>INDEX(tblSonde,ber_PO!A1,1)</f>
        <v>Geen sonde</v>
      </c>
      <c r="K32" s="61"/>
      <c r="L32" s="104"/>
    </row>
    <row r="33" spans="1:12" ht="14.1" customHeight="1" x14ac:dyDescent="0.2">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 customHeight="1" x14ac:dyDescent="0.2">
      <c r="B34" s="86"/>
      <c r="C34" s="88"/>
      <c r="D34" s="88"/>
      <c r="F34" s="65" t="str">
        <f>IF(ber_PO!P24&gt;1,"met "&amp;Intake!C10&amp;" "&amp;Intake!D10&amp;" "&amp;INDEX(ber_PO!B22:B33,KeuzePO_3,1),"")</f>
        <v/>
      </c>
      <c r="I34" s="58" t="str">
        <f>Intake!I10</f>
        <v/>
      </c>
      <c r="K34" s="61"/>
      <c r="L34" s="104"/>
    </row>
    <row r="35" spans="1:12" ht="12.6" customHeight="1" x14ac:dyDescent="0.2">
      <c r="B35" s="86"/>
      <c r="C35" s="88"/>
      <c r="D35" s="88"/>
      <c r="F35" s="65" t="str">
        <f>IF(ber_PO!P25&gt;1,"met "&amp;Intake!C11&amp;" "&amp;Intake!D11&amp;" "&amp;INDEX(ber_PO!B22:B33,KeuzePO_4,1),"")</f>
        <v/>
      </c>
      <c r="I35" s="58" t="str">
        <f>Intake!I11</f>
        <v/>
      </c>
      <c r="K35" s="64"/>
      <c r="L35" s="104"/>
    </row>
    <row r="36" spans="1:12" ht="12.6" customHeight="1" x14ac:dyDescent="0.2">
      <c r="K36" s="64"/>
      <c r="L36" s="104"/>
    </row>
    <row r="37" spans="1:12" ht="12.6" customHeight="1" x14ac:dyDescent="0.2">
      <c r="A37" s="66"/>
      <c r="B37" s="89"/>
      <c r="C37" s="90" t="s">
        <v>2881</v>
      </c>
      <c r="D37" s="404">
        <f>ber_Opm!C15</f>
        <v>0</v>
      </c>
      <c r="E37" s="405"/>
      <c r="F37" s="405"/>
      <c r="G37" s="405"/>
      <c r="H37" s="405"/>
      <c r="I37" s="405"/>
      <c r="J37" s="405"/>
      <c r="K37" s="64"/>
      <c r="L37" s="104"/>
    </row>
    <row r="38" spans="1:12" ht="12.6" customHeight="1" x14ac:dyDescent="0.2">
      <c r="L38" s="104"/>
    </row>
    <row r="39" spans="1:12" ht="12.6" customHeight="1" x14ac:dyDescent="0.2">
      <c r="A39" s="66"/>
      <c r="B39" s="71" t="s">
        <v>1281</v>
      </c>
      <c r="C39" s="66"/>
      <c r="D39" s="66"/>
      <c r="E39" s="66"/>
      <c r="F39" s="66"/>
      <c r="G39" s="66"/>
      <c r="H39" s="66"/>
      <c r="I39" s="66"/>
      <c r="J39" s="66"/>
      <c r="L39" s="104"/>
    </row>
    <row r="40" spans="1:12" ht="12.6" customHeight="1" x14ac:dyDescent="0.2">
      <c r="B40" s="88"/>
      <c r="C40" s="88" t="s">
        <v>3811</v>
      </c>
      <c r="D40" s="410"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1"/>
      <c r="F40" s="411"/>
      <c r="G40" s="411"/>
      <c r="H40" s="411"/>
      <c r="I40" s="411"/>
      <c r="J40" s="411"/>
      <c r="L40" s="104"/>
    </row>
    <row r="41" spans="1:12" ht="12.6" customHeight="1" x14ac:dyDescent="0.2">
      <c r="B41" s="88"/>
      <c r="C41" s="88" t="s">
        <v>5103</v>
      </c>
      <c r="D41" s="402"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3"/>
      <c r="F41" s="403"/>
      <c r="G41" s="403"/>
      <c r="H41" s="403"/>
      <c r="I41" s="403"/>
      <c r="J41" s="403"/>
      <c r="L41" s="104"/>
    </row>
    <row r="42" spans="1:12" ht="12.6" customHeight="1" x14ac:dyDescent="0.2">
      <c r="B42" s="88"/>
      <c r="C42" s="88" t="s">
        <v>5104</v>
      </c>
      <c r="D42" s="402"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2"/>
      <c r="F42" s="412"/>
      <c r="G42" s="412"/>
      <c r="H42" s="412"/>
      <c r="I42" s="412"/>
      <c r="J42" s="412"/>
      <c r="L42" s="104"/>
    </row>
    <row r="43" spans="1:12" ht="12.6" customHeight="1" x14ac:dyDescent="0.2">
      <c r="B43" s="88"/>
      <c r="C43" s="88" t="s">
        <v>1565</v>
      </c>
      <c r="D43" s="402"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2"/>
      <c r="F43" s="412"/>
      <c r="G43" s="412"/>
      <c r="H43" s="412"/>
      <c r="I43" s="412"/>
      <c r="J43" s="412"/>
      <c r="L43" s="104"/>
    </row>
    <row r="44" spans="1:12" ht="12.6" customHeight="1" x14ac:dyDescent="0.2">
      <c r="B44" s="88"/>
      <c r="C44" s="93" t="s">
        <v>130</v>
      </c>
      <c r="D44" s="402"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3"/>
      <c r="F44" s="413"/>
      <c r="G44" s="413"/>
      <c r="H44" s="413"/>
      <c r="I44" s="413"/>
      <c r="J44" s="413"/>
      <c r="L44" s="104"/>
    </row>
    <row r="45" spans="1:12" ht="12.6" customHeight="1" x14ac:dyDescent="0.2">
      <c r="B45" s="88"/>
      <c r="C45" s="93" t="s">
        <v>2881</v>
      </c>
      <c r="D45" s="396">
        <f>ber_Opm!C10</f>
        <v>0</v>
      </c>
      <c r="E45" s="397"/>
      <c r="F45" s="397"/>
      <c r="G45" s="397"/>
      <c r="H45" s="397"/>
      <c r="I45" s="397"/>
      <c r="J45" s="397"/>
      <c r="L45" s="104"/>
    </row>
    <row r="46" spans="1:12" ht="12.6" customHeight="1" x14ac:dyDescent="0.2">
      <c r="A46" s="66"/>
      <c r="B46" s="90"/>
      <c r="C46" s="92"/>
      <c r="D46" s="398"/>
      <c r="E46" s="398"/>
      <c r="F46" s="398"/>
      <c r="G46" s="398"/>
      <c r="H46" s="398"/>
      <c r="I46" s="398"/>
      <c r="J46" s="398"/>
      <c r="L46" s="104"/>
    </row>
    <row r="47" spans="1:12" ht="12.6" customHeight="1" x14ac:dyDescent="0.2">
      <c r="L47" s="104"/>
    </row>
    <row r="48" spans="1:12" ht="12.6" customHeight="1" x14ac:dyDescent="0.2">
      <c r="A48" s="66"/>
      <c r="B48" s="71" t="s">
        <v>838</v>
      </c>
      <c r="C48" s="68"/>
      <c r="D48" s="66"/>
      <c r="E48" s="66"/>
      <c r="F48" s="66"/>
      <c r="G48" s="66"/>
      <c r="H48" s="66"/>
      <c r="I48" s="66"/>
      <c r="J48" s="66"/>
      <c r="L48" s="104"/>
    </row>
    <row r="49" spans="2:12" ht="12.6" customHeight="1" x14ac:dyDescent="0.2">
      <c r="B49" s="61" t="s">
        <v>2800</v>
      </c>
      <c r="C49" s="58">
        <f>INDEX(tblAanvAfspr,ber_Infusen!M1,1)</f>
        <v>0</v>
      </c>
      <c r="L49" s="104"/>
    </row>
    <row r="50" spans="2:12" ht="12.6" customHeight="1" x14ac:dyDescent="0.2">
      <c r="B50" s="61" t="s">
        <v>2801</v>
      </c>
      <c r="C50" s="58">
        <f>INDEX(tblAanvAfspr,ber_Infusen!M2,1)</f>
        <v>0</v>
      </c>
      <c r="L50" s="104"/>
    </row>
    <row r="51" spans="2:12" ht="12.6" customHeight="1" x14ac:dyDescent="0.2">
      <c r="B51" s="61" t="s">
        <v>2802</v>
      </c>
      <c r="C51" s="58">
        <f>INDEX(tblAanvAfspr,ber_Infusen!M3,1)</f>
        <v>0</v>
      </c>
      <c r="L51" s="104"/>
    </row>
    <row r="52" spans="2:12" ht="12.6" customHeight="1" x14ac:dyDescent="0.2">
      <c r="B52" s="61" t="s">
        <v>2803</v>
      </c>
      <c r="C52" s="58">
        <f>INDEX(tblAanvAfspr,ber_Infusen!M4,1)</f>
        <v>0</v>
      </c>
      <c r="L52" s="104"/>
    </row>
    <row r="53" spans="2:12" ht="12.6" customHeight="1" x14ac:dyDescent="0.2">
      <c r="B53" s="61" t="s">
        <v>2804</v>
      </c>
      <c r="C53" s="58" t="str">
        <f>IF(Controle_3&gt;0,Infusen!B23&amp;" "&amp;Infusen!C23&amp;", ","")&amp;IF(Controle_8&gt;0,Infusen!E24&amp;" "&amp;Infusen!F24&amp;", ","")&amp;IF(Controle_2&gt;0,Infusen!E23&amp;" "&amp;Infusen!F23&amp;", ","")&amp;IF(Controle_6&gt;0,Infusen!B24&amp;" "&amp;Infusen!C24&amp;", ","")</f>
        <v/>
      </c>
      <c r="L53" s="104"/>
    </row>
    <row r="54" spans="2:12" ht="12.6" customHeight="1" x14ac:dyDescent="0.2">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L54" s="104"/>
    </row>
    <row r="55" spans="2:12" ht="12.6" customHeight="1" x14ac:dyDescent="0.2">
      <c r="C55" s="400"/>
      <c r="D55" s="400"/>
      <c r="E55" s="400"/>
      <c r="F55" s="400"/>
      <c r="G55" s="400"/>
      <c r="H55" s="400"/>
      <c r="I55" s="400"/>
      <c r="J55" s="400"/>
      <c r="L55" s="104"/>
    </row>
    <row r="56" spans="2:12" ht="12.6" customHeight="1" x14ac:dyDescent="0.2">
      <c r="B56" s="61" t="s">
        <v>840</v>
      </c>
      <c r="C56" s="406">
        <f>ber_Opm!C11</f>
        <v>0</v>
      </c>
      <c r="D56" s="406"/>
      <c r="E56" s="406"/>
      <c r="F56" s="406"/>
      <c r="G56" s="406"/>
      <c r="H56" s="406"/>
      <c r="I56" s="406"/>
      <c r="J56" s="406"/>
      <c r="L56" s="104"/>
    </row>
    <row r="57" spans="2:12" ht="6.95" customHeight="1" x14ac:dyDescent="0.2">
      <c r="C57" s="407"/>
      <c r="D57" s="407"/>
      <c r="E57" s="407"/>
      <c r="F57" s="407"/>
      <c r="G57" s="407"/>
      <c r="H57" s="407"/>
      <c r="I57" s="407"/>
      <c r="J57" s="407"/>
      <c r="L57" s="104"/>
    </row>
    <row r="58" spans="2:12" ht="6.95" customHeight="1" x14ac:dyDescent="0.2">
      <c r="C58" s="407"/>
      <c r="D58" s="407"/>
      <c r="E58" s="407"/>
      <c r="F58" s="407"/>
      <c r="G58" s="407"/>
      <c r="H58" s="407"/>
      <c r="I58" s="407"/>
      <c r="J58" s="407"/>
      <c r="L58" s="104"/>
    </row>
    <row r="59" spans="2:12" ht="6.95" customHeight="1" x14ac:dyDescent="0.2">
      <c r="C59" s="407"/>
      <c r="D59" s="407"/>
      <c r="E59" s="407"/>
      <c r="F59" s="407"/>
      <c r="G59" s="407"/>
      <c r="H59" s="407"/>
      <c r="I59" s="407"/>
      <c r="J59" s="407"/>
      <c r="L59" s="104"/>
    </row>
    <row r="60" spans="2:12" ht="12.6" customHeight="1" x14ac:dyDescent="0.2">
      <c r="B60" s="61">
        <v>8</v>
      </c>
      <c r="C60" s="357" t="s">
        <v>806</v>
      </c>
      <c r="D60" s="356"/>
      <c r="E60" s="356"/>
      <c r="F60" s="356"/>
      <c r="G60" s="356"/>
      <c r="H60" s="356"/>
      <c r="I60" s="356"/>
      <c r="J60" s="356"/>
      <c r="L60" s="104"/>
    </row>
    <row r="61" spans="2:12" ht="12.6" customHeight="1" x14ac:dyDescent="0.2">
      <c r="C61" s="357"/>
      <c r="D61" s="356"/>
      <c r="E61" s="356"/>
      <c r="F61" s="356"/>
      <c r="G61" s="356"/>
      <c r="H61" s="356"/>
      <c r="I61" s="356"/>
      <c r="J61" s="356"/>
      <c r="L61" s="104"/>
    </row>
    <row r="62" spans="2:12" ht="12.6" customHeight="1" x14ac:dyDescent="0.2">
      <c r="C62" s="357"/>
      <c r="D62" s="356"/>
      <c r="E62" s="356"/>
      <c r="F62" s="356"/>
      <c r="G62" s="356"/>
      <c r="H62" s="356"/>
      <c r="I62" s="356"/>
      <c r="J62" s="356"/>
      <c r="L62" s="104"/>
    </row>
    <row r="63" spans="2:12" ht="12.6" customHeight="1" x14ac:dyDescent="0.2">
      <c r="C63" s="357"/>
      <c r="D63" s="356"/>
      <c r="E63" s="356"/>
      <c r="F63" s="356"/>
      <c r="G63" s="356"/>
      <c r="H63" s="356"/>
      <c r="I63" s="356"/>
      <c r="J63" s="356"/>
      <c r="L63" s="104"/>
    </row>
    <row r="64" spans="2:12" ht="12.6" customHeight="1" x14ac:dyDescent="0.2">
      <c r="C64" s="357"/>
      <c r="D64" s="356"/>
      <c r="E64" s="356"/>
      <c r="F64" s="356"/>
      <c r="G64" s="356"/>
      <c r="H64" s="356"/>
      <c r="I64" s="356"/>
      <c r="J64" s="356"/>
      <c r="L64" s="104"/>
    </row>
    <row r="65" spans="1:12" ht="12.6" customHeight="1" x14ac:dyDescent="0.2">
      <c r="B65" s="72" t="s">
        <v>922</v>
      </c>
      <c r="C65" s="66"/>
      <c r="D65" s="66"/>
      <c r="F65" s="66" t="s">
        <v>5101</v>
      </c>
      <c r="G65" s="66"/>
      <c r="H65" s="66"/>
      <c r="I65" s="66"/>
      <c r="L65" s="104"/>
    </row>
    <row r="66" spans="1:12" ht="12.6" customHeight="1" x14ac:dyDescent="0.2">
      <c r="L66" s="104"/>
    </row>
    <row r="67" spans="1:12" ht="12.6" customHeight="1" x14ac:dyDescent="0.2">
      <c r="B67" s="86"/>
      <c r="C67" s="87" t="str">
        <f>BeademingCV!$Q$2</f>
        <v>Opnamedatum:</v>
      </c>
      <c r="D67" s="56">
        <f>BeademingCV!$V$2</f>
        <v>41363</v>
      </c>
      <c r="E67" s="87" t="str">
        <f>BeademingCV!$C$3</f>
        <v>Naam:</v>
      </c>
      <c r="F67" s="401" t="str">
        <f>BeademingCV!$H$3</f>
        <v>Achternaam, Voornaam</v>
      </c>
      <c r="G67" s="401"/>
      <c r="H67" s="88" t="s">
        <v>2762</v>
      </c>
      <c r="I67" s="58" t="str">
        <f>Gewicht/10&amp;" kg"</f>
        <v>10 kg</v>
      </c>
      <c r="J67" s="57"/>
      <c r="L67" s="104"/>
    </row>
    <row r="68" spans="1:12" ht="12.6" customHeight="1" x14ac:dyDescent="0.2">
      <c r="B68" s="86"/>
      <c r="C68" s="87" t="str">
        <f ca="1">BeademingCV!$Z$2</f>
        <v>ICU-dag: 823</v>
      </c>
      <c r="D68" s="59">
        <f ca="1">AfspraakDatum-OpnDatum+1</f>
        <v>823</v>
      </c>
      <c r="E68" s="87" t="str">
        <f>BeademingCV!$Q$3</f>
        <v>Geboorte datum:</v>
      </c>
      <c r="F68" s="60">
        <f>BeademingCV!$V$3</f>
        <v>40909</v>
      </c>
      <c r="G68" s="57"/>
      <c r="H68" s="88" t="s">
        <v>1348</v>
      </c>
      <c r="I68" s="58" t="str">
        <f>Lengte&amp;" cm"</f>
        <v>80 cm</v>
      </c>
      <c r="J68" s="57"/>
      <c r="L68" s="104"/>
    </row>
    <row r="69" spans="1:12" ht="12.6" customHeight="1" x14ac:dyDescent="0.2">
      <c r="D69" s="57"/>
      <c r="F69" s="57"/>
      <c r="H69" s="88" t="s">
        <v>1361</v>
      </c>
      <c r="I69" s="58" t="str">
        <f>ROUND(POWER(Gewicht/10,0.425)*POWER(((Lengte/100)*100),0.725)*0.007184,2)&amp;" m2"</f>
        <v>0,46 m2</v>
      </c>
      <c r="L69" s="104"/>
    </row>
    <row r="70" spans="1:12" ht="12.6" customHeight="1" x14ac:dyDescent="0.2">
      <c r="D70" s="57"/>
      <c r="F70" s="57"/>
      <c r="L70" s="104"/>
    </row>
    <row r="71" spans="1:12" ht="12.6" customHeight="1" x14ac:dyDescent="0.2">
      <c r="A71" s="66"/>
      <c r="B71" s="71" t="s">
        <v>212</v>
      </c>
      <c r="C71" s="68"/>
      <c r="D71" s="66"/>
      <c r="E71" s="66"/>
      <c r="F71" s="66"/>
      <c r="G71" s="66"/>
      <c r="H71" s="69"/>
      <c r="I71" s="69"/>
      <c r="J71" s="69"/>
      <c r="L71" s="104"/>
    </row>
    <row r="72" spans="1:12" ht="12.6" customHeight="1" x14ac:dyDescent="0.2">
      <c r="B72" s="61">
        <v>1</v>
      </c>
      <c r="C72" s="58">
        <f>INDEX(tblInfusen,ber_Infusen!E2,1)</f>
        <v>0</v>
      </c>
      <c r="H72" s="62"/>
      <c r="I72" s="62"/>
      <c r="J72" s="62"/>
      <c r="L72" s="104" t="str">
        <f t="shared" ref="L72:L77" si="0">IF(C72=0,"D","")</f>
        <v>D</v>
      </c>
    </row>
    <row r="73" spans="1:12" ht="12.6" customHeight="1" x14ac:dyDescent="0.2">
      <c r="B73" s="61">
        <v>2</v>
      </c>
      <c r="C73" s="58">
        <f>INDEX(tblInfusen,ber_Infusen!E3,1)</f>
        <v>0</v>
      </c>
      <c r="H73" s="62"/>
      <c r="I73" s="62"/>
      <c r="J73" s="62"/>
      <c r="L73" s="104" t="str">
        <f t="shared" si="0"/>
        <v>D</v>
      </c>
    </row>
    <row r="74" spans="1:12" ht="12.6" customHeight="1" x14ac:dyDescent="0.2">
      <c r="B74" s="61">
        <v>3</v>
      </c>
      <c r="C74" s="58">
        <f>INDEX(tblInfusen,ber_Infusen!E4,1)</f>
        <v>0</v>
      </c>
      <c r="H74" s="62"/>
      <c r="I74" s="62"/>
      <c r="J74" s="62"/>
      <c r="L74" s="104" t="str">
        <f t="shared" si="0"/>
        <v>D</v>
      </c>
    </row>
    <row r="75" spans="1:12" ht="12.6" customHeight="1" x14ac:dyDescent="0.2">
      <c r="B75" s="61">
        <v>4</v>
      </c>
      <c r="C75" s="58">
        <f>INDEX(tblInfusen,ber_Infusen!E5,1)</f>
        <v>0</v>
      </c>
      <c r="H75" s="62"/>
      <c r="I75" s="62"/>
      <c r="J75" s="62"/>
      <c r="L75" s="104" t="str">
        <f t="shared" si="0"/>
        <v>D</v>
      </c>
    </row>
    <row r="76" spans="1:12" ht="12.6" customHeight="1" x14ac:dyDescent="0.2">
      <c r="B76" s="61">
        <v>5</v>
      </c>
      <c r="C76" s="58">
        <f>INDEX(tblInfusen,ber_Infusen!E6,1)</f>
        <v>0</v>
      </c>
      <c r="H76" s="62"/>
      <c r="I76" s="62"/>
      <c r="J76" s="62"/>
      <c r="L76" s="104" t="str">
        <f t="shared" si="0"/>
        <v>D</v>
      </c>
    </row>
    <row r="77" spans="1:12" ht="12.6" customHeight="1" x14ac:dyDescent="0.2">
      <c r="B77" s="61">
        <v>6</v>
      </c>
      <c r="C77" s="58">
        <f>INDEX(tblInfusen,ber_Infusen!E7,1)</f>
        <v>0</v>
      </c>
      <c r="H77" s="62"/>
      <c r="I77" s="62"/>
      <c r="J77" s="62"/>
      <c r="L77" s="104" t="str">
        <f t="shared" si="0"/>
        <v>D</v>
      </c>
    </row>
    <row r="78" spans="1:12" ht="12.6" customHeight="1" x14ac:dyDescent="0.2">
      <c r="H78" s="62"/>
      <c r="I78" s="62"/>
      <c r="J78" s="62"/>
      <c r="L78" s="104"/>
    </row>
    <row r="79" spans="1:12" ht="12.6" customHeight="1" x14ac:dyDescent="0.2">
      <c r="A79" s="66"/>
      <c r="B79" s="89"/>
      <c r="C79" s="90" t="s">
        <v>2881</v>
      </c>
      <c r="D79" s="404">
        <f>ber_Opm!C3</f>
        <v>0</v>
      </c>
      <c r="E79" s="405"/>
      <c r="F79" s="405"/>
      <c r="G79" s="405"/>
      <c r="H79" s="405"/>
      <c r="I79" s="405"/>
      <c r="J79" s="405"/>
      <c r="L79" s="104"/>
    </row>
    <row r="80" spans="1:12" ht="12.6" customHeight="1" x14ac:dyDescent="0.2">
      <c r="L80" s="104"/>
    </row>
    <row r="81" spans="1:12" ht="12.6" customHeight="1" x14ac:dyDescent="0.2">
      <c r="L81" s="104"/>
    </row>
    <row r="82" spans="1:12" ht="12.6" customHeight="1" x14ac:dyDescent="0.2">
      <c r="A82" s="66"/>
      <c r="B82" s="71" t="s">
        <v>2882</v>
      </c>
      <c r="C82" s="66"/>
      <c r="D82" s="66"/>
      <c r="E82" s="66"/>
      <c r="F82" s="66"/>
      <c r="G82" s="66"/>
      <c r="H82" s="66"/>
      <c r="I82" s="66"/>
      <c r="J82" s="66"/>
      <c r="L82" s="104"/>
    </row>
    <row r="83" spans="1:12" ht="12.6" customHeight="1" x14ac:dyDescent="0.2">
      <c r="B83" s="86"/>
      <c r="C83" s="88" t="s">
        <v>2983</v>
      </c>
      <c r="D83" s="88"/>
      <c r="E83" s="88" t="s">
        <v>999</v>
      </c>
      <c r="F83" s="88"/>
      <c r="G83" s="88" t="s">
        <v>2986</v>
      </c>
      <c r="H83" s="88"/>
      <c r="I83" s="88"/>
      <c r="J83" s="88" t="s">
        <v>1992</v>
      </c>
      <c r="L83" s="104"/>
    </row>
    <row r="84" spans="1:12" ht="12.6" customHeight="1" x14ac:dyDescent="0.2">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 customHeight="1" x14ac:dyDescent="0.2">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 customHeight="1" x14ac:dyDescent="0.2">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 customHeight="1" x14ac:dyDescent="0.2">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 customHeight="1" x14ac:dyDescent="0.2">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 customHeight="1" x14ac:dyDescent="0.2">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 customHeight="1" x14ac:dyDescent="0.2">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 customHeight="1" x14ac:dyDescent="0.2">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 customHeight="1" x14ac:dyDescent="0.2">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 customHeight="1" x14ac:dyDescent="0.2">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 customHeight="1" x14ac:dyDescent="0.2">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 customHeight="1" x14ac:dyDescent="0.2">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 customHeight="1" x14ac:dyDescent="0.2">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 customHeight="1" x14ac:dyDescent="0.2">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 customHeight="1" x14ac:dyDescent="0.2">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 customHeight="1" x14ac:dyDescent="0.2">
      <c r="L99" s="104"/>
    </row>
    <row r="100" spans="1:12" ht="12.6" customHeight="1" x14ac:dyDescent="0.2">
      <c r="B100" s="86"/>
      <c r="C100" s="88" t="s">
        <v>2881</v>
      </c>
      <c r="D100" s="396">
        <f>ber_Opm!C4</f>
        <v>0</v>
      </c>
      <c r="E100" s="396"/>
      <c r="F100" s="396"/>
      <c r="G100" s="396"/>
      <c r="H100" s="396"/>
      <c r="I100" s="396"/>
      <c r="J100" s="396"/>
      <c r="L100" s="104"/>
    </row>
    <row r="101" spans="1:12" ht="12.6" customHeight="1" x14ac:dyDescent="0.2">
      <c r="D101" s="399"/>
      <c r="E101" s="399"/>
      <c r="F101" s="399"/>
      <c r="G101" s="399"/>
      <c r="H101" s="399"/>
      <c r="I101" s="399"/>
      <c r="J101" s="399"/>
      <c r="L101" s="104"/>
    </row>
    <row r="102" spans="1:12" ht="12.6" customHeight="1" x14ac:dyDescent="0.2">
      <c r="A102" s="66"/>
      <c r="B102" s="71" t="str">
        <f>Intake!C14</f>
        <v>Infuus</v>
      </c>
      <c r="C102" s="68"/>
      <c r="D102" s="66"/>
      <c r="E102" s="66"/>
      <c r="F102" s="66"/>
      <c r="G102" s="66"/>
      <c r="H102" s="66"/>
      <c r="I102" s="66"/>
      <c r="J102" s="66"/>
      <c r="L102" s="104"/>
    </row>
    <row r="103" spans="1:12" ht="12.6" customHeight="1" x14ac:dyDescent="0.2">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 customHeight="1" x14ac:dyDescent="0.2">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 customHeight="1" x14ac:dyDescent="0.2">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 customHeight="1" x14ac:dyDescent="0.2">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 customHeight="1" x14ac:dyDescent="0.2">
      <c r="B107" s="86"/>
      <c r="C107" s="88"/>
      <c r="D107" s="87">
        <f>IF(F107&lt;&gt;"",Intake!C18,)</f>
        <v>0</v>
      </c>
      <c r="F107" s="58" t="str">
        <f>IF(AND(TPN2tot6kg!G14&lt;&gt;"",ber_TPN!$F$4&gt;0),TPN2tot6kg!G14&amp;" ml","")</f>
        <v/>
      </c>
      <c r="L107" s="104" t="str">
        <f>IF(D107=0,"D","")</f>
        <v>D</v>
      </c>
    </row>
    <row r="108" spans="1:12" ht="12.6" customHeight="1" x14ac:dyDescent="0.2">
      <c r="B108" s="86"/>
      <c r="C108" s="88"/>
      <c r="D108" s="87">
        <f>IF(F108&lt;&gt;"",Intake!C19,)</f>
        <v>0</v>
      </c>
      <c r="F108" s="58" t="str">
        <f>IF(AND(TPN2tot6kg!G15&lt;&gt;"",ber_TPN!$F$4&gt;0),TPN2tot6kg!G15&amp;" ml","")</f>
        <v/>
      </c>
      <c r="L108" s="104" t="str">
        <f>IF(D108=0,"D","")</f>
        <v>D</v>
      </c>
    </row>
    <row r="109" spans="1:12" ht="12.6" customHeight="1" x14ac:dyDescent="0.2">
      <c r="D109" s="70"/>
      <c r="H109" s="70"/>
      <c r="L109" s="104"/>
    </row>
    <row r="110" spans="1:12" ht="12.6" customHeight="1" x14ac:dyDescent="0.2">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 customHeight="1" x14ac:dyDescent="0.2">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 customHeight="1" x14ac:dyDescent="0.2">
      <c r="B112" s="86"/>
      <c r="C112" s="88"/>
      <c r="D112" s="87">
        <f>IF(F112&lt;&gt;"","CaGluc 10%",)</f>
        <v>0</v>
      </c>
      <c r="F112" s="58" t="str">
        <f>Intake!E21</f>
        <v/>
      </c>
      <c r="L112" s="104" t="str">
        <f t="shared" ref="L112:L118" si="2">IF(D112=0,"D","")</f>
        <v>D</v>
      </c>
    </row>
    <row r="113" spans="1:12" ht="12.6" customHeight="1" x14ac:dyDescent="0.2">
      <c r="B113" s="86"/>
      <c r="C113" s="88"/>
      <c r="D113" s="87">
        <f>IF(F113&lt;&gt;"","MgCl 10%",)</f>
        <v>0</v>
      </c>
      <c r="F113" s="58" t="str">
        <f>Intake!E22</f>
        <v/>
      </c>
      <c r="L113" s="104" t="str">
        <f t="shared" si="2"/>
        <v>D</v>
      </c>
    </row>
    <row r="114" spans="1:12" ht="12.6" customHeight="1" x14ac:dyDescent="0.2">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 customHeight="1" x14ac:dyDescent="0.2">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 customHeight="1" x14ac:dyDescent="0.2">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 customHeight="1" x14ac:dyDescent="0.2">
      <c r="L117" s="104"/>
    </row>
    <row r="118" spans="1:12" ht="12.6" customHeight="1" x14ac:dyDescent="0.2">
      <c r="B118" s="86"/>
      <c r="C118" s="88"/>
      <c r="D118" s="125">
        <f>IF(E118&lt;&gt;" ","KNaFosfaat",)</f>
        <v>0</v>
      </c>
      <c r="E118" s="66" t="str">
        <f>Intake!E23&amp;" "&amp;Intake!H23</f>
        <v xml:space="preserve"> </v>
      </c>
      <c r="F118" s="66"/>
      <c r="L118" s="104" t="str">
        <f t="shared" si="2"/>
        <v>D</v>
      </c>
    </row>
    <row r="119" spans="1:12" ht="12.6" customHeight="1" x14ac:dyDescent="0.2">
      <c r="L119" s="104"/>
    </row>
    <row r="120" spans="1:12" ht="12.6" customHeight="1" x14ac:dyDescent="0.2">
      <c r="B120" s="86"/>
      <c r="C120" s="88"/>
      <c r="D120" s="120">
        <f>IF(E120&lt;&gt;"",Intake!C24,)</f>
        <v>0</v>
      </c>
      <c r="E120" s="66" t="str">
        <f>Intake!D24</f>
        <v/>
      </c>
      <c r="F120" s="66" t="str">
        <f>IF(ROUND(ber_TPN!F12,0)&gt;0,ROUND(ber_TPN!F12,0)&amp;" ml","")</f>
        <v/>
      </c>
      <c r="H120" s="57"/>
      <c r="L120" s="104"/>
    </row>
    <row r="121" spans="1:12" ht="12.6" customHeight="1" x14ac:dyDescent="0.2">
      <c r="B121" s="86"/>
      <c r="C121" s="88"/>
      <c r="D121" s="87">
        <f>IF(F121&lt;&gt;"","Intralipid 20%",)</f>
        <v>0</v>
      </c>
      <c r="F121" s="58" t="str">
        <f>Intake!E25</f>
        <v/>
      </c>
      <c r="H121" s="70"/>
      <c r="L121" s="104" t="str">
        <f>IF(D121=0,"D","")</f>
        <v>D</v>
      </c>
    </row>
    <row r="122" spans="1:12" ht="12.6" customHeight="1" x14ac:dyDescent="0.2">
      <c r="B122" s="86"/>
      <c r="C122" s="88"/>
      <c r="D122" s="87">
        <f>IF(F122&lt;&gt;"","Vitintra Infant",)</f>
        <v>0</v>
      </c>
      <c r="F122" s="58" t="str">
        <f>Intake!E26</f>
        <v/>
      </c>
      <c r="H122" s="70"/>
      <c r="L122" s="104" t="str">
        <f>IF(D122=0,"D","")</f>
        <v>D</v>
      </c>
    </row>
    <row r="123" spans="1:12" ht="12.6" customHeight="1" x14ac:dyDescent="0.2">
      <c r="B123" s="86"/>
      <c r="C123" s="88"/>
      <c r="D123" s="87">
        <f>IF(F123&lt;&gt;"","Soluvit",)</f>
        <v>0</v>
      </c>
      <c r="F123" s="58" t="str">
        <f>Intake!E27</f>
        <v/>
      </c>
      <c r="H123" s="70"/>
      <c r="L123" s="104" t="str">
        <f>IF(D123=0,"D","")</f>
        <v>D</v>
      </c>
    </row>
    <row r="124" spans="1:12" ht="12.6" customHeight="1" x14ac:dyDescent="0.2">
      <c r="C124" s="70"/>
      <c r="L124" s="104"/>
    </row>
    <row r="125" spans="1:12" ht="12.6" customHeight="1" x14ac:dyDescent="0.2">
      <c r="A125" s="66"/>
      <c r="B125" s="89"/>
      <c r="C125" s="90" t="s">
        <v>2881</v>
      </c>
      <c r="D125" s="404">
        <f>ber_Opm!C9</f>
        <v>0</v>
      </c>
      <c r="E125" s="405"/>
      <c r="F125" s="405"/>
      <c r="G125" s="405"/>
      <c r="H125" s="405"/>
      <c r="I125" s="405"/>
      <c r="J125" s="405"/>
      <c r="L125" s="104"/>
    </row>
    <row r="126" spans="1:12" ht="12.6" customHeight="1" x14ac:dyDescent="0.2">
      <c r="L126" s="104"/>
    </row>
    <row r="127" spans="1:12" ht="12.6" customHeight="1" x14ac:dyDescent="0.2">
      <c r="L127" s="104"/>
    </row>
    <row r="128" spans="1:12" ht="12.6" customHeight="1" x14ac:dyDescent="0.2">
      <c r="A128" s="66"/>
      <c r="B128" s="71" t="s">
        <v>3527</v>
      </c>
      <c r="C128" s="68"/>
      <c r="D128" s="66"/>
      <c r="E128" s="66"/>
      <c r="F128" s="66"/>
      <c r="G128" s="66"/>
      <c r="H128" s="66"/>
      <c r="I128" s="66"/>
      <c r="J128" s="66"/>
      <c r="L128" s="104"/>
    </row>
    <row r="129" spans="1:12" ht="12.6" customHeight="1" x14ac:dyDescent="0.2">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 customHeight="1" x14ac:dyDescent="0.2">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 customHeight="1" x14ac:dyDescent="0.2">
      <c r="A131" s="66"/>
      <c r="B131" s="89"/>
      <c r="C131" s="91" t="str">
        <f>Intake!B33</f>
        <v>Glucose/KH</v>
      </c>
      <c r="D131" s="66" t="str">
        <f>Intake!D33</f>
        <v>0 g/kg</v>
      </c>
      <c r="E131" s="90"/>
      <c r="F131" s="66"/>
      <c r="G131" s="91" t="s">
        <v>3118</v>
      </c>
      <c r="H131" s="66" t="str">
        <f>Intake!I34</f>
        <v>0 mmol/kg</v>
      </c>
      <c r="I131" s="90"/>
      <c r="J131" s="66"/>
      <c r="L131" s="104"/>
    </row>
    <row r="132" spans="1:12" ht="12.6" customHeight="1" x14ac:dyDescent="0.2">
      <c r="B132" s="86"/>
      <c r="C132" s="87" t="str">
        <f>BeademingCV!$Q$2</f>
        <v>Opnamedatum:</v>
      </c>
      <c r="D132" s="56">
        <f>BeademingCV!$V$2</f>
        <v>41363</v>
      </c>
      <c r="E132" s="87" t="str">
        <f>BeademingCV!$C$3</f>
        <v>Naam:</v>
      </c>
      <c r="F132" s="401" t="str">
        <f>BeademingCV!$H$3</f>
        <v>Achternaam, Voornaam</v>
      </c>
      <c r="G132" s="401"/>
      <c r="H132" s="88" t="s">
        <v>2762</v>
      </c>
      <c r="I132" s="58" t="str">
        <f>Gewicht/10&amp;" kg"</f>
        <v>10 kg</v>
      </c>
      <c r="J132" s="57"/>
      <c r="L132" s="104"/>
    </row>
    <row r="133" spans="1:12" ht="12.6" customHeight="1" x14ac:dyDescent="0.2">
      <c r="B133" s="86"/>
      <c r="C133" s="87" t="str">
        <f ca="1">BeademingCV!$Z$2</f>
        <v>ICU-dag: 823</v>
      </c>
      <c r="D133" s="59">
        <f ca="1">AfspraakDatum-OpnDatum+1</f>
        <v>823</v>
      </c>
      <c r="E133" s="87" t="str">
        <f>BeademingCV!$Q$3</f>
        <v>Geboorte datum:</v>
      </c>
      <c r="F133" s="60">
        <f>BeademingCV!$V$3</f>
        <v>40909</v>
      </c>
      <c r="G133" s="57"/>
      <c r="H133" s="88" t="s">
        <v>1348</v>
      </c>
      <c r="I133" s="58" t="str">
        <f>Lengte&amp;" cm"</f>
        <v>80 cm</v>
      </c>
      <c r="J133" s="57"/>
      <c r="L133" s="104"/>
    </row>
    <row r="134" spans="1:12" ht="12.6" customHeight="1" x14ac:dyDescent="0.2">
      <c r="D134" s="57"/>
      <c r="F134" s="57"/>
      <c r="H134" s="88" t="s">
        <v>1361</v>
      </c>
      <c r="I134" s="58" t="str">
        <f>ROUND(POWER(Gewicht/10,0.425)*POWER(((Lengte/100)*100),0.725)*0.007184,2)&amp;" m2"</f>
        <v>0,46 m2</v>
      </c>
      <c r="L134" s="104"/>
    </row>
    <row r="135" spans="1:12" ht="12.6" customHeight="1" x14ac:dyDescent="0.2">
      <c r="D135" s="57"/>
      <c r="F135" s="57"/>
      <c r="L135" s="104"/>
    </row>
    <row r="136" spans="1:12" ht="12.6" customHeight="1" x14ac:dyDescent="0.2">
      <c r="D136" s="57"/>
      <c r="F136" s="57"/>
      <c r="L136" s="104"/>
    </row>
    <row r="137" spans="1:12" ht="12.6" customHeight="1" x14ac:dyDescent="0.2">
      <c r="D137" s="57"/>
      <c r="F137" s="57"/>
      <c r="L137" s="104"/>
    </row>
    <row r="138" spans="1:12" ht="12.6" customHeight="1" x14ac:dyDescent="0.2">
      <c r="B138" s="71" t="s">
        <v>344</v>
      </c>
      <c r="C138" s="66"/>
      <c r="D138" s="72"/>
      <c r="E138" s="66"/>
      <c r="F138" s="71" t="str">
        <f>IF(Comfort,"Ja","Nee")</f>
        <v>Ja</v>
      </c>
      <c r="L138" s="104"/>
    </row>
    <row r="139" spans="1:12" ht="12.6" customHeight="1" x14ac:dyDescent="0.2">
      <c r="L139" s="104"/>
    </row>
    <row r="140" spans="1:12" ht="12.6" customHeight="1" x14ac:dyDescent="0.2">
      <c r="D140" s="344" t="s">
        <v>2697</v>
      </c>
      <c r="G140" s="344" t="s">
        <v>1333</v>
      </c>
      <c r="L140" s="104"/>
    </row>
    <row r="141" spans="1:12" ht="24.95" customHeight="1" x14ac:dyDescent="0.2">
      <c r="A141" s="414" t="s">
        <v>1331</v>
      </c>
      <c r="B141" s="415"/>
      <c r="C141" s="147" t="s">
        <v>1332</v>
      </c>
      <c r="D141" s="147" t="s">
        <v>1334</v>
      </c>
      <c r="E141" s="414" t="s">
        <v>1336</v>
      </c>
      <c r="F141" s="415"/>
      <c r="G141" s="155" t="s">
        <v>1334</v>
      </c>
      <c r="H141" s="414" t="s">
        <v>1335</v>
      </c>
      <c r="I141" s="415"/>
      <c r="J141" s="155" t="s">
        <v>2437</v>
      </c>
      <c r="K141" s="61"/>
      <c r="L141" s="104"/>
    </row>
    <row r="142" spans="1:12" ht="20.100000000000001" customHeight="1" x14ac:dyDescent="0.2">
      <c r="A142" s="148"/>
      <c r="B142" s="346"/>
      <c r="C142" s="147"/>
      <c r="D142" s="147"/>
      <c r="E142" s="148"/>
      <c r="F142" s="346"/>
      <c r="G142" s="150"/>
      <c r="H142" s="153"/>
      <c r="I142" s="154"/>
      <c r="J142" s="156"/>
      <c r="K142" s="61"/>
      <c r="L142" s="104"/>
    </row>
    <row r="143" spans="1:12" ht="20.100000000000001" customHeight="1" x14ac:dyDescent="0.2">
      <c r="A143" s="148"/>
      <c r="B143" s="346"/>
      <c r="C143" s="147"/>
      <c r="D143" s="147"/>
      <c r="E143" s="148"/>
      <c r="F143" s="346"/>
      <c r="G143" s="150"/>
      <c r="H143" s="153"/>
      <c r="I143" s="154"/>
      <c r="J143" s="156"/>
      <c r="K143" s="61"/>
      <c r="L143" s="104"/>
    </row>
    <row r="144" spans="1:12" ht="20.100000000000001" customHeight="1" x14ac:dyDescent="0.2">
      <c r="A144" s="148"/>
      <c r="B144" s="346"/>
      <c r="C144" s="147"/>
      <c r="D144" s="147"/>
      <c r="E144" s="148"/>
      <c r="F144" s="346"/>
      <c r="G144" s="150"/>
      <c r="H144" s="153"/>
      <c r="I144" s="154"/>
      <c r="J144" s="156"/>
      <c r="K144" s="61"/>
      <c r="L144" s="104"/>
    </row>
    <row r="145" spans="1:13" ht="20.100000000000001" customHeight="1" x14ac:dyDescent="0.2">
      <c r="A145" s="148"/>
      <c r="B145" s="346"/>
      <c r="C145" s="147"/>
      <c r="D145" s="147"/>
      <c r="E145" s="148"/>
      <c r="F145" s="346"/>
      <c r="G145" s="150"/>
      <c r="H145" s="153"/>
      <c r="I145" s="154"/>
      <c r="J145" s="156"/>
      <c r="K145" s="61"/>
      <c r="L145" s="104"/>
    </row>
    <row r="146" spans="1:13" ht="20.100000000000001" customHeight="1" x14ac:dyDescent="0.2">
      <c r="A146" s="148"/>
      <c r="B146" s="346"/>
      <c r="C146" s="147"/>
      <c r="D146" s="147"/>
      <c r="E146" s="148"/>
      <c r="F146" s="346"/>
      <c r="G146" s="150"/>
      <c r="H146" s="153"/>
      <c r="I146" s="154"/>
      <c r="J146" s="156"/>
      <c r="K146" s="61"/>
      <c r="L146" s="104"/>
    </row>
    <row r="147" spans="1:13" ht="20.100000000000001" customHeight="1" x14ac:dyDescent="0.2">
      <c r="A147" s="148"/>
      <c r="B147" s="346"/>
      <c r="C147" s="147"/>
      <c r="D147" s="147"/>
      <c r="E147" s="148"/>
      <c r="F147" s="346"/>
      <c r="G147" s="150"/>
      <c r="H147" s="153"/>
      <c r="I147" s="154"/>
      <c r="J147" s="156"/>
      <c r="K147" s="61"/>
      <c r="L147" s="104"/>
    </row>
    <row r="148" spans="1:13" ht="20.100000000000001" customHeight="1" x14ac:dyDescent="0.2">
      <c r="A148" s="148"/>
      <c r="B148" s="346"/>
      <c r="C148" s="147"/>
      <c r="D148" s="147"/>
      <c r="E148" s="148"/>
      <c r="F148" s="346"/>
      <c r="G148" s="150"/>
      <c r="H148" s="153"/>
      <c r="I148" s="154"/>
      <c r="J148" s="156"/>
      <c r="K148" s="61"/>
      <c r="L148" s="104"/>
    </row>
    <row r="149" spans="1:13" ht="20.100000000000001" customHeight="1" x14ac:dyDescent="0.2">
      <c r="A149" s="148"/>
      <c r="B149" s="346"/>
      <c r="C149" s="147"/>
      <c r="D149" s="147"/>
      <c r="E149" s="148"/>
      <c r="F149" s="346"/>
      <c r="G149" s="150"/>
      <c r="H149" s="153"/>
      <c r="I149" s="154"/>
      <c r="J149" s="156"/>
      <c r="K149" s="61"/>
      <c r="L149" s="104"/>
    </row>
    <row r="150" spans="1:13" ht="20.100000000000001" customHeight="1" x14ac:dyDescent="0.2">
      <c r="A150" s="148"/>
      <c r="B150" s="346"/>
      <c r="C150" s="147"/>
      <c r="D150" s="147"/>
      <c r="E150" s="148"/>
      <c r="F150" s="346"/>
      <c r="G150" s="150"/>
      <c r="H150" s="153"/>
      <c r="I150" s="154"/>
      <c r="J150" s="156"/>
      <c r="K150" s="61"/>
      <c r="L150" s="104"/>
    </row>
    <row r="151" spans="1:13" ht="20.100000000000001" customHeight="1" x14ac:dyDescent="0.2">
      <c r="A151" s="148"/>
      <c r="B151" s="346"/>
      <c r="C151" s="147"/>
      <c r="D151" s="147"/>
      <c r="E151" s="148"/>
      <c r="F151" s="346"/>
      <c r="G151" s="150"/>
      <c r="H151" s="153"/>
      <c r="I151" s="154"/>
      <c r="J151" s="156"/>
      <c r="K151"/>
      <c r="L151" s="104"/>
      <c r="M151" s="105"/>
    </row>
    <row r="152" spans="1:13" ht="20.100000000000001" customHeight="1" x14ac:dyDescent="0.2">
      <c r="A152" s="148"/>
      <c r="B152" s="346"/>
      <c r="C152" s="147"/>
      <c r="D152" s="147"/>
      <c r="E152" s="148"/>
      <c r="F152" s="346"/>
      <c r="G152" s="150"/>
      <c r="H152" s="153"/>
      <c r="I152" s="154"/>
      <c r="J152" s="156"/>
      <c r="K152"/>
      <c r="L152" s="104"/>
      <c r="M152" s="105"/>
    </row>
    <row r="153" spans="1:13" ht="20.100000000000001" customHeight="1" x14ac:dyDescent="0.2">
      <c r="A153" s="148"/>
      <c r="B153" s="346"/>
      <c r="C153" s="147"/>
      <c r="D153" s="147"/>
      <c r="E153" s="148"/>
      <c r="F153" s="346"/>
      <c r="G153" s="150"/>
      <c r="H153" s="153"/>
      <c r="I153" s="154"/>
      <c r="J153" s="156"/>
      <c r="K153"/>
      <c r="L153" s="104"/>
      <c r="M153" s="105"/>
    </row>
    <row r="154" spans="1:13" ht="20.100000000000001" customHeight="1" x14ac:dyDescent="0.2">
      <c r="A154" s="148"/>
      <c r="B154" s="346"/>
      <c r="C154" s="147"/>
      <c r="D154" s="147"/>
      <c r="E154" s="148"/>
      <c r="F154" s="346"/>
      <c r="G154" s="150"/>
      <c r="H154" s="153"/>
      <c r="I154" s="154"/>
      <c r="J154" s="156"/>
      <c r="K154"/>
      <c r="L154" s="104"/>
      <c r="M154" s="105"/>
    </row>
    <row r="155" spans="1:13" ht="20.100000000000001" customHeight="1" x14ac:dyDescent="0.2">
      <c r="A155" s="148"/>
      <c r="B155" s="346"/>
      <c r="C155" s="147"/>
      <c r="D155" s="147"/>
      <c r="E155" s="148"/>
      <c r="F155" s="346"/>
      <c r="G155" s="150"/>
      <c r="H155" s="153"/>
      <c r="I155" s="154"/>
      <c r="J155" s="156"/>
      <c r="K155"/>
      <c r="L155" s="104"/>
      <c r="M155" s="105"/>
    </row>
    <row r="156" spans="1:13" ht="20.100000000000001" customHeight="1" x14ac:dyDescent="0.2">
      <c r="A156" s="148"/>
      <c r="B156" s="346"/>
      <c r="C156" s="147"/>
      <c r="D156" s="147"/>
      <c r="E156" s="148"/>
      <c r="F156" s="346"/>
      <c r="G156" s="150"/>
      <c r="H156" s="153"/>
      <c r="I156" s="154"/>
      <c r="J156" s="156"/>
      <c r="K156"/>
      <c r="L156" s="104"/>
      <c r="M156" s="105"/>
    </row>
    <row r="157" spans="1:13" ht="20.100000000000001" customHeight="1" x14ac:dyDescent="0.2">
      <c r="A157" s="148"/>
      <c r="B157" s="346"/>
      <c r="C157" s="147"/>
      <c r="D157" s="147"/>
      <c r="E157" s="148"/>
      <c r="F157" s="346"/>
      <c r="G157" s="150"/>
      <c r="H157" s="153"/>
      <c r="I157" s="154"/>
      <c r="J157" s="156"/>
      <c r="K157"/>
      <c r="L157" s="104"/>
      <c r="M157" s="105"/>
    </row>
    <row r="158" spans="1:13" ht="20.100000000000001" customHeight="1" x14ac:dyDescent="0.2">
      <c r="A158" s="148"/>
      <c r="B158" s="346"/>
      <c r="C158" s="147"/>
      <c r="D158" s="147"/>
      <c r="E158" s="148"/>
      <c r="F158" s="346"/>
      <c r="G158" s="150"/>
      <c r="H158" s="153"/>
      <c r="I158" s="154"/>
      <c r="J158" s="156"/>
      <c r="K158"/>
      <c r="L158" s="104"/>
      <c r="M158" s="105"/>
    </row>
    <row r="159" spans="1:13" ht="30" customHeight="1" x14ac:dyDescent="0.2">
      <c r="A159" s="350" t="s">
        <v>1337</v>
      </c>
      <c r="B159" s="348"/>
      <c r="C159" s="347"/>
      <c r="D159" s="347"/>
      <c r="E159" s="347"/>
      <c r="F159" s="348"/>
      <c r="G159" s="348"/>
      <c r="H159" s="349"/>
      <c r="I159" s="349"/>
      <c r="J159" s="349"/>
      <c r="K159"/>
      <c r="L159" s="104"/>
      <c r="M159" s="105"/>
    </row>
    <row r="160" spans="1:13" ht="30" customHeight="1" x14ac:dyDescent="0.2">
      <c r="A160"/>
      <c r="B160"/>
      <c r="C160"/>
      <c r="D160"/>
      <c r="E160"/>
      <c r="F160"/>
      <c r="G160"/>
      <c r="H160"/>
      <c r="I160"/>
      <c r="J160"/>
      <c r="K160"/>
      <c r="L160"/>
      <c r="M160" s="105"/>
    </row>
    <row r="161" spans="1:13" ht="30" customHeight="1" x14ac:dyDescent="0.2">
      <c r="A161"/>
      <c r="B161"/>
      <c r="C161"/>
      <c r="D161"/>
      <c r="E161"/>
      <c r="F161"/>
      <c r="G161"/>
      <c r="H161"/>
      <c r="I161"/>
      <c r="J161"/>
      <c r="K161"/>
      <c r="L161"/>
      <c r="M161" s="105"/>
    </row>
    <row r="162" spans="1:13" ht="30" customHeight="1" x14ac:dyDescent="0.2">
      <c r="A162"/>
      <c r="B162"/>
      <c r="C162"/>
      <c r="D162"/>
      <c r="E162"/>
      <c r="F162"/>
      <c r="G162"/>
      <c r="H162"/>
      <c r="I162"/>
      <c r="J162"/>
      <c r="K162"/>
      <c r="L162"/>
      <c r="M162" s="105"/>
    </row>
    <row r="163" spans="1:13" ht="30" customHeight="1" x14ac:dyDescent="0.2">
      <c r="A163"/>
      <c r="B163"/>
      <c r="C163"/>
      <c r="D163"/>
      <c r="E163"/>
      <c r="F163"/>
      <c r="G163"/>
      <c r="H163"/>
      <c r="I163"/>
      <c r="J163"/>
      <c r="K163"/>
      <c r="L163"/>
      <c r="M163" s="105"/>
    </row>
    <row r="164" spans="1:13" ht="30" customHeight="1" x14ac:dyDescent="0.2">
      <c r="A164"/>
      <c r="B164"/>
      <c r="C164"/>
      <c r="D164"/>
      <c r="E164"/>
      <c r="F164"/>
      <c r="G164"/>
      <c r="H164"/>
      <c r="I164"/>
      <c r="J164"/>
      <c r="K164"/>
      <c r="L164"/>
      <c r="M164" s="105"/>
    </row>
    <row r="165" spans="1:13" ht="30" customHeight="1" x14ac:dyDescent="0.2">
      <c r="A165"/>
      <c r="B165"/>
      <c r="C165"/>
      <c r="D165"/>
      <c r="E165"/>
      <c r="F165"/>
      <c r="G165"/>
      <c r="H165"/>
      <c r="I165"/>
      <c r="J165"/>
      <c r="K165"/>
      <c r="L165"/>
      <c r="M165" s="105"/>
    </row>
    <row r="166" spans="1:13" ht="30" customHeight="1" x14ac:dyDescent="0.2">
      <c r="A166"/>
      <c r="B166"/>
      <c r="C166"/>
      <c r="D166"/>
      <c r="E166"/>
      <c r="F166"/>
      <c r="G166"/>
      <c r="H166"/>
      <c r="I166"/>
      <c r="J166"/>
      <c r="K166"/>
      <c r="L166"/>
      <c r="M166" s="105"/>
    </row>
    <row r="167" spans="1:13" ht="30" customHeight="1" x14ac:dyDescent="0.2">
      <c r="A167"/>
      <c r="B167"/>
      <c r="C167"/>
      <c r="D167"/>
      <c r="E167"/>
      <c r="F167"/>
      <c r="G167"/>
      <c r="H167"/>
      <c r="I167"/>
      <c r="J167"/>
      <c r="K167"/>
      <c r="L167"/>
    </row>
    <row r="168" spans="1:13" ht="30" customHeight="1" x14ac:dyDescent="0.2">
      <c r="A168"/>
      <c r="B168"/>
      <c r="C168"/>
      <c r="D168"/>
      <c r="E168"/>
      <c r="F168"/>
      <c r="G168"/>
      <c r="H168"/>
      <c r="I168"/>
      <c r="J168"/>
      <c r="K168"/>
      <c r="L168"/>
    </row>
    <row r="169" spans="1:13" ht="30" customHeight="1" x14ac:dyDescent="0.2">
      <c r="A169"/>
      <c r="B169"/>
      <c r="C169"/>
      <c r="D169"/>
      <c r="E169"/>
      <c r="F169"/>
      <c r="G169"/>
      <c r="H169"/>
      <c r="I169"/>
      <c r="J169"/>
      <c r="K169"/>
      <c r="L169"/>
    </row>
    <row r="170" spans="1:13" ht="30" customHeight="1" x14ac:dyDescent="0.2">
      <c r="A170"/>
      <c r="B170"/>
      <c r="C170"/>
      <c r="D170"/>
      <c r="E170"/>
      <c r="F170"/>
      <c r="G170"/>
      <c r="H170"/>
      <c r="I170"/>
      <c r="J170"/>
      <c r="K170"/>
      <c r="L170"/>
    </row>
    <row r="171" spans="1:13" ht="30" customHeight="1" x14ac:dyDescent="0.2">
      <c r="A171"/>
      <c r="B171"/>
      <c r="C171"/>
      <c r="D171"/>
      <c r="E171"/>
      <c r="F171"/>
      <c r="G171"/>
      <c r="H171"/>
      <c r="I171"/>
      <c r="J171"/>
      <c r="K171"/>
      <c r="L171"/>
    </row>
    <row r="172" spans="1:13" ht="30" customHeight="1" x14ac:dyDescent="0.2">
      <c r="A172"/>
      <c r="B172"/>
      <c r="C172"/>
      <c r="D172"/>
      <c r="E172"/>
      <c r="F172"/>
      <c r="G172"/>
      <c r="H172"/>
      <c r="I172"/>
      <c r="J172"/>
      <c r="K172"/>
      <c r="L172"/>
    </row>
    <row r="173" spans="1:13" ht="30" customHeight="1" x14ac:dyDescent="0.2">
      <c r="B173" s="58"/>
      <c r="L173" s="104"/>
    </row>
    <row r="174" spans="1:13" ht="30" customHeight="1" x14ac:dyDescent="0.2">
      <c r="B174" s="58"/>
      <c r="L174" s="104"/>
    </row>
    <row r="175" spans="1:13" ht="30" customHeight="1" x14ac:dyDescent="0.2">
      <c r="B175" s="58"/>
      <c r="L175" s="104"/>
    </row>
    <row r="176" spans="1:13" ht="30" customHeight="1" x14ac:dyDescent="0.2">
      <c r="B176" s="58"/>
      <c r="L176" s="104"/>
    </row>
    <row r="177" spans="2:12" ht="30" customHeight="1" x14ac:dyDescent="0.2">
      <c r="B177" s="58"/>
      <c r="L177" s="104"/>
    </row>
    <row r="178" spans="2:12" ht="30" customHeight="1" x14ac:dyDescent="0.2">
      <c r="B178" s="58"/>
      <c r="L178" s="104"/>
    </row>
    <row r="179" spans="2:12" ht="30" customHeight="1" x14ac:dyDescent="0.2">
      <c r="B179" s="58"/>
      <c r="L179" s="104"/>
    </row>
    <row r="180" spans="2:12" ht="30" customHeight="1" x14ac:dyDescent="0.2">
      <c r="B180" s="58"/>
      <c r="L180" s="104"/>
    </row>
    <row r="181" spans="2:12" ht="30" customHeight="1" x14ac:dyDescent="0.2">
      <c r="B181" s="58"/>
      <c r="L181" s="104"/>
    </row>
    <row r="182" spans="2:12" ht="30" customHeight="1" x14ac:dyDescent="0.2">
      <c r="B182" s="58"/>
      <c r="L182" s="104"/>
    </row>
    <row r="183" spans="2:12" ht="12" x14ac:dyDescent="0.2">
      <c r="B183" s="58"/>
      <c r="L183" s="104"/>
    </row>
    <row r="184" spans="2:12" ht="12" x14ac:dyDescent="0.2">
      <c r="B184" s="58"/>
      <c r="L184" s="104"/>
    </row>
    <row r="185" spans="2:12" ht="12" x14ac:dyDescent="0.2">
      <c r="B185" s="58"/>
      <c r="L185" s="104"/>
    </row>
    <row r="186" spans="2:12" ht="12" x14ac:dyDescent="0.2">
      <c r="B186" s="58"/>
      <c r="L186" s="104"/>
    </row>
    <row r="187" spans="2:12" ht="12" x14ac:dyDescent="0.2">
      <c r="B187" s="58"/>
      <c r="L187" s="104"/>
    </row>
    <row r="188" spans="2:12" ht="12.6" customHeight="1" x14ac:dyDescent="0.2">
      <c r="B188" s="58"/>
      <c r="L188" s="104"/>
    </row>
    <row r="189" spans="2:12" ht="12.6" customHeight="1" x14ac:dyDescent="0.2">
      <c r="B189" s="58"/>
      <c r="L189" s="104"/>
    </row>
    <row r="190" spans="2:12" ht="12.6" customHeight="1" x14ac:dyDescent="0.2">
      <c r="B190" s="58"/>
      <c r="L190" s="104" t="str">
        <f t="shared" ref="L190:L195" si="3">IF(C49=0,"D","")</f>
        <v>D</v>
      </c>
    </row>
    <row r="191" spans="2:12" ht="12.6" customHeight="1" x14ac:dyDescent="0.2">
      <c r="B191" s="58"/>
      <c r="L191" s="104" t="str">
        <f t="shared" si="3"/>
        <v>D</v>
      </c>
    </row>
    <row r="192" spans="2:12" ht="12.6" customHeight="1" x14ac:dyDescent="0.2">
      <c r="B192" s="58"/>
      <c r="L192" s="104" t="str">
        <f t="shared" si="3"/>
        <v>D</v>
      </c>
    </row>
    <row r="193" spans="2:12" ht="12.6" customHeight="1" x14ac:dyDescent="0.2">
      <c r="B193" s="58"/>
      <c r="L193" s="104" t="str">
        <f t="shared" si="3"/>
        <v>D</v>
      </c>
    </row>
    <row r="194" spans="2:12" ht="12.6" customHeight="1" x14ac:dyDescent="0.2">
      <c r="B194" s="58"/>
      <c r="L194" s="104" t="str">
        <f t="shared" si="3"/>
        <v/>
      </c>
    </row>
    <row r="195" spans="2:12" ht="12.6" customHeight="1" x14ac:dyDescent="0.2">
      <c r="B195" s="58"/>
      <c r="L195" s="104" t="str">
        <f t="shared" si="3"/>
        <v/>
      </c>
    </row>
    <row r="196" spans="2:12" ht="12.6" customHeight="1" x14ac:dyDescent="0.2">
      <c r="B196" s="58"/>
      <c r="L196" s="104"/>
    </row>
    <row r="197" spans="2:12" ht="12.6" customHeight="1" x14ac:dyDescent="0.2">
      <c r="B197" s="58"/>
      <c r="L197" s="104"/>
    </row>
    <row r="198" spans="2:12" ht="12.6" customHeight="1" x14ac:dyDescent="0.2">
      <c r="B198" s="58"/>
      <c r="L198" s="104"/>
    </row>
    <row r="199" spans="2:12" ht="12.6" customHeight="1" x14ac:dyDescent="0.2">
      <c r="L199" s="104"/>
    </row>
    <row r="200" spans="2:12" ht="12.6" customHeight="1" x14ac:dyDescent="0.2">
      <c r="L200" s="104"/>
    </row>
    <row r="201" spans="2:12" ht="12.6" customHeight="1" x14ac:dyDescent="0.2">
      <c r="L201" s="104"/>
    </row>
    <row r="202" spans="2:12" ht="12.6" customHeight="1" x14ac:dyDescent="0.2">
      <c r="L202" s="104"/>
    </row>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0" ht="7.5" customHeight="1" x14ac:dyDescent="0.2">
      <c r="A1" s="58"/>
      <c r="B1" s="61"/>
      <c r="C1" s="58"/>
      <c r="D1" s="58"/>
      <c r="E1" s="58"/>
      <c r="F1" s="58"/>
      <c r="G1" s="58"/>
      <c r="H1" s="58"/>
      <c r="I1" s="58"/>
      <c r="J1" s="58"/>
    </row>
    <row r="2" spans="1:10"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row>
    <row r="3" spans="1:10" x14ac:dyDescent="0.2">
      <c r="A3" s="58"/>
      <c r="B3" s="86"/>
      <c r="C3" s="87" t="s">
        <v>2122</v>
      </c>
      <c r="D3" s="59">
        <f ca="1">AfspraakDatum-OpnDatum+1</f>
        <v>823</v>
      </c>
      <c r="E3" s="87" t="str">
        <f>BeademingCV!$Q$3</f>
        <v>Geboorte datum:</v>
      </c>
      <c r="F3" s="60">
        <f>BeademingCV!$V$3</f>
        <v>40909</v>
      </c>
      <c r="G3" s="57"/>
      <c r="H3" s="88" t="s">
        <v>1348</v>
      </c>
      <c r="I3" s="58" t="str">
        <f>Lengte&amp;" cm"</f>
        <v>80 cm</v>
      </c>
      <c r="J3" s="57"/>
    </row>
    <row r="4" spans="1:10" x14ac:dyDescent="0.2">
      <c r="A4" s="58"/>
      <c r="B4" s="61"/>
      <c r="C4" s="58"/>
      <c r="D4" s="57"/>
      <c r="E4" s="58"/>
      <c r="F4" s="57"/>
      <c r="G4" s="58"/>
      <c r="H4" s="88" t="s">
        <v>1361</v>
      </c>
      <c r="I4" s="58" t="str">
        <f>ROUND(POWER(Gewicht/10,0.425)*POWER(((Lengte/100)*100),0.725)*0.007184,2)&amp;" m2"</f>
        <v>0,46 m2</v>
      </c>
      <c r="J4" s="58"/>
    </row>
    <row r="5" spans="1:10" ht="14.25" x14ac:dyDescent="0.2">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2">
      <c r="A7" s="58"/>
      <c r="B7" s="86"/>
      <c r="C7" s="88" t="str">
        <f>BeademingCV!C12</f>
        <v>Druppelen en uitzuigen:</v>
      </c>
      <c r="D7" s="88"/>
      <c r="E7" s="58">
        <f>INDEX(tblDruppelen,dbBead!L2,1)</f>
        <v>0</v>
      </c>
      <c r="F7" s="58"/>
      <c r="G7" s="58"/>
      <c r="H7" s="88" t="str">
        <f>BeademingCV!C10</f>
        <v>Lengte:</v>
      </c>
      <c r="I7" s="88"/>
      <c r="J7" s="58" t="str">
        <f>BeademingCV!F10</f>
        <v/>
      </c>
    </row>
    <row r="8" spans="1:10" x14ac:dyDescent="0.2">
      <c r="A8" s="58"/>
      <c r="B8" s="86"/>
      <c r="C8" s="88" t="str">
        <f>BeademingCV!Y9</f>
        <v>Wisselligging:</v>
      </c>
      <c r="D8" s="88"/>
      <c r="E8" s="58" t="str">
        <f>BeademingCV!AE9</f>
        <v>nee</v>
      </c>
      <c r="F8" s="58"/>
      <c r="G8" s="58"/>
      <c r="H8" s="88" t="str">
        <f>BeademingCV!Y10</f>
        <v>Houdingsdrainage:</v>
      </c>
      <c r="I8" s="88"/>
      <c r="J8" s="58" t="str">
        <f>BeademingCV!AE10</f>
        <v>nee</v>
      </c>
    </row>
    <row r="9" spans="1:10" ht="6.75" customHeight="1" x14ac:dyDescent="0.2">
      <c r="A9" s="58"/>
      <c r="B9" s="61"/>
      <c r="C9" s="58"/>
      <c r="D9" s="58"/>
      <c r="E9" s="58"/>
      <c r="F9" s="58"/>
      <c r="G9" s="58"/>
      <c r="H9" s="58"/>
      <c r="I9" s="75"/>
      <c r="J9" s="75"/>
    </row>
    <row r="10" spans="1:10" x14ac:dyDescent="0.2">
      <c r="A10" s="58"/>
      <c r="B10" s="86"/>
      <c r="C10" s="88" t="str">
        <f>BeademingCV!C15</f>
        <v>Apparaat:</v>
      </c>
      <c r="D10" s="88"/>
      <c r="E10" s="58">
        <f>INDEX(tblPLV,dbBead!R2,1)</f>
        <v>0</v>
      </c>
      <c r="F10" s="58"/>
      <c r="G10" s="58"/>
      <c r="H10" s="88" t="s">
        <v>3189</v>
      </c>
      <c r="I10" s="88"/>
      <c r="J10" s="58">
        <f>IF(E10&lt;&gt;0,BeademingPLV!P14,)</f>
        <v>0</v>
      </c>
    </row>
    <row r="11" spans="1:10" x14ac:dyDescent="0.2">
      <c r="A11" s="58"/>
      <c r="B11" s="86"/>
      <c r="C11" s="88" t="s">
        <v>3763</v>
      </c>
      <c r="D11" s="88"/>
      <c r="E11" s="58" t="str">
        <f>IF(E10&lt;&gt;0,BeademingPLV!F16,"")</f>
        <v/>
      </c>
      <c r="F11" s="58"/>
      <c r="G11" s="58"/>
      <c r="H11" s="88" t="s">
        <v>2897</v>
      </c>
      <c r="I11" s="88"/>
      <c r="J11" s="57">
        <f>IF(E10&lt;&gt;0,BeademingPLV!P16,)</f>
        <v>0</v>
      </c>
    </row>
    <row r="12" spans="1:10" x14ac:dyDescent="0.2">
      <c r="A12" s="58"/>
      <c r="B12" s="86"/>
      <c r="C12" s="88" t="s">
        <v>3764</v>
      </c>
      <c r="D12" s="88"/>
      <c r="E12" s="58">
        <f>IF(E10&lt;&gt;0,BeademingPLV!F17,)</f>
        <v>0</v>
      </c>
      <c r="F12" s="58"/>
      <c r="G12" s="58"/>
      <c r="H12" s="88" t="s">
        <v>2136</v>
      </c>
      <c r="I12" s="88"/>
      <c r="J12" s="57">
        <f>IF(E10&lt;&gt;0,BeademingPLV!P17,)</f>
        <v>0</v>
      </c>
    </row>
    <row r="13" spans="1:10" x14ac:dyDescent="0.2">
      <c r="A13" s="58"/>
      <c r="B13" s="86"/>
      <c r="C13" s="88" t="s">
        <v>3765</v>
      </c>
      <c r="D13" s="88"/>
      <c r="E13" s="58">
        <f>IF(E10&lt;&gt;0,BeademingPLV!F18,)</f>
        <v>0</v>
      </c>
      <c r="F13" s="58"/>
      <c r="G13" s="58"/>
      <c r="H13" s="58"/>
    </row>
    <row r="14" spans="1:10" x14ac:dyDescent="0.2">
      <c r="A14" s="58"/>
      <c r="B14" s="86"/>
      <c r="C14" s="88" t="s">
        <v>3766</v>
      </c>
      <c r="D14" s="88"/>
      <c r="E14" s="58">
        <f>IF(E10&lt;&gt;0,BeademingPLV!F21,)</f>
        <v>0</v>
      </c>
      <c r="F14" s="58"/>
      <c r="G14" s="58"/>
    </row>
    <row r="15" spans="1:10" x14ac:dyDescent="0.2">
      <c r="A15" s="58"/>
      <c r="B15" s="86"/>
      <c r="C15" s="88" t="str">
        <f>BeademingCV!AJ19</f>
        <v>Drukbegrenzing:</v>
      </c>
      <c r="D15" s="88"/>
      <c r="E15" s="58">
        <f>IF(E10&lt;&gt;0,BeademingPLV!F20,)</f>
        <v>0</v>
      </c>
      <c r="F15" s="63"/>
      <c r="G15" s="63"/>
      <c r="H15" s="75"/>
      <c r="I15" s="75"/>
      <c r="J15" s="75"/>
    </row>
    <row r="16" spans="1:10" ht="6.75" customHeight="1" x14ac:dyDescent="0.2">
      <c r="A16" s="58"/>
      <c r="B16" s="61"/>
      <c r="C16" s="58"/>
      <c r="D16" s="58"/>
      <c r="E16" s="58"/>
      <c r="F16" s="63"/>
      <c r="G16" s="63"/>
      <c r="H16" s="75"/>
      <c r="I16" s="75"/>
      <c r="J16" s="75"/>
    </row>
    <row r="17" spans="1:12" x14ac:dyDescent="0.2">
      <c r="A17" s="58"/>
      <c r="B17" s="86"/>
      <c r="C17" s="88" t="s">
        <v>2881</v>
      </c>
      <c r="D17" s="408">
        <f>ber_Opm!C2</f>
        <v>0</v>
      </c>
      <c r="E17" s="409"/>
      <c r="F17" s="409"/>
      <c r="G17" s="409"/>
      <c r="H17" s="409"/>
      <c r="I17" s="409"/>
      <c r="J17" s="409"/>
    </row>
    <row r="18" spans="1:12" x14ac:dyDescent="0.2">
      <c r="A18" s="58"/>
      <c r="B18" s="86"/>
      <c r="C18" s="88"/>
      <c r="D18" s="409"/>
      <c r="E18" s="409"/>
      <c r="F18" s="409"/>
      <c r="G18" s="409"/>
      <c r="H18" s="409"/>
      <c r="I18" s="409"/>
      <c r="J18" s="409"/>
    </row>
    <row r="19" spans="1:12" ht="7.5" customHeight="1"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v>8</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ht="24.95" customHeight="1" x14ac:dyDescent="0.2">
      <c r="M159" s="105"/>
    </row>
    <row r="160" spans="1:13" ht="24.95" customHeight="1" x14ac:dyDescent="0.2"/>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1" x14ac:dyDescent="0.2">
      <c r="A1" s="58"/>
      <c r="B1" s="61"/>
      <c r="C1" s="58"/>
      <c r="D1" s="58"/>
      <c r="E1" s="58"/>
      <c r="F1" s="58"/>
      <c r="G1" s="58"/>
      <c r="H1" s="58"/>
      <c r="I1" s="58"/>
      <c r="J1" s="58"/>
      <c r="K1" s="58"/>
    </row>
    <row r="2" spans="1:11"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c r="K2" s="58"/>
    </row>
    <row r="3" spans="1:11" x14ac:dyDescent="0.2">
      <c r="A3" s="58"/>
      <c r="B3" s="86"/>
      <c r="C3" s="87" t="s">
        <v>2122</v>
      </c>
      <c r="D3" s="59">
        <f ca="1">AfspraakDatum-OpnDatum+1</f>
        <v>823</v>
      </c>
      <c r="E3" s="87" t="str">
        <f>BeademingCV!$Q$3</f>
        <v>Geboorte datum:</v>
      </c>
      <c r="F3" s="60">
        <f>BeademingCV!$V$3</f>
        <v>40909</v>
      </c>
      <c r="G3" s="57"/>
      <c r="H3" s="88" t="s">
        <v>1348</v>
      </c>
      <c r="I3" s="58" t="str">
        <f>Lengte&amp;" cm"</f>
        <v>80 cm</v>
      </c>
      <c r="J3" s="57"/>
      <c r="K3" s="58"/>
    </row>
    <row r="4" spans="1:11" x14ac:dyDescent="0.2">
      <c r="A4" s="58"/>
      <c r="B4" s="61"/>
      <c r="C4" s="58"/>
      <c r="D4" s="57"/>
      <c r="E4" s="58"/>
      <c r="F4" s="57"/>
      <c r="G4" s="58"/>
      <c r="H4" s="88" t="s">
        <v>1361</v>
      </c>
      <c r="I4" s="58" t="str">
        <f>ROUND(POWER(Gewicht/10,0.425)*POWER(((Lengte/100)*100),0.725)*0.007184,2)&amp;" m2"</f>
        <v>0,46 m2</v>
      </c>
      <c r="J4" s="58"/>
      <c r="K4" s="58"/>
    </row>
    <row r="5" spans="1:11" ht="14.25" x14ac:dyDescent="0.2">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2">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2">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2">
      <c r="K9" s="75"/>
    </row>
    <row r="10" spans="1:11" x14ac:dyDescent="0.2">
      <c r="A10" s="58"/>
      <c r="B10" s="86"/>
      <c r="C10" s="88" t="str">
        <f>BeademingCV!C15</f>
        <v>Apparaat:</v>
      </c>
      <c r="D10" s="88"/>
      <c r="E10" s="58">
        <f>INDEX(tblHFO,dbBead!R2,1)</f>
        <v>0</v>
      </c>
      <c r="F10" s="58"/>
    </row>
    <row r="11" spans="1:11" x14ac:dyDescent="0.2">
      <c r="A11" s="58"/>
      <c r="B11" s="86"/>
      <c r="C11" s="88" t="str">
        <f>BeademingCV!F17</f>
        <v>Frequentie:</v>
      </c>
      <c r="D11" s="88"/>
      <c r="E11" s="58">
        <f>BeademingHFO!H17</f>
        <v>0</v>
      </c>
      <c r="F11" s="58"/>
    </row>
    <row r="12" spans="1:11" x14ac:dyDescent="0.2">
      <c r="A12" s="58"/>
      <c r="B12" s="86"/>
      <c r="C12" s="88" t="s">
        <v>2897</v>
      </c>
      <c r="D12" s="88"/>
      <c r="E12" s="58">
        <f>BeademingHFO!H18</f>
        <v>0</v>
      </c>
      <c r="F12" s="58"/>
    </row>
    <row r="13" spans="1:11" x14ac:dyDescent="0.2">
      <c r="A13" s="58"/>
      <c r="B13" s="86"/>
      <c r="C13" s="88" t="s">
        <v>3762</v>
      </c>
      <c r="D13" s="88"/>
      <c r="E13" s="58">
        <f>BeademingHFO!Q17</f>
        <v>0</v>
      </c>
      <c r="F13" s="58"/>
    </row>
    <row r="14" spans="1:11" x14ac:dyDescent="0.2">
      <c r="A14" s="58"/>
      <c r="B14" s="86"/>
      <c r="C14" s="88" t="s">
        <v>2130</v>
      </c>
      <c r="D14" s="88"/>
      <c r="E14" s="58">
        <f>BeademingHFO!Q18</f>
        <v>0</v>
      </c>
      <c r="F14" s="58"/>
    </row>
    <row r="15" spans="1:11" x14ac:dyDescent="0.2">
      <c r="A15" s="58"/>
      <c r="B15" s="86"/>
      <c r="C15" s="88" t="s">
        <v>3190</v>
      </c>
      <c r="D15" s="88"/>
      <c r="E15" s="58">
        <f>BeademingHFO!Q15</f>
        <v>0</v>
      </c>
      <c r="F15" s="63"/>
    </row>
    <row r="16" spans="1:11" x14ac:dyDescent="0.2">
      <c r="A16" s="58"/>
      <c r="B16" s="61"/>
      <c r="C16" s="58"/>
      <c r="D16" s="58"/>
      <c r="E16" s="58"/>
      <c r="F16" s="63"/>
      <c r="G16" s="63"/>
      <c r="H16" s="75"/>
      <c r="I16" s="75"/>
      <c r="J16" s="75"/>
      <c r="K16" s="77"/>
    </row>
    <row r="17" spans="1:12" x14ac:dyDescent="0.2">
      <c r="A17" s="58"/>
      <c r="B17" s="86"/>
      <c r="C17" s="88" t="s">
        <v>2881</v>
      </c>
      <c r="D17" s="408">
        <f>ber_Opm!C2</f>
        <v>0</v>
      </c>
      <c r="E17" s="409"/>
      <c r="F17" s="409"/>
      <c r="G17" s="409"/>
      <c r="H17" s="409"/>
      <c r="I17" s="409"/>
      <c r="J17" s="409"/>
      <c r="K17" s="61"/>
    </row>
    <row r="18" spans="1:12" x14ac:dyDescent="0.2">
      <c r="A18" s="58"/>
      <c r="B18" s="86"/>
      <c r="C18" s="88"/>
      <c r="D18" s="409"/>
      <c r="E18" s="409"/>
      <c r="F18" s="409"/>
      <c r="G18" s="409"/>
      <c r="H18" s="409"/>
      <c r="I18" s="409"/>
      <c r="J18" s="409"/>
      <c r="K18" s="61"/>
    </row>
    <row r="19" spans="1:12"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t="s">
        <v>327</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x14ac:dyDescent="0.2">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75" x14ac:dyDescent="0.2"/>
  <cols>
    <col min="1" max="1" width="10.85546875" bestFit="1" customWidth="1"/>
    <col min="2" max="2" width="13.85546875" bestFit="1" customWidth="1"/>
    <col min="3" max="3" width="9.85546875" bestFit="1" customWidth="1"/>
    <col min="4" max="4" width="11.28515625" bestFit="1" customWidth="1"/>
    <col min="5" max="5" width="9.7109375" bestFit="1" customWidth="1"/>
    <col min="6" max="6" width="9.85546875" bestFit="1" customWidth="1"/>
    <col min="7" max="7" width="7.7109375" bestFit="1" customWidth="1"/>
    <col min="8" max="8" width="6.5703125" bestFit="1" customWidth="1"/>
    <col min="9" max="9" width="8" bestFit="1" customWidth="1"/>
    <col min="11" max="11" width="10.5703125" bestFit="1" customWidth="1"/>
    <col min="12" max="12" width="9.28515625" bestFit="1" customWidth="1"/>
    <col min="13" max="13" width="7.5703125" bestFit="1" customWidth="1"/>
    <col min="14" max="14" width="3.42578125" bestFit="1" customWidth="1"/>
    <col min="15" max="15" width="12.5703125" bestFit="1" customWidth="1"/>
    <col min="16" max="16" width="16.140625" bestFit="1" customWidth="1"/>
    <col min="17" max="17" width="10.28515625" bestFit="1" customWidth="1"/>
    <col min="18" max="18" width="11" bestFit="1" customWidth="1"/>
    <col min="19" max="19" width="5" bestFit="1" customWidth="1"/>
    <col min="20" max="20" width="5.28515625" bestFit="1" customWidth="1"/>
    <col min="21" max="21" width="8.140625" bestFit="1" customWidth="1"/>
    <col min="22" max="22" width="7.28515625" bestFit="1" customWidth="1"/>
    <col min="23" max="23" width="10.140625" bestFit="1" customWidth="1"/>
    <col min="24" max="24" width="5" bestFit="1" customWidth="1"/>
    <col min="25" max="25" width="3" bestFit="1" customWidth="1"/>
    <col min="26" max="26" width="8.28515625" bestFit="1" customWidth="1"/>
    <col min="27" max="27" width="6.5703125" bestFit="1" customWidth="1"/>
    <col min="28" max="29" width="8.140625" bestFit="1" customWidth="1"/>
    <col min="30" max="30" width="7.42578125" bestFit="1" customWidth="1"/>
    <col min="31" max="31" width="8.5703125" bestFit="1" customWidth="1"/>
    <col min="32" max="32" width="6.28515625" bestFit="1" customWidth="1"/>
    <col min="33" max="33" width="6.5703125" bestFit="1" customWidth="1"/>
    <col min="34" max="34" width="4.85546875" bestFit="1" customWidth="1"/>
    <col min="35" max="35" width="11.140625" bestFit="1" customWidth="1"/>
    <col min="36" max="37" width="8.28515625" bestFit="1" customWidth="1"/>
    <col min="38" max="38" width="8.42578125" bestFit="1" customWidth="1"/>
    <col min="39" max="39" width="9.5703125" bestFit="1" customWidth="1"/>
    <col min="40" max="40" width="6" bestFit="1" customWidth="1"/>
    <col min="41" max="41" width="6.5703125" bestFit="1" customWidth="1"/>
  </cols>
  <sheetData>
    <row r="1" spans="1:43" x14ac:dyDescent="0.2">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2">
      <c r="B2" s="42">
        <f ca="1">TODAY()</f>
        <v>42185</v>
      </c>
      <c r="C2" s="42">
        <v>41363</v>
      </c>
      <c r="D2" t="s">
        <v>2674</v>
      </c>
      <c r="E2" t="s">
        <v>2675</v>
      </c>
      <c r="F2" s="42">
        <v>40909</v>
      </c>
      <c r="G2">
        <v>100</v>
      </c>
      <c r="H2">
        <v>80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row>
    <row r="3" spans="1:43" x14ac:dyDescent="0.2">
      <c r="C3" s="7"/>
      <c r="D3" s="7"/>
      <c r="E3" s="7"/>
      <c r="G3" s="7"/>
      <c r="K3">
        <v>20</v>
      </c>
      <c r="L3">
        <v>5</v>
      </c>
    </row>
    <row r="4" spans="1:43" x14ac:dyDescent="0.2">
      <c r="C4" s="7"/>
      <c r="D4" s="7"/>
      <c r="E4" s="7"/>
      <c r="G4" s="7"/>
    </row>
    <row r="12" spans="1:43" x14ac:dyDescent="0.2">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75" x14ac:dyDescent="0.2"/>
  <cols>
    <col min="1" max="1" width="27.42578125" customWidth="1"/>
    <col min="2" max="2" width="28.5703125" customWidth="1"/>
    <col min="3" max="3" width="34.140625" customWidth="1"/>
  </cols>
  <sheetData>
    <row r="1" spans="1:2 4305:4305" x14ac:dyDescent="0.2">
      <c r="A1" t="s">
        <v>1818</v>
      </c>
      <c r="B1" t="s">
        <v>1819</v>
      </c>
    </row>
    <row r="2" spans="1:2 4305:4305" x14ac:dyDescent="0.2">
      <c r="A2" t="s">
        <v>2174</v>
      </c>
      <c r="B2" t="s">
        <v>5127</v>
      </c>
      <c r="FIO2">
        <v>30</v>
      </c>
    </row>
    <row r="3" spans="1:2 4305:4305" x14ac:dyDescent="0.2">
      <c r="A3" t="s">
        <v>173</v>
      </c>
      <c r="B3">
        <v>10</v>
      </c>
    </row>
    <row r="4" spans="1:2 4305:4305" x14ac:dyDescent="0.2">
      <c r="A4" t="s">
        <v>174</v>
      </c>
      <c r="B4">
        <v>20</v>
      </c>
    </row>
    <row r="5" spans="1:2 4305:4305" x14ac:dyDescent="0.2">
      <c r="A5" t="s">
        <v>175</v>
      </c>
      <c r="B5">
        <v>5000</v>
      </c>
    </row>
    <row r="6" spans="1:2 4305:4305" x14ac:dyDescent="0.2">
      <c r="A6" t="s">
        <v>1196</v>
      </c>
      <c r="B6">
        <v>2</v>
      </c>
    </row>
    <row r="7" spans="1:2 4305:4305" x14ac:dyDescent="0.2">
      <c r="A7" t="s">
        <v>1197</v>
      </c>
      <c r="B7">
        <v>10</v>
      </c>
    </row>
    <row r="8" spans="1:2 4305:4305" x14ac:dyDescent="0.2">
      <c r="A8" t="s">
        <v>1198</v>
      </c>
      <c r="B8">
        <v>5</v>
      </c>
    </row>
    <row r="9" spans="1:2 4305:4305" x14ac:dyDescent="0.2">
      <c r="A9" t="s">
        <v>3819</v>
      </c>
      <c r="B9">
        <v>10</v>
      </c>
    </row>
    <row r="10" spans="1:2 4305:4305" x14ac:dyDescent="0.2">
      <c r="A10" t="s">
        <v>4642</v>
      </c>
      <c r="B10">
        <v>1</v>
      </c>
    </row>
    <row r="11" spans="1:2 4305:4305" x14ac:dyDescent="0.2">
      <c r="A11" t="s">
        <v>4635</v>
      </c>
    </row>
    <row r="12" spans="1:2 4305:4305" x14ac:dyDescent="0.2">
      <c r="A12" t="s">
        <v>4636</v>
      </c>
      <c r="B12">
        <v>5</v>
      </c>
    </row>
    <row r="13" spans="1:2 4305:4305" x14ac:dyDescent="0.2">
      <c r="A13" t="s">
        <v>4637</v>
      </c>
    </row>
    <row r="14" spans="1:2 4305:4305" x14ac:dyDescent="0.2">
      <c r="A14" t="s">
        <v>3820</v>
      </c>
      <c r="B14">
        <v>1</v>
      </c>
    </row>
    <row r="15" spans="1:2 4305:4305" x14ac:dyDescent="0.2">
      <c r="A15" t="s">
        <v>4638</v>
      </c>
    </row>
    <row r="16" spans="1:2 4305:4305" x14ac:dyDescent="0.2">
      <c r="A16" t="s">
        <v>4639</v>
      </c>
      <c r="B16">
        <v>50</v>
      </c>
    </row>
    <row r="17" spans="1:14" x14ac:dyDescent="0.2">
      <c r="A17" t="s">
        <v>4640</v>
      </c>
      <c r="B17">
        <v>5</v>
      </c>
    </row>
    <row r="18" spans="1:14" x14ac:dyDescent="0.2">
      <c r="A18" t="s">
        <v>4641</v>
      </c>
      <c r="B18">
        <v>500</v>
      </c>
    </row>
    <row r="19" spans="1:14" x14ac:dyDescent="0.2">
      <c r="A19" t="s">
        <v>3821</v>
      </c>
      <c r="B19">
        <v>10</v>
      </c>
    </row>
    <row r="20" spans="1:14" x14ac:dyDescent="0.2">
      <c r="A20" t="b">
        <v>0</v>
      </c>
      <c r="B20" t="b">
        <v>0</v>
      </c>
      <c r="C20" t="b">
        <v>0</v>
      </c>
      <c r="D20" t="b">
        <v>0</v>
      </c>
      <c r="E20" t="b">
        <v>0</v>
      </c>
      <c r="F20" t="b">
        <v>0</v>
      </c>
      <c r="G20" t="b">
        <v>0</v>
      </c>
      <c r="H20" t="b">
        <v>0</v>
      </c>
      <c r="I20" t="b">
        <v>0</v>
      </c>
      <c r="J20" t="b">
        <v>0</v>
      </c>
      <c r="K20" t="b">
        <v>0</v>
      </c>
      <c r="L20" t="b">
        <v>0</v>
      </c>
      <c r="M20" t="b">
        <v>0</v>
      </c>
      <c r="N20" t="b">
        <v>0</v>
      </c>
    </row>
    <row r="21" spans="1:14" x14ac:dyDescent="0.2">
      <c r="A21" t="s">
        <v>3823</v>
      </c>
      <c r="B21">
        <v>150</v>
      </c>
    </row>
    <row r="22" spans="1:14" x14ac:dyDescent="0.2">
      <c r="A22" t="s">
        <v>3824</v>
      </c>
      <c r="B22">
        <v>2500</v>
      </c>
    </row>
    <row r="23" spans="1:14" x14ac:dyDescent="0.2">
      <c r="A23" t="s">
        <v>3825</v>
      </c>
      <c r="B23">
        <v>200</v>
      </c>
    </row>
    <row r="24" spans="1:14" x14ac:dyDescent="0.2">
      <c r="A24" t="s">
        <v>3826</v>
      </c>
      <c r="B24">
        <v>50</v>
      </c>
    </row>
    <row r="25" spans="1:14" x14ac:dyDescent="0.2">
      <c r="A25" t="s">
        <v>3827</v>
      </c>
      <c r="B25">
        <v>100</v>
      </c>
    </row>
    <row r="26" spans="1:14" x14ac:dyDescent="0.2">
      <c r="A26" t="s">
        <v>2687</v>
      </c>
      <c r="B26">
        <v>1</v>
      </c>
    </row>
    <row r="27" spans="1:14" x14ac:dyDescent="0.2">
      <c r="A27" t="s">
        <v>1173</v>
      </c>
      <c r="B27" t="s">
        <v>3508</v>
      </c>
    </row>
    <row r="28" spans="1:14" x14ac:dyDescent="0.2">
      <c r="A28" t="s">
        <v>3719</v>
      </c>
      <c r="B28" t="b">
        <v>0</v>
      </c>
    </row>
    <row r="29" spans="1:14" x14ac:dyDescent="0.2">
      <c r="A29" t="s">
        <v>3720</v>
      </c>
    </row>
    <row r="30" spans="1:14" x14ac:dyDescent="0.2">
      <c r="A30" t="s">
        <v>2130</v>
      </c>
    </row>
    <row r="31" spans="1:14" x14ac:dyDescent="0.2">
      <c r="A31" t="s">
        <v>2696</v>
      </c>
      <c r="B31" t="b">
        <v>1</v>
      </c>
    </row>
    <row r="32" spans="1:14" x14ac:dyDescent="0.2">
      <c r="A32" t="s">
        <v>3917</v>
      </c>
    </row>
    <row r="33" spans="1:2" x14ac:dyDescent="0.2">
      <c r="A33" t="s">
        <v>3520</v>
      </c>
    </row>
    <row r="34" spans="1:2" x14ac:dyDescent="0.2">
      <c r="A34" t="s">
        <v>3522</v>
      </c>
    </row>
    <row r="35" spans="1:2" x14ac:dyDescent="0.2">
      <c r="A35" t="s">
        <v>3524</v>
      </c>
    </row>
    <row r="36" spans="1:2" x14ac:dyDescent="0.2">
      <c r="A36" t="s">
        <v>3526</v>
      </c>
    </row>
    <row r="37" spans="1:2" x14ac:dyDescent="0.2">
      <c r="A37" t="s">
        <v>3632</v>
      </c>
    </row>
    <row r="38" spans="1:2" x14ac:dyDescent="0.2">
      <c r="A38" t="s">
        <v>3634</v>
      </c>
    </row>
    <row r="39" spans="1:2" x14ac:dyDescent="0.2">
      <c r="A39" t="s">
        <v>3683</v>
      </c>
    </row>
    <row r="40" spans="1:2" x14ac:dyDescent="0.2">
      <c r="A40" t="s">
        <v>3685</v>
      </c>
    </row>
    <row r="41" spans="1:2" x14ac:dyDescent="0.2">
      <c r="A41" t="s">
        <v>3687</v>
      </c>
    </row>
    <row r="42" spans="1:2" x14ac:dyDescent="0.2">
      <c r="A42" t="s">
        <v>3640</v>
      </c>
    </row>
    <row r="43" spans="1:2" x14ac:dyDescent="0.2">
      <c r="A43" t="s">
        <v>3645</v>
      </c>
    </row>
    <row r="44" spans="1:2" x14ac:dyDescent="0.2">
      <c r="A44" t="s">
        <v>460</v>
      </c>
      <c r="B44">
        <v>5</v>
      </c>
    </row>
    <row r="45" spans="1:2" x14ac:dyDescent="0.2">
      <c r="A45" t="s">
        <v>461</v>
      </c>
    </row>
    <row r="46" spans="1:2" x14ac:dyDescent="0.2">
      <c r="A46" t="s">
        <v>462</v>
      </c>
    </row>
    <row r="47" spans="1:2" x14ac:dyDescent="0.2">
      <c r="A47" t="s">
        <v>463</v>
      </c>
    </row>
    <row r="48" spans="1:2" x14ac:dyDescent="0.2">
      <c r="A48" t="s">
        <v>65</v>
      </c>
    </row>
    <row r="49" spans="1:2" x14ac:dyDescent="0.2">
      <c r="A49" t="s">
        <v>66</v>
      </c>
    </row>
    <row r="50" spans="1:2" x14ac:dyDescent="0.2">
      <c r="A50" t="s">
        <v>3428</v>
      </c>
    </row>
    <row r="51" spans="1:2" x14ac:dyDescent="0.2">
      <c r="A51" t="s">
        <v>3429</v>
      </c>
    </row>
    <row r="52" spans="1:2" x14ac:dyDescent="0.2">
      <c r="A52" t="s">
        <v>3430</v>
      </c>
    </row>
    <row r="53" spans="1:2" x14ac:dyDescent="0.2">
      <c r="A53" t="s">
        <v>3431</v>
      </c>
    </row>
    <row r="54" spans="1:2" x14ac:dyDescent="0.2">
      <c r="A54" t="s">
        <v>2194</v>
      </c>
    </row>
    <row r="55" spans="1:2" x14ac:dyDescent="0.2">
      <c r="A55" t="s">
        <v>2195</v>
      </c>
      <c r="B55">
        <v>10</v>
      </c>
    </row>
    <row r="56" spans="1:2" x14ac:dyDescent="0.2">
      <c r="A56" t="s">
        <v>2196</v>
      </c>
    </row>
    <row r="57" spans="1:2" x14ac:dyDescent="0.2">
      <c r="A57" t="s">
        <v>2197</v>
      </c>
      <c r="B57">
        <v>7</v>
      </c>
    </row>
    <row r="58" spans="1:2" x14ac:dyDescent="0.2">
      <c r="A58" t="s">
        <v>367</v>
      </c>
    </row>
    <row r="59" spans="1:2" x14ac:dyDescent="0.2">
      <c r="A59" t="s">
        <v>368</v>
      </c>
    </row>
    <row r="60" spans="1:2" x14ac:dyDescent="0.2">
      <c r="A60" t="s">
        <v>369</v>
      </c>
    </row>
    <row r="61" spans="1:2" x14ac:dyDescent="0.2">
      <c r="A61" t="s">
        <v>370</v>
      </c>
    </row>
    <row r="62" spans="1:2" x14ac:dyDescent="0.2">
      <c r="A62" t="s">
        <v>371</v>
      </c>
    </row>
    <row r="63" spans="1:2" x14ac:dyDescent="0.2">
      <c r="A63" t="s">
        <v>846</v>
      </c>
    </row>
    <row r="64" spans="1:2" x14ac:dyDescent="0.2">
      <c r="A64" t="s">
        <v>3637</v>
      </c>
      <c r="B64">
        <v>30</v>
      </c>
    </row>
    <row r="65" spans="1:2" x14ac:dyDescent="0.2">
      <c r="A65" t="s">
        <v>3644</v>
      </c>
    </row>
    <row r="66" spans="1:2" x14ac:dyDescent="0.2">
      <c r="A66" t="s">
        <v>1350</v>
      </c>
      <c r="B66">
        <v>1</v>
      </c>
    </row>
    <row r="67" spans="1:2" x14ac:dyDescent="0.2">
      <c r="A67" t="s">
        <v>847</v>
      </c>
      <c r="B67" t="s">
        <v>1844</v>
      </c>
    </row>
    <row r="68" spans="1:2" x14ac:dyDescent="0.2">
      <c r="A68" t="s">
        <v>848</v>
      </c>
    </row>
    <row r="69" spans="1:2" x14ac:dyDescent="0.2">
      <c r="A69" t="s">
        <v>849</v>
      </c>
    </row>
    <row r="70" spans="1:2" x14ac:dyDescent="0.2">
      <c r="A70" t="s">
        <v>850</v>
      </c>
    </row>
    <row r="71" spans="1:2" x14ac:dyDescent="0.2">
      <c r="A71" t="s">
        <v>851</v>
      </c>
    </row>
    <row r="72" spans="1:2" x14ac:dyDescent="0.2">
      <c r="A72" t="s">
        <v>852</v>
      </c>
    </row>
    <row r="73" spans="1:2" x14ac:dyDescent="0.2">
      <c r="A73" t="s">
        <v>853</v>
      </c>
    </row>
    <row r="74" spans="1:2" x14ac:dyDescent="0.2">
      <c r="A74" t="s">
        <v>854</v>
      </c>
    </row>
    <row r="75" spans="1:2" x14ac:dyDescent="0.2">
      <c r="A75" t="s">
        <v>855</v>
      </c>
    </row>
    <row r="76" spans="1:2" x14ac:dyDescent="0.2">
      <c r="A76" t="s">
        <v>856</v>
      </c>
    </row>
    <row r="77" spans="1:2" x14ac:dyDescent="0.2">
      <c r="A77" t="s">
        <v>857</v>
      </c>
    </row>
    <row r="78" spans="1:2" x14ac:dyDescent="0.2">
      <c r="A78" t="s">
        <v>858</v>
      </c>
      <c r="B78" t="s">
        <v>2039</v>
      </c>
    </row>
    <row r="79" spans="1:2" x14ac:dyDescent="0.2">
      <c r="A79" t="s">
        <v>859</v>
      </c>
    </row>
    <row r="80" spans="1:2" x14ac:dyDescent="0.2">
      <c r="A80" t="s">
        <v>860</v>
      </c>
      <c r="B80" t="s">
        <v>1844</v>
      </c>
    </row>
    <row r="81" spans="1:2" x14ac:dyDescent="0.2">
      <c r="A81" t="s">
        <v>861</v>
      </c>
    </row>
    <row r="82" spans="1:2" x14ac:dyDescent="0.2">
      <c r="A82" t="s">
        <v>862</v>
      </c>
    </row>
    <row r="83" spans="1:2" x14ac:dyDescent="0.2">
      <c r="A83" t="s">
        <v>863</v>
      </c>
    </row>
    <row r="84" spans="1:2" x14ac:dyDescent="0.2">
      <c r="A84" t="s">
        <v>2260</v>
      </c>
    </row>
    <row r="85" spans="1:2" x14ac:dyDescent="0.2">
      <c r="A85" t="s">
        <v>2261</v>
      </c>
    </row>
    <row r="86" spans="1:2" x14ac:dyDescent="0.2">
      <c r="A86" t="s">
        <v>2328</v>
      </c>
    </row>
    <row r="87" spans="1:2" x14ac:dyDescent="0.2">
      <c r="A87" t="s">
        <v>2331</v>
      </c>
      <c r="B87">
        <v>30</v>
      </c>
    </row>
    <row r="88" spans="1:2" x14ac:dyDescent="0.2">
      <c r="A88" t="s">
        <v>3651</v>
      </c>
      <c r="B88">
        <v>30</v>
      </c>
    </row>
    <row r="89" spans="1:2" x14ac:dyDescent="0.2">
      <c r="A89" t="s">
        <v>3638</v>
      </c>
    </row>
    <row r="90" spans="1:2" x14ac:dyDescent="0.2">
      <c r="A90" t="s">
        <v>3642</v>
      </c>
    </row>
    <row r="91" spans="1:2" x14ac:dyDescent="0.2">
      <c r="A91" t="s">
        <v>1602</v>
      </c>
      <c r="B91">
        <v>6</v>
      </c>
    </row>
    <row r="92" spans="1:2" x14ac:dyDescent="0.2">
      <c r="A92" t="s">
        <v>1603</v>
      </c>
    </row>
    <row r="93" spans="1:2" x14ac:dyDescent="0.2">
      <c r="A93" t="s">
        <v>1604</v>
      </c>
    </row>
    <row r="94" spans="1:2" x14ac:dyDescent="0.2">
      <c r="A94" t="s">
        <v>1605</v>
      </c>
    </row>
    <row r="95" spans="1:2" x14ac:dyDescent="0.2">
      <c r="A95" t="s">
        <v>2176</v>
      </c>
      <c r="B95">
        <v>40909</v>
      </c>
    </row>
    <row r="96" spans="1:2" x14ac:dyDescent="0.2">
      <c r="A96" t="s">
        <v>2762</v>
      </c>
      <c r="B96">
        <v>100</v>
      </c>
    </row>
    <row r="97" spans="1:2" x14ac:dyDescent="0.2">
      <c r="A97" t="s">
        <v>2686</v>
      </c>
      <c r="B97" t="b">
        <v>0</v>
      </c>
    </row>
    <row r="98" spans="1:2" x14ac:dyDescent="0.2">
      <c r="A98" t="s">
        <v>1570</v>
      </c>
      <c r="B98">
        <v>24</v>
      </c>
    </row>
    <row r="99" spans="1:2" x14ac:dyDescent="0.2">
      <c r="A99" t="s">
        <v>1571</v>
      </c>
      <c r="B99">
        <v>29</v>
      </c>
    </row>
    <row r="100" spans="1:2" x14ac:dyDescent="0.2">
      <c r="A100" t="s">
        <v>1572</v>
      </c>
      <c r="B100">
        <v>1</v>
      </c>
    </row>
    <row r="101" spans="1:2" x14ac:dyDescent="0.2">
      <c r="A101" t="s">
        <v>1573</v>
      </c>
      <c r="B101">
        <v>1</v>
      </c>
    </row>
    <row r="102" spans="1:2" x14ac:dyDescent="0.2">
      <c r="A102" t="s">
        <v>1574</v>
      </c>
      <c r="B102">
        <v>1</v>
      </c>
    </row>
    <row r="103" spans="1:2" x14ac:dyDescent="0.2">
      <c r="A103" t="s">
        <v>3773</v>
      </c>
      <c r="B103">
        <v>1</v>
      </c>
    </row>
    <row r="104" spans="1:2" x14ac:dyDescent="0.2">
      <c r="A104" t="s">
        <v>3643</v>
      </c>
    </row>
    <row r="105" spans="1:2" x14ac:dyDescent="0.2">
      <c r="A105" t="s">
        <v>3774</v>
      </c>
      <c r="B105">
        <v>5</v>
      </c>
    </row>
    <row r="106" spans="1:2" x14ac:dyDescent="0.2">
      <c r="A106" t="s">
        <v>3775</v>
      </c>
      <c r="B106">
        <v>20</v>
      </c>
    </row>
    <row r="107" spans="1:2" x14ac:dyDescent="0.2">
      <c r="A107" t="s">
        <v>3776</v>
      </c>
      <c r="B107">
        <v>15</v>
      </c>
    </row>
    <row r="108" spans="1:2" x14ac:dyDescent="0.2">
      <c r="A108" t="s">
        <v>3777</v>
      </c>
      <c r="B108">
        <v>10</v>
      </c>
    </row>
    <row r="109" spans="1:2" x14ac:dyDescent="0.2">
      <c r="A109" t="s">
        <v>3778</v>
      </c>
      <c r="B109">
        <v>10</v>
      </c>
    </row>
    <row r="110" spans="1:2" x14ac:dyDescent="0.2">
      <c r="A110" t="s">
        <v>2660</v>
      </c>
      <c r="B110">
        <v>10</v>
      </c>
    </row>
    <row r="111" spans="1:2" x14ac:dyDescent="0.2">
      <c r="A111" t="s">
        <v>2661</v>
      </c>
      <c r="B111">
        <v>30</v>
      </c>
    </row>
    <row r="112" spans="1:2" x14ac:dyDescent="0.2">
      <c r="A112" t="s">
        <v>2662</v>
      </c>
      <c r="B112">
        <v>240</v>
      </c>
    </row>
    <row r="113" spans="1:2" x14ac:dyDescent="0.2">
      <c r="A113" t="s">
        <v>5091</v>
      </c>
    </row>
    <row r="114" spans="1:2" x14ac:dyDescent="0.2">
      <c r="A114" t="s">
        <v>5092</v>
      </c>
      <c r="B114">
        <v>10</v>
      </c>
    </row>
    <row r="115" spans="1:2" x14ac:dyDescent="0.2">
      <c r="A115" t="s">
        <v>5093</v>
      </c>
    </row>
    <row r="116" spans="1:2" x14ac:dyDescent="0.2">
      <c r="A116" t="s">
        <v>3779</v>
      </c>
      <c r="B116">
        <v>10</v>
      </c>
    </row>
    <row r="117" spans="1:2" x14ac:dyDescent="0.2">
      <c r="A117" t="s">
        <v>4643</v>
      </c>
    </row>
    <row r="118" spans="1:2" x14ac:dyDescent="0.2">
      <c r="A118" t="s">
        <v>4644</v>
      </c>
      <c r="B118">
        <v>6</v>
      </c>
    </row>
    <row r="119" spans="1:2" x14ac:dyDescent="0.2">
      <c r="A119" t="s">
        <v>5089</v>
      </c>
      <c r="B119">
        <v>2</v>
      </c>
    </row>
    <row r="120" spans="1:2" x14ac:dyDescent="0.2">
      <c r="A120" t="s">
        <v>5090</v>
      </c>
      <c r="B120">
        <v>70</v>
      </c>
    </row>
    <row r="121" spans="1:2" x14ac:dyDescent="0.2">
      <c r="A121" t="s">
        <v>3780</v>
      </c>
      <c r="B121">
        <v>5</v>
      </c>
    </row>
    <row r="122" spans="1:2" x14ac:dyDescent="0.2">
      <c r="A122" t="s">
        <v>3781</v>
      </c>
      <c r="B122">
        <v>25</v>
      </c>
    </row>
    <row r="123" spans="1:2" x14ac:dyDescent="0.2">
      <c r="A123" t="s">
        <v>3782</v>
      </c>
      <c r="B123">
        <v>100</v>
      </c>
    </row>
    <row r="124" spans="1:2" x14ac:dyDescent="0.2">
      <c r="A124" t="s">
        <v>3783</v>
      </c>
      <c r="B124">
        <v>10</v>
      </c>
    </row>
    <row r="125" spans="1:2" x14ac:dyDescent="0.2">
      <c r="A125" t="s">
        <v>3784</v>
      </c>
      <c r="B125">
        <v>5</v>
      </c>
    </row>
    <row r="126" spans="1:2" x14ac:dyDescent="0.2">
      <c r="A126" t="s">
        <v>3785</v>
      </c>
      <c r="B126">
        <v>10</v>
      </c>
    </row>
    <row r="127" spans="1:2" x14ac:dyDescent="0.2">
      <c r="A127" t="s">
        <v>2184</v>
      </c>
      <c r="B127">
        <v>5</v>
      </c>
    </row>
    <row r="128" spans="1:2" x14ac:dyDescent="0.2">
      <c r="A128" t="s">
        <v>4082</v>
      </c>
      <c r="B128">
        <v>10</v>
      </c>
    </row>
    <row r="129" spans="1:2" x14ac:dyDescent="0.2">
      <c r="A129" t="s">
        <v>4083</v>
      </c>
      <c r="B129">
        <v>10</v>
      </c>
    </row>
    <row r="130" spans="1:2" x14ac:dyDescent="0.2">
      <c r="A130" t="s">
        <v>4084</v>
      </c>
      <c r="B130">
        <v>10</v>
      </c>
    </row>
    <row r="131" spans="1:2" x14ac:dyDescent="0.2">
      <c r="A131" t="s">
        <v>4085</v>
      </c>
      <c r="B131">
        <v>10</v>
      </c>
    </row>
    <row r="132" spans="1:2" x14ac:dyDescent="0.2">
      <c r="A132" t="s">
        <v>4086</v>
      </c>
      <c r="B132">
        <v>10</v>
      </c>
    </row>
    <row r="133" spans="1:2" x14ac:dyDescent="0.2">
      <c r="A133" t="s">
        <v>3210</v>
      </c>
      <c r="B133">
        <v>10</v>
      </c>
    </row>
    <row r="134" spans="1:2" x14ac:dyDescent="0.2">
      <c r="A134" t="s">
        <v>3211</v>
      </c>
      <c r="B134">
        <v>10</v>
      </c>
    </row>
    <row r="135" spans="1:2" x14ac:dyDescent="0.2">
      <c r="A135" t="s">
        <v>2659</v>
      </c>
      <c r="B135">
        <v>10</v>
      </c>
    </row>
    <row r="136" spans="1:2" x14ac:dyDescent="0.2">
      <c r="A136" t="s">
        <v>5098</v>
      </c>
    </row>
    <row r="137" spans="1:2" x14ac:dyDescent="0.2">
      <c r="A137" t="s">
        <v>5099</v>
      </c>
      <c r="B137">
        <v>10</v>
      </c>
    </row>
    <row r="138" spans="1:2" x14ac:dyDescent="0.2">
      <c r="A138" t="s">
        <v>5100</v>
      </c>
    </row>
    <row r="139" spans="1:2" x14ac:dyDescent="0.2">
      <c r="A139" t="s">
        <v>4087</v>
      </c>
      <c r="B139">
        <v>10</v>
      </c>
    </row>
    <row r="140" spans="1:2" x14ac:dyDescent="0.2">
      <c r="A140" t="s">
        <v>5094</v>
      </c>
    </row>
    <row r="141" spans="1:2" x14ac:dyDescent="0.2">
      <c r="A141" t="s">
        <v>5095</v>
      </c>
      <c r="B141">
        <v>10</v>
      </c>
    </row>
    <row r="142" spans="1:2" x14ac:dyDescent="0.2">
      <c r="A142" t="s">
        <v>5096</v>
      </c>
      <c r="B142">
        <v>10</v>
      </c>
    </row>
    <row r="143" spans="1:2" x14ac:dyDescent="0.2">
      <c r="A143" t="s">
        <v>5097</v>
      </c>
      <c r="B143">
        <v>10</v>
      </c>
    </row>
    <row r="144" spans="1:2" x14ac:dyDescent="0.2">
      <c r="A144" t="s">
        <v>4088</v>
      </c>
      <c r="B144">
        <v>10</v>
      </c>
    </row>
    <row r="145" spans="1:2" x14ac:dyDescent="0.2">
      <c r="A145" t="s">
        <v>1678</v>
      </c>
      <c r="B145">
        <v>10</v>
      </c>
    </row>
    <row r="146" spans="1:2" x14ac:dyDescent="0.2">
      <c r="A146" t="s">
        <v>2215</v>
      </c>
      <c r="B146">
        <v>10</v>
      </c>
    </row>
    <row r="147" spans="1:2" x14ac:dyDescent="0.2">
      <c r="A147" t="s">
        <v>3219</v>
      </c>
      <c r="B147">
        <v>10</v>
      </c>
    </row>
    <row r="148" spans="1:2" x14ac:dyDescent="0.2">
      <c r="A148" t="s">
        <v>3222</v>
      </c>
      <c r="B148">
        <v>10</v>
      </c>
    </row>
    <row r="149" spans="1:2" x14ac:dyDescent="0.2">
      <c r="A149" t="s">
        <v>464</v>
      </c>
      <c r="B149">
        <v>10</v>
      </c>
    </row>
    <row r="150" spans="1:2" x14ac:dyDescent="0.2">
      <c r="A150" t="s">
        <v>465</v>
      </c>
      <c r="B150">
        <v>10</v>
      </c>
    </row>
    <row r="151" spans="1:2" x14ac:dyDescent="0.2">
      <c r="A151" t="s">
        <v>1380</v>
      </c>
      <c r="B151" t="b">
        <v>1</v>
      </c>
    </row>
    <row r="152" spans="1:2" x14ac:dyDescent="0.2">
      <c r="A152" t="s">
        <v>3588</v>
      </c>
    </row>
    <row r="153" spans="1:2" x14ac:dyDescent="0.2">
      <c r="A153" t="s">
        <v>1381</v>
      </c>
    </row>
    <row r="154" spans="1:2" x14ac:dyDescent="0.2">
      <c r="A154" t="s">
        <v>3589</v>
      </c>
    </row>
    <row r="155" spans="1:2" x14ac:dyDescent="0.2">
      <c r="A155" t="s">
        <v>1606</v>
      </c>
      <c r="B155">
        <v>3</v>
      </c>
    </row>
    <row r="156" spans="1:2" x14ac:dyDescent="0.2">
      <c r="A156" t="s">
        <v>1607</v>
      </c>
    </row>
    <row r="157" spans="1:2" x14ac:dyDescent="0.2">
      <c r="A157" t="s">
        <v>1608</v>
      </c>
    </row>
    <row r="158" spans="1:2" x14ac:dyDescent="0.2">
      <c r="A158" t="s">
        <v>1609</v>
      </c>
    </row>
    <row r="159" spans="1:2" x14ac:dyDescent="0.2">
      <c r="A159" t="s">
        <v>3117</v>
      </c>
      <c r="B159" t="b">
        <v>0</v>
      </c>
    </row>
    <row r="160" spans="1:2" x14ac:dyDescent="0.2">
      <c r="A160" t="s">
        <v>381</v>
      </c>
    </row>
    <row r="161" spans="1:3" x14ac:dyDescent="0.2">
      <c r="A161" t="s">
        <v>3828</v>
      </c>
      <c r="B161" t="b">
        <v>0</v>
      </c>
      <c r="C161" t="s">
        <v>2330</v>
      </c>
    </row>
    <row r="162" spans="1:3" x14ac:dyDescent="0.2">
      <c r="A162" t="s">
        <v>3836</v>
      </c>
      <c r="B162" t="b">
        <v>0</v>
      </c>
      <c r="C162" t="s">
        <v>2330</v>
      </c>
    </row>
    <row r="163" spans="1:3" x14ac:dyDescent="0.2">
      <c r="A163" t="s">
        <v>3837</v>
      </c>
      <c r="C163" t="s">
        <v>2330</v>
      </c>
    </row>
    <row r="164" spans="1:3" x14ac:dyDescent="0.2">
      <c r="A164" t="s">
        <v>1566</v>
      </c>
      <c r="B164" t="b">
        <v>0</v>
      </c>
      <c r="C164" t="s">
        <v>2330</v>
      </c>
    </row>
    <row r="165" spans="1:3" x14ac:dyDescent="0.2">
      <c r="A165" t="s">
        <v>1567</v>
      </c>
      <c r="B165" t="b">
        <v>0</v>
      </c>
      <c r="C165" t="s">
        <v>2330</v>
      </c>
    </row>
    <row r="166" spans="1:3" x14ac:dyDescent="0.2">
      <c r="A166" t="s">
        <v>1568</v>
      </c>
      <c r="C166" t="s">
        <v>2330</v>
      </c>
    </row>
    <row r="167" spans="1:3" x14ac:dyDescent="0.2">
      <c r="A167" t="s">
        <v>1569</v>
      </c>
      <c r="C167" t="s">
        <v>2330</v>
      </c>
    </row>
    <row r="168" spans="1:3" x14ac:dyDescent="0.2">
      <c r="A168" t="s">
        <v>2911</v>
      </c>
      <c r="C168" t="s">
        <v>2330</v>
      </c>
    </row>
    <row r="169" spans="1:3" x14ac:dyDescent="0.2">
      <c r="A169" t="s">
        <v>2912</v>
      </c>
      <c r="C169" t="s">
        <v>2330</v>
      </c>
    </row>
    <row r="170" spans="1:3" x14ac:dyDescent="0.2">
      <c r="A170" t="s">
        <v>3829</v>
      </c>
      <c r="C170" t="s">
        <v>2330</v>
      </c>
    </row>
    <row r="171" spans="1:3" x14ac:dyDescent="0.2">
      <c r="A171" t="s">
        <v>3830</v>
      </c>
      <c r="C171" t="s">
        <v>2330</v>
      </c>
    </row>
    <row r="172" spans="1:3" x14ac:dyDescent="0.2">
      <c r="A172" t="s">
        <v>3831</v>
      </c>
      <c r="C172" t="s">
        <v>2330</v>
      </c>
    </row>
    <row r="173" spans="1:3" x14ac:dyDescent="0.2">
      <c r="A173" t="s">
        <v>3832</v>
      </c>
      <c r="C173" t="s">
        <v>2330</v>
      </c>
    </row>
    <row r="174" spans="1:3" x14ac:dyDescent="0.2">
      <c r="A174" t="s">
        <v>3833</v>
      </c>
      <c r="C174" t="s">
        <v>2330</v>
      </c>
    </row>
    <row r="175" spans="1:3" x14ac:dyDescent="0.2">
      <c r="A175" t="s">
        <v>3834</v>
      </c>
      <c r="C175" t="s">
        <v>2330</v>
      </c>
    </row>
    <row r="176" spans="1:3" x14ac:dyDescent="0.2">
      <c r="A176" t="s">
        <v>3835</v>
      </c>
      <c r="C176" t="s">
        <v>2330</v>
      </c>
    </row>
    <row r="177" spans="1:3" x14ac:dyDescent="0.2">
      <c r="A177" t="s">
        <v>1145</v>
      </c>
      <c r="C177" t="s">
        <v>2330</v>
      </c>
    </row>
    <row r="178" spans="1:3" x14ac:dyDescent="0.2">
      <c r="A178" t="s">
        <v>1146</v>
      </c>
      <c r="C178" t="s">
        <v>2330</v>
      </c>
    </row>
    <row r="179" spans="1:3" x14ac:dyDescent="0.2">
      <c r="A179" t="s">
        <v>1147</v>
      </c>
      <c r="C179" t="s">
        <v>2330</v>
      </c>
    </row>
    <row r="180" spans="1:3" x14ac:dyDescent="0.2">
      <c r="A180" t="s">
        <v>1148</v>
      </c>
      <c r="C180" t="s">
        <v>2330</v>
      </c>
    </row>
    <row r="181" spans="1:3" x14ac:dyDescent="0.2">
      <c r="A181" t="s">
        <v>1149</v>
      </c>
      <c r="C181" t="s">
        <v>2330</v>
      </c>
    </row>
    <row r="182" spans="1:3" x14ac:dyDescent="0.2">
      <c r="A182" t="s">
        <v>1150</v>
      </c>
      <c r="C182" t="s">
        <v>2330</v>
      </c>
    </row>
    <row r="183" spans="1:3" x14ac:dyDescent="0.2">
      <c r="A183" t="s">
        <v>1151</v>
      </c>
      <c r="C183" t="s">
        <v>2330</v>
      </c>
    </row>
    <row r="184" spans="1:3" x14ac:dyDescent="0.2">
      <c r="A184" t="s">
        <v>1152</v>
      </c>
      <c r="C184" t="s">
        <v>2330</v>
      </c>
    </row>
    <row r="185" spans="1:3" x14ac:dyDescent="0.2">
      <c r="A185" t="s">
        <v>1153</v>
      </c>
      <c r="C185" t="s">
        <v>2330</v>
      </c>
    </row>
    <row r="186" spans="1:3" x14ac:dyDescent="0.2">
      <c r="A186" t="s">
        <v>1154</v>
      </c>
      <c r="C186" t="s">
        <v>2330</v>
      </c>
    </row>
    <row r="187" spans="1:3" x14ac:dyDescent="0.2">
      <c r="A187" t="s">
        <v>1155</v>
      </c>
      <c r="C187" t="s">
        <v>2330</v>
      </c>
    </row>
    <row r="188" spans="1:3" x14ac:dyDescent="0.2">
      <c r="A188" t="s">
        <v>1156</v>
      </c>
      <c r="B188" t="b">
        <v>1</v>
      </c>
      <c r="C188" t="s">
        <v>241</v>
      </c>
    </row>
    <row r="189" spans="1:3" x14ac:dyDescent="0.2">
      <c r="A189" t="s">
        <v>1157</v>
      </c>
      <c r="B189" t="b">
        <v>1</v>
      </c>
      <c r="C189" t="s">
        <v>242</v>
      </c>
    </row>
    <row r="190" spans="1:3" x14ac:dyDescent="0.2">
      <c r="A190" t="s">
        <v>1158</v>
      </c>
      <c r="C190" t="s">
        <v>2330</v>
      </c>
    </row>
    <row r="191" spans="1:3" x14ac:dyDescent="0.2">
      <c r="A191" t="s">
        <v>1159</v>
      </c>
      <c r="B191" t="b">
        <v>1</v>
      </c>
      <c r="C191" t="s">
        <v>243</v>
      </c>
    </row>
    <row r="192" spans="1:3" x14ac:dyDescent="0.2">
      <c r="A192" t="s">
        <v>1160</v>
      </c>
      <c r="B192" t="b">
        <v>0</v>
      </c>
      <c r="C192" t="s">
        <v>2330</v>
      </c>
    </row>
    <row r="193" spans="1:3" x14ac:dyDescent="0.2">
      <c r="A193" t="s">
        <v>2580</v>
      </c>
      <c r="C193" t="s">
        <v>2330</v>
      </c>
    </row>
    <row r="194" spans="1:3" x14ac:dyDescent="0.2">
      <c r="A194" t="s">
        <v>2581</v>
      </c>
      <c r="C194" t="s">
        <v>2330</v>
      </c>
    </row>
    <row r="195" spans="1:3" x14ac:dyDescent="0.2">
      <c r="A195" t="s">
        <v>2582</v>
      </c>
      <c r="C195" t="s">
        <v>2330</v>
      </c>
    </row>
    <row r="196" spans="1:3" x14ac:dyDescent="0.2">
      <c r="A196" t="s">
        <v>2583</v>
      </c>
      <c r="C196" t="s">
        <v>2330</v>
      </c>
    </row>
    <row r="197" spans="1:3" x14ac:dyDescent="0.2">
      <c r="A197" t="s">
        <v>2584</v>
      </c>
      <c r="C197" t="s">
        <v>2330</v>
      </c>
    </row>
    <row r="198" spans="1:3" x14ac:dyDescent="0.2">
      <c r="A198" t="s">
        <v>2585</v>
      </c>
      <c r="C198" t="s">
        <v>2330</v>
      </c>
    </row>
    <row r="199" spans="1:3" x14ac:dyDescent="0.2">
      <c r="A199" t="s">
        <v>2586</v>
      </c>
      <c r="C199" t="s">
        <v>2330</v>
      </c>
    </row>
    <row r="200" spans="1:3" x14ac:dyDescent="0.2">
      <c r="A200" t="s">
        <v>2587</v>
      </c>
      <c r="C200" t="s">
        <v>2330</v>
      </c>
    </row>
    <row r="201" spans="1:3" x14ac:dyDescent="0.2">
      <c r="A201" t="s">
        <v>2588</v>
      </c>
      <c r="C201" t="s">
        <v>2330</v>
      </c>
    </row>
    <row r="202" spans="1:3" x14ac:dyDescent="0.2">
      <c r="A202" t="s">
        <v>2589</v>
      </c>
      <c r="C202" t="s">
        <v>2330</v>
      </c>
    </row>
    <row r="203" spans="1:3" x14ac:dyDescent="0.2">
      <c r="A203" t="s">
        <v>2590</v>
      </c>
      <c r="C203" t="s">
        <v>2330</v>
      </c>
    </row>
    <row r="204" spans="1:3" x14ac:dyDescent="0.2">
      <c r="A204" t="s">
        <v>2591</v>
      </c>
      <c r="C204" t="s">
        <v>2330</v>
      </c>
    </row>
    <row r="205" spans="1:3" x14ac:dyDescent="0.2">
      <c r="A205" t="s">
        <v>2592</v>
      </c>
      <c r="C205" t="s">
        <v>2330</v>
      </c>
    </row>
    <row r="206" spans="1:3" x14ac:dyDescent="0.2">
      <c r="A206" t="s">
        <v>2593</v>
      </c>
      <c r="C206" t="s">
        <v>2330</v>
      </c>
    </row>
    <row r="207" spans="1:3" x14ac:dyDescent="0.2">
      <c r="A207" t="s">
        <v>2594</v>
      </c>
      <c r="C207" t="s">
        <v>2330</v>
      </c>
    </row>
    <row r="208" spans="1:3" x14ac:dyDescent="0.2">
      <c r="A208" t="s">
        <v>2595</v>
      </c>
      <c r="C208" t="s">
        <v>2330</v>
      </c>
    </row>
    <row r="209" spans="1:3" x14ac:dyDescent="0.2">
      <c r="A209" t="s">
        <v>2596</v>
      </c>
      <c r="C209" t="s">
        <v>2330</v>
      </c>
    </row>
    <row r="210" spans="1:3" x14ac:dyDescent="0.2">
      <c r="A210" t="s">
        <v>2597</v>
      </c>
      <c r="C210" t="s">
        <v>2330</v>
      </c>
    </row>
    <row r="211" spans="1:3" x14ac:dyDescent="0.2">
      <c r="A211" t="s">
        <v>2598</v>
      </c>
      <c r="C211" t="s">
        <v>2330</v>
      </c>
    </row>
    <row r="212" spans="1:3" x14ac:dyDescent="0.2">
      <c r="A212" t="s">
        <v>2599</v>
      </c>
      <c r="C212" t="s">
        <v>2330</v>
      </c>
    </row>
    <row r="213" spans="1:3" x14ac:dyDescent="0.2">
      <c r="A213" t="s">
        <v>2600</v>
      </c>
      <c r="C213" t="s">
        <v>2330</v>
      </c>
    </row>
    <row r="214" spans="1:3" x14ac:dyDescent="0.2">
      <c r="A214" t="s">
        <v>2601</v>
      </c>
      <c r="C214" t="s">
        <v>2330</v>
      </c>
    </row>
    <row r="215" spans="1:3" x14ac:dyDescent="0.2">
      <c r="A215" t="s">
        <v>2602</v>
      </c>
      <c r="C215" t="s">
        <v>2330</v>
      </c>
    </row>
    <row r="216" spans="1:3" x14ac:dyDescent="0.2">
      <c r="A216" t="s">
        <v>2603</v>
      </c>
      <c r="C216" t="s">
        <v>2330</v>
      </c>
    </row>
    <row r="217" spans="1:3" x14ac:dyDescent="0.2">
      <c r="A217" t="s">
        <v>2604</v>
      </c>
      <c r="C217" t="s">
        <v>2330</v>
      </c>
    </row>
    <row r="218" spans="1:3" x14ac:dyDescent="0.2">
      <c r="A218" t="s">
        <v>2605</v>
      </c>
      <c r="C218" t="s">
        <v>2330</v>
      </c>
    </row>
    <row r="219" spans="1:3" x14ac:dyDescent="0.2">
      <c r="A219" t="s">
        <v>2606</v>
      </c>
      <c r="C219" t="s">
        <v>2330</v>
      </c>
    </row>
    <row r="220" spans="1:3" x14ac:dyDescent="0.2">
      <c r="A220" t="s">
        <v>2607</v>
      </c>
      <c r="C220" t="s">
        <v>2330</v>
      </c>
    </row>
    <row r="221" spans="1:3" x14ac:dyDescent="0.2">
      <c r="A221" t="s">
        <v>2608</v>
      </c>
      <c r="C221" t="s">
        <v>2330</v>
      </c>
    </row>
    <row r="222" spans="1:3" x14ac:dyDescent="0.2">
      <c r="A222" t="s">
        <v>2609</v>
      </c>
      <c r="C222" t="s">
        <v>2330</v>
      </c>
    </row>
    <row r="223" spans="1:3" x14ac:dyDescent="0.2">
      <c r="A223" t="s">
        <v>2610</v>
      </c>
      <c r="C223" t="s">
        <v>2330</v>
      </c>
    </row>
    <row r="224" spans="1:3" x14ac:dyDescent="0.2">
      <c r="A224" t="s">
        <v>2611</v>
      </c>
      <c r="C224" t="s">
        <v>2330</v>
      </c>
    </row>
    <row r="225" spans="1:3" x14ac:dyDescent="0.2">
      <c r="A225" t="s">
        <v>2612</v>
      </c>
      <c r="C225" t="s">
        <v>2330</v>
      </c>
    </row>
    <row r="226" spans="1:3" x14ac:dyDescent="0.2">
      <c r="A226" t="s">
        <v>2613</v>
      </c>
      <c r="C226" t="s">
        <v>2330</v>
      </c>
    </row>
    <row r="227" spans="1:3" x14ac:dyDescent="0.2">
      <c r="A227" t="s">
        <v>2614</v>
      </c>
      <c r="C227" t="s">
        <v>2330</v>
      </c>
    </row>
    <row r="228" spans="1:3" x14ac:dyDescent="0.2">
      <c r="A228" t="s">
        <v>2615</v>
      </c>
      <c r="C228" t="s">
        <v>2330</v>
      </c>
    </row>
    <row r="229" spans="1:3" x14ac:dyDescent="0.2">
      <c r="A229" t="s">
        <v>2616</v>
      </c>
      <c r="C229" t="s">
        <v>2330</v>
      </c>
    </row>
    <row r="230" spans="1:3" x14ac:dyDescent="0.2">
      <c r="A230" t="s">
        <v>2617</v>
      </c>
      <c r="C230" t="s">
        <v>2330</v>
      </c>
    </row>
    <row r="231" spans="1:3" x14ac:dyDescent="0.2">
      <c r="A231" t="s">
        <v>2618</v>
      </c>
      <c r="C231" t="s">
        <v>2330</v>
      </c>
    </row>
    <row r="232" spans="1:3" x14ac:dyDescent="0.2">
      <c r="A232" t="s">
        <v>2619</v>
      </c>
      <c r="C232" t="s">
        <v>2330</v>
      </c>
    </row>
    <row r="233" spans="1:3" x14ac:dyDescent="0.2">
      <c r="A233" t="s">
        <v>2620</v>
      </c>
      <c r="C233" t="s">
        <v>2330</v>
      </c>
    </row>
    <row r="234" spans="1:3" x14ac:dyDescent="0.2">
      <c r="A234" t="s">
        <v>2621</v>
      </c>
      <c r="C234" t="s">
        <v>2330</v>
      </c>
    </row>
    <row r="235" spans="1:3" x14ac:dyDescent="0.2">
      <c r="A235" t="s">
        <v>2622</v>
      </c>
      <c r="C235" t="s">
        <v>2330</v>
      </c>
    </row>
    <row r="236" spans="1:3" x14ac:dyDescent="0.2">
      <c r="A236" t="s">
        <v>2623</v>
      </c>
      <c r="C236" t="s">
        <v>2330</v>
      </c>
    </row>
    <row r="237" spans="1:3" x14ac:dyDescent="0.2">
      <c r="A237" t="s">
        <v>2624</v>
      </c>
      <c r="C237" t="s">
        <v>2330</v>
      </c>
    </row>
    <row r="238" spans="1:3" x14ac:dyDescent="0.2">
      <c r="A238" t="s">
        <v>2625</v>
      </c>
      <c r="C238" t="s">
        <v>2330</v>
      </c>
    </row>
    <row r="239" spans="1:3" x14ac:dyDescent="0.2">
      <c r="A239" t="s">
        <v>2626</v>
      </c>
      <c r="C239" t="s">
        <v>2330</v>
      </c>
    </row>
    <row r="240" spans="1:3" x14ac:dyDescent="0.2">
      <c r="A240" t="s">
        <v>2627</v>
      </c>
      <c r="C240" t="s">
        <v>2330</v>
      </c>
    </row>
    <row r="241" spans="1:3" x14ac:dyDescent="0.2">
      <c r="A241" t="s">
        <v>2628</v>
      </c>
      <c r="C241" t="s">
        <v>2330</v>
      </c>
    </row>
    <row r="242" spans="1:3" x14ac:dyDescent="0.2">
      <c r="A242" t="s">
        <v>2629</v>
      </c>
    </row>
    <row r="243" spans="1:3" x14ac:dyDescent="0.2">
      <c r="A243" t="s">
        <v>2630</v>
      </c>
    </row>
    <row r="244" spans="1:3" x14ac:dyDescent="0.2">
      <c r="A244" t="s">
        <v>2631</v>
      </c>
    </row>
    <row r="245" spans="1:3" x14ac:dyDescent="0.2">
      <c r="A245" t="s">
        <v>2632</v>
      </c>
    </row>
    <row r="246" spans="1:3" x14ac:dyDescent="0.2">
      <c r="A246" t="s">
        <v>2633</v>
      </c>
    </row>
    <row r="247" spans="1:3" x14ac:dyDescent="0.2">
      <c r="A247" t="s">
        <v>2634</v>
      </c>
    </row>
    <row r="248" spans="1:3" x14ac:dyDescent="0.2">
      <c r="A248" t="s">
        <v>2635</v>
      </c>
    </row>
    <row r="249" spans="1:3" x14ac:dyDescent="0.2">
      <c r="A249" t="s">
        <v>2636</v>
      </c>
    </row>
    <row r="250" spans="1:3" x14ac:dyDescent="0.2">
      <c r="A250" t="s">
        <v>2637</v>
      </c>
    </row>
    <row r="251" spans="1:3" x14ac:dyDescent="0.2">
      <c r="A251" t="s">
        <v>2638</v>
      </c>
    </row>
    <row r="252" spans="1:3" x14ac:dyDescent="0.2">
      <c r="A252" t="s">
        <v>2639</v>
      </c>
    </row>
    <row r="253" spans="1:3" x14ac:dyDescent="0.2">
      <c r="A253" t="s">
        <v>2640</v>
      </c>
    </row>
    <row r="254" spans="1:3" x14ac:dyDescent="0.2">
      <c r="A254" t="s">
        <v>2641</v>
      </c>
    </row>
    <row r="255" spans="1:3" x14ac:dyDescent="0.2">
      <c r="A255" t="s">
        <v>2642</v>
      </c>
    </row>
    <row r="256" spans="1:3" x14ac:dyDescent="0.2">
      <c r="A256" t="s">
        <v>2643</v>
      </c>
    </row>
    <row r="257" spans="1:1" x14ac:dyDescent="0.2">
      <c r="A257" t="s">
        <v>2644</v>
      </c>
    </row>
    <row r="258" spans="1:1" x14ac:dyDescent="0.2">
      <c r="A258" t="s">
        <v>2645</v>
      </c>
    </row>
    <row r="259" spans="1:1" x14ac:dyDescent="0.2">
      <c r="A259" t="s">
        <v>2646</v>
      </c>
    </row>
    <row r="260" spans="1:1" x14ac:dyDescent="0.2">
      <c r="A260" t="s">
        <v>1439</v>
      </c>
    </row>
    <row r="261" spans="1:1" x14ac:dyDescent="0.2">
      <c r="A261" t="s">
        <v>1440</v>
      </c>
    </row>
    <row r="262" spans="1:1" x14ac:dyDescent="0.2">
      <c r="A262" t="s">
        <v>1441</v>
      </c>
    </row>
    <row r="263" spans="1:1" x14ac:dyDescent="0.2">
      <c r="A263" t="s">
        <v>1442</v>
      </c>
    </row>
    <row r="264" spans="1:1" x14ac:dyDescent="0.2">
      <c r="A264" t="s">
        <v>1443</v>
      </c>
    </row>
    <row r="265" spans="1:1" x14ac:dyDescent="0.2">
      <c r="A265" t="s">
        <v>1444</v>
      </c>
    </row>
    <row r="266" spans="1:1" x14ac:dyDescent="0.2">
      <c r="A266" t="s">
        <v>1445</v>
      </c>
    </row>
    <row r="267" spans="1:1" x14ac:dyDescent="0.2">
      <c r="A267" t="s">
        <v>1446</v>
      </c>
    </row>
    <row r="268" spans="1:1" x14ac:dyDescent="0.2">
      <c r="A268" t="s">
        <v>1447</v>
      </c>
    </row>
    <row r="269" spans="1:1" x14ac:dyDescent="0.2">
      <c r="A269" t="s">
        <v>3475</v>
      </c>
    </row>
    <row r="270" spans="1:1" x14ac:dyDescent="0.2">
      <c r="A270" t="s">
        <v>868</v>
      </c>
    </row>
    <row r="271" spans="1:1" x14ac:dyDescent="0.2">
      <c r="A271" t="s">
        <v>877</v>
      </c>
    </row>
    <row r="272" spans="1:1" x14ac:dyDescent="0.2">
      <c r="A272" t="s">
        <v>878</v>
      </c>
    </row>
    <row r="273" spans="1:1" x14ac:dyDescent="0.2">
      <c r="A273" t="s">
        <v>879</v>
      </c>
    </row>
    <row r="274" spans="1:1" x14ac:dyDescent="0.2">
      <c r="A274" t="s">
        <v>880</v>
      </c>
    </row>
    <row r="275" spans="1:1" x14ac:dyDescent="0.2">
      <c r="A275" t="s">
        <v>881</v>
      </c>
    </row>
    <row r="276" spans="1:1" x14ac:dyDescent="0.2">
      <c r="A276" t="s">
        <v>882</v>
      </c>
    </row>
    <row r="277" spans="1:1" x14ac:dyDescent="0.2">
      <c r="A277" t="s">
        <v>883</v>
      </c>
    </row>
    <row r="278" spans="1:1" x14ac:dyDescent="0.2">
      <c r="A278" t="s">
        <v>3476</v>
      </c>
    </row>
    <row r="279" spans="1:1" x14ac:dyDescent="0.2">
      <c r="A279" t="s">
        <v>3477</v>
      </c>
    </row>
    <row r="280" spans="1:1" x14ac:dyDescent="0.2">
      <c r="A280" t="s">
        <v>3478</v>
      </c>
    </row>
    <row r="281" spans="1:1" x14ac:dyDescent="0.2">
      <c r="A281" t="s">
        <v>3479</v>
      </c>
    </row>
    <row r="282" spans="1:1" x14ac:dyDescent="0.2">
      <c r="A282" t="s">
        <v>3480</v>
      </c>
    </row>
    <row r="283" spans="1:1" x14ac:dyDescent="0.2">
      <c r="A283" t="s">
        <v>3481</v>
      </c>
    </row>
    <row r="284" spans="1:1" x14ac:dyDescent="0.2">
      <c r="A284" t="s">
        <v>864</v>
      </c>
    </row>
    <row r="285" spans="1:1" x14ac:dyDescent="0.2">
      <c r="A285" t="s">
        <v>865</v>
      </c>
    </row>
    <row r="286" spans="1:1" x14ac:dyDescent="0.2">
      <c r="A286" t="s">
        <v>866</v>
      </c>
    </row>
    <row r="287" spans="1:1" x14ac:dyDescent="0.2">
      <c r="A287" t="s">
        <v>867</v>
      </c>
    </row>
    <row r="288" spans="1:1" x14ac:dyDescent="0.2">
      <c r="A288" t="s">
        <v>869</v>
      </c>
    </row>
    <row r="289" spans="1:1" x14ac:dyDescent="0.2">
      <c r="A289" t="s">
        <v>870</v>
      </c>
    </row>
    <row r="290" spans="1:1" x14ac:dyDescent="0.2">
      <c r="A290" t="s">
        <v>871</v>
      </c>
    </row>
    <row r="291" spans="1:1" x14ac:dyDescent="0.2">
      <c r="A291" t="s">
        <v>872</v>
      </c>
    </row>
    <row r="292" spans="1:1" x14ac:dyDescent="0.2">
      <c r="A292" t="s">
        <v>873</v>
      </c>
    </row>
    <row r="293" spans="1:1" x14ac:dyDescent="0.2">
      <c r="A293" t="s">
        <v>874</v>
      </c>
    </row>
    <row r="294" spans="1:1" x14ac:dyDescent="0.2">
      <c r="A294" t="s">
        <v>875</v>
      </c>
    </row>
    <row r="295" spans="1:1" x14ac:dyDescent="0.2">
      <c r="A295" t="s">
        <v>876</v>
      </c>
    </row>
    <row r="296" spans="1:1" x14ac:dyDescent="0.2">
      <c r="A296" t="s">
        <v>1041</v>
      </c>
    </row>
    <row r="297" spans="1:1" x14ac:dyDescent="0.2">
      <c r="A297" t="s">
        <v>1051</v>
      </c>
    </row>
    <row r="298" spans="1:1" x14ac:dyDescent="0.2">
      <c r="A298" t="s">
        <v>1052</v>
      </c>
    </row>
    <row r="299" spans="1:1" x14ac:dyDescent="0.2">
      <c r="A299" t="s">
        <v>1053</v>
      </c>
    </row>
    <row r="300" spans="1:1" x14ac:dyDescent="0.2">
      <c r="A300" t="s">
        <v>1054</v>
      </c>
    </row>
    <row r="301" spans="1:1" x14ac:dyDescent="0.2">
      <c r="A301" t="s">
        <v>1055</v>
      </c>
    </row>
    <row r="302" spans="1:1" x14ac:dyDescent="0.2">
      <c r="A302" t="s">
        <v>1056</v>
      </c>
    </row>
    <row r="303" spans="1:1" x14ac:dyDescent="0.2">
      <c r="A303" t="s">
        <v>1057</v>
      </c>
    </row>
    <row r="304" spans="1:1" x14ac:dyDescent="0.2">
      <c r="A304" t="s">
        <v>1058</v>
      </c>
    </row>
    <row r="305" spans="1:1" x14ac:dyDescent="0.2">
      <c r="A305" t="s">
        <v>1042</v>
      </c>
    </row>
    <row r="306" spans="1:1" x14ac:dyDescent="0.2">
      <c r="A306" t="s">
        <v>1043</v>
      </c>
    </row>
    <row r="307" spans="1:1" x14ac:dyDescent="0.2">
      <c r="A307" t="s">
        <v>1044</v>
      </c>
    </row>
    <row r="308" spans="1:1" x14ac:dyDescent="0.2">
      <c r="A308" t="s">
        <v>1045</v>
      </c>
    </row>
    <row r="309" spans="1:1" x14ac:dyDescent="0.2">
      <c r="A309" t="s">
        <v>1046</v>
      </c>
    </row>
    <row r="310" spans="1:1" x14ac:dyDescent="0.2">
      <c r="A310" t="s">
        <v>1047</v>
      </c>
    </row>
    <row r="311" spans="1:1" x14ac:dyDescent="0.2">
      <c r="A311" t="s">
        <v>1048</v>
      </c>
    </row>
    <row r="312" spans="1:1" x14ac:dyDescent="0.2">
      <c r="A312" t="s">
        <v>1049</v>
      </c>
    </row>
    <row r="313" spans="1:1" x14ac:dyDescent="0.2">
      <c r="A313" t="s">
        <v>1050</v>
      </c>
    </row>
    <row r="314" spans="1:1" x14ac:dyDescent="0.2">
      <c r="A314" t="s">
        <v>884</v>
      </c>
    </row>
    <row r="315" spans="1:1" x14ac:dyDescent="0.2">
      <c r="A315" t="s">
        <v>885</v>
      </c>
    </row>
    <row r="316" spans="1:1" x14ac:dyDescent="0.2">
      <c r="A316" t="s">
        <v>886</v>
      </c>
    </row>
    <row r="317" spans="1:1" x14ac:dyDescent="0.2">
      <c r="A317" t="s">
        <v>887</v>
      </c>
    </row>
    <row r="318" spans="1:1" x14ac:dyDescent="0.2">
      <c r="A318" t="s">
        <v>888</v>
      </c>
    </row>
    <row r="319" spans="1:1" x14ac:dyDescent="0.2">
      <c r="A319" t="s">
        <v>889</v>
      </c>
    </row>
    <row r="320" spans="1:1" x14ac:dyDescent="0.2">
      <c r="A320" t="s">
        <v>890</v>
      </c>
    </row>
    <row r="321" spans="1:1" x14ac:dyDescent="0.2">
      <c r="A321" t="s">
        <v>891</v>
      </c>
    </row>
    <row r="322" spans="1:1" x14ac:dyDescent="0.2">
      <c r="A322" t="s">
        <v>2412</v>
      </c>
    </row>
    <row r="323" spans="1:1" x14ac:dyDescent="0.2">
      <c r="A323" t="s">
        <v>0</v>
      </c>
    </row>
    <row r="324" spans="1:1" x14ac:dyDescent="0.2">
      <c r="A324" t="s">
        <v>10</v>
      </c>
    </row>
    <row r="325" spans="1:1" x14ac:dyDescent="0.2">
      <c r="A325" t="s">
        <v>11</v>
      </c>
    </row>
    <row r="326" spans="1:1" x14ac:dyDescent="0.2">
      <c r="A326" t="s">
        <v>12</v>
      </c>
    </row>
    <row r="327" spans="1:1" x14ac:dyDescent="0.2">
      <c r="A327" t="s">
        <v>13</v>
      </c>
    </row>
    <row r="328" spans="1:1" x14ac:dyDescent="0.2">
      <c r="A328" t="s">
        <v>14</v>
      </c>
    </row>
    <row r="329" spans="1:1" x14ac:dyDescent="0.2">
      <c r="A329" t="s">
        <v>15</v>
      </c>
    </row>
    <row r="330" spans="1:1" x14ac:dyDescent="0.2">
      <c r="A330" t="s">
        <v>16</v>
      </c>
    </row>
    <row r="331" spans="1:1" x14ac:dyDescent="0.2">
      <c r="A331" t="s">
        <v>17</v>
      </c>
    </row>
    <row r="332" spans="1:1" x14ac:dyDescent="0.2">
      <c r="A332" t="s">
        <v>1</v>
      </c>
    </row>
    <row r="333" spans="1:1" x14ac:dyDescent="0.2">
      <c r="A333" t="s">
        <v>2</v>
      </c>
    </row>
    <row r="334" spans="1:1" x14ac:dyDescent="0.2">
      <c r="A334" t="s">
        <v>3</v>
      </c>
    </row>
    <row r="335" spans="1:1" x14ac:dyDescent="0.2">
      <c r="A335" t="s">
        <v>4</v>
      </c>
    </row>
    <row r="336" spans="1:1" x14ac:dyDescent="0.2">
      <c r="A336" t="s">
        <v>5</v>
      </c>
    </row>
    <row r="337" spans="1:2" x14ac:dyDescent="0.2">
      <c r="A337" t="s">
        <v>6</v>
      </c>
    </row>
    <row r="338" spans="1:2" x14ac:dyDescent="0.2">
      <c r="A338" t="s">
        <v>7</v>
      </c>
    </row>
    <row r="339" spans="1:2" x14ac:dyDescent="0.2">
      <c r="A339" t="s">
        <v>8</v>
      </c>
    </row>
    <row r="340" spans="1:2" x14ac:dyDescent="0.2">
      <c r="A340" t="s">
        <v>9</v>
      </c>
    </row>
    <row r="341" spans="1:2" x14ac:dyDescent="0.2">
      <c r="A341" t="s">
        <v>2413</v>
      </c>
    </row>
    <row r="342" spans="1:2" x14ac:dyDescent="0.2">
      <c r="A342" t="s">
        <v>2414</v>
      </c>
    </row>
    <row r="343" spans="1:2" x14ac:dyDescent="0.2">
      <c r="A343" t="s">
        <v>2415</v>
      </c>
    </row>
    <row r="344" spans="1:2" x14ac:dyDescent="0.2">
      <c r="A344" t="s">
        <v>2416</v>
      </c>
    </row>
    <row r="345" spans="1:2" x14ac:dyDescent="0.2">
      <c r="A345" t="s">
        <v>2417</v>
      </c>
    </row>
    <row r="346" spans="1:2" x14ac:dyDescent="0.2">
      <c r="A346" t="s">
        <v>2418</v>
      </c>
    </row>
    <row r="347" spans="1:2" x14ac:dyDescent="0.2">
      <c r="A347" t="s">
        <v>2419</v>
      </c>
    </row>
    <row r="348" spans="1:2" x14ac:dyDescent="0.2">
      <c r="A348" t="s">
        <v>2420</v>
      </c>
    </row>
    <row r="349" spans="1:2" x14ac:dyDescent="0.2">
      <c r="A349" t="s">
        <v>2421</v>
      </c>
    </row>
    <row r="350" spans="1:2" x14ac:dyDescent="0.2">
      <c r="A350" t="s">
        <v>1348</v>
      </c>
      <c r="B350">
        <v>70</v>
      </c>
    </row>
    <row r="351" spans="1:2" x14ac:dyDescent="0.2">
      <c r="A351" t="s">
        <v>3403</v>
      </c>
      <c r="B351">
        <v>0</v>
      </c>
    </row>
    <row r="352" spans="1:2" x14ac:dyDescent="0.2">
      <c r="A352" t="s">
        <v>453</v>
      </c>
      <c r="B352">
        <v>5</v>
      </c>
    </row>
    <row r="353" spans="1:2" x14ac:dyDescent="0.2">
      <c r="A353" t="s">
        <v>454</v>
      </c>
    </row>
    <row r="354" spans="1:2" x14ac:dyDescent="0.2">
      <c r="A354" t="s">
        <v>1736</v>
      </c>
    </row>
    <row r="355" spans="1:2" x14ac:dyDescent="0.2">
      <c r="A355" t="s">
        <v>1611</v>
      </c>
    </row>
    <row r="356" spans="1:2" x14ac:dyDescent="0.2">
      <c r="A356" t="s">
        <v>1612</v>
      </c>
    </row>
    <row r="357" spans="1:2" x14ac:dyDescent="0.2">
      <c r="A357" t="s">
        <v>1613</v>
      </c>
    </row>
    <row r="358" spans="1:2" x14ac:dyDescent="0.2">
      <c r="A358" t="s">
        <v>729</v>
      </c>
    </row>
    <row r="359" spans="1:2" x14ac:dyDescent="0.2">
      <c r="A359" t="s">
        <v>730</v>
      </c>
    </row>
    <row r="360" spans="1:2" x14ac:dyDescent="0.2">
      <c r="A360" t="s">
        <v>731</v>
      </c>
    </row>
    <row r="361" spans="1:2" x14ac:dyDescent="0.2">
      <c r="A361" t="s">
        <v>3324</v>
      </c>
    </row>
    <row r="362" spans="1:2" x14ac:dyDescent="0.2">
      <c r="A362" t="s">
        <v>3325</v>
      </c>
    </row>
    <row r="363" spans="1:2" x14ac:dyDescent="0.2">
      <c r="A363" t="s">
        <v>3326</v>
      </c>
      <c r="B363">
        <v>10</v>
      </c>
    </row>
    <row r="364" spans="1:2" x14ac:dyDescent="0.2">
      <c r="A364" t="s">
        <v>3327</v>
      </c>
    </row>
    <row r="365" spans="1:2" x14ac:dyDescent="0.2">
      <c r="A365" t="s">
        <v>3328</v>
      </c>
      <c r="B365">
        <v>7</v>
      </c>
    </row>
    <row r="366" spans="1:2" x14ac:dyDescent="0.2">
      <c r="A366" t="s">
        <v>2546</v>
      </c>
    </row>
    <row r="367" spans="1:2" x14ac:dyDescent="0.2">
      <c r="A367" t="s">
        <v>2547</v>
      </c>
    </row>
    <row r="368" spans="1:2" x14ac:dyDescent="0.2">
      <c r="A368" t="s">
        <v>2548</v>
      </c>
    </row>
    <row r="369" spans="1:2" x14ac:dyDescent="0.2">
      <c r="A369" t="s">
        <v>2549</v>
      </c>
    </row>
    <row r="370" spans="1:2" x14ac:dyDescent="0.2">
      <c r="A370" t="s">
        <v>2888</v>
      </c>
    </row>
    <row r="371" spans="1:2" x14ac:dyDescent="0.2">
      <c r="A371" t="s">
        <v>2889</v>
      </c>
    </row>
    <row r="372" spans="1:2" x14ac:dyDescent="0.2">
      <c r="A372" t="s">
        <v>1650</v>
      </c>
    </row>
    <row r="373" spans="1:2" x14ac:dyDescent="0.2">
      <c r="A373" t="s">
        <v>1651</v>
      </c>
    </row>
    <row r="374" spans="1:2" x14ac:dyDescent="0.2">
      <c r="A374" t="s">
        <v>1652</v>
      </c>
    </row>
    <row r="375" spans="1:2" x14ac:dyDescent="0.2">
      <c r="A375" t="s">
        <v>1653</v>
      </c>
    </row>
    <row r="376" spans="1:2" x14ac:dyDescent="0.2">
      <c r="A376" t="s">
        <v>1654</v>
      </c>
    </row>
    <row r="377" spans="1:2" x14ac:dyDescent="0.2">
      <c r="A377" t="s">
        <v>1655</v>
      </c>
    </row>
    <row r="378" spans="1:2" x14ac:dyDescent="0.2">
      <c r="A378" t="s">
        <v>3329</v>
      </c>
    </row>
    <row r="379" spans="1:2" x14ac:dyDescent="0.2">
      <c r="A379" t="s">
        <v>3330</v>
      </c>
    </row>
    <row r="380" spans="1:2" x14ac:dyDescent="0.2">
      <c r="A380" t="s">
        <v>3331</v>
      </c>
    </row>
    <row r="381" spans="1:2" x14ac:dyDescent="0.2">
      <c r="A381" t="s">
        <v>3332</v>
      </c>
    </row>
    <row r="382" spans="1:2" x14ac:dyDescent="0.2">
      <c r="A382" t="s">
        <v>2262</v>
      </c>
    </row>
    <row r="383" spans="1:2" x14ac:dyDescent="0.2">
      <c r="A383" t="s">
        <v>2263</v>
      </c>
      <c r="B383">
        <v>0</v>
      </c>
    </row>
    <row r="384" spans="1:2" x14ac:dyDescent="0.2">
      <c r="A384" t="s">
        <v>2264</v>
      </c>
    </row>
    <row r="385" spans="1:2" x14ac:dyDescent="0.2">
      <c r="A385" t="s">
        <v>4207</v>
      </c>
    </row>
    <row r="386" spans="1:2" x14ac:dyDescent="0.2">
      <c r="A386" t="s">
        <v>1748</v>
      </c>
      <c r="B386">
        <v>0</v>
      </c>
    </row>
    <row r="387" spans="1:2" x14ac:dyDescent="0.2">
      <c r="A387" t="s">
        <v>1749</v>
      </c>
    </row>
    <row r="388" spans="1:2" x14ac:dyDescent="0.2">
      <c r="A388" t="s">
        <v>1750</v>
      </c>
    </row>
    <row r="389" spans="1:2" x14ac:dyDescent="0.2">
      <c r="A389" t="s">
        <v>3870</v>
      </c>
    </row>
    <row r="390" spans="1:2" x14ac:dyDescent="0.2">
      <c r="A390" t="s">
        <v>3871</v>
      </c>
    </row>
    <row r="391" spans="1:2" x14ac:dyDescent="0.2">
      <c r="A391" t="s">
        <v>3872</v>
      </c>
    </row>
    <row r="392" spans="1:2" x14ac:dyDescent="0.2">
      <c r="A392" t="s">
        <v>3873</v>
      </c>
      <c r="B392">
        <v>15</v>
      </c>
    </row>
    <row r="393" spans="1:2" x14ac:dyDescent="0.2">
      <c r="A393" t="s">
        <v>3874</v>
      </c>
      <c r="B393">
        <v>1</v>
      </c>
    </row>
    <row r="394" spans="1:2" x14ac:dyDescent="0.2">
      <c r="A394" t="s">
        <v>3875</v>
      </c>
    </row>
    <row r="395" spans="1:2" x14ac:dyDescent="0.2">
      <c r="A395" t="s">
        <v>3876</v>
      </c>
    </row>
    <row r="396" spans="1:2" x14ac:dyDescent="0.2">
      <c r="A396" t="s">
        <v>3877</v>
      </c>
    </row>
    <row r="397" spans="1:2" x14ac:dyDescent="0.2">
      <c r="A397" t="s">
        <v>4022</v>
      </c>
    </row>
    <row r="398" spans="1:2" x14ac:dyDescent="0.2">
      <c r="A398" t="s">
        <v>4023</v>
      </c>
    </row>
    <row r="399" spans="1:2" x14ac:dyDescent="0.2">
      <c r="A399" t="s">
        <v>4024</v>
      </c>
      <c r="B399">
        <v>17</v>
      </c>
    </row>
    <row r="400" spans="1:2" x14ac:dyDescent="0.2">
      <c r="A400" t="s">
        <v>4025</v>
      </c>
      <c r="B400">
        <v>1</v>
      </c>
    </row>
    <row r="401" spans="1:2" x14ac:dyDescent="0.2">
      <c r="A401" t="s">
        <v>4026</v>
      </c>
      <c r="B401">
        <v>1</v>
      </c>
    </row>
    <row r="402" spans="1:2" x14ac:dyDescent="0.2">
      <c r="A402" t="s">
        <v>4027</v>
      </c>
      <c r="B402">
        <v>1</v>
      </c>
    </row>
    <row r="403" spans="1:2" x14ac:dyDescent="0.2">
      <c r="A403" t="s">
        <v>4028</v>
      </c>
      <c r="B403">
        <v>1</v>
      </c>
    </row>
    <row r="404" spans="1:2" x14ac:dyDescent="0.2">
      <c r="A404" t="s">
        <v>2316</v>
      </c>
      <c r="B404">
        <v>1</v>
      </c>
    </row>
    <row r="405" spans="1:2" x14ac:dyDescent="0.2">
      <c r="A405" t="s">
        <v>2317</v>
      </c>
      <c r="B405">
        <v>1</v>
      </c>
    </row>
    <row r="406" spans="1:2" x14ac:dyDescent="0.2">
      <c r="A406" t="s">
        <v>2318</v>
      </c>
      <c r="B406">
        <v>1</v>
      </c>
    </row>
    <row r="407" spans="1:2" x14ac:dyDescent="0.2">
      <c r="A407" t="s">
        <v>2319</v>
      </c>
    </row>
    <row r="408" spans="1:2" x14ac:dyDescent="0.2">
      <c r="A408" t="s">
        <v>2320</v>
      </c>
    </row>
    <row r="409" spans="1:2" x14ac:dyDescent="0.2">
      <c r="A409" t="s">
        <v>2321</v>
      </c>
    </row>
    <row r="410" spans="1:2" x14ac:dyDescent="0.2">
      <c r="A410" t="s">
        <v>2322</v>
      </c>
    </row>
    <row r="411" spans="1:2" x14ac:dyDescent="0.2">
      <c r="A411" t="s">
        <v>2323</v>
      </c>
    </row>
    <row r="412" spans="1:2" x14ac:dyDescent="0.2">
      <c r="A412" t="s">
        <v>2324</v>
      </c>
    </row>
    <row r="413" spans="1:2" x14ac:dyDescent="0.2">
      <c r="A413" t="s">
        <v>2325</v>
      </c>
      <c r="B413">
        <v>50</v>
      </c>
    </row>
    <row r="414" spans="1:2" x14ac:dyDescent="0.2">
      <c r="A414" t="s">
        <v>2326</v>
      </c>
      <c r="B414">
        <v>50</v>
      </c>
    </row>
    <row r="415" spans="1:2" x14ac:dyDescent="0.2">
      <c r="A415" t="s">
        <v>2348</v>
      </c>
      <c r="B415">
        <v>50</v>
      </c>
    </row>
    <row r="416" spans="1:2" x14ac:dyDescent="0.2">
      <c r="A416" t="s">
        <v>4190</v>
      </c>
      <c r="B416">
        <v>50</v>
      </c>
    </row>
    <row r="417" spans="1:2" x14ac:dyDescent="0.2">
      <c r="A417" t="s">
        <v>4191</v>
      </c>
      <c r="B417">
        <v>50</v>
      </c>
    </row>
    <row r="418" spans="1:2" x14ac:dyDescent="0.2">
      <c r="A418" t="s">
        <v>676</v>
      </c>
      <c r="B418">
        <v>50</v>
      </c>
    </row>
    <row r="419" spans="1:2" x14ac:dyDescent="0.2">
      <c r="A419" t="s">
        <v>677</v>
      </c>
      <c r="B419">
        <v>50</v>
      </c>
    </row>
    <row r="420" spans="1:2" x14ac:dyDescent="0.2">
      <c r="A420" t="s">
        <v>3209</v>
      </c>
      <c r="B420">
        <v>50</v>
      </c>
    </row>
    <row r="421" spans="1:2" x14ac:dyDescent="0.2">
      <c r="A421" t="s">
        <v>116</v>
      </c>
    </row>
    <row r="422" spans="1:2" x14ac:dyDescent="0.2">
      <c r="A422" t="s">
        <v>117</v>
      </c>
      <c r="B422">
        <v>50</v>
      </c>
    </row>
    <row r="423" spans="1:2" x14ac:dyDescent="0.2">
      <c r="A423" t="s">
        <v>118</v>
      </c>
    </row>
    <row r="424" spans="1:2" x14ac:dyDescent="0.2">
      <c r="A424" t="s">
        <v>2727</v>
      </c>
      <c r="B424">
        <v>50</v>
      </c>
    </row>
    <row r="425" spans="1:2" x14ac:dyDescent="0.2">
      <c r="A425" t="s">
        <v>112</v>
      </c>
    </row>
    <row r="426" spans="1:2" x14ac:dyDescent="0.2">
      <c r="A426" t="s">
        <v>113</v>
      </c>
      <c r="B426">
        <v>50</v>
      </c>
    </row>
    <row r="427" spans="1:2" x14ac:dyDescent="0.2">
      <c r="A427" t="s">
        <v>114</v>
      </c>
      <c r="B427">
        <v>50</v>
      </c>
    </row>
    <row r="428" spans="1:2" x14ac:dyDescent="0.2">
      <c r="A428" t="s">
        <v>115</v>
      </c>
      <c r="B428">
        <v>50</v>
      </c>
    </row>
    <row r="429" spans="1:2" x14ac:dyDescent="0.2">
      <c r="A429" t="s">
        <v>2728</v>
      </c>
      <c r="B429">
        <v>1</v>
      </c>
    </row>
    <row r="430" spans="1:2" x14ac:dyDescent="0.2">
      <c r="A430" t="s">
        <v>2729</v>
      </c>
      <c r="B430">
        <v>50</v>
      </c>
    </row>
    <row r="431" spans="1:2" x14ac:dyDescent="0.2">
      <c r="A431" t="s">
        <v>4183</v>
      </c>
      <c r="B431">
        <v>50</v>
      </c>
    </row>
    <row r="432" spans="1:2" x14ac:dyDescent="0.2">
      <c r="A432" t="s">
        <v>2497</v>
      </c>
      <c r="B432">
        <v>50</v>
      </c>
    </row>
    <row r="433" spans="1:2" x14ac:dyDescent="0.2">
      <c r="A433" t="s">
        <v>2498</v>
      </c>
      <c r="B433">
        <v>50</v>
      </c>
    </row>
    <row r="434" spans="1:2" x14ac:dyDescent="0.2">
      <c r="A434" t="s">
        <v>2499</v>
      </c>
      <c r="B434">
        <v>50</v>
      </c>
    </row>
    <row r="435" spans="1:2" x14ac:dyDescent="0.2">
      <c r="A435" t="s">
        <v>3722</v>
      </c>
      <c r="B435">
        <v>50</v>
      </c>
    </row>
    <row r="436" spans="1:2" x14ac:dyDescent="0.2">
      <c r="A436" t="s">
        <v>3723</v>
      </c>
      <c r="B436">
        <v>1</v>
      </c>
    </row>
    <row r="437" spans="1:2" x14ac:dyDescent="0.2">
      <c r="A437" t="s">
        <v>3724</v>
      </c>
      <c r="B437">
        <v>4</v>
      </c>
    </row>
    <row r="438" spans="1:2" x14ac:dyDescent="0.2">
      <c r="A438" t="s">
        <v>3725</v>
      </c>
      <c r="B438">
        <v>4</v>
      </c>
    </row>
    <row r="439" spans="1:2" x14ac:dyDescent="0.2">
      <c r="A439" t="s">
        <v>3313</v>
      </c>
      <c r="B439">
        <v>4</v>
      </c>
    </row>
    <row r="440" spans="1:2" x14ac:dyDescent="0.2">
      <c r="A440" t="s">
        <v>3624</v>
      </c>
      <c r="B440">
        <v>4</v>
      </c>
    </row>
    <row r="441" spans="1:2" x14ac:dyDescent="0.2">
      <c r="A441" t="s">
        <v>3625</v>
      </c>
      <c r="B441">
        <v>4</v>
      </c>
    </row>
    <row r="442" spans="1:2" x14ac:dyDescent="0.2">
      <c r="A442" t="s">
        <v>3626</v>
      </c>
      <c r="B442">
        <v>4</v>
      </c>
    </row>
    <row r="443" spans="1:2" x14ac:dyDescent="0.2">
      <c r="A443" t="s">
        <v>3627</v>
      </c>
      <c r="B443">
        <v>1</v>
      </c>
    </row>
    <row r="444" spans="1:2" x14ac:dyDescent="0.2">
      <c r="A444" t="s">
        <v>3311</v>
      </c>
      <c r="B444">
        <v>4</v>
      </c>
    </row>
    <row r="445" spans="1:2" x14ac:dyDescent="0.2">
      <c r="A445" t="s">
        <v>3312</v>
      </c>
      <c r="B445">
        <v>4</v>
      </c>
    </row>
    <row r="446" spans="1:2" x14ac:dyDescent="0.2">
      <c r="A446" t="s">
        <v>3298</v>
      </c>
      <c r="B446">
        <v>4</v>
      </c>
    </row>
    <row r="447" spans="1:2" x14ac:dyDescent="0.2">
      <c r="A447" t="s">
        <v>3299</v>
      </c>
      <c r="B447">
        <v>4</v>
      </c>
    </row>
    <row r="448" spans="1:2" x14ac:dyDescent="0.2">
      <c r="A448" t="s">
        <v>3300</v>
      </c>
      <c r="B448">
        <v>4</v>
      </c>
    </row>
    <row r="449" spans="1:2" x14ac:dyDescent="0.2">
      <c r="A449" t="s">
        <v>3199</v>
      </c>
      <c r="B449">
        <v>4</v>
      </c>
    </row>
    <row r="450" spans="1:2" x14ac:dyDescent="0.2">
      <c r="A450" t="s">
        <v>3200</v>
      </c>
      <c r="B450">
        <v>4</v>
      </c>
    </row>
    <row r="451" spans="1:2" x14ac:dyDescent="0.2">
      <c r="A451" t="s">
        <v>3201</v>
      </c>
      <c r="B451">
        <v>15</v>
      </c>
    </row>
    <row r="452" spans="1:2" x14ac:dyDescent="0.2">
      <c r="A452" t="s">
        <v>3202</v>
      </c>
    </row>
    <row r="453" spans="1:2" x14ac:dyDescent="0.2">
      <c r="A453" t="s">
        <v>3203</v>
      </c>
    </row>
    <row r="454" spans="1:2" x14ac:dyDescent="0.2">
      <c r="A454" t="s">
        <v>3975</v>
      </c>
    </row>
    <row r="455" spans="1:2" x14ac:dyDescent="0.2">
      <c r="A455" t="s">
        <v>3976</v>
      </c>
    </row>
    <row r="456" spans="1:2" x14ac:dyDescent="0.2">
      <c r="A456" t="s">
        <v>3977</v>
      </c>
    </row>
    <row r="457" spans="1:2" x14ac:dyDescent="0.2">
      <c r="A457" t="s">
        <v>3978</v>
      </c>
    </row>
    <row r="458" spans="1:2" x14ac:dyDescent="0.2">
      <c r="A458" t="s">
        <v>3979</v>
      </c>
      <c r="B458">
        <v>10</v>
      </c>
    </row>
    <row r="459" spans="1:2" x14ac:dyDescent="0.2">
      <c r="A459" t="s">
        <v>3980</v>
      </c>
    </row>
    <row r="460" spans="1:2" x14ac:dyDescent="0.2">
      <c r="A460" t="s">
        <v>3981</v>
      </c>
    </row>
    <row r="461" spans="1:2" x14ac:dyDescent="0.2">
      <c r="A461" t="s">
        <v>3982</v>
      </c>
    </row>
    <row r="462" spans="1:2" x14ac:dyDescent="0.2">
      <c r="A462" t="s">
        <v>3983</v>
      </c>
    </row>
    <row r="463" spans="1:2" x14ac:dyDescent="0.2">
      <c r="A463" t="s">
        <v>3984</v>
      </c>
    </row>
    <row r="464" spans="1:2" x14ac:dyDescent="0.2">
      <c r="A464" t="s">
        <v>3985</v>
      </c>
    </row>
    <row r="465" spans="1:2" x14ac:dyDescent="0.2">
      <c r="A465" t="s">
        <v>3986</v>
      </c>
    </row>
    <row r="466" spans="1:2" x14ac:dyDescent="0.2">
      <c r="A466" t="s">
        <v>3987</v>
      </c>
    </row>
    <row r="467" spans="1:2" x14ac:dyDescent="0.2">
      <c r="A467" t="s">
        <v>2836</v>
      </c>
    </row>
    <row r="468" spans="1:2" x14ac:dyDescent="0.2">
      <c r="A468" t="s">
        <v>2837</v>
      </c>
    </row>
    <row r="469" spans="1:2" x14ac:dyDescent="0.2">
      <c r="A469" t="s">
        <v>2838</v>
      </c>
    </row>
    <row r="470" spans="1:2" x14ac:dyDescent="0.2">
      <c r="A470" t="s">
        <v>1226</v>
      </c>
    </row>
    <row r="471" spans="1:2" x14ac:dyDescent="0.2">
      <c r="A471" t="s">
        <v>1227</v>
      </c>
      <c r="B471" t="s">
        <v>4932</v>
      </c>
    </row>
    <row r="472" spans="1:2" x14ac:dyDescent="0.2">
      <c r="A472" t="s">
        <v>1228</v>
      </c>
    </row>
    <row r="473" spans="1:2" x14ac:dyDescent="0.2">
      <c r="A473" t="s">
        <v>1229</v>
      </c>
    </row>
    <row r="474" spans="1:2" x14ac:dyDescent="0.2">
      <c r="A474" t="s">
        <v>1230</v>
      </c>
    </row>
    <row r="475" spans="1:2" x14ac:dyDescent="0.2">
      <c r="A475" t="s">
        <v>1231</v>
      </c>
    </row>
    <row r="476" spans="1:2" x14ac:dyDescent="0.2">
      <c r="A476" t="s">
        <v>2839</v>
      </c>
    </row>
    <row r="477" spans="1:2" x14ac:dyDescent="0.2">
      <c r="A477" t="s">
        <v>2840</v>
      </c>
    </row>
    <row r="478" spans="1:2" x14ac:dyDescent="0.2">
      <c r="A478" t="s">
        <v>2841</v>
      </c>
    </row>
    <row r="479" spans="1:2" x14ac:dyDescent="0.2">
      <c r="A479" t="s">
        <v>1947</v>
      </c>
    </row>
    <row r="480" spans="1:2" x14ac:dyDescent="0.2">
      <c r="A480" t="s">
        <v>1948</v>
      </c>
    </row>
    <row r="481" spans="1:2" x14ac:dyDescent="0.2">
      <c r="A481" t="s">
        <v>1949</v>
      </c>
    </row>
    <row r="482" spans="1:2" x14ac:dyDescent="0.2">
      <c r="A482" t="s">
        <v>1950</v>
      </c>
      <c r="B482" t="s">
        <v>5129</v>
      </c>
    </row>
    <row r="483" spans="1:2" x14ac:dyDescent="0.2">
      <c r="A483" t="s">
        <v>1951</v>
      </c>
    </row>
    <row r="484" spans="1:2" x14ac:dyDescent="0.2">
      <c r="A484" t="s">
        <v>1952</v>
      </c>
      <c r="B484" t="s">
        <v>5130</v>
      </c>
    </row>
    <row r="485" spans="1:2" x14ac:dyDescent="0.2">
      <c r="A485" t="s">
        <v>1953</v>
      </c>
    </row>
    <row r="486" spans="1:2" x14ac:dyDescent="0.2">
      <c r="A486" t="s">
        <v>1954</v>
      </c>
    </row>
    <row r="487" spans="1:2" x14ac:dyDescent="0.2">
      <c r="A487" t="s">
        <v>1955</v>
      </c>
    </row>
    <row r="488" spans="1:2" x14ac:dyDescent="0.2">
      <c r="A488" t="s">
        <v>1956</v>
      </c>
    </row>
    <row r="489" spans="1:2" x14ac:dyDescent="0.2">
      <c r="A489" t="s">
        <v>1957</v>
      </c>
    </row>
    <row r="490" spans="1:2" x14ac:dyDescent="0.2">
      <c r="A490" t="s">
        <v>1958</v>
      </c>
    </row>
    <row r="491" spans="1:2" x14ac:dyDescent="0.2">
      <c r="A491" t="s">
        <v>1959</v>
      </c>
    </row>
    <row r="492" spans="1:2" x14ac:dyDescent="0.2">
      <c r="A492" t="s">
        <v>1960</v>
      </c>
    </row>
    <row r="493" spans="1:2" x14ac:dyDescent="0.2">
      <c r="A493" t="s">
        <v>1961</v>
      </c>
    </row>
    <row r="494" spans="1:2" x14ac:dyDescent="0.2">
      <c r="A494" t="s">
        <v>1962</v>
      </c>
    </row>
    <row r="495" spans="1:2" x14ac:dyDescent="0.2">
      <c r="A495" t="s">
        <v>1963</v>
      </c>
    </row>
    <row r="496" spans="1:2" x14ac:dyDescent="0.2">
      <c r="A496" t="s">
        <v>1964</v>
      </c>
    </row>
    <row r="497" spans="1:2" x14ac:dyDescent="0.2">
      <c r="A497" t="s">
        <v>1965</v>
      </c>
    </row>
    <row r="498" spans="1:2" x14ac:dyDescent="0.2">
      <c r="A498" t="s">
        <v>2963</v>
      </c>
    </row>
    <row r="499" spans="1:2" x14ac:dyDescent="0.2">
      <c r="A499" t="s">
        <v>2964</v>
      </c>
    </row>
    <row r="500" spans="1:2" x14ac:dyDescent="0.2">
      <c r="A500" t="s">
        <v>3897</v>
      </c>
    </row>
    <row r="501" spans="1:2" x14ac:dyDescent="0.2">
      <c r="A501" t="s">
        <v>2478</v>
      </c>
    </row>
    <row r="502" spans="1:2" x14ac:dyDescent="0.2">
      <c r="A502" t="s">
        <v>2479</v>
      </c>
      <c r="B502">
        <v>0</v>
      </c>
    </row>
    <row r="503" spans="1:2" x14ac:dyDescent="0.2">
      <c r="A503" t="s">
        <v>1836</v>
      </c>
    </row>
    <row r="504" spans="1:2" x14ac:dyDescent="0.2">
      <c r="A504" t="s">
        <v>1837</v>
      </c>
    </row>
    <row r="505" spans="1:2" x14ac:dyDescent="0.2">
      <c r="A505" t="s">
        <v>1838</v>
      </c>
      <c r="B505">
        <v>0</v>
      </c>
    </row>
    <row r="506" spans="1:2" x14ac:dyDescent="0.2">
      <c r="A506" t="s">
        <v>1839</v>
      </c>
    </row>
    <row r="507" spans="1:2" x14ac:dyDescent="0.2">
      <c r="A507" t="s">
        <v>1840</v>
      </c>
    </row>
    <row r="508" spans="1:2" x14ac:dyDescent="0.2">
      <c r="A508" t="s">
        <v>1232</v>
      </c>
    </row>
    <row r="509" spans="1:2" x14ac:dyDescent="0.2">
      <c r="A509" t="s">
        <v>4184</v>
      </c>
    </row>
    <row r="510" spans="1:2" x14ac:dyDescent="0.2">
      <c r="A510" t="s">
        <v>4185</v>
      </c>
    </row>
    <row r="511" spans="1:2" x14ac:dyDescent="0.2">
      <c r="A511" t="s">
        <v>4186</v>
      </c>
    </row>
    <row r="512" spans="1:2" x14ac:dyDescent="0.2">
      <c r="A512" t="s">
        <v>4187</v>
      </c>
    </row>
    <row r="513" spans="1:2" x14ac:dyDescent="0.2">
      <c r="A513" t="s">
        <v>4188</v>
      </c>
    </row>
    <row r="514" spans="1:2" x14ac:dyDescent="0.2">
      <c r="A514" t="s">
        <v>4189</v>
      </c>
    </row>
    <row r="515" spans="1:2" x14ac:dyDescent="0.2">
      <c r="A515" t="s">
        <v>442</v>
      </c>
    </row>
    <row r="516" spans="1:2" x14ac:dyDescent="0.2">
      <c r="A516" t="s">
        <v>443</v>
      </c>
    </row>
    <row r="517" spans="1:2" x14ac:dyDescent="0.2">
      <c r="A517" t="s">
        <v>444</v>
      </c>
    </row>
    <row r="518" spans="1:2" x14ac:dyDescent="0.2">
      <c r="A518" t="s">
        <v>445</v>
      </c>
    </row>
    <row r="519" spans="1:2" x14ac:dyDescent="0.2">
      <c r="A519" t="s">
        <v>446</v>
      </c>
    </row>
    <row r="520" spans="1:2" x14ac:dyDescent="0.2">
      <c r="A520" t="s">
        <v>447</v>
      </c>
    </row>
    <row r="521" spans="1:2" x14ac:dyDescent="0.2">
      <c r="A521" t="s">
        <v>1379</v>
      </c>
    </row>
    <row r="522" spans="1:2" x14ac:dyDescent="0.2">
      <c r="A522" t="s">
        <v>841</v>
      </c>
      <c r="B522">
        <v>0</v>
      </c>
    </row>
    <row r="523" spans="1:2" x14ac:dyDescent="0.2">
      <c r="A523" t="s">
        <v>842</v>
      </c>
    </row>
    <row r="524" spans="1:2" x14ac:dyDescent="0.2">
      <c r="A524" t="s">
        <v>286</v>
      </c>
    </row>
    <row r="525" spans="1:2" x14ac:dyDescent="0.2">
      <c r="A525" t="s">
        <v>287</v>
      </c>
      <c r="B525">
        <v>0</v>
      </c>
    </row>
    <row r="526" spans="1:2" x14ac:dyDescent="0.2">
      <c r="A526" t="s">
        <v>3180</v>
      </c>
    </row>
    <row r="527" spans="1:2" x14ac:dyDescent="0.2">
      <c r="A527" t="s">
        <v>3181</v>
      </c>
    </row>
    <row r="528" spans="1:2" x14ac:dyDescent="0.2">
      <c r="A528" t="s">
        <v>3182</v>
      </c>
    </row>
    <row r="529" spans="1:2" x14ac:dyDescent="0.2">
      <c r="A529" t="s">
        <v>2909</v>
      </c>
    </row>
    <row r="530" spans="1:2" x14ac:dyDescent="0.2">
      <c r="A530" t="s">
        <v>3100</v>
      </c>
    </row>
    <row r="531" spans="1:2" x14ac:dyDescent="0.2">
      <c r="A531" t="s">
        <v>3101</v>
      </c>
      <c r="B531">
        <v>1500</v>
      </c>
    </row>
    <row r="532" spans="1:2" x14ac:dyDescent="0.2">
      <c r="A532" t="s">
        <v>3102</v>
      </c>
      <c r="B532">
        <v>1500</v>
      </c>
    </row>
    <row r="533" spans="1:2" x14ac:dyDescent="0.2">
      <c r="A533" t="s">
        <v>3103</v>
      </c>
      <c r="B533">
        <v>1500</v>
      </c>
    </row>
    <row r="534" spans="1:2" x14ac:dyDescent="0.2">
      <c r="A534" t="s">
        <v>423</v>
      </c>
      <c r="B534">
        <v>1500</v>
      </c>
    </row>
    <row r="535" spans="1:2" x14ac:dyDescent="0.2">
      <c r="A535" t="s">
        <v>424</v>
      </c>
      <c r="B535">
        <v>1500</v>
      </c>
    </row>
    <row r="536" spans="1:2" x14ac:dyDescent="0.2">
      <c r="A536" t="s">
        <v>681</v>
      </c>
      <c r="B536">
        <v>1500</v>
      </c>
    </row>
    <row r="537" spans="1:2" x14ac:dyDescent="0.2">
      <c r="A537" t="s">
        <v>682</v>
      </c>
      <c r="B537">
        <v>1500</v>
      </c>
    </row>
    <row r="538" spans="1:2" x14ac:dyDescent="0.2">
      <c r="A538" t="s">
        <v>2481</v>
      </c>
      <c r="B538">
        <v>1500</v>
      </c>
    </row>
    <row r="539" spans="1:2" x14ac:dyDescent="0.2">
      <c r="A539" t="s">
        <v>2491</v>
      </c>
      <c r="B539">
        <v>1500</v>
      </c>
    </row>
    <row r="540" spans="1:2" x14ac:dyDescent="0.2">
      <c r="A540" t="s">
        <v>2492</v>
      </c>
      <c r="B540">
        <v>1500</v>
      </c>
    </row>
    <row r="541" spans="1:2" x14ac:dyDescent="0.2">
      <c r="A541" t="s">
        <v>2493</v>
      </c>
      <c r="B541">
        <v>1500</v>
      </c>
    </row>
    <row r="542" spans="1:2" x14ac:dyDescent="0.2">
      <c r="A542" t="s">
        <v>2494</v>
      </c>
      <c r="B542">
        <v>1500</v>
      </c>
    </row>
    <row r="543" spans="1:2" x14ac:dyDescent="0.2">
      <c r="A543" t="s">
        <v>2495</v>
      </c>
      <c r="B543">
        <v>1500</v>
      </c>
    </row>
    <row r="544" spans="1:2" x14ac:dyDescent="0.2">
      <c r="A544" t="s">
        <v>2496</v>
      </c>
      <c r="B544">
        <v>1500</v>
      </c>
    </row>
    <row r="545" spans="1:2" x14ac:dyDescent="0.2">
      <c r="A545" t="s">
        <v>2490</v>
      </c>
      <c r="B545">
        <v>1500</v>
      </c>
    </row>
    <row r="546" spans="1:2" x14ac:dyDescent="0.2">
      <c r="A546" t="s">
        <v>283</v>
      </c>
      <c r="B546">
        <v>1500</v>
      </c>
    </row>
    <row r="547" spans="1:2" x14ac:dyDescent="0.2">
      <c r="A547" t="s">
        <v>284</v>
      </c>
      <c r="B547">
        <v>1500</v>
      </c>
    </row>
    <row r="548" spans="1:2" x14ac:dyDescent="0.2">
      <c r="A548" t="s">
        <v>285</v>
      </c>
      <c r="B548">
        <v>1500</v>
      </c>
    </row>
    <row r="549" spans="1:2" x14ac:dyDescent="0.2">
      <c r="A549" t="s">
        <v>1875</v>
      </c>
      <c r="B549">
        <v>1500</v>
      </c>
    </row>
    <row r="550" spans="1:2" x14ac:dyDescent="0.2">
      <c r="A550" t="s">
        <v>1876</v>
      </c>
      <c r="B550">
        <v>1500</v>
      </c>
    </row>
    <row r="551" spans="1:2" x14ac:dyDescent="0.2">
      <c r="A551" t="s">
        <v>2458</v>
      </c>
      <c r="B551">
        <v>7</v>
      </c>
    </row>
    <row r="552" spans="1:2" x14ac:dyDescent="0.2">
      <c r="A552" t="s">
        <v>2459</v>
      </c>
      <c r="B552">
        <v>1</v>
      </c>
    </row>
    <row r="553" spans="1:2" x14ac:dyDescent="0.2">
      <c r="A553" t="s">
        <v>2460</v>
      </c>
      <c r="B553">
        <v>1</v>
      </c>
    </row>
    <row r="554" spans="1:2" x14ac:dyDescent="0.2">
      <c r="A554" t="s">
        <v>2461</v>
      </c>
      <c r="B554">
        <v>1</v>
      </c>
    </row>
    <row r="555" spans="1:2" x14ac:dyDescent="0.2">
      <c r="A555" t="s">
        <v>3949</v>
      </c>
      <c r="B555">
        <v>1</v>
      </c>
    </row>
    <row r="556" spans="1:2" x14ac:dyDescent="0.2">
      <c r="A556" t="s">
        <v>3950</v>
      </c>
      <c r="B556">
        <v>1</v>
      </c>
    </row>
    <row r="557" spans="1:2" x14ac:dyDescent="0.2">
      <c r="A557" t="s">
        <v>3951</v>
      </c>
      <c r="B557">
        <v>1</v>
      </c>
    </row>
    <row r="558" spans="1:2" x14ac:dyDescent="0.2">
      <c r="A558" t="s">
        <v>3952</v>
      </c>
      <c r="B558">
        <v>1</v>
      </c>
    </row>
    <row r="559" spans="1:2" x14ac:dyDescent="0.2">
      <c r="A559" t="s">
        <v>3953</v>
      </c>
      <c r="B559">
        <v>1</v>
      </c>
    </row>
    <row r="560" spans="1:2" x14ac:dyDescent="0.2">
      <c r="A560" t="s">
        <v>3988</v>
      </c>
      <c r="B560">
        <v>1</v>
      </c>
    </row>
    <row r="561" spans="1:2" x14ac:dyDescent="0.2">
      <c r="A561" t="s">
        <v>3989</v>
      </c>
      <c r="B561">
        <v>1</v>
      </c>
    </row>
    <row r="562" spans="1:2" x14ac:dyDescent="0.2">
      <c r="A562" t="s">
        <v>3990</v>
      </c>
      <c r="B562">
        <v>4</v>
      </c>
    </row>
    <row r="563" spans="1:2" x14ac:dyDescent="0.2">
      <c r="A563" t="s">
        <v>3991</v>
      </c>
      <c r="B563">
        <v>1</v>
      </c>
    </row>
    <row r="564" spans="1:2" x14ac:dyDescent="0.2">
      <c r="A564" t="s">
        <v>3992</v>
      </c>
      <c r="B564">
        <v>4</v>
      </c>
    </row>
    <row r="565" spans="1:2" x14ac:dyDescent="0.2">
      <c r="A565" t="s">
        <v>3993</v>
      </c>
      <c r="B565">
        <v>1</v>
      </c>
    </row>
    <row r="566" spans="1:2" x14ac:dyDescent="0.2">
      <c r="A566" t="s">
        <v>3994</v>
      </c>
      <c r="B566">
        <v>1</v>
      </c>
    </row>
    <row r="567" spans="1:2" x14ac:dyDescent="0.2">
      <c r="A567" t="s">
        <v>3351</v>
      </c>
      <c r="B567">
        <v>1</v>
      </c>
    </row>
    <row r="568" spans="1:2" x14ac:dyDescent="0.2">
      <c r="A568" t="s">
        <v>3664</v>
      </c>
      <c r="B568">
        <v>1</v>
      </c>
    </row>
    <row r="569" spans="1:2" x14ac:dyDescent="0.2">
      <c r="A569" t="s">
        <v>3665</v>
      </c>
      <c r="B569">
        <v>1</v>
      </c>
    </row>
    <row r="570" spans="1:2" x14ac:dyDescent="0.2">
      <c r="A570" t="s">
        <v>3666</v>
      </c>
      <c r="B570">
        <v>1</v>
      </c>
    </row>
    <row r="571" spans="1:2" x14ac:dyDescent="0.2">
      <c r="A571" t="s">
        <v>3667</v>
      </c>
      <c r="B571" t="s">
        <v>1111</v>
      </c>
    </row>
    <row r="572" spans="1:2" x14ac:dyDescent="0.2">
      <c r="A572" t="s">
        <v>3668</v>
      </c>
    </row>
    <row r="573" spans="1:2" x14ac:dyDescent="0.2">
      <c r="A573" t="s">
        <v>1987</v>
      </c>
    </row>
    <row r="574" spans="1:2" x14ac:dyDescent="0.2">
      <c r="A574" t="s">
        <v>2483</v>
      </c>
    </row>
    <row r="575" spans="1:2" x14ac:dyDescent="0.2">
      <c r="A575" t="s">
        <v>2484</v>
      </c>
    </row>
    <row r="576" spans="1:2" x14ac:dyDescent="0.2">
      <c r="A576" t="s">
        <v>2485</v>
      </c>
    </row>
    <row r="577" spans="1:2" x14ac:dyDescent="0.2">
      <c r="A577" t="s">
        <v>2486</v>
      </c>
    </row>
    <row r="578" spans="1:2" x14ac:dyDescent="0.2">
      <c r="A578" t="s">
        <v>2487</v>
      </c>
    </row>
    <row r="579" spans="1:2" x14ac:dyDescent="0.2">
      <c r="A579" t="s">
        <v>2488</v>
      </c>
    </row>
    <row r="580" spans="1:2" x14ac:dyDescent="0.2">
      <c r="A580" t="s">
        <v>3544</v>
      </c>
    </row>
    <row r="581" spans="1:2" x14ac:dyDescent="0.2">
      <c r="A581" t="s">
        <v>3469</v>
      </c>
    </row>
    <row r="582" spans="1:2" x14ac:dyDescent="0.2">
      <c r="A582" t="s">
        <v>3470</v>
      </c>
      <c r="B582" t="s">
        <v>2141</v>
      </c>
    </row>
    <row r="583" spans="1:2" x14ac:dyDescent="0.2">
      <c r="A583" t="s">
        <v>3471</v>
      </c>
    </row>
    <row r="584" spans="1:2" x14ac:dyDescent="0.2">
      <c r="A584" t="s">
        <v>3472</v>
      </c>
      <c r="B584" t="s">
        <v>1111</v>
      </c>
    </row>
    <row r="585" spans="1:2" x14ac:dyDescent="0.2">
      <c r="A585" t="s">
        <v>3883</v>
      </c>
    </row>
    <row r="586" spans="1:2" x14ac:dyDescent="0.2">
      <c r="A586" t="s">
        <v>4078</v>
      </c>
    </row>
    <row r="587" spans="1:2" x14ac:dyDescent="0.2">
      <c r="A587" t="s">
        <v>4079</v>
      </c>
    </row>
    <row r="588" spans="1:2" x14ac:dyDescent="0.2">
      <c r="A588" t="s">
        <v>4080</v>
      </c>
    </row>
    <row r="589" spans="1:2" x14ac:dyDescent="0.2">
      <c r="A589" t="s">
        <v>4081</v>
      </c>
    </row>
    <row r="590" spans="1:2" x14ac:dyDescent="0.2">
      <c r="A590" t="s">
        <v>1218</v>
      </c>
    </row>
    <row r="591" spans="1:2" x14ac:dyDescent="0.2">
      <c r="A591" t="s">
        <v>1777</v>
      </c>
      <c r="B591" t="b">
        <v>0</v>
      </c>
    </row>
    <row r="592" spans="1:2" x14ac:dyDescent="0.2">
      <c r="A592" t="s">
        <v>1778</v>
      </c>
    </row>
    <row r="593" spans="1:2" x14ac:dyDescent="0.2">
      <c r="A593" t="s">
        <v>2688</v>
      </c>
      <c r="B593">
        <v>6</v>
      </c>
    </row>
    <row r="594" spans="1:2" x14ac:dyDescent="0.2">
      <c r="A594" t="s">
        <v>1779</v>
      </c>
      <c r="B594" t="b">
        <v>0</v>
      </c>
    </row>
    <row r="595" spans="1:2" x14ac:dyDescent="0.2">
      <c r="A595" t="s">
        <v>214</v>
      </c>
    </row>
    <row r="596" spans="1:2" x14ac:dyDescent="0.2">
      <c r="A596" t="s">
        <v>3905</v>
      </c>
      <c r="B596">
        <v>20</v>
      </c>
    </row>
    <row r="597" spans="1:2" x14ac:dyDescent="0.2">
      <c r="A597" t="s">
        <v>215</v>
      </c>
    </row>
    <row r="598" spans="1:2" x14ac:dyDescent="0.2">
      <c r="A598" t="s">
        <v>4238</v>
      </c>
    </row>
    <row r="599" spans="1:2" x14ac:dyDescent="0.2">
      <c r="A599" t="s">
        <v>1250</v>
      </c>
    </row>
    <row r="600" spans="1:2" x14ac:dyDescent="0.2">
      <c r="A600" t="s">
        <v>1251</v>
      </c>
    </row>
    <row r="601" spans="1:2" x14ac:dyDescent="0.2">
      <c r="A601" t="s">
        <v>2972</v>
      </c>
    </row>
    <row r="602" spans="1:2" x14ac:dyDescent="0.2">
      <c r="A602" t="s">
        <v>2973</v>
      </c>
    </row>
    <row r="603" spans="1:2" x14ac:dyDescent="0.2">
      <c r="A603" t="s">
        <v>2974</v>
      </c>
    </row>
    <row r="604" spans="1:2" x14ac:dyDescent="0.2">
      <c r="A604" t="s">
        <v>1666</v>
      </c>
    </row>
    <row r="605" spans="1:2" x14ac:dyDescent="0.2">
      <c r="A605" t="s">
        <v>1667</v>
      </c>
    </row>
    <row r="606" spans="1:2" x14ac:dyDescent="0.2">
      <c r="A606" t="s">
        <v>1668</v>
      </c>
    </row>
    <row r="607" spans="1:2" x14ac:dyDescent="0.2">
      <c r="A607" t="s">
        <v>1669</v>
      </c>
    </row>
    <row r="608" spans="1:2" x14ac:dyDescent="0.2">
      <c r="A608" t="s">
        <v>1670</v>
      </c>
    </row>
    <row r="609" spans="1:1" x14ac:dyDescent="0.2">
      <c r="A609" t="s">
        <v>2183</v>
      </c>
    </row>
    <row r="610" spans="1:1" x14ac:dyDescent="0.2">
      <c r="A610" t="s">
        <v>1787</v>
      </c>
    </row>
    <row r="611" spans="1:1" x14ac:dyDescent="0.2">
      <c r="A611" t="s">
        <v>1788</v>
      </c>
    </row>
    <row r="612" spans="1:1" x14ac:dyDescent="0.2">
      <c r="A612" t="s">
        <v>1789</v>
      </c>
    </row>
    <row r="613" spans="1:1" x14ac:dyDescent="0.2">
      <c r="A613" t="s">
        <v>1713</v>
      </c>
    </row>
    <row r="614" spans="1:1" x14ac:dyDescent="0.2">
      <c r="A614" t="s">
        <v>1714</v>
      </c>
    </row>
    <row r="615" spans="1:1" x14ac:dyDescent="0.2">
      <c r="A615" t="s">
        <v>3317</v>
      </c>
    </row>
    <row r="616" spans="1:1" x14ac:dyDescent="0.2">
      <c r="A616" t="s">
        <v>3318</v>
      </c>
    </row>
    <row r="617" spans="1:1" x14ac:dyDescent="0.2">
      <c r="A617" t="s">
        <v>2959</v>
      </c>
    </row>
    <row r="618" spans="1:1" x14ac:dyDescent="0.2">
      <c r="A618" t="s">
        <v>2960</v>
      </c>
    </row>
    <row r="619" spans="1:1" x14ac:dyDescent="0.2">
      <c r="A619" t="s">
        <v>2961</v>
      </c>
    </row>
    <row r="620" spans="1:1" x14ac:dyDescent="0.2">
      <c r="A620" t="s">
        <v>1303</v>
      </c>
    </row>
    <row r="621" spans="1:1" x14ac:dyDescent="0.2">
      <c r="A621" t="s">
        <v>1304</v>
      </c>
    </row>
    <row r="622" spans="1:1" x14ac:dyDescent="0.2">
      <c r="A622" t="s">
        <v>1305</v>
      </c>
    </row>
    <row r="623" spans="1:1" x14ac:dyDescent="0.2">
      <c r="A623" t="s">
        <v>1306</v>
      </c>
    </row>
    <row r="624" spans="1:1" x14ac:dyDescent="0.2">
      <c r="A624" t="s">
        <v>1307</v>
      </c>
    </row>
    <row r="625" spans="1:2" x14ac:dyDescent="0.2">
      <c r="A625" t="s">
        <v>1852</v>
      </c>
    </row>
    <row r="626" spans="1:2" x14ac:dyDescent="0.2">
      <c r="A626" t="s">
        <v>1847</v>
      </c>
    </row>
    <row r="627" spans="1:2" x14ac:dyDescent="0.2">
      <c r="A627" t="s">
        <v>1848</v>
      </c>
    </row>
    <row r="628" spans="1:2" x14ac:dyDescent="0.2">
      <c r="A628" t="s">
        <v>1849</v>
      </c>
    </row>
    <row r="629" spans="1:2" x14ac:dyDescent="0.2">
      <c r="A629" t="s">
        <v>1850</v>
      </c>
    </row>
    <row r="630" spans="1:2" x14ac:dyDescent="0.2">
      <c r="A630" t="s">
        <v>1851</v>
      </c>
    </row>
    <row r="631" spans="1:2" x14ac:dyDescent="0.2">
      <c r="A631" t="s">
        <v>2993</v>
      </c>
    </row>
    <row r="632" spans="1:2" x14ac:dyDescent="0.2">
      <c r="A632" t="s">
        <v>3530</v>
      </c>
    </row>
    <row r="633" spans="1:2" x14ac:dyDescent="0.2">
      <c r="A633" t="s">
        <v>2173</v>
      </c>
      <c r="B633">
        <v>41827</v>
      </c>
    </row>
    <row r="634" spans="1:2" x14ac:dyDescent="0.2">
      <c r="A634" t="s">
        <v>1036</v>
      </c>
      <c r="B634">
        <v>1</v>
      </c>
    </row>
    <row r="635" spans="1:2" x14ac:dyDescent="0.2">
      <c r="A635" t="s">
        <v>3409</v>
      </c>
      <c r="B635">
        <v>1</v>
      </c>
    </row>
    <row r="636" spans="1:2" x14ac:dyDescent="0.2">
      <c r="A636" t="s">
        <v>3411</v>
      </c>
      <c r="B636">
        <v>1</v>
      </c>
    </row>
    <row r="637" spans="1:2" x14ac:dyDescent="0.2">
      <c r="A637" t="s">
        <v>3413</v>
      </c>
      <c r="B637">
        <v>1</v>
      </c>
    </row>
    <row r="638" spans="1:2" x14ac:dyDescent="0.2">
      <c r="A638" t="s">
        <v>3415</v>
      </c>
      <c r="B638">
        <v>1</v>
      </c>
    </row>
    <row r="639" spans="1:2" x14ac:dyDescent="0.2">
      <c r="A639" t="s">
        <v>3417</v>
      </c>
      <c r="B639">
        <v>1</v>
      </c>
    </row>
    <row r="640" spans="1:2" x14ac:dyDescent="0.2">
      <c r="A640" t="s">
        <v>3809</v>
      </c>
      <c r="B640">
        <v>123456</v>
      </c>
    </row>
    <row r="641" spans="1:2" x14ac:dyDescent="0.2">
      <c r="A641" t="s">
        <v>3063</v>
      </c>
    </row>
    <row r="642" spans="1:2" x14ac:dyDescent="0.2">
      <c r="A642" t="s">
        <v>2332</v>
      </c>
      <c r="B642">
        <v>5</v>
      </c>
    </row>
    <row r="643" spans="1:2" x14ac:dyDescent="0.2">
      <c r="A643" t="s">
        <v>2544</v>
      </c>
    </row>
    <row r="644" spans="1:2" x14ac:dyDescent="0.2">
      <c r="A644" t="s">
        <v>671</v>
      </c>
    </row>
    <row r="645" spans="1:2" x14ac:dyDescent="0.2">
      <c r="A645" t="s">
        <v>674</v>
      </c>
    </row>
    <row r="646" spans="1:2" x14ac:dyDescent="0.2">
      <c r="A646" t="s">
        <v>673</v>
      </c>
    </row>
    <row r="647" spans="1:2" x14ac:dyDescent="0.2">
      <c r="A647" t="s">
        <v>670</v>
      </c>
    </row>
    <row r="648" spans="1:2" x14ac:dyDescent="0.2">
      <c r="A648" t="s">
        <v>669</v>
      </c>
    </row>
    <row r="649" spans="1:2" x14ac:dyDescent="0.2">
      <c r="A649" t="s">
        <v>672</v>
      </c>
    </row>
    <row r="650" spans="1:2" x14ac:dyDescent="0.2">
      <c r="A650" t="s">
        <v>675</v>
      </c>
    </row>
    <row r="651" spans="1:2" x14ac:dyDescent="0.2">
      <c r="A651" t="s">
        <v>3005</v>
      </c>
    </row>
    <row r="652" spans="1:2" x14ac:dyDescent="0.2">
      <c r="A652" t="s">
        <v>3654</v>
      </c>
    </row>
    <row r="653" spans="1:2" x14ac:dyDescent="0.2">
      <c r="A653" t="s">
        <v>2555</v>
      </c>
      <c r="B653">
        <v>168</v>
      </c>
    </row>
    <row r="654" spans="1:2" x14ac:dyDescent="0.2">
      <c r="A654" t="s">
        <v>2557</v>
      </c>
    </row>
    <row r="655" spans="1:2" x14ac:dyDescent="0.2">
      <c r="A655" t="s">
        <v>2559</v>
      </c>
    </row>
    <row r="656" spans="1:2" x14ac:dyDescent="0.2">
      <c r="A656" t="s">
        <v>2561</v>
      </c>
    </row>
    <row r="657" spans="1:2" x14ac:dyDescent="0.2">
      <c r="A657" t="s">
        <v>4133</v>
      </c>
    </row>
    <row r="658" spans="1:2" x14ac:dyDescent="0.2">
      <c r="A658" t="s">
        <v>4135</v>
      </c>
    </row>
    <row r="659" spans="1:2" x14ac:dyDescent="0.2">
      <c r="A659" t="s">
        <v>4137</v>
      </c>
    </row>
    <row r="660" spans="1:2" x14ac:dyDescent="0.2">
      <c r="A660" t="s">
        <v>4139</v>
      </c>
    </row>
    <row r="661" spans="1:2" x14ac:dyDescent="0.2">
      <c r="A661" t="s">
        <v>2341</v>
      </c>
    </row>
    <row r="662" spans="1:2" x14ac:dyDescent="0.2">
      <c r="A662" t="s">
        <v>3885</v>
      </c>
    </row>
    <row r="663" spans="1:2" x14ac:dyDescent="0.2">
      <c r="A663" t="s">
        <v>3887</v>
      </c>
    </row>
    <row r="664" spans="1:2" x14ac:dyDescent="0.2">
      <c r="A664" t="s">
        <v>3889</v>
      </c>
      <c r="B664">
        <v>441</v>
      </c>
    </row>
    <row r="665" spans="1:2" x14ac:dyDescent="0.2">
      <c r="A665" t="s">
        <v>2281</v>
      </c>
    </row>
    <row r="666" spans="1:2" x14ac:dyDescent="0.2">
      <c r="A666" t="s">
        <v>2283</v>
      </c>
      <c r="B666">
        <v>920</v>
      </c>
    </row>
    <row r="667" spans="1:2" x14ac:dyDescent="0.2">
      <c r="A667" t="s">
        <v>2285</v>
      </c>
      <c r="B667">
        <v>0</v>
      </c>
    </row>
    <row r="668" spans="1:2" x14ac:dyDescent="0.2">
      <c r="A668" t="s">
        <v>2287</v>
      </c>
    </row>
    <row r="669" spans="1:2" x14ac:dyDescent="0.2">
      <c r="A669" t="s">
        <v>2289</v>
      </c>
    </row>
    <row r="670" spans="1:2" x14ac:dyDescent="0.2">
      <c r="A670" t="s">
        <v>2291</v>
      </c>
    </row>
    <row r="671" spans="1:2" x14ac:dyDescent="0.2">
      <c r="A671" t="s">
        <v>2293</v>
      </c>
    </row>
    <row r="672" spans="1:2" x14ac:dyDescent="0.2">
      <c r="A672" t="s">
        <v>2295</v>
      </c>
    </row>
    <row r="673" spans="1:2" x14ac:dyDescent="0.2">
      <c r="A673" t="s">
        <v>2334</v>
      </c>
      <c r="B673">
        <v>5</v>
      </c>
    </row>
    <row r="674" spans="1:2" x14ac:dyDescent="0.2">
      <c r="A674" t="s">
        <v>2117</v>
      </c>
      <c r="B674" t="b">
        <v>0</v>
      </c>
    </row>
    <row r="675" spans="1:2" x14ac:dyDescent="0.2">
      <c r="A675" t="s">
        <v>3906</v>
      </c>
      <c r="B675">
        <v>1</v>
      </c>
    </row>
    <row r="676" spans="1:2" x14ac:dyDescent="0.2">
      <c r="A676" t="s">
        <v>2138</v>
      </c>
      <c r="B676">
        <v>2</v>
      </c>
    </row>
    <row r="677" spans="1:2" x14ac:dyDescent="0.2">
      <c r="A677" t="s">
        <v>3088</v>
      </c>
    </row>
    <row r="678" spans="1:2" x14ac:dyDescent="0.2">
      <c r="A678" t="s">
        <v>3089</v>
      </c>
    </row>
    <row r="679" spans="1:2" x14ac:dyDescent="0.2">
      <c r="A679" t="s">
        <v>3090</v>
      </c>
    </row>
    <row r="680" spans="1:2" x14ac:dyDescent="0.2">
      <c r="A680" t="s">
        <v>3091</v>
      </c>
    </row>
    <row r="681" spans="1:2" x14ac:dyDescent="0.2">
      <c r="A681" t="s">
        <v>3092</v>
      </c>
    </row>
    <row r="682" spans="1:2" x14ac:dyDescent="0.2">
      <c r="A682" t="s">
        <v>3093</v>
      </c>
    </row>
    <row r="683" spans="1:2" x14ac:dyDescent="0.2">
      <c r="A683" t="s">
        <v>1966</v>
      </c>
    </row>
    <row r="684" spans="1:2" x14ac:dyDescent="0.2">
      <c r="A684" t="s">
        <v>3973</v>
      </c>
    </row>
    <row r="685" spans="1:2" x14ac:dyDescent="0.2">
      <c r="A685" t="s">
        <v>3974</v>
      </c>
    </row>
    <row r="686" spans="1:2" x14ac:dyDescent="0.2">
      <c r="A686" t="s">
        <v>3043</v>
      </c>
      <c r="B686">
        <v>0</v>
      </c>
    </row>
    <row r="687" spans="1:2" x14ac:dyDescent="0.2">
      <c r="A687" t="s">
        <v>2885</v>
      </c>
      <c r="B687">
        <v>11</v>
      </c>
    </row>
    <row r="688" spans="1:2" x14ac:dyDescent="0.2">
      <c r="A688" t="s">
        <v>4128</v>
      </c>
      <c r="B688">
        <v>1</v>
      </c>
    </row>
    <row r="689" spans="1:2" x14ac:dyDescent="0.2">
      <c r="A689" t="s">
        <v>3907</v>
      </c>
      <c r="B689">
        <v>73</v>
      </c>
    </row>
    <row r="690" spans="1:2" x14ac:dyDescent="0.2">
      <c r="A690" t="s">
        <v>1737</v>
      </c>
      <c r="B690">
        <v>50</v>
      </c>
    </row>
    <row r="691" spans="1:2" x14ac:dyDescent="0.2">
      <c r="A691" t="s">
        <v>1738</v>
      </c>
    </row>
    <row r="692" spans="1:2" x14ac:dyDescent="0.2">
      <c r="A692" t="s">
        <v>1739</v>
      </c>
    </row>
    <row r="693" spans="1:2" x14ac:dyDescent="0.2">
      <c r="A693" t="s">
        <v>1740</v>
      </c>
    </row>
    <row r="694" spans="1:2" x14ac:dyDescent="0.2">
      <c r="A694" t="s">
        <v>1741</v>
      </c>
    </row>
    <row r="695" spans="1:2" x14ac:dyDescent="0.2">
      <c r="A695" t="s">
        <v>1742</v>
      </c>
    </row>
    <row r="696" spans="1:2" x14ac:dyDescent="0.2">
      <c r="A696" t="s">
        <v>1743</v>
      </c>
    </row>
    <row r="697" spans="1:2" x14ac:dyDescent="0.2">
      <c r="A697" t="s">
        <v>1744</v>
      </c>
    </row>
    <row r="698" spans="1:2" x14ac:dyDescent="0.2">
      <c r="A698" t="s">
        <v>1745</v>
      </c>
    </row>
    <row r="699" spans="1:2" x14ac:dyDescent="0.2">
      <c r="A699" t="s">
        <v>162</v>
      </c>
    </row>
    <row r="700" spans="1:2" x14ac:dyDescent="0.2">
      <c r="A700" t="s">
        <v>163</v>
      </c>
    </row>
    <row r="701" spans="1:2" x14ac:dyDescent="0.2">
      <c r="A701" t="s">
        <v>164</v>
      </c>
      <c r="B701">
        <v>40</v>
      </c>
    </row>
    <row r="702" spans="1:2" x14ac:dyDescent="0.2">
      <c r="A702" t="s">
        <v>165</v>
      </c>
    </row>
    <row r="703" spans="1:2" x14ac:dyDescent="0.2">
      <c r="A703" t="s">
        <v>166</v>
      </c>
      <c r="B703">
        <v>10</v>
      </c>
    </row>
    <row r="704" spans="1:2" x14ac:dyDescent="0.2">
      <c r="A704" t="s">
        <v>167</v>
      </c>
    </row>
    <row r="705" spans="1:2" x14ac:dyDescent="0.2">
      <c r="A705" t="s">
        <v>168</v>
      </c>
    </row>
    <row r="706" spans="1:2" x14ac:dyDescent="0.2">
      <c r="A706" t="s">
        <v>169</v>
      </c>
    </row>
    <row r="707" spans="1:2" x14ac:dyDescent="0.2">
      <c r="A707" t="s">
        <v>170</v>
      </c>
    </row>
    <row r="708" spans="1:2" x14ac:dyDescent="0.2">
      <c r="A708" t="s">
        <v>171</v>
      </c>
    </row>
    <row r="709" spans="1:2" x14ac:dyDescent="0.2">
      <c r="A709" t="s">
        <v>172</v>
      </c>
    </row>
    <row r="710" spans="1:2" x14ac:dyDescent="0.2">
      <c r="A710" t="s">
        <v>4239</v>
      </c>
      <c r="B710">
        <v>1500</v>
      </c>
    </row>
    <row r="711" spans="1:2" x14ac:dyDescent="0.2">
      <c r="A711" t="s">
        <v>4240</v>
      </c>
      <c r="B711">
        <v>1500</v>
      </c>
    </row>
    <row r="712" spans="1:2" x14ac:dyDescent="0.2">
      <c r="A712" t="s">
        <v>4241</v>
      </c>
      <c r="B712">
        <v>1500</v>
      </c>
    </row>
    <row r="713" spans="1:2" x14ac:dyDescent="0.2">
      <c r="A713" t="s">
        <v>4242</v>
      </c>
      <c r="B713">
        <v>1500</v>
      </c>
    </row>
    <row r="714" spans="1:2" x14ac:dyDescent="0.2">
      <c r="A714" t="s">
        <v>59</v>
      </c>
      <c r="B714">
        <v>1500</v>
      </c>
    </row>
    <row r="715" spans="1:2" x14ac:dyDescent="0.2">
      <c r="A715" t="s">
        <v>60</v>
      </c>
      <c r="B715">
        <v>1500</v>
      </c>
    </row>
    <row r="716" spans="1:2" x14ac:dyDescent="0.2">
      <c r="A716" t="s">
        <v>61</v>
      </c>
      <c r="B716">
        <v>1500</v>
      </c>
    </row>
    <row r="717" spans="1:2" x14ac:dyDescent="0.2">
      <c r="A717" t="s">
        <v>62</v>
      </c>
      <c r="B717">
        <v>1500</v>
      </c>
    </row>
    <row r="718" spans="1:2" x14ac:dyDescent="0.2">
      <c r="A718" t="s">
        <v>63</v>
      </c>
      <c r="B718">
        <v>1500</v>
      </c>
    </row>
    <row r="719" spans="1:2" x14ac:dyDescent="0.2">
      <c r="A719" t="s">
        <v>1911</v>
      </c>
      <c r="B719">
        <v>1500</v>
      </c>
    </row>
    <row r="720" spans="1:2" x14ac:dyDescent="0.2">
      <c r="A720" t="s">
        <v>1912</v>
      </c>
      <c r="B720">
        <v>1500</v>
      </c>
    </row>
    <row r="721" spans="1:2" x14ac:dyDescent="0.2">
      <c r="A721" t="s">
        <v>1913</v>
      </c>
      <c r="B721">
        <v>1500</v>
      </c>
    </row>
    <row r="722" spans="1:2" x14ac:dyDescent="0.2">
      <c r="A722" t="s">
        <v>189</v>
      </c>
      <c r="B722">
        <v>1500</v>
      </c>
    </row>
    <row r="723" spans="1:2" x14ac:dyDescent="0.2">
      <c r="A723" t="s">
        <v>190</v>
      </c>
      <c r="B723">
        <v>1500</v>
      </c>
    </row>
    <row r="724" spans="1:2" x14ac:dyDescent="0.2">
      <c r="A724" t="s">
        <v>191</v>
      </c>
      <c r="B724">
        <v>1500</v>
      </c>
    </row>
    <row r="725" spans="1:2" x14ac:dyDescent="0.2">
      <c r="A725" t="s">
        <v>192</v>
      </c>
      <c r="B725">
        <v>1500</v>
      </c>
    </row>
    <row r="726" spans="1:2" x14ac:dyDescent="0.2">
      <c r="A726" t="s">
        <v>2666</v>
      </c>
      <c r="B726">
        <v>1500</v>
      </c>
    </row>
    <row r="727" spans="1:2" x14ac:dyDescent="0.2">
      <c r="A727" t="s">
        <v>2667</v>
      </c>
      <c r="B727">
        <v>1500</v>
      </c>
    </row>
    <row r="728" spans="1:2" x14ac:dyDescent="0.2">
      <c r="A728" t="s">
        <v>2668</v>
      </c>
      <c r="B728">
        <v>1500</v>
      </c>
    </row>
    <row r="729" spans="1:2" x14ac:dyDescent="0.2">
      <c r="A729" t="s">
        <v>2669</v>
      </c>
      <c r="B729">
        <v>1500</v>
      </c>
    </row>
    <row r="730" spans="1:2" x14ac:dyDescent="0.2">
      <c r="A730" t="s">
        <v>3647</v>
      </c>
    </row>
    <row r="731" spans="1:2" x14ac:dyDescent="0.2">
      <c r="A731" t="s">
        <v>3653</v>
      </c>
      <c r="B731">
        <v>40</v>
      </c>
    </row>
    <row r="732" spans="1:2" x14ac:dyDescent="0.2">
      <c r="A732" t="s">
        <v>3652</v>
      </c>
      <c r="B732">
        <v>80</v>
      </c>
    </row>
    <row r="733" spans="1:2" x14ac:dyDescent="0.2">
      <c r="A733" t="s">
        <v>3641</v>
      </c>
    </row>
    <row r="734" spans="1:2" x14ac:dyDescent="0.2">
      <c r="A734" t="s">
        <v>3639</v>
      </c>
    </row>
    <row r="735" spans="1:2" x14ac:dyDescent="0.2">
      <c r="A735" t="s">
        <v>3646</v>
      </c>
    </row>
    <row r="736" spans="1:2" x14ac:dyDescent="0.2">
      <c r="A736" t="s">
        <v>3621</v>
      </c>
      <c r="B736">
        <v>1</v>
      </c>
    </row>
    <row r="737" spans="1:2" x14ac:dyDescent="0.2">
      <c r="A737" t="s">
        <v>2333</v>
      </c>
      <c r="B737">
        <v>0</v>
      </c>
    </row>
    <row r="738" spans="1:2" x14ac:dyDescent="0.2">
      <c r="A738" t="s">
        <v>2230</v>
      </c>
      <c r="B738">
        <v>1</v>
      </c>
    </row>
    <row r="739" spans="1:2" x14ac:dyDescent="0.2">
      <c r="A739" t="s">
        <v>3908</v>
      </c>
    </row>
    <row r="740" spans="1:2" x14ac:dyDescent="0.2">
      <c r="A740" t="s">
        <v>2335</v>
      </c>
      <c r="B740">
        <v>17</v>
      </c>
    </row>
    <row r="741" spans="1:2" x14ac:dyDescent="0.2">
      <c r="A741" t="s">
        <v>3648</v>
      </c>
      <c r="B741">
        <v>18</v>
      </c>
    </row>
    <row r="742" spans="1:2" x14ac:dyDescent="0.2">
      <c r="A742" t="s">
        <v>2177</v>
      </c>
      <c r="B742">
        <v>60</v>
      </c>
    </row>
    <row r="743" spans="1:2" x14ac:dyDescent="0.2">
      <c r="A743" t="s">
        <v>3909</v>
      </c>
      <c r="B743" t="b">
        <v>0</v>
      </c>
    </row>
    <row r="744" spans="1:2" x14ac:dyDescent="0.2">
      <c r="A744" t="s">
        <v>3910</v>
      </c>
      <c r="B744">
        <v>1</v>
      </c>
    </row>
    <row r="745" spans="1:2" x14ac:dyDescent="0.2">
      <c r="A745" t="s">
        <v>1610</v>
      </c>
      <c r="B745">
        <v>50</v>
      </c>
    </row>
    <row r="746" spans="1:2" x14ac:dyDescent="0.2">
      <c r="A746" t="s">
        <v>3423</v>
      </c>
    </row>
    <row r="747" spans="1:2" x14ac:dyDescent="0.2">
      <c r="A747" t="s">
        <v>3424</v>
      </c>
    </row>
    <row r="748" spans="1:2" x14ac:dyDescent="0.2">
      <c r="A748" t="s">
        <v>2185</v>
      </c>
    </row>
    <row r="749" spans="1:2" x14ac:dyDescent="0.2">
      <c r="A749" t="s">
        <v>2175</v>
      </c>
      <c r="B749" t="s">
        <v>5128</v>
      </c>
    </row>
    <row r="750" spans="1:2" x14ac:dyDescent="0.2">
      <c r="A750" t="s">
        <v>2967</v>
      </c>
      <c r="B750" t="b">
        <v>0</v>
      </c>
    </row>
    <row r="751" spans="1:2" x14ac:dyDescent="0.2">
      <c r="A751" t="s">
        <v>4236</v>
      </c>
      <c r="B751">
        <v>1</v>
      </c>
    </row>
    <row r="752" spans="1:2" x14ac:dyDescent="0.2">
      <c r="A752" t="s">
        <v>4965</v>
      </c>
      <c r="B752" t="b">
        <v>0</v>
      </c>
    </row>
    <row r="753" spans="1:2" x14ac:dyDescent="0.2">
      <c r="A753" t="s">
        <v>4966</v>
      </c>
      <c r="B753">
        <v>30</v>
      </c>
    </row>
    <row r="754" spans="1:2" x14ac:dyDescent="0.2">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75" x14ac:dyDescent="0.2"/>
  <cols>
    <col min="1" max="1" width="27.42578125" customWidth="1"/>
    <col min="2" max="2" width="28.5703125" customWidth="1"/>
    <col min="3" max="3" width="20.28515625" style="78" customWidth="1"/>
    <col min="7" max="7" width="18.5703125" customWidth="1"/>
  </cols>
  <sheetData>
    <row r="1" spans="1:20" x14ac:dyDescent="0.2">
      <c r="A1" t="s">
        <v>1818</v>
      </c>
      <c r="B1" t="s">
        <v>1819</v>
      </c>
      <c r="C1" s="78" t="s">
        <v>2441</v>
      </c>
      <c r="T1">
        <v>0</v>
      </c>
    </row>
    <row r="2" spans="1:20" x14ac:dyDescent="0.2">
      <c r="A2" s="25" t="s">
        <v>2174</v>
      </c>
      <c r="B2" s="78" t="s">
        <v>2674</v>
      </c>
      <c r="C2" s="78" t="s">
        <v>2674</v>
      </c>
    </row>
    <row r="3" spans="1:20" x14ac:dyDescent="0.2">
      <c r="A3" s="25" t="s">
        <v>173</v>
      </c>
      <c r="B3" s="78">
        <v>10</v>
      </c>
      <c r="C3" s="78">
        <v>10</v>
      </c>
      <c r="D3">
        <v>10</v>
      </c>
    </row>
    <row r="4" spans="1:20" x14ac:dyDescent="0.2">
      <c r="A4" s="25" t="s">
        <v>174</v>
      </c>
      <c r="B4" s="78">
        <v>20</v>
      </c>
      <c r="C4" s="78">
        <v>20</v>
      </c>
      <c r="D4">
        <v>10</v>
      </c>
    </row>
    <row r="5" spans="1:20" x14ac:dyDescent="0.2">
      <c r="A5" t="s">
        <v>175</v>
      </c>
      <c r="B5">
        <v>5000</v>
      </c>
      <c r="C5">
        <v>5000</v>
      </c>
      <c r="D5">
        <v>1000</v>
      </c>
    </row>
    <row r="6" spans="1:20" x14ac:dyDescent="0.2">
      <c r="A6" s="25" t="s">
        <v>1196</v>
      </c>
      <c r="B6" s="78">
        <v>2</v>
      </c>
      <c r="C6" s="78">
        <v>2</v>
      </c>
      <c r="D6">
        <v>2</v>
      </c>
    </row>
    <row r="7" spans="1:20" x14ac:dyDescent="0.2">
      <c r="A7" s="25" t="s">
        <v>1197</v>
      </c>
      <c r="B7" s="78">
        <v>10</v>
      </c>
      <c r="C7" s="78">
        <v>10</v>
      </c>
      <c r="D7">
        <v>5</v>
      </c>
    </row>
    <row r="8" spans="1:20" x14ac:dyDescent="0.2">
      <c r="A8" s="25" t="s">
        <v>1198</v>
      </c>
      <c r="B8" s="78">
        <v>5</v>
      </c>
      <c r="C8" s="78">
        <v>5</v>
      </c>
      <c r="D8">
        <v>50</v>
      </c>
    </row>
    <row r="9" spans="1:20" x14ac:dyDescent="0.2">
      <c r="A9" s="25" t="s">
        <v>3819</v>
      </c>
      <c r="B9" s="78">
        <v>10</v>
      </c>
      <c r="C9" s="78">
        <v>10</v>
      </c>
      <c r="D9">
        <v>1</v>
      </c>
    </row>
    <row r="10" spans="1:20" x14ac:dyDescent="0.2">
      <c r="A10" s="25" t="s">
        <v>4642</v>
      </c>
      <c r="B10" s="78">
        <v>10</v>
      </c>
      <c r="C10" s="78">
        <v>10</v>
      </c>
      <c r="D10">
        <v>1</v>
      </c>
    </row>
    <row r="11" spans="1:20" x14ac:dyDescent="0.2">
      <c r="A11" t="s">
        <v>4635</v>
      </c>
      <c r="C11"/>
    </row>
    <row r="12" spans="1:20" x14ac:dyDescent="0.2">
      <c r="A12" t="s">
        <v>4636</v>
      </c>
      <c r="B12">
        <v>5</v>
      </c>
      <c r="C12">
        <v>5</v>
      </c>
      <c r="D12">
        <v>1</v>
      </c>
    </row>
    <row r="13" spans="1:20" x14ac:dyDescent="0.2">
      <c r="A13" t="s">
        <v>4637</v>
      </c>
      <c r="C13"/>
    </row>
    <row r="14" spans="1:20" x14ac:dyDescent="0.2">
      <c r="A14" s="25" t="s">
        <v>3820</v>
      </c>
      <c r="B14" s="78">
        <v>1</v>
      </c>
      <c r="C14" s="78">
        <v>1</v>
      </c>
      <c r="D14">
        <v>0.1</v>
      </c>
    </row>
    <row r="15" spans="1:20" x14ac:dyDescent="0.2">
      <c r="A15" t="s">
        <v>4638</v>
      </c>
      <c r="C15"/>
    </row>
    <row r="16" spans="1:20" x14ac:dyDescent="0.2">
      <c r="A16" t="s">
        <v>4639</v>
      </c>
      <c r="B16">
        <v>50</v>
      </c>
      <c r="C16">
        <v>50</v>
      </c>
      <c r="D16">
        <v>10</v>
      </c>
    </row>
    <row r="17" spans="1:4" x14ac:dyDescent="0.2">
      <c r="A17" t="s">
        <v>4640</v>
      </c>
      <c r="B17">
        <v>5</v>
      </c>
      <c r="C17">
        <v>5</v>
      </c>
      <c r="D17">
        <v>1</v>
      </c>
    </row>
    <row r="18" spans="1:4" x14ac:dyDescent="0.2">
      <c r="A18" t="s">
        <v>4641</v>
      </c>
      <c r="B18">
        <v>500</v>
      </c>
      <c r="C18">
        <v>500</v>
      </c>
      <c r="D18">
        <v>100</v>
      </c>
    </row>
    <row r="19" spans="1:4" x14ac:dyDescent="0.2">
      <c r="A19" s="25" t="s">
        <v>3821</v>
      </c>
      <c r="B19" s="78">
        <v>10</v>
      </c>
      <c r="C19" s="78">
        <v>10</v>
      </c>
      <c r="D19">
        <v>10</v>
      </c>
    </row>
    <row r="20" spans="1:4" x14ac:dyDescent="0.2">
      <c r="A20" s="25" t="s">
        <v>3822</v>
      </c>
      <c r="B20" s="78">
        <v>50</v>
      </c>
      <c r="C20" s="78">
        <v>50</v>
      </c>
      <c r="D20">
        <v>0.5</v>
      </c>
    </row>
    <row r="21" spans="1:4" x14ac:dyDescent="0.2">
      <c r="A21" s="25" t="s">
        <v>3823</v>
      </c>
      <c r="B21" s="78">
        <v>150</v>
      </c>
      <c r="C21" s="78">
        <v>150</v>
      </c>
      <c r="D21">
        <v>0.15</v>
      </c>
    </row>
    <row r="22" spans="1:4" x14ac:dyDescent="0.2">
      <c r="A22" s="25" t="s">
        <v>3824</v>
      </c>
      <c r="B22" s="78">
        <v>2500</v>
      </c>
      <c r="C22" s="78">
        <v>2500</v>
      </c>
      <c r="D22">
        <v>12.5</v>
      </c>
    </row>
    <row r="23" spans="1:4" x14ac:dyDescent="0.2">
      <c r="A23" s="25" t="s">
        <v>3825</v>
      </c>
      <c r="B23" s="78">
        <v>200</v>
      </c>
      <c r="C23" s="78">
        <v>200</v>
      </c>
      <c r="D23">
        <v>40</v>
      </c>
    </row>
    <row r="24" spans="1:4" x14ac:dyDescent="0.2">
      <c r="A24" s="25" t="s">
        <v>3826</v>
      </c>
      <c r="B24" s="78">
        <v>50</v>
      </c>
      <c r="C24" s="78">
        <v>50</v>
      </c>
      <c r="D24">
        <v>5</v>
      </c>
    </row>
    <row r="25" spans="1:4" x14ac:dyDescent="0.2">
      <c r="A25" s="25" t="s">
        <v>3827</v>
      </c>
      <c r="B25" s="78">
        <v>100</v>
      </c>
      <c r="C25" s="78">
        <v>100</v>
      </c>
      <c r="D25">
        <v>25</v>
      </c>
    </row>
    <row r="26" spans="1:4" x14ac:dyDescent="0.2">
      <c r="A26" s="25" t="s">
        <v>2687</v>
      </c>
      <c r="B26" s="78">
        <v>1</v>
      </c>
      <c r="C26" s="78">
        <v>1</v>
      </c>
    </row>
    <row r="27" spans="1:4" x14ac:dyDescent="0.2">
      <c r="A27" s="25" t="s">
        <v>1173</v>
      </c>
      <c r="B27" s="78" t="s">
        <v>3508</v>
      </c>
      <c r="C27" s="78" t="s">
        <v>3508</v>
      </c>
    </row>
    <row r="28" spans="1:4" x14ac:dyDescent="0.2">
      <c r="A28" s="25" t="s">
        <v>3719</v>
      </c>
      <c r="B28" s="78" t="b">
        <v>0</v>
      </c>
      <c r="C28" s="78" t="b">
        <v>0</v>
      </c>
    </row>
    <row r="29" spans="1:4" x14ac:dyDescent="0.2">
      <c r="A29" s="25" t="s">
        <v>3720</v>
      </c>
      <c r="B29" s="78"/>
    </row>
    <row r="30" spans="1:4" x14ac:dyDescent="0.2">
      <c r="A30" s="25" t="s">
        <v>2130</v>
      </c>
      <c r="B30" s="78"/>
    </row>
    <row r="31" spans="1:4" x14ac:dyDescent="0.2">
      <c r="A31" s="25" t="s">
        <v>2696</v>
      </c>
      <c r="B31" t="b">
        <v>1</v>
      </c>
      <c r="C31" t="b">
        <v>1</v>
      </c>
    </row>
    <row r="32" spans="1:4" x14ac:dyDescent="0.2">
      <c r="A32" s="106" t="s">
        <v>3917</v>
      </c>
      <c r="C32"/>
    </row>
    <row r="33" spans="1:3" x14ac:dyDescent="0.2">
      <c r="A33" s="106" t="s">
        <v>3520</v>
      </c>
      <c r="C33"/>
    </row>
    <row r="34" spans="1:3" x14ac:dyDescent="0.2">
      <c r="A34" s="106" t="s">
        <v>3522</v>
      </c>
      <c r="C34"/>
    </row>
    <row r="35" spans="1:3" x14ac:dyDescent="0.2">
      <c r="A35" s="106" t="s">
        <v>3524</v>
      </c>
      <c r="C35"/>
    </row>
    <row r="36" spans="1:3" x14ac:dyDescent="0.2">
      <c r="A36" s="106" t="s">
        <v>3526</v>
      </c>
      <c r="C36"/>
    </row>
    <row r="37" spans="1:3" x14ac:dyDescent="0.2">
      <c r="A37" s="106" t="s">
        <v>3632</v>
      </c>
      <c r="C37"/>
    </row>
    <row r="38" spans="1:3" x14ac:dyDescent="0.2">
      <c r="A38" s="106" t="s">
        <v>3634</v>
      </c>
      <c r="C38"/>
    </row>
    <row r="39" spans="1:3" x14ac:dyDescent="0.2">
      <c r="A39" s="106" t="s">
        <v>3683</v>
      </c>
      <c r="C39"/>
    </row>
    <row r="40" spans="1:3" x14ac:dyDescent="0.2">
      <c r="A40" s="106" t="s">
        <v>3685</v>
      </c>
      <c r="C40"/>
    </row>
    <row r="41" spans="1:3" x14ac:dyDescent="0.2">
      <c r="A41" s="106" t="s">
        <v>3687</v>
      </c>
      <c r="C41"/>
    </row>
    <row r="42" spans="1:3" x14ac:dyDescent="0.2">
      <c r="A42" s="25" t="s">
        <v>3640</v>
      </c>
      <c r="B42" s="78"/>
    </row>
    <row r="43" spans="1:3" x14ac:dyDescent="0.2">
      <c r="A43" s="25" t="s">
        <v>3645</v>
      </c>
      <c r="B43" s="78"/>
    </row>
    <row r="44" spans="1:3" x14ac:dyDescent="0.2">
      <c r="A44" s="25" t="s">
        <v>460</v>
      </c>
      <c r="B44" s="78"/>
    </row>
    <row r="45" spans="1:3" x14ac:dyDescent="0.2">
      <c r="A45" s="25" t="s">
        <v>461</v>
      </c>
      <c r="B45" s="78"/>
    </row>
    <row r="46" spans="1:3" x14ac:dyDescent="0.2">
      <c r="A46" s="25" t="s">
        <v>462</v>
      </c>
      <c r="B46" s="78"/>
    </row>
    <row r="47" spans="1:3" x14ac:dyDescent="0.2">
      <c r="A47" s="25" t="s">
        <v>463</v>
      </c>
      <c r="B47" s="78"/>
    </row>
    <row r="48" spans="1:3" x14ac:dyDescent="0.2">
      <c r="A48" s="25" t="s">
        <v>65</v>
      </c>
      <c r="B48" s="78"/>
    </row>
    <row r="49" spans="1:3" x14ac:dyDescent="0.2">
      <c r="A49" s="25" t="s">
        <v>66</v>
      </c>
      <c r="B49" s="78"/>
    </row>
    <row r="50" spans="1:3" x14ac:dyDescent="0.2">
      <c r="A50" s="25" t="s">
        <v>3428</v>
      </c>
      <c r="B50" s="78"/>
    </row>
    <row r="51" spans="1:3" x14ac:dyDescent="0.2">
      <c r="A51" s="25" t="s">
        <v>3429</v>
      </c>
      <c r="B51" s="78"/>
    </row>
    <row r="52" spans="1:3" x14ac:dyDescent="0.2">
      <c r="A52" s="25" t="s">
        <v>3430</v>
      </c>
      <c r="B52" s="78"/>
    </row>
    <row r="53" spans="1:3" x14ac:dyDescent="0.2">
      <c r="A53" s="25" t="s">
        <v>3431</v>
      </c>
      <c r="B53" s="78"/>
    </row>
    <row r="54" spans="1:3" x14ac:dyDescent="0.2">
      <c r="A54" s="25" t="s">
        <v>2194</v>
      </c>
      <c r="B54" s="78"/>
    </row>
    <row r="55" spans="1:3" x14ac:dyDescent="0.2">
      <c r="A55" s="25" t="s">
        <v>2195</v>
      </c>
      <c r="B55" s="78"/>
    </row>
    <row r="56" spans="1:3" x14ac:dyDescent="0.2">
      <c r="A56" s="25" t="s">
        <v>2196</v>
      </c>
      <c r="B56" s="78"/>
    </row>
    <row r="57" spans="1:3" x14ac:dyDescent="0.2">
      <c r="A57" s="25" t="s">
        <v>2197</v>
      </c>
      <c r="B57" s="78"/>
    </row>
    <row r="58" spans="1:3" x14ac:dyDescent="0.2">
      <c r="A58" s="25" t="s">
        <v>367</v>
      </c>
      <c r="B58" s="78"/>
    </row>
    <row r="59" spans="1:3" x14ac:dyDescent="0.2">
      <c r="A59" s="25" t="s">
        <v>368</v>
      </c>
      <c r="B59" s="78"/>
    </row>
    <row r="60" spans="1:3" x14ac:dyDescent="0.2">
      <c r="A60" s="25" t="s">
        <v>369</v>
      </c>
      <c r="B60" s="78"/>
    </row>
    <row r="61" spans="1:3" x14ac:dyDescent="0.2">
      <c r="A61" s="25" t="s">
        <v>370</v>
      </c>
      <c r="B61" s="78"/>
    </row>
    <row r="62" spans="1:3" x14ac:dyDescent="0.2">
      <c r="A62" s="25" t="s">
        <v>371</v>
      </c>
      <c r="B62" s="78"/>
    </row>
    <row r="63" spans="1:3" x14ac:dyDescent="0.2">
      <c r="A63" s="25" t="s">
        <v>846</v>
      </c>
      <c r="B63" s="78"/>
    </row>
    <row r="64" spans="1:3" x14ac:dyDescent="0.2">
      <c r="A64" s="25" t="s">
        <v>3637</v>
      </c>
      <c r="B64" s="78">
        <v>30</v>
      </c>
      <c r="C64" s="78">
        <v>30</v>
      </c>
    </row>
    <row r="65" spans="1:3" x14ac:dyDescent="0.2">
      <c r="A65" s="25" t="s">
        <v>3644</v>
      </c>
      <c r="B65" s="78"/>
    </row>
    <row r="66" spans="1:3" x14ac:dyDescent="0.2">
      <c r="A66" s="25" t="s">
        <v>1350</v>
      </c>
      <c r="B66" s="78">
        <v>1</v>
      </c>
      <c r="C66" s="78">
        <v>1</v>
      </c>
    </row>
    <row r="67" spans="1:3" x14ac:dyDescent="0.2">
      <c r="A67" s="25" t="s">
        <v>847</v>
      </c>
      <c r="B67" s="78"/>
    </row>
    <row r="68" spans="1:3" x14ac:dyDescent="0.2">
      <c r="A68" s="25" t="s">
        <v>848</v>
      </c>
      <c r="B68" s="78"/>
    </row>
    <row r="69" spans="1:3" x14ac:dyDescent="0.2">
      <c r="A69" s="25" t="s">
        <v>849</v>
      </c>
      <c r="B69" s="78"/>
    </row>
    <row r="70" spans="1:3" x14ac:dyDescent="0.2">
      <c r="A70" s="25" t="s">
        <v>850</v>
      </c>
      <c r="B70" s="78"/>
    </row>
    <row r="71" spans="1:3" x14ac:dyDescent="0.2">
      <c r="A71" s="25" t="s">
        <v>851</v>
      </c>
      <c r="B71" s="78"/>
    </row>
    <row r="72" spans="1:3" x14ac:dyDescent="0.2">
      <c r="A72" s="25" t="s">
        <v>852</v>
      </c>
      <c r="B72" s="78"/>
    </row>
    <row r="73" spans="1:3" x14ac:dyDescent="0.2">
      <c r="A73" s="25" t="s">
        <v>853</v>
      </c>
      <c r="B73" s="78"/>
    </row>
    <row r="74" spans="1:3" x14ac:dyDescent="0.2">
      <c r="A74" s="25" t="s">
        <v>854</v>
      </c>
      <c r="B74" s="78"/>
    </row>
    <row r="75" spans="1:3" x14ac:dyDescent="0.2">
      <c r="A75" s="25" t="s">
        <v>855</v>
      </c>
      <c r="B75" s="78"/>
    </row>
    <row r="76" spans="1:3" x14ac:dyDescent="0.2">
      <c r="A76" s="25" t="s">
        <v>856</v>
      </c>
      <c r="B76" s="78"/>
    </row>
    <row r="77" spans="1:3" x14ac:dyDescent="0.2">
      <c r="A77" s="25" t="s">
        <v>857</v>
      </c>
      <c r="B77" s="78"/>
    </row>
    <row r="78" spans="1:3" x14ac:dyDescent="0.2">
      <c r="A78" s="25" t="s">
        <v>858</v>
      </c>
      <c r="B78" s="78"/>
    </row>
    <row r="79" spans="1:3" x14ac:dyDescent="0.2">
      <c r="A79" s="25" t="s">
        <v>859</v>
      </c>
      <c r="B79" s="78"/>
    </row>
    <row r="80" spans="1:3" x14ac:dyDescent="0.2">
      <c r="A80" s="25" t="s">
        <v>860</v>
      </c>
      <c r="B80" s="78"/>
    </row>
    <row r="81" spans="1:3" x14ac:dyDescent="0.2">
      <c r="A81" s="25" t="s">
        <v>861</v>
      </c>
      <c r="B81" s="78"/>
    </row>
    <row r="82" spans="1:3" x14ac:dyDescent="0.2">
      <c r="A82" s="25" t="s">
        <v>862</v>
      </c>
      <c r="B82" s="78"/>
    </row>
    <row r="83" spans="1:3" x14ac:dyDescent="0.2">
      <c r="A83" s="25" t="s">
        <v>863</v>
      </c>
      <c r="B83" s="78"/>
    </row>
    <row r="84" spans="1:3" x14ac:dyDescent="0.2">
      <c r="A84" s="25" t="s">
        <v>2260</v>
      </c>
      <c r="B84" s="78"/>
    </row>
    <row r="85" spans="1:3" x14ac:dyDescent="0.2">
      <c r="A85" s="25" t="s">
        <v>2261</v>
      </c>
      <c r="B85" s="78"/>
    </row>
    <row r="86" spans="1:3" x14ac:dyDescent="0.2">
      <c r="A86" s="25" t="s">
        <v>2328</v>
      </c>
      <c r="B86" s="78"/>
    </row>
    <row r="87" spans="1:3" x14ac:dyDescent="0.2">
      <c r="A87" s="25" t="s">
        <v>2331</v>
      </c>
      <c r="B87" s="78">
        <v>30</v>
      </c>
      <c r="C87" s="78">
        <v>30</v>
      </c>
    </row>
    <row r="88" spans="1:3" x14ac:dyDescent="0.2">
      <c r="A88" s="25" t="s">
        <v>3651</v>
      </c>
      <c r="B88" s="78">
        <v>30</v>
      </c>
      <c r="C88" s="78">
        <v>30</v>
      </c>
    </row>
    <row r="89" spans="1:3" x14ac:dyDescent="0.2">
      <c r="A89" s="25" t="s">
        <v>3638</v>
      </c>
      <c r="B89" s="78"/>
    </row>
    <row r="90" spans="1:3" x14ac:dyDescent="0.2">
      <c r="A90" s="25" t="s">
        <v>3642</v>
      </c>
      <c r="B90" s="78"/>
    </row>
    <row r="91" spans="1:3" x14ac:dyDescent="0.2">
      <c r="A91" s="74" t="s">
        <v>1602</v>
      </c>
      <c r="B91" s="78">
        <v>1</v>
      </c>
      <c r="C91" s="78">
        <v>1</v>
      </c>
    </row>
    <row r="92" spans="1:3" x14ac:dyDescent="0.2">
      <c r="A92" s="74" t="s">
        <v>1603</v>
      </c>
      <c r="B92" s="78"/>
    </row>
    <row r="93" spans="1:3" x14ac:dyDescent="0.2">
      <c r="A93" s="74" t="s">
        <v>1604</v>
      </c>
      <c r="B93" s="78"/>
    </row>
    <row r="94" spans="1:3" x14ac:dyDescent="0.2">
      <c r="A94" s="74" t="s">
        <v>1605</v>
      </c>
      <c r="B94" s="78"/>
    </row>
    <row r="95" spans="1:3" x14ac:dyDescent="0.2">
      <c r="A95" s="25" t="s">
        <v>2176</v>
      </c>
      <c r="B95" s="79">
        <v>40909</v>
      </c>
      <c r="C95" s="79">
        <v>40909</v>
      </c>
    </row>
    <row r="96" spans="1:3" x14ac:dyDescent="0.2">
      <c r="A96" s="25" t="s">
        <v>2762</v>
      </c>
      <c r="B96" s="78">
        <v>100</v>
      </c>
      <c r="C96" s="78">
        <v>100</v>
      </c>
    </row>
    <row r="97" spans="1:3" x14ac:dyDescent="0.2">
      <c r="A97" s="25" t="s">
        <v>2686</v>
      </c>
      <c r="B97" s="78" t="b">
        <v>0</v>
      </c>
      <c r="C97" s="78" t="b">
        <v>0</v>
      </c>
    </row>
    <row r="98" spans="1:3" x14ac:dyDescent="0.2">
      <c r="A98" s="25" t="s">
        <v>1570</v>
      </c>
      <c r="B98" s="78">
        <v>1</v>
      </c>
      <c r="C98" s="78">
        <v>1</v>
      </c>
    </row>
    <row r="99" spans="1:3" x14ac:dyDescent="0.2">
      <c r="A99" s="25" t="s">
        <v>1571</v>
      </c>
      <c r="B99" s="78">
        <v>1</v>
      </c>
      <c r="C99" s="78">
        <v>1</v>
      </c>
    </row>
    <row r="100" spans="1:3" x14ac:dyDescent="0.2">
      <c r="A100" s="25" t="s">
        <v>1572</v>
      </c>
      <c r="B100" s="78">
        <v>1</v>
      </c>
      <c r="C100" s="78">
        <v>1</v>
      </c>
    </row>
    <row r="101" spans="1:3" x14ac:dyDescent="0.2">
      <c r="A101" s="25" t="s">
        <v>1573</v>
      </c>
      <c r="B101" s="78">
        <v>1</v>
      </c>
      <c r="C101" s="78">
        <v>1</v>
      </c>
    </row>
    <row r="102" spans="1:3" x14ac:dyDescent="0.2">
      <c r="A102" s="25" t="s">
        <v>1574</v>
      </c>
      <c r="B102" s="78">
        <v>1</v>
      </c>
      <c r="C102" s="78">
        <v>1</v>
      </c>
    </row>
    <row r="103" spans="1:3" x14ac:dyDescent="0.2">
      <c r="A103" s="25" t="s">
        <v>3773</v>
      </c>
      <c r="B103" s="78">
        <v>1</v>
      </c>
      <c r="C103" s="78">
        <v>1</v>
      </c>
    </row>
    <row r="104" spans="1:3" x14ac:dyDescent="0.2">
      <c r="A104" s="25" t="s">
        <v>3643</v>
      </c>
      <c r="B104" s="78"/>
    </row>
    <row r="105" spans="1:3" x14ac:dyDescent="0.2">
      <c r="A105" s="25" t="s">
        <v>3774</v>
      </c>
      <c r="B105" s="78">
        <v>5</v>
      </c>
      <c r="C105" s="78">
        <v>5</v>
      </c>
    </row>
    <row r="106" spans="1:3" x14ac:dyDescent="0.2">
      <c r="A106" s="25" t="s">
        <v>3775</v>
      </c>
      <c r="B106" s="78">
        <v>20</v>
      </c>
      <c r="C106" s="78">
        <v>20</v>
      </c>
    </row>
    <row r="107" spans="1:3" x14ac:dyDescent="0.2">
      <c r="A107" s="25" t="s">
        <v>3776</v>
      </c>
      <c r="B107" s="78">
        <v>15</v>
      </c>
      <c r="C107" s="78">
        <v>15</v>
      </c>
    </row>
    <row r="108" spans="1:3" x14ac:dyDescent="0.2">
      <c r="A108" s="25" t="s">
        <v>3777</v>
      </c>
      <c r="B108" s="78">
        <v>10</v>
      </c>
      <c r="C108" s="78">
        <v>10</v>
      </c>
    </row>
    <row r="109" spans="1:3" x14ac:dyDescent="0.2">
      <c r="A109" s="25" t="s">
        <v>3778</v>
      </c>
      <c r="B109" s="78">
        <v>10</v>
      </c>
      <c r="C109" s="78">
        <v>10</v>
      </c>
    </row>
    <row r="110" spans="1:3" x14ac:dyDescent="0.2">
      <c r="A110" t="s">
        <v>2660</v>
      </c>
      <c r="B110">
        <v>10</v>
      </c>
      <c r="C110">
        <v>10</v>
      </c>
    </row>
    <row r="111" spans="1:3" x14ac:dyDescent="0.2">
      <c r="A111" t="s">
        <v>2661</v>
      </c>
      <c r="B111">
        <v>30</v>
      </c>
      <c r="C111">
        <v>30</v>
      </c>
    </row>
    <row r="112" spans="1:3" x14ac:dyDescent="0.2">
      <c r="A112" t="s">
        <v>2662</v>
      </c>
      <c r="B112">
        <v>250</v>
      </c>
      <c r="C112">
        <v>250</v>
      </c>
    </row>
    <row r="113" spans="1:3" x14ac:dyDescent="0.2">
      <c r="A113" t="s">
        <v>5091</v>
      </c>
      <c r="C113"/>
    </row>
    <row r="114" spans="1:3" x14ac:dyDescent="0.2">
      <c r="A114" t="s">
        <v>5092</v>
      </c>
      <c r="B114">
        <v>10</v>
      </c>
      <c r="C114">
        <v>10</v>
      </c>
    </row>
    <row r="115" spans="1:3" x14ac:dyDescent="0.2">
      <c r="A115" t="s">
        <v>5093</v>
      </c>
      <c r="C115"/>
    </row>
    <row r="116" spans="1:3" x14ac:dyDescent="0.2">
      <c r="A116" s="25" t="s">
        <v>3779</v>
      </c>
      <c r="B116" s="78">
        <v>10</v>
      </c>
      <c r="C116" s="78">
        <v>10</v>
      </c>
    </row>
    <row r="117" spans="1:3" x14ac:dyDescent="0.2">
      <c r="A117" s="25" t="s">
        <v>4643</v>
      </c>
      <c r="B117" s="78"/>
    </row>
    <row r="118" spans="1:3" x14ac:dyDescent="0.2">
      <c r="A118" s="25" t="s">
        <v>4644</v>
      </c>
      <c r="B118" s="78">
        <v>6</v>
      </c>
      <c r="C118" s="78">
        <v>6</v>
      </c>
    </row>
    <row r="119" spans="1:3" x14ac:dyDescent="0.2">
      <c r="A119" s="25" t="s">
        <v>5089</v>
      </c>
      <c r="B119" s="78">
        <v>2</v>
      </c>
      <c r="C119" s="78">
        <v>2</v>
      </c>
    </row>
    <row r="120" spans="1:3" x14ac:dyDescent="0.2">
      <c r="A120" s="25" t="s">
        <v>5090</v>
      </c>
      <c r="B120" s="78">
        <v>70</v>
      </c>
      <c r="C120" s="78">
        <v>70</v>
      </c>
    </row>
    <row r="121" spans="1:3" x14ac:dyDescent="0.2">
      <c r="A121" s="25" t="s">
        <v>3780</v>
      </c>
      <c r="B121" s="78">
        <v>5</v>
      </c>
      <c r="C121" s="78">
        <v>5</v>
      </c>
    </row>
    <row r="122" spans="1:3" x14ac:dyDescent="0.2">
      <c r="A122" s="25" t="s">
        <v>3781</v>
      </c>
      <c r="B122" s="78">
        <v>25</v>
      </c>
      <c r="C122" s="78">
        <v>25</v>
      </c>
    </row>
    <row r="123" spans="1:3" x14ac:dyDescent="0.2">
      <c r="A123" s="25" t="s">
        <v>3782</v>
      </c>
      <c r="B123" s="78">
        <v>100</v>
      </c>
      <c r="C123" s="78">
        <v>100</v>
      </c>
    </row>
    <row r="124" spans="1:3" x14ac:dyDescent="0.2">
      <c r="A124" s="25" t="s">
        <v>3783</v>
      </c>
      <c r="B124" s="78">
        <v>10</v>
      </c>
      <c r="C124" s="78">
        <v>10</v>
      </c>
    </row>
    <row r="125" spans="1:3" x14ac:dyDescent="0.2">
      <c r="A125" s="25" t="s">
        <v>3784</v>
      </c>
      <c r="B125" s="78">
        <v>5</v>
      </c>
      <c r="C125" s="78">
        <v>5</v>
      </c>
    </row>
    <row r="126" spans="1:3" x14ac:dyDescent="0.2">
      <c r="A126" s="25" t="s">
        <v>3785</v>
      </c>
      <c r="B126" s="78">
        <v>10</v>
      </c>
      <c r="C126" s="78">
        <v>10</v>
      </c>
    </row>
    <row r="127" spans="1:3" x14ac:dyDescent="0.2">
      <c r="A127" s="25" t="s">
        <v>2184</v>
      </c>
      <c r="B127" s="78">
        <v>5</v>
      </c>
      <c r="C127" s="78">
        <v>5</v>
      </c>
    </row>
    <row r="128" spans="1:3" x14ac:dyDescent="0.2">
      <c r="A128" s="25" t="s">
        <v>4082</v>
      </c>
      <c r="B128" s="78">
        <v>10</v>
      </c>
      <c r="C128" s="78">
        <v>10</v>
      </c>
    </row>
    <row r="129" spans="1:3" x14ac:dyDescent="0.2">
      <c r="A129" s="25" t="s">
        <v>4083</v>
      </c>
      <c r="B129" s="78">
        <v>10</v>
      </c>
      <c r="C129" s="78">
        <v>10</v>
      </c>
    </row>
    <row r="130" spans="1:3" x14ac:dyDescent="0.2">
      <c r="A130" s="25" t="s">
        <v>4084</v>
      </c>
      <c r="B130" s="78">
        <v>10</v>
      </c>
      <c r="C130" s="78">
        <v>10</v>
      </c>
    </row>
    <row r="131" spans="1:3" x14ac:dyDescent="0.2">
      <c r="A131" s="25" t="s">
        <v>4085</v>
      </c>
      <c r="B131" s="78">
        <v>10</v>
      </c>
      <c r="C131" s="78">
        <v>10</v>
      </c>
    </row>
    <row r="132" spans="1:3" x14ac:dyDescent="0.2">
      <c r="A132" s="25" t="s">
        <v>4086</v>
      </c>
      <c r="B132" s="78">
        <v>10</v>
      </c>
      <c r="C132" s="78">
        <v>10</v>
      </c>
    </row>
    <row r="133" spans="1:3" x14ac:dyDescent="0.2">
      <c r="A133" t="s">
        <v>3210</v>
      </c>
      <c r="B133">
        <v>10</v>
      </c>
      <c r="C133">
        <v>10</v>
      </c>
    </row>
    <row r="134" spans="1:3" x14ac:dyDescent="0.2">
      <c r="A134" t="s">
        <v>3211</v>
      </c>
      <c r="B134">
        <v>10</v>
      </c>
      <c r="C134">
        <v>10</v>
      </c>
    </row>
    <row r="135" spans="1:3" x14ac:dyDescent="0.2">
      <c r="A135" t="s">
        <v>2659</v>
      </c>
      <c r="B135">
        <v>10</v>
      </c>
      <c r="C135">
        <v>10</v>
      </c>
    </row>
    <row r="136" spans="1:3" x14ac:dyDescent="0.2">
      <c r="A136" t="s">
        <v>5098</v>
      </c>
      <c r="C136"/>
    </row>
    <row r="137" spans="1:3" x14ac:dyDescent="0.2">
      <c r="A137" t="s">
        <v>5099</v>
      </c>
      <c r="B137">
        <v>10</v>
      </c>
      <c r="C137">
        <v>10</v>
      </c>
    </row>
    <row r="138" spans="1:3" x14ac:dyDescent="0.2">
      <c r="A138" t="s">
        <v>5100</v>
      </c>
      <c r="C138"/>
    </row>
    <row r="139" spans="1:3" x14ac:dyDescent="0.2">
      <c r="A139" s="25" t="s">
        <v>4087</v>
      </c>
      <c r="B139" s="78">
        <v>10</v>
      </c>
      <c r="C139" s="78">
        <v>10</v>
      </c>
    </row>
    <row r="140" spans="1:3" x14ac:dyDescent="0.2">
      <c r="A140" s="25" t="s">
        <v>5094</v>
      </c>
      <c r="B140" s="78"/>
    </row>
    <row r="141" spans="1:3" x14ac:dyDescent="0.2">
      <c r="A141" s="25" t="s">
        <v>5095</v>
      </c>
      <c r="B141" s="78">
        <v>10</v>
      </c>
      <c r="C141" s="78">
        <v>10</v>
      </c>
    </row>
    <row r="142" spans="1:3" x14ac:dyDescent="0.2">
      <c r="A142" s="25" t="s">
        <v>5096</v>
      </c>
      <c r="B142" s="78">
        <v>10</v>
      </c>
      <c r="C142" s="78">
        <v>10</v>
      </c>
    </row>
    <row r="143" spans="1:3" x14ac:dyDescent="0.2">
      <c r="A143" s="25" t="s">
        <v>5097</v>
      </c>
      <c r="B143" s="78">
        <v>10</v>
      </c>
      <c r="C143" s="78">
        <v>10</v>
      </c>
    </row>
    <row r="144" spans="1:3" x14ac:dyDescent="0.2">
      <c r="A144" s="25" t="s">
        <v>4088</v>
      </c>
      <c r="B144" s="78">
        <v>10</v>
      </c>
      <c r="C144" s="78">
        <v>10</v>
      </c>
    </row>
    <row r="145" spans="1:8" x14ac:dyDescent="0.2">
      <c r="A145" s="25" t="s">
        <v>1678</v>
      </c>
      <c r="B145" s="78">
        <v>10</v>
      </c>
      <c r="C145" s="78">
        <v>10</v>
      </c>
    </row>
    <row r="146" spans="1:8" x14ac:dyDescent="0.2">
      <c r="A146" s="25" t="s">
        <v>2215</v>
      </c>
      <c r="B146" s="78">
        <v>10</v>
      </c>
      <c r="C146" s="78">
        <v>10</v>
      </c>
    </row>
    <row r="147" spans="1:8" x14ac:dyDescent="0.2">
      <c r="A147" s="25" t="s">
        <v>3219</v>
      </c>
      <c r="B147" s="78">
        <v>10</v>
      </c>
      <c r="C147" s="78">
        <v>10</v>
      </c>
    </row>
    <row r="148" spans="1:8" x14ac:dyDescent="0.2">
      <c r="A148" s="25" t="s">
        <v>3222</v>
      </c>
      <c r="B148" s="78">
        <v>10</v>
      </c>
      <c r="C148" s="78">
        <v>10</v>
      </c>
    </row>
    <row r="149" spans="1:8" x14ac:dyDescent="0.2">
      <c r="A149" s="25" t="s">
        <v>464</v>
      </c>
      <c r="B149" s="78">
        <v>10</v>
      </c>
      <c r="C149" s="78">
        <v>10</v>
      </c>
    </row>
    <row r="150" spans="1:8" x14ac:dyDescent="0.2">
      <c r="A150" s="25" t="s">
        <v>465</v>
      </c>
      <c r="B150" s="78">
        <v>10</v>
      </c>
      <c r="C150" s="78">
        <v>10</v>
      </c>
    </row>
    <row r="151" spans="1:8" x14ac:dyDescent="0.2">
      <c r="A151" s="25" t="s">
        <v>1380</v>
      </c>
      <c r="B151" s="78" t="b">
        <v>0</v>
      </c>
      <c r="C151" s="78" t="b">
        <v>0</v>
      </c>
    </row>
    <row r="152" spans="1:8" x14ac:dyDescent="0.2">
      <c r="A152" s="25" t="s">
        <v>3588</v>
      </c>
      <c r="C152"/>
    </row>
    <row r="153" spans="1:8" x14ac:dyDescent="0.2">
      <c r="A153" s="25" t="s">
        <v>1381</v>
      </c>
      <c r="B153" s="78"/>
    </row>
    <row r="154" spans="1:8" x14ac:dyDescent="0.2">
      <c r="A154" s="25" t="s">
        <v>3589</v>
      </c>
      <c r="C154"/>
    </row>
    <row r="155" spans="1:8" x14ac:dyDescent="0.2">
      <c r="A155" s="74" t="s">
        <v>1606</v>
      </c>
      <c r="B155" s="78">
        <v>1</v>
      </c>
      <c r="C155" s="78">
        <v>1</v>
      </c>
    </row>
    <row r="156" spans="1:8" x14ac:dyDescent="0.2">
      <c r="A156" s="74" t="s">
        <v>1607</v>
      </c>
      <c r="B156" s="78"/>
    </row>
    <row r="157" spans="1:8" x14ac:dyDescent="0.2">
      <c r="A157" s="74" t="s">
        <v>1608</v>
      </c>
      <c r="B157" s="78"/>
      <c r="G157" s="25"/>
      <c r="H157" s="25"/>
    </row>
    <row r="158" spans="1:8" x14ac:dyDescent="0.2">
      <c r="A158" s="74" t="s">
        <v>1609</v>
      </c>
      <c r="B158" s="78"/>
      <c r="G158" s="25"/>
      <c r="H158" s="25"/>
    </row>
    <row r="159" spans="1:8" x14ac:dyDescent="0.2">
      <c r="A159" s="25" t="s">
        <v>3117</v>
      </c>
      <c r="B159" s="78" t="b">
        <v>0</v>
      </c>
      <c r="C159" s="78" t="b">
        <v>0</v>
      </c>
      <c r="G159" s="25"/>
      <c r="H159" s="25"/>
    </row>
    <row r="160" spans="1:8" x14ac:dyDescent="0.2">
      <c r="A160" s="25" t="s">
        <v>381</v>
      </c>
      <c r="B160" s="78"/>
      <c r="G160" s="25"/>
      <c r="H160" s="25"/>
    </row>
    <row r="161" spans="1:8" x14ac:dyDescent="0.2">
      <c r="A161" s="25" t="s">
        <v>3828</v>
      </c>
      <c r="B161" s="78"/>
      <c r="G161" s="25"/>
      <c r="H161" s="25"/>
    </row>
    <row r="162" spans="1:8" x14ac:dyDescent="0.2">
      <c r="A162" s="25" t="s">
        <v>3836</v>
      </c>
      <c r="B162" s="78"/>
      <c r="G162" s="25"/>
      <c r="H162" s="25"/>
    </row>
    <row r="163" spans="1:8" x14ac:dyDescent="0.2">
      <c r="A163" s="25" t="s">
        <v>3837</v>
      </c>
      <c r="B163" s="78"/>
      <c r="G163" s="25"/>
      <c r="H163" s="25"/>
    </row>
    <row r="164" spans="1:8" x14ac:dyDescent="0.2">
      <c r="A164" s="25" t="s">
        <v>1566</v>
      </c>
      <c r="B164" s="78"/>
      <c r="G164" s="25"/>
      <c r="H164" s="25"/>
    </row>
    <row r="165" spans="1:8" x14ac:dyDescent="0.2">
      <c r="A165" s="25" t="s">
        <v>1567</v>
      </c>
      <c r="B165" s="78"/>
      <c r="G165" s="25"/>
      <c r="H165" s="25"/>
    </row>
    <row r="166" spans="1:8" x14ac:dyDescent="0.2">
      <c r="A166" s="25" t="s">
        <v>1568</v>
      </c>
      <c r="B166" s="78"/>
      <c r="G166" s="25"/>
      <c r="H166" s="25"/>
    </row>
    <row r="167" spans="1:8" x14ac:dyDescent="0.2">
      <c r="A167" s="25" t="s">
        <v>1569</v>
      </c>
      <c r="B167" s="78"/>
      <c r="G167" s="25"/>
      <c r="H167" s="25"/>
    </row>
    <row r="168" spans="1:8" x14ac:dyDescent="0.2">
      <c r="A168" s="25" t="s">
        <v>2911</v>
      </c>
      <c r="B168" s="78"/>
      <c r="G168" s="25"/>
      <c r="H168" s="25"/>
    </row>
    <row r="169" spans="1:8" x14ac:dyDescent="0.2">
      <c r="A169" s="25" t="s">
        <v>2912</v>
      </c>
      <c r="B169" s="78"/>
      <c r="G169" s="25"/>
      <c r="H169" s="25"/>
    </row>
    <row r="170" spans="1:8" x14ac:dyDescent="0.2">
      <c r="A170" s="25" t="s">
        <v>3829</v>
      </c>
      <c r="B170" s="78"/>
      <c r="G170" s="25"/>
      <c r="H170" s="25"/>
    </row>
    <row r="171" spans="1:8" x14ac:dyDescent="0.2">
      <c r="A171" s="25" t="s">
        <v>3830</v>
      </c>
      <c r="B171" s="78"/>
      <c r="G171" s="25"/>
      <c r="H171" s="25"/>
    </row>
    <row r="172" spans="1:8" x14ac:dyDescent="0.2">
      <c r="A172" s="25" t="s">
        <v>3831</v>
      </c>
      <c r="B172" s="78"/>
      <c r="G172" s="25"/>
      <c r="H172" s="25"/>
    </row>
    <row r="173" spans="1:8" x14ac:dyDescent="0.2">
      <c r="A173" s="25" t="s">
        <v>3832</v>
      </c>
      <c r="B173" s="78"/>
      <c r="G173" s="25"/>
      <c r="H173" s="25"/>
    </row>
    <row r="174" spans="1:8" x14ac:dyDescent="0.2">
      <c r="A174" s="25" t="s">
        <v>3833</v>
      </c>
      <c r="B174" s="78"/>
      <c r="G174" s="25"/>
      <c r="H174" s="25"/>
    </row>
    <row r="175" spans="1:8" x14ac:dyDescent="0.2">
      <c r="A175" s="25" t="s">
        <v>3834</v>
      </c>
      <c r="B175" s="78"/>
      <c r="G175" s="25"/>
      <c r="H175" s="25"/>
    </row>
    <row r="176" spans="1:8" x14ac:dyDescent="0.2">
      <c r="A176" s="25" t="s">
        <v>3835</v>
      </c>
      <c r="B176" s="78"/>
      <c r="G176" s="25"/>
      <c r="H176" s="25"/>
    </row>
    <row r="177" spans="1:8" x14ac:dyDescent="0.2">
      <c r="A177" s="25" t="s">
        <v>1145</v>
      </c>
      <c r="B177" s="78"/>
      <c r="G177" s="25"/>
      <c r="H177" s="25"/>
    </row>
    <row r="178" spans="1:8" x14ac:dyDescent="0.2">
      <c r="A178" s="25" t="s">
        <v>1146</v>
      </c>
      <c r="B178" s="78"/>
      <c r="G178" s="25"/>
      <c r="H178" s="25"/>
    </row>
    <row r="179" spans="1:8" x14ac:dyDescent="0.2">
      <c r="A179" s="25" t="s">
        <v>1147</v>
      </c>
      <c r="B179" s="78"/>
      <c r="G179" s="25"/>
      <c r="H179" s="25"/>
    </row>
    <row r="180" spans="1:8" x14ac:dyDescent="0.2">
      <c r="A180" s="25" t="s">
        <v>1148</v>
      </c>
      <c r="B180" s="78"/>
      <c r="G180" s="25"/>
      <c r="H180" s="25"/>
    </row>
    <row r="181" spans="1:8" x14ac:dyDescent="0.2">
      <c r="A181" s="25" t="s">
        <v>1149</v>
      </c>
      <c r="B181" s="78"/>
      <c r="G181" s="25"/>
      <c r="H181" s="25"/>
    </row>
    <row r="182" spans="1:8" x14ac:dyDescent="0.2">
      <c r="A182" s="25" t="s">
        <v>1150</v>
      </c>
      <c r="B182" s="78"/>
      <c r="G182" s="25"/>
      <c r="H182" s="25"/>
    </row>
    <row r="183" spans="1:8" x14ac:dyDescent="0.2">
      <c r="A183" s="25" t="s">
        <v>1151</v>
      </c>
      <c r="B183" s="78"/>
      <c r="G183" s="25"/>
      <c r="H183" s="25"/>
    </row>
    <row r="184" spans="1:8" x14ac:dyDescent="0.2">
      <c r="A184" s="25" t="s">
        <v>1152</v>
      </c>
      <c r="B184" s="78"/>
      <c r="G184" s="25"/>
      <c r="H184" s="25"/>
    </row>
    <row r="185" spans="1:8" x14ac:dyDescent="0.2">
      <c r="A185" s="25" t="s">
        <v>1153</v>
      </c>
      <c r="B185" s="78"/>
      <c r="G185" s="25"/>
      <c r="H185" s="25"/>
    </row>
    <row r="186" spans="1:8" x14ac:dyDescent="0.2">
      <c r="A186" s="25" t="s">
        <v>1154</v>
      </c>
      <c r="B186" s="78"/>
      <c r="G186" s="25"/>
      <c r="H186" s="25"/>
    </row>
    <row r="187" spans="1:8" x14ac:dyDescent="0.2">
      <c r="A187" s="25" t="s">
        <v>1155</v>
      </c>
      <c r="B187" s="78"/>
      <c r="G187" s="25"/>
      <c r="H187" s="25"/>
    </row>
    <row r="188" spans="1:8" x14ac:dyDescent="0.2">
      <c r="A188" s="25" t="s">
        <v>1156</v>
      </c>
      <c r="B188" s="78"/>
      <c r="G188" s="25"/>
      <c r="H188" s="25"/>
    </row>
    <row r="189" spans="1:8" x14ac:dyDescent="0.2">
      <c r="A189" s="25" t="s">
        <v>1157</v>
      </c>
      <c r="B189" s="78"/>
      <c r="G189" s="25"/>
      <c r="H189" s="25"/>
    </row>
    <row r="190" spans="1:8" x14ac:dyDescent="0.2">
      <c r="A190" s="25" t="s">
        <v>1158</v>
      </c>
      <c r="B190" s="78"/>
      <c r="G190" s="25"/>
      <c r="H190" s="25"/>
    </row>
    <row r="191" spans="1:8" x14ac:dyDescent="0.2">
      <c r="A191" s="25" t="s">
        <v>1159</v>
      </c>
      <c r="B191" s="78"/>
      <c r="G191" s="25"/>
      <c r="H191" s="25"/>
    </row>
    <row r="192" spans="1:8" x14ac:dyDescent="0.2">
      <c r="A192" s="25" t="s">
        <v>1160</v>
      </c>
      <c r="B192" s="78"/>
      <c r="G192" s="25"/>
      <c r="H192" s="25"/>
    </row>
    <row r="193" spans="1:8" x14ac:dyDescent="0.2">
      <c r="A193" s="25" t="s">
        <v>2580</v>
      </c>
      <c r="B193" s="78"/>
      <c r="G193" s="25"/>
      <c r="H193" s="25"/>
    </row>
    <row r="194" spans="1:8" x14ac:dyDescent="0.2">
      <c r="A194" s="25" t="s">
        <v>2581</v>
      </c>
      <c r="B194" s="78"/>
      <c r="G194" s="25"/>
      <c r="H194" s="25"/>
    </row>
    <row r="195" spans="1:8" x14ac:dyDescent="0.2">
      <c r="A195" s="25" t="s">
        <v>2582</v>
      </c>
      <c r="B195" s="78"/>
      <c r="G195" s="25"/>
      <c r="H195" s="25"/>
    </row>
    <row r="196" spans="1:8" x14ac:dyDescent="0.2">
      <c r="A196" s="25" t="s">
        <v>2583</v>
      </c>
      <c r="B196" s="78"/>
      <c r="G196" s="25"/>
      <c r="H196" s="25"/>
    </row>
    <row r="197" spans="1:8" x14ac:dyDescent="0.2">
      <c r="A197" s="25" t="s">
        <v>2584</v>
      </c>
      <c r="B197" s="78"/>
      <c r="G197" s="25"/>
      <c r="H197" s="25"/>
    </row>
    <row r="198" spans="1:8" x14ac:dyDescent="0.2">
      <c r="A198" s="25" t="s">
        <v>2585</v>
      </c>
      <c r="B198" s="78"/>
      <c r="G198" s="25"/>
      <c r="H198" s="25"/>
    </row>
    <row r="199" spans="1:8" x14ac:dyDescent="0.2">
      <c r="A199" s="25" t="s">
        <v>2586</v>
      </c>
      <c r="B199" s="78"/>
      <c r="G199" s="25"/>
      <c r="H199" s="25"/>
    </row>
    <row r="200" spans="1:8" x14ac:dyDescent="0.2">
      <c r="A200" s="25" t="s">
        <v>2587</v>
      </c>
      <c r="B200" s="78"/>
      <c r="G200" s="25"/>
      <c r="H200" s="25"/>
    </row>
    <row r="201" spans="1:8" x14ac:dyDescent="0.2">
      <c r="A201" s="25" t="s">
        <v>2588</v>
      </c>
      <c r="B201" s="78"/>
      <c r="G201" s="25"/>
      <c r="H201" s="25"/>
    </row>
    <row r="202" spans="1:8" x14ac:dyDescent="0.2">
      <c r="A202" s="25" t="s">
        <v>2589</v>
      </c>
      <c r="B202" s="78"/>
      <c r="G202" s="25"/>
      <c r="H202" s="25"/>
    </row>
    <row r="203" spans="1:8" x14ac:dyDescent="0.2">
      <c r="A203" s="25" t="s">
        <v>2590</v>
      </c>
      <c r="B203" s="78"/>
      <c r="G203" s="25"/>
      <c r="H203" s="25"/>
    </row>
    <row r="204" spans="1:8" x14ac:dyDescent="0.2">
      <c r="A204" s="25" t="s">
        <v>2591</v>
      </c>
      <c r="B204" s="78"/>
      <c r="G204" s="25"/>
      <c r="H204" s="25"/>
    </row>
    <row r="205" spans="1:8" x14ac:dyDescent="0.2">
      <c r="A205" s="25" t="s">
        <v>2592</v>
      </c>
      <c r="B205" s="78"/>
      <c r="G205" s="25"/>
      <c r="H205" s="25"/>
    </row>
    <row r="206" spans="1:8" x14ac:dyDescent="0.2">
      <c r="A206" s="25" t="s">
        <v>2593</v>
      </c>
      <c r="B206" s="78"/>
      <c r="G206" s="25"/>
      <c r="H206" s="25"/>
    </row>
    <row r="207" spans="1:8" x14ac:dyDescent="0.2">
      <c r="A207" s="25" t="s">
        <v>2594</v>
      </c>
      <c r="B207" s="78"/>
      <c r="G207" s="25"/>
      <c r="H207" s="25"/>
    </row>
    <row r="208" spans="1:8" x14ac:dyDescent="0.2">
      <c r="A208" s="25" t="s">
        <v>2595</v>
      </c>
      <c r="B208" s="78"/>
      <c r="G208" s="25"/>
      <c r="H208" s="25"/>
    </row>
    <row r="209" spans="1:8" x14ac:dyDescent="0.2">
      <c r="A209" s="25" t="s">
        <v>2596</v>
      </c>
      <c r="B209" s="78"/>
      <c r="G209" s="25"/>
      <c r="H209" s="25"/>
    </row>
    <row r="210" spans="1:8" x14ac:dyDescent="0.2">
      <c r="A210" s="25" t="s">
        <v>2597</v>
      </c>
      <c r="B210" s="78"/>
      <c r="G210" s="25"/>
      <c r="H210" s="25"/>
    </row>
    <row r="211" spans="1:8" x14ac:dyDescent="0.2">
      <c r="A211" s="25" t="s">
        <v>2598</v>
      </c>
      <c r="B211" s="78"/>
      <c r="G211" s="25"/>
      <c r="H211" s="25"/>
    </row>
    <row r="212" spans="1:8" x14ac:dyDescent="0.2">
      <c r="A212" s="25" t="s">
        <v>2599</v>
      </c>
      <c r="B212" s="78"/>
      <c r="G212" s="25"/>
      <c r="H212" s="25"/>
    </row>
    <row r="213" spans="1:8" x14ac:dyDescent="0.2">
      <c r="A213" s="25" t="s">
        <v>2600</v>
      </c>
      <c r="B213" s="78"/>
      <c r="G213" s="25"/>
      <c r="H213" s="25"/>
    </row>
    <row r="214" spans="1:8" x14ac:dyDescent="0.2">
      <c r="A214" s="25" t="s">
        <v>2601</v>
      </c>
      <c r="B214" s="78"/>
      <c r="G214" s="25"/>
      <c r="H214" s="25"/>
    </row>
    <row r="215" spans="1:8" x14ac:dyDescent="0.2">
      <c r="A215" s="25" t="s">
        <v>2602</v>
      </c>
      <c r="B215" s="78"/>
      <c r="G215" s="25"/>
      <c r="H215" s="25"/>
    </row>
    <row r="216" spans="1:8" x14ac:dyDescent="0.2">
      <c r="A216" s="25" t="s">
        <v>2603</v>
      </c>
      <c r="B216" s="78"/>
      <c r="G216" s="25"/>
      <c r="H216" s="25"/>
    </row>
    <row r="217" spans="1:8" x14ac:dyDescent="0.2">
      <c r="A217" s="25" t="s">
        <v>2604</v>
      </c>
      <c r="B217" s="78"/>
      <c r="G217" s="25"/>
      <c r="H217" s="25"/>
    </row>
    <row r="218" spans="1:8" x14ac:dyDescent="0.2">
      <c r="A218" s="25" t="s">
        <v>2605</v>
      </c>
      <c r="B218" s="78"/>
      <c r="G218" s="25"/>
      <c r="H218" s="25"/>
    </row>
    <row r="219" spans="1:8" x14ac:dyDescent="0.2">
      <c r="A219" s="25" t="s">
        <v>2606</v>
      </c>
      <c r="B219" s="78"/>
      <c r="G219" s="25"/>
      <c r="H219" s="25"/>
    </row>
    <row r="220" spans="1:8" x14ac:dyDescent="0.2">
      <c r="A220" s="25" t="s">
        <v>2607</v>
      </c>
      <c r="B220" s="78"/>
      <c r="G220" s="25"/>
      <c r="H220" s="25"/>
    </row>
    <row r="221" spans="1:8" x14ac:dyDescent="0.2">
      <c r="A221" s="25" t="s">
        <v>2608</v>
      </c>
      <c r="B221" s="78"/>
      <c r="G221" s="25"/>
      <c r="H221" s="25"/>
    </row>
    <row r="222" spans="1:8" x14ac:dyDescent="0.2">
      <c r="A222" s="25" t="s">
        <v>2609</v>
      </c>
      <c r="B222" s="78"/>
      <c r="G222" s="25"/>
      <c r="H222" s="25"/>
    </row>
    <row r="223" spans="1:8" x14ac:dyDescent="0.2">
      <c r="A223" s="25" t="s">
        <v>2610</v>
      </c>
      <c r="B223" s="78"/>
      <c r="G223" s="25"/>
      <c r="H223" s="25"/>
    </row>
    <row r="224" spans="1:8" x14ac:dyDescent="0.2">
      <c r="A224" s="25" t="s">
        <v>2611</v>
      </c>
      <c r="B224" s="78"/>
      <c r="G224" s="25"/>
      <c r="H224" s="25"/>
    </row>
    <row r="225" spans="1:8" x14ac:dyDescent="0.2">
      <c r="A225" s="25" t="s">
        <v>2612</v>
      </c>
      <c r="B225" s="78"/>
      <c r="G225" s="25"/>
      <c r="H225" s="25"/>
    </row>
    <row r="226" spans="1:8" x14ac:dyDescent="0.2">
      <c r="A226" s="25" t="s">
        <v>2613</v>
      </c>
      <c r="B226" s="78"/>
      <c r="G226" s="25"/>
      <c r="H226" s="25"/>
    </row>
    <row r="227" spans="1:8" x14ac:dyDescent="0.2">
      <c r="A227" s="25" t="s">
        <v>2614</v>
      </c>
      <c r="B227" s="78"/>
      <c r="G227" s="25"/>
      <c r="H227" s="25"/>
    </row>
    <row r="228" spans="1:8" x14ac:dyDescent="0.2">
      <c r="A228" s="25" t="s">
        <v>2615</v>
      </c>
      <c r="B228" s="78"/>
      <c r="G228" s="25"/>
      <c r="H228" s="25"/>
    </row>
    <row r="229" spans="1:8" x14ac:dyDescent="0.2">
      <c r="A229" s="25" t="s">
        <v>2616</v>
      </c>
      <c r="B229" s="78"/>
      <c r="G229" s="25"/>
      <c r="H229" s="25"/>
    </row>
    <row r="230" spans="1:8" x14ac:dyDescent="0.2">
      <c r="A230" s="25" t="s">
        <v>2617</v>
      </c>
      <c r="B230" s="78"/>
      <c r="G230" s="25"/>
      <c r="H230" s="25"/>
    </row>
    <row r="231" spans="1:8" x14ac:dyDescent="0.2">
      <c r="A231" s="25" t="s">
        <v>2618</v>
      </c>
      <c r="B231" s="78"/>
      <c r="G231" s="25"/>
      <c r="H231" s="25"/>
    </row>
    <row r="232" spans="1:8" x14ac:dyDescent="0.2">
      <c r="A232" s="25" t="s">
        <v>2619</v>
      </c>
      <c r="B232" s="78"/>
      <c r="G232" s="25"/>
      <c r="H232" s="25"/>
    </row>
    <row r="233" spans="1:8" x14ac:dyDescent="0.2">
      <c r="A233" s="25" t="s">
        <v>2620</v>
      </c>
      <c r="B233" s="78"/>
      <c r="G233" s="25"/>
      <c r="H233" s="25"/>
    </row>
    <row r="234" spans="1:8" x14ac:dyDescent="0.2">
      <c r="A234" s="25" t="s">
        <v>2621</v>
      </c>
      <c r="B234" s="78"/>
      <c r="G234" s="25"/>
      <c r="H234" s="25"/>
    </row>
    <row r="235" spans="1:8" x14ac:dyDescent="0.2">
      <c r="A235" s="25" t="s">
        <v>2622</v>
      </c>
      <c r="B235" s="78"/>
      <c r="G235" s="25"/>
      <c r="H235" s="25"/>
    </row>
    <row r="236" spans="1:8" x14ac:dyDescent="0.2">
      <c r="A236" s="25" t="s">
        <v>2623</v>
      </c>
      <c r="B236" s="78"/>
      <c r="G236" s="25"/>
      <c r="H236" s="25"/>
    </row>
    <row r="237" spans="1:8" x14ac:dyDescent="0.2">
      <c r="A237" s="25" t="s">
        <v>2624</v>
      </c>
      <c r="B237" s="78"/>
      <c r="G237" s="25"/>
      <c r="H237" s="25"/>
    </row>
    <row r="238" spans="1:8" x14ac:dyDescent="0.2">
      <c r="A238" s="25" t="s">
        <v>2625</v>
      </c>
      <c r="B238" s="78"/>
      <c r="G238" s="25"/>
      <c r="H238" s="25"/>
    </row>
    <row r="239" spans="1:8" x14ac:dyDescent="0.2">
      <c r="A239" s="25" t="s">
        <v>2626</v>
      </c>
      <c r="B239" s="78"/>
      <c r="G239" s="25"/>
      <c r="H239" s="25"/>
    </row>
    <row r="240" spans="1:8" x14ac:dyDescent="0.2">
      <c r="A240" s="25" t="s">
        <v>2627</v>
      </c>
      <c r="B240" s="78"/>
      <c r="G240" s="25"/>
      <c r="H240" s="25"/>
    </row>
    <row r="241" spans="1:8" x14ac:dyDescent="0.2">
      <c r="A241" s="25" t="s">
        <v>2628</v>
      </c>
      <c r="B241" s="78"/>
      <c r="G241" s="25"/>
      <c r="H241" s="25"/>
    </row>
    <row r="242" spans="1:8" x14ac:dyDescent="0.2">
      <c r="A242" s="25" t="s">
        <v>2629</v>
      </c>
      <c r="B242" s="78"/>
      <c r="G242" s="25"/>
      <c r="H242" s="25"/>
    </row>
    <row r="243" spans="1:8" x14ac:dyDescent="0.2">
      <c r="A243" s="25" t="s">
        <v>2630</v>
      </c>
      <c r="B243" s="78"/>
      <c r="G243" s="25"/>
      <c r="H243" s="25"/>
    </row>
    <row r="244" spans="1:8" x14ac:dyDescent="0.2">
      <c r="A244" s="25" t="s">
        <v>2631</v>
      </c>
      <c r="B244" s="78"/>
      <c r="G244" s="25"/>
      <c r="H244" s="25"/>
    </row>
    <row r="245" spans="1:8" x14ac:dyDescent="0.2">
      <c r="A245" s="25" t="s">
        <v>2632</v>
      </c>
      <c r="B245" s="78"/>
      <c r="G245" s="25"/>
      <c r="H245" s="25"/>
    </row>
    <row r="246" spans="1:8" x14ac:dyDescent="0.2">
      <c r="A246" s="25" t="s">
        <v>2633</v>
      </c>
      <c r="B246" s="78"/>
      <c r="G246" s="25"/>
      <c r="H246" s="25"/>
    </row>
    <row r="247" spans="1:8" x14ac:dyDescent="0.2">
      <c r="A247" s="25" t="s">
        <v>2634</v>
      </c>
      <c r="B247" s="78"/>
      <c r="G247" s="25"/>
      <c r="H247" s="25"/>
    </row>
    <row r="248" spans="1:8" x14ac:dyDescent="0.2">
      <c r="A248" s="25" t="s">
        <v>2635</v>
      </c>
      <c r="B248" s="78"/>
      <c r="G248" s="25"/>
      <c r="H248" s="25"/>
    </row>
    <row r="249" spans="1:8" x14ac:dyDescent="0.2">
      <c r="A249" s="25" t="s">
        <v>2636</v>
      </c>
      <c r="B249" s="78"/>
      <c r="G249" s="25"/>
      <c r="H249" s="25"/>
    </row>
    <row r="250" spans="1:8" x14ac:dyDescent="0.2">
      <c r="A250" s="25" t="s">
        <v>2637</v>
      </c>
      <c r="B250" s="78"/>
      <c r="G250" s="25"/>
      <c r="H250" s="25"/>
    </row>
    <row r="251" spans="1:8" x14ac:dyDescent="0.2">
      <c r="A251" s="25" t="s">
        <v>2638</v>
      </c>
      <c r="B251" s="78"/>
      <c r="G251" s="25"/>
      <c r="H251" s="25"/>
    </row>
    <row r="252" spans="1:8" x14ac:dyDescent="0.2">
      <c r="A252" s="25" t="s">
        <v>2639</v>
      </c>
      <c r="B252" s="78"/>
      <c r="G252" s="25"/>
      <c r="H252" s="25"/>
    </row>
    <row r="253" spans="1:8" x14ac:dyDescent="0.2">
      <c r="A253" s="25" t="s">
        <v>2640</v>
      </c>
      <c r="B253" s="78"/>
      <c r="G253" s="25"/>
      <c r="H253" s="25"/>
    </row>
    <row r="254" spans="1:8" x14ac:dyDescent="0.2">
      <c r="A254" s="25" t="s">
        <v>2641</v>
      </c>
      <c r="B254" s="78"/>
      <c r="G254" s="25"/>
      <c r="H254" s="25"/>
    </row>
    <row r="255" spans="1:8" x14ac:dyDescent="0.2">
      <c r="A255" s="25" t="s">
        <v>2642</v>
      </c>
      <c r="B255" s="78"/>
      <c r="G255" s="25"/>
      <c r="H255" s="25"/>
    </row>
    <row r="256" spans="1:8" x14ac:dyDescent="0.2">
      <c r="A256" s="25" t="s">
        <v>2643</v>
      </c>
      <c r="B256" s="78"/>
      <c r="G256" s="25"/>
      <c r="H256" s="25"/>
    </row>
    <row r="257" spans="1:8" x14ac:dyDescent="0.2">
      <c r="A257" s="25" t="s">
        <v>2644</v>
      </c>
      <c r="B257" s="78"/>
      <c r="G257" s="25"/>
      <c r="H257" s="25"/>
    </row>
    <row r="258" spans="1:8" x14ac:dyDescent="0.2">
      <c r="A258" s="25" t="s">
        <v>2645</v>
      </c>
      <c r="B258" s="78"/>
      <c r="G258" s="25"/>
      <c r="H258" s="25"/>
    </row>
    <row r="259" spans="1:8" x14ac:dyDescent="0.2">
      <c r="A259" s="25" t="s">
        <v>2646</v>
      </c>
      <c r="B259" s="78"/>
      <c r="G259" s="25"/>
      <c r="H259" s="25"/>
    </row>
    <row r="260" spans="1:8" x14ac:dyDescent="0.2">
      <c r="A260" s="25" t="s">
        <v>1439</v>
      </c>
      <c r="B260" s="78"/>
      <c r="G260" s="25"/>
      <c r="H260" s="25"/>
    </row>
    <row r="261" spans="1:8" x14ac:dyDescent="0.2">
      <c r="A261" s="25" t="s">
        <v>1440</v>
      </c>
      <c r="B261" s="78"/>
      <c r="G261" s="25"/>
      <c r="H261" s="25"/>
    </row>
    <row r="262" spans="1:8" x14ac:dyDescent="0.2">
      <c r="A262" s="25" t="s">
        <v>1441</v>
      </c>
      <c r="B262" s="78"/>
      <c r="G262" s="25"/>
      <c r="H262" s="25"/>
    </row>
    <row r="263" spans="1:8" x14ac:dyDescent="0.2">
      <c r="A263" s="25" t="s">
        <v>1442</v>
      </c>
      <c r="B263" s="78"/>
      <c r="G263" s="25"/>
      <c r="H263" s="25"/>
    </row>
    <row r="264" spans="1:8" x14ac:dyDescent="0.2">
      <c r="A264" s="25" t="s">
        <v>1443</v>
      </c>
      <c r="B264" s="78"/>
      <c r="G264" s="25"/>
      <c r="H264" s="25"/>
    </row>
    <row r="265" spans="1:8" x14ac:dyDescent="0.2">
      <c r="A265" s="25" t="s">
        <v>1444</v>
      </c>
      <c r="B265" s="78"/>
      <c r="G265" s="25"/>
      <c r="H265" s="25"/>
    </row>
    <row r="266" spans="1:8" x14ac:dyDescent="0.2">
      <c r="A266" s="25" t="s">
        <v>1445</v>
      </c>
      <c r="B266" s="78"/>
      <c r="G266" s="25"/>
      <c r="H266" s="25"/>
    </row>
    <row r="267" spans="1:8" x14ac:dyDescent="0.2">
      <c r="A267" s="25" t="s">
        <v>1446</v>
      </c>
      <c r="B267" s="78"/>
      <c r="G267" s="25"/>
      <c r="H267" s="25"/>
    </row>
    <row r="268" spans="1:8" x14ac:dyDescent="0.2">
      <c r="A268" s="25" t="s">
        <v>1447</v>
      </c>
      <c r="B268" s="78"/>
      <c r="G268" s="25"/>
      <c r="H268" s="25"/>
    </row>
    <row r="269" spans="1:8" x14ac:dyDescent="0.2">
      <c r="A269" s="25" t="s">
        <v>3475</v>
      </c>
      <c r="B269" s="78"/>
      <c r="G269" s="25"/>
      <c r="H269" s="25"/>
    </row>
    <row r="270" spans="1:8" x14ac:dyDescent="0.2">
      <c r="A270" s="25" t="s">
        <v>868</v>
      </c>
      <c r="B270" s="78"/>
      <c r="G270" s="25"/>
      <c r="H270" s="25"/>
    </row>
    <row r="271" spans="1:8" x14ac:dyDescent="0.2">
      <c r="A271" s="25" t="s">
        <v>877</v>
      </c>
      <c r="B271" s="78"/>
      <c r="G271" s="25"/>
      <c r="H271" s="25"/>
    </row>
    <row r="272" spans="1:8" x14ac:dyDescent="0.2">
      <c r="A272" s="25" t="s">
        <v>878</v>
      </c>
      <c r="B272" s="78"/>
      <c r="G272" s="25"/>
      <c r="H272" s="25"/>
    </row>
    <row r="273" spans="1:8" x14ac:dyDescent="0.2">
      <c r="A273" s="25" t="s">
        <v>879</v>
      </c>
      <c r="B273" s="78"/>
      <c r="G273" s="25"/>
      <c r="H273" s="25"/>
    </row>
    <row r="274" spans="1:8" x14ac:dyDescent="0.2">
      <c r="A274" s="25" t="s">
        <v>880</v>
      </c>
      <c r="B274" s="78"/>
      <c r="G274" s="25"/>
      <c r="H274" s="25"/>
    </row>
    <row r="275" spans="1:8" x14ac:dyDescent="0.2">
      <c r="A275" s="25" t="s">
        <v>881</v>
      </c>
      <c r="B275" s="78"/>
      <c r="G275" s="25"/>
      <c r="H275" s="25"/>
    </row>
    <row r="276" spans="1:8" x14ac:dyDescent="0.2">
      <c r="A276" s="25" t="s">
        <v>882</v>
      </c>
      <c r="B276" s="78"/>
      <c r="G276" s="25"/>
      <c r="H276" s="25"/>
    </row>
    <row r="277" spans="1:8" x14ac:dyDescent="0.2">
      <c r="A277" s="25" t="s">
        <v>883</v>
      </c>
      <c r="B277" s="78"/>
      <c r="G277" s="25"/>
      <c r="H277" s="25"/>
    </row>
    <row r="278" spans="1:8" x14ac:dyDescent="0.2">
      <c r="A278" s="25" t="s">
        <v>3476</v>
      </c>
      <c r="B278" s="78"/>
      <c r="G278" s="25"/>
      <c r="H278" s="25"/>
    </row>
    <row r="279" spans="1:8" x14ac:dyDescent="0.2">
      <c r="A279" s="25" t="s">
        <v>3477</v>
      </c>
      <c r="B279" s="78"/>
      <c r="G279" s="25"/>
      <c r="H279" s="25"/>
    </row>
    <row r="280" spans="1:8" x14ac:dyDescent="0.2">
      <c r="A280" s="25" t="s">
        <v>3478</v>
      </c>
      <c r="B280" s="78"/>
      <c r="G280" s="25"/>
      <c r="H280" s="25"/>
    </row>
    <row r="281" spans="1:8" x14ac:dyDescent="0.2">
      <c r="A281" s="25" t="s">
        <v>3479</v>
      </c>
      <c r="B281" s="78"/>
      <c r="G281" s="25"/>
      <c r="H281" s="25"/>
    </row>
    <row r="282" spans="1:8" x14ac:dyDescent="0.2">
      <c r="A282" s="25" t="s">
        <v>3480</v>
      </c>
      <c r="B282" s="78"/>
      <c r="G282" s="25"/>
      <c r="H282" s="25"/>
    </row>
    <row r="283" spans="1:8" x14ac:dyDescent="0.2">
      <c r="A283" s="25" t="s">
        <v>3481</v>
      </c>
      <c r="B283" s="78"/>
      <c r="G283" s="25"/>
      <c r="H283" s="25"/>
    </row>
    <row r="284" spans="1:8" x14ac:dyDescent="0.2">
      <c r="A284" s="25" t="s">
        <v>864</v>
      </c>
      <c r="B284" s="78"/>
      <c r="G284" s="25"/>
      <c r="H284" s="25"/>
    </row>
    <row r="285" spans="1:8" x14ac:dyDescent="0.2">
      <c r="A285" s="25" t="s">
        <v>865</v>
      </c>
      <c r="B285" s="78"/>
      <c r="G285" s="25"/>
      <c r="H285" s="25"/>
    </row>
    <row r="286" spans="1:8" x14ac:dyDescent="0.2">
      <c r="A286" s="25" t="s">
        <v>866</v>
      </c>
      <c r="B286" s="78"/>
      <c r="G286" s="25"/>
      <c r="H286" s="25"/>
    </row>
    <row r="287" spans="1:8" x14ac:dyDescent="0.2">
      <c r="A287" s="25" t="s">
        <v>867</v>
      </c>
      <c r="B287" s="78"/>
      <c r="G287" s="25"/>
      <c r="H287" s="25"/>
    </row>
    <row r="288" spans="1:8" x14ac:dyDescent="0.2">
      <c r="A288" s="25" t="s">
        <v>869</v>
      </c>
      <c r="B288" s="78"/>
      <c r="G288" s="25"/>
      <c r="H288" s="25"/>
    </row>
    <row r="289" spans="1:8" x14ac:dyDescent="0.2">
      <c r="A289" s="25" t="s">
        <v>870</v>
      </c>
      <c r="B289" s="78"/>
      <c r="G289" s="25"/>
      <c r="H289" s="25"/>
    </row>
    <row r="290" spans="1:8" x14ac:dyDescent="0.2">
      <c r="A290" s="25" t="s">
        <v>871</v>
      </c>
      <c r="B290" s="78"/>
      <c r="G290" s="25"/>
      <c r="H290" s="25"/>
    </row>
    <row r="291" spans="1:8" x14ac:dyDescent="0.2">
      <c r="A291" s="25" t="s">
        <v>872</v>
      </c>
      <c r="B291" s="78"/>
      <c r="G291" s="25"/>
      <c r="H291" s="25"/>
    </row>
    <row r="292" spans="1:8" x14ac:dyDescent="0.2">
      <c r="A292" s="25" t="s">
        <v>873</v>
      </c>
      <c r="B292" s="78"/>
      <c r="G292" s="25"/>
      <c r="H292" s="25"/>
    </row>
    <row r="293" spans="1:8" x14ac:dyDescent="0.2">
      <c r="A293" s="25" t="s">
        <v>874</v>
      </c>
      <c r="B293" s="78"/>
      <c r="G293" s="25"/>
      <c r="H293" s="25"/>
    </row>
    <row r="294" spans="1:8" x14ac:dyDescent="0.2">
      <c r="A294" s="25" t="s">
        <v>875</v>
      </c>
      <c r="B294" s="78"/>
      <c r="G294" s="25"/>
      <c r="H294" s="25"/>
    </row>
    <row r="295" spans="1:8" x14ac:dyDescent="0.2">
      <c r="A295" s="25" t="s">
        <v>876</v>
      </c>
      <c r="B295" s="78"/>
      <c r="G295" s="25"/>
      <c r="H295" s="25"/>
    </row>
    <row r="296" spans="1:8" x14ac:dyDescent="0.2">
      <c r="A296" s="25" t="s">
        <v>1041</v>
      </c>
      <c r="B296" s="78"/>
      <c r="G296" s="25"/>
      <c r="H296" s="25"/>
    </row>
    <row r="297" spans="1:8" x14ac:dyDescent="0.2">
      <c r="A297" s="25" t="s">
        <v>1051</v>
      </c>
      <c r="B297" s="78"/>
      <c r="G297" s="25"/>
      <c r="H297" s="25"/>
    </row>
    <row r="298" spans="1:8" x14ac:dyDescent="0.2">
      <c r="A298" s="25" t="s">
        <v>1052</v>
      </c>
      <c r="B298" s="78"/>
      <c r="G298" s="25"/>
      <c r="H298" s="25"/>
    </row>
    <row r="299" spans="1:8" x14ac:dyDescent="0.2">
      <c r="A299" s="25" t="s">
        <v>1053</v>
      </c>
      <c r="B299" s="78"/>
      <c r="G299" s="25"/>
      <c r="H299" s="25"/>
    </row>
    <row r="300" spans="1:8" x14ac:dyDescent="0.2">
      <c r="A300" s="25" t="s">
        <v>1054</v>
      </c>
      <c r="B300" s="78"/>
      <c r="G300" s="25"/>
      <c r="H300" s="25"/>
    </row>
    <row r="301" spans="1:8" x14ac:dyDescent="0.2">
      <c r="A301" s="25" t="s">
        <v>1055</v>
      </c>
      <c r="B301" s="78"/>
      <c r="G301" s="25"/>
      <c r="H301" s="25"/>
    </row>
    <row r="302" spans="1:8" x14ac:dyDescent="0.2">
      <c r="A302" s="25" t="s">
        <v>1056</v>
      </c>
      <c r="B302" s="78"/>
      <c r="G302" s="25"/>
      <c r="H302" s="25"/>
    </row>
    <row r="303" spans="1:8" x14ac:dyDescent="0.2">
      <c r="A303" s="25" t="s">
        <v>1057</v>
      </c>
      <c r="B303" s="78"/>
      <c r="G303" s="25"/>
      <c r="H303" s="25"/>
    </row>
    <row r="304" spans="1:8" x14ac:dyDescent="0.2">
      <c r="A304" s="25" t="s">
        <v>1058</v>
      </c>
      <c r="B304" s="78"/>
      <c r="G304" s="25"/>
      <c r="H304" s="25"/>
    </row>
    <row r="305" spans="1:8" x14ac:dyDescent="0.2">
      <c r="A305" s="25" t="s">
        <v>1042</v>
      </c>
      <c r="B305" s="78"/>
      <c r="G305" s="25"/>
      <c r="H305" s="25"/>
    </row>
    <row r="306" spans="1:8" x14ac:dyDescent="0.2">
      <c r="A306" s="25" t="s">
        <v>1043</v>
      </c>
      <c r="B306" s="78"/>
      <c r="G306" s="25"/>
      <c r="H306" s="25"/>
    </row>
    <row r="307" spans="1:8" x14ac:dyDescent="0.2">
      <c r="A307" s="25" t="s">
        <v>1044</v>
      </c>
      <c r="B307" s="78"/>
      <c r="G307" s="25"/>
      <c r="H307" s="25"/>
    </row>
    <row r="308" spans="1:8" x14ac:dyDescent="0.2">
      <c r="A308" s="25" t="s">
        <v>1045</v>
      </c>
      <c r="B308" s="78"/>
      <c r="G308" s="25"/>
      <c r="H308" s="25"/>
    </row>
    <row r="309" spans="1:8" x14ac:dyDescent="0.2">
      <c r="A309" s="25" t="s">
        <v>1046</v>
      </c>
      <c r="B309" s="78"/>
      <c r="G309" s="25"/>
      <c r="H309" s="25"/>
    </row>
    <row r="310" spans="1:8" x14ac:dyDescent="0.2">
      <c r="A310" s="25" t="s">
        <v>1047</v>
      </c>
      <c r="B310" s="78"/>
      <c r="G310" s="25"/>
      <c r="H310" s="25"/>
    </row>
    <row r="311" spans="1:8" x14ac:dyDescent="0.2">
      <c r="A311" s="25" t="s">
        <v>1048</v>
      </c>
      <c r="B311" s="78"/>
      <c r="G311" s="25"/>
      <c r="H311" s="25"/>
    </row>
    <row r="312" spans="1:8" x14ac:dyDescent="0.2">
      <c r="A312" s="25" t="s">
        <v>1049</v>
      </c>
      <c r="B312" s="78"/>
      <c r="G312" s="25"/>
      <c r="H312" s="25"/>
    </row>
    <row r="313" spans="1:8" x14ac:dyDescent="0.2">
      <c r="A313" s="25" t="s">
        <v>1050</v>
      </c>
      <c r="B313" s="78"/>
      <c r="G313" s="25"/>
      <c r="H313" s="25"/>
    </row>
    <row r="314" spans="1:8" x14ac:dyDescent="0.2">
      <c r="A314" s="25" t="s">
        <v>884</v>
      </c>
      <c r="B314" s="78"/>
      <c r="G314" s="25"/>
      <c r="H314" s="25"/>
    </row>
    <row r="315" spans="1:8" x14ac:dyDescent="0.2">
      <c r="A315" s="25" t="s">
        <v>885</v>
      </c>
      <c r="B315" s="78"/>
      <c r="G315" s="25"/>
      <c r="H315" s="25"/>
    </row>
    <row r="316" spans="1:8" x14ac:dyDescent="0.2">
      <c r="A316" s="25" t="s">
        <v>886</v>
      </c>
      <c r="B316" s="78"/>
      <c r="G316" s="25"/>
      <c r="H316" s="25"/>
    </row>
    <row r="317" spans="1:8" x14ac:dyDescent="0.2">
      <c r="A317" s="25" t="s">
        <v>887</v>
      </c>
      <c r="B317" s="78"/>
      <c r="G317" s="25"/>
      <c r="H317" s="25"/>
    </row>
    <row r="318" spans="1:8" x14ac:dyDescent="0.2">
      <c r="A318" s="25" t="s">
        <v>888</v>
      </c>
      <c r="B318" s="78"/>
      <c r="G318" s="25"/>
      <c r="H318" s="25"/>
    </row>
    <row r="319" spans="1:8" x14ac:dyDescent="0.2">
      <c r="A319" s="25" t="s">
        <v>889</v>
      </c>
      <c r="B319" s="78"/>
      <c r="G319" s="25"/>
      <c r="H319" s="25"/>
    </row>
    <row r="320" spans="1:8" x14ac:dyDescent="0.2">
      <c r="A320" s="25" t="s">
        <v>890</v>
      </c>
      <c r="B320" s="78"/>
      <c r="G320" s="25"/>
      <c r="H320" s="25"/>
    </row>
    <row r="321" spans="1:8" x14ac:dyDescent="0.2">
      <c r="A321" s="25" t="s">
        <v>891</v>
      </c>
      <c r="B321" s="78"/>
      <c r="G321" s="25"/>
      <c r="H321" s="25"/>
    </row>
    <row r="322" spans="1:8" x14ac:dyDescent="0.2">
      <c r="A322" s="25" t="s">
        <v>2412</v>
      </c>
      <c r="B322" s="78"/>
      <c r="G322" s="25"/>
      <c r="H322" s="25"/>
    </row>
    <row r="323" spans="1:8" x14ac:dyDescent="0.2">
      <c r="A323" s="25" t="s">
        <v>0</v>
      </c>
      <c r="B323" s="78"/>
      <c r="G323" s="25"/>
      <c r="H323" s="25"/>
    </row>
    <row r="324" spans="1:8" x14ac:dyDescent="0.2">
      <c r="A324" s="25" t="s">
        <v>10</v>
      </c>
      <c r="B324" s="78"/>
      <c r="G324" s="25"/>
      <c r="H324" s="25"/>
    </row>
    <row r="325" spans="1:8" x14ac:dyDescent="0.2">
      <c r="A325" s="25" t="s">
        <v>11</v>
      </c>
      <c r="B325" s="78"/>
      <c r="G325" s="25"/>
      <c r="H325" s="25"/>
    </row>
    <row r="326" spans="1:8" x14ac:dyDescent="0.2">
      <c r="A326" s="25" t="s">
        <v>12</v>
      </c>
      <c r="B326" s="78"/>
      <c r="G326" s="25"/>
      <c r="H326" s="25"/>
    </row>
    <row r="327" spans="1:8" x14ac:dyDescent="0.2">
      <c r="A327" s="25" t="s">
        <v>13</v>
      </c>
      <c r="B327" s="78"/>
      <c r="G327" s="25"/>
      <c r="H327" s="25"/>
    </row>
    <row r="328" spans="1:8" x14ac:dyDescent="0.2">
      <c r="A328" s="25" t="s">
        <v>14</v>
      </c>
      <c r="B328" s="78"/>
      <c r="G328" s="25"/>
      <c r="H328" s="25"/>
    </row>
    <row r="329" spans="1:8" x14ac:dyDescent="0.2">
      <c r="A329" s="25" t="s">
        <v>15</v>
      </c>
      <c r="B329" s="78"/>
      <c r="G329" s="25"/>
      <c r="H329" s="25"/>
    </row>
    <row r="330" spans="1:8" x14ac:dyDescent="0.2">
      <c r="A330" s="25" t="s">
        <v>16</v>
      </c>
      <c r="B330" s="78"/>
      <c r="G330" s="25"/>
      <c r="H330" s="25"/>
    </row>
    <row r="331" spans="1:8" x14ac:dyDescent="0.2">
      <c r="A331" s="25" t="s">
        <v>17</v>
      </c>
      <c r="B331" s="78"/>
      <c r="G331" s="25"/>
      <c r="H331" s="25"/>
    </row>
    <row r="332" spans="1:8" x14ac:dyDescent="0.2">
      <c r="A332" s="25" t="s">
        <v>1</v>
      </c>
      <c r="B332" s="78"/>
      <c r="G332" s="25"/>
      <c r="H332" s="25"/>
    </row>
    <row r="333" spans="1:8" x14ac:dyDescent="0.2">
      <c r="A333" s="25" t="s">
        <v>2</v>
      </c>
      <c r="B333" s="78"/>
      <c r="G333" s="25"/>
      <c r="H333" s="25"/>
    </row>
    <row r="334" spans="1:8" x14ac:dyDescent="0.2">
      <c r="A334" s="25" t="s">
        <v>3</v>
      </c>
      <c r="B334" s="78"/>
      <c r="G334" s="25"/>
      <c r="H334" s="25"/>
    </row>
    <row r="335" spans="1:8" x14ac:dyDescent="0.2">
      <c r="A335" s="25" t="s">
        <v>4</v>
      </c>
      <c r="B335" s="78"/>
      <c r="G335" s="25"/>
      <c r="H335" s="25"/>
    </row>
    <row r="336" spans="1:8" x14ac:dyDescent="0.2">
      <c r="A336" s="25" t="s">
        <v>5</v>
      </c>
      <c r="B336" s="78"/>
      <c r="G336" s="25"/>
      <c r="H336" s="25"/>
    </row>
    <row r="337" spans="1:8" x14ac:dyDescent="0.2">
      <c r="A337" s="25" t="s">
        <v>6</v>
      </c>
      <c r="B337" s="78"/>
      <c r="G337" s="25"/>
      <c r="H337" s="25"/>
    </row>
    <row r="338" spans="1:8" x14ac:dyDescent="0.2">
      <c r="A338" s="25" t="s">
        <v>7</v>
      </c>
      <c r="B338" s="78"/>
      <c r="G338" s="25"/>
      <c r="H338" s="25"/>
    </row>
    <row r="339" spans="1:8" x14ac:dyDescent="0.2">
      <c r="A339" s="25" t="s">
        <v>8</v>
      </c>
      <c r="B339" s="78"/>
      <c r="G339" s="25"/>
      <c r="H339" s="25"/>
    </row>
    <row r="340" spans="1:8" x14ac:dyDescent="0.2">
      <c r="A340" s="25" t="s">
        <v>9</v>
      </c>
      <c r="B340" s="78"/>
      <c r="G340" s="25"/>
      <c r="H340" s="25"/>
    </row>
    <row r="341" spans="1:8" x14ac:dyDescent="0.2">
      <c r="A341" s="25" t="s">
        <v>2413</v>
      </c>
      <c r="B341" s="78"/>
      <c r="G341" s="25"/>
      <c r="H341" s="25"/>
    </row>
    <row r="342" spans="1:8" x14ac:dyDescent="0.2">
      <c r="A342" s="25" t="s">
        <v>2414</v>
      </c>
      <c r="B342" s="78"/>
      <c r="G342" s="25"/>
      <c r="H342" s="25"/>
    </row>
    <row r="343" spans="1:8" x14ac:dyDescent="0.2">
      <c r="A343" s="25" t="s">
        <v>2415</v>
      </c>
      <c r="B343" s="78"/>
      <c r="G343" s="25"/>
      <c r="H343" s="25"/>
    </row>
    <row r="344" spans="1:8" x14ac:dyDescent="0.2">
      <c r="A344" s="25" t="s">
        <v>2416</v>
      </c>
      <c r="B344" s="78"/>
      <c r="G344" s="25"/>
      <c r="H344" s="25"/>
    </row>
    <row r="345" spans="1:8" x14ac:dyDescent="0.2">
      <c r="A345" s="25" t="s">
        <v>2417</v>
      </c>
      <c r="B345" s="78"/>
      <c r="G345" s="25"/>
      <c r="H345" s="25"/>
    </row>
    <row r="346" spans="1:8" x14ac:dyDescent="0.2">
      <c r="A346" s="25" t="s">
        <v>2418</v>
      </c>
      <c r="B346" s="78"/>
      <c r="G346" s="25"/>
      <c r="H346" s="25"/>
    </row>
    <row r="347" spans="1:8" x14ac:dyDescent="0.2">
      <c r="A347" s="25" t="s">
        <v>2419</v>
      </c>
      <c r="B347" s="78"/>
      <c r="G347" s="25"/>
      <c r="H347" s="25"/>
    </row>
    <row r="348" spans="1:8" x14ac:dyDescent="0.2">
      <c r="A348" s="25" t="s">
        <v>2420</v>
      </c>
      <c r="B348" s="78"/>
      <c r="G348" s="25"/>
      <c r="H348" s="25"/>
    </row>
    <row r="349" spans="1:8" x14ac:dyDescent="0.2">
      <c r="A349" s="25" t="s">
        <v>2421</v>
      </c>
      <c r="B349" s="78"/>
      <c r="G349" s="25"/>
      <c r="H349" s="25"/>
    </row>
    <row r="350" spans="1:8" x14ac:dyDescent="0.2">
      <c r="A350" s="25" t="s">
        <v>1348</v>
      </c>
      <c r="B350" s="78">
        <v>80</v>
      </c>
      <c r="C350" s="78">
        <v>80</v>
      </c>
      <c r="G350" s="25"/>
      <c r="H350" s="25"/>
    </row>
    <row r="351" spans="1:8" x14ac:dyDescent="0.2">
      <c r="A351" s="25" t="s">
        <v>3403</v>
      </c>
      <c r="B351" s="78">
        <v>0</v>
      </c>
      <c r="C351" s="78">
        <v>0</v>
      </c>
      <c r="G351" s="25"/>
      <c r="H351" s="25"/>
    </row>
    <row r="352" spans="1:8" x14ac:dyDescent="0.2">
      <c r="A352" s="25" t="s">
        <v>453</v>
      </c>
      <c r="B352" s="78"/>
      <c r="G352" s="25"/>
      <c r="H352" s="25"/>
    </row>
    <row r="353" spans="1:8" x14ac:dyDescent="0.2">
      <c r="A353" s="25" t="s">
        <v>454</v>
      </c>
      <c r="B353" s="78"/>
      <c r="G353" s="25"/>
      <c r="H353" s="25"/>
    </row>
    <row r="354" spans="1:8" x14ac:dyDescent="0.2">
      <c r="A354" s="25" t="s">
        <v>1736</v>
      </c>
      <c r="B354" s="78"/>
      <c r="G354" s="25"/>
      <c r="H354" s="25"/>
    </row>
    <row r="355" spans="1:8" x14ac:dyDescent="0.2">
      <c r="A355" s="25" t="s">
        <v>1611</v>
      </c>
      <c r="B355" s="78"/>
      <c r="G355" s="25"/>
      <c r="H355" s="25"/>
    </row>
    <row r="356" spans="1:8" x14ac:dyDescent="0.2">
      <c r="A356" s="25" t="s">
        <v>1612</v>
      </c>
      <c r="B356" s="78"/>
      <c r="G356" s="25"/>
      <c r="H356" s="25"/>
    </row>
    <row r="357" spans="1:8" x14ac:dyDescent="0.2">
      <c r="A357" s="25" t="s">
        <v>1613</v>
      </c>
      <c r="B357" s="78"/>
      <c r="G357" s="25"/>
      <c r="H357" s="25"/>
    </row>
    <row r="358" spans="1:8" x14ac:dyDescent="0.2">
      <c r="A358" s="25" t="s">
        <v>729</v>
      </c>
      <c r="B358" s="78"/>
      <c r="G358" s="25"/>
      <c r="H358" s="25"/>
    </row>
    <row r="359" spans="1:8" x14ac:dyDescent="0.2">
      <c r="A359" s="25" t="s">
        <v>730</v>
      </c>
      <c r="B359" s="78"/>
      <c r="G359" s="25"/>
      <c r="H359" s="25"/>
    </row>
    <row r="360" spans="1:8" x14ac:dyDescent="0.2">
      <c r="A360" s="25" t="s">
        <v>731</v>
      </c>
      <c r="B360" s="78"/>
      <c r="G360" s="25"/>
      <c r="H360" s="25"/>
    </row>
    <row r="361" spans="1:8" x14ac:dyDescent="0.2">
      <c r="A361" s="25" t="s">
        <v>3324</v>
      </c>
      <c r="B361" s="78"/>
      <c r="G361" s="25"/>
      <c r="H361" s="25"/>
    </row>
    <row r="362" spans="1:8" x14ac:dyDescent="0.2">
      <c r="A362" s="25" t="s">
        <v>3325</v>
      </c>
      <c r="B362" s="78"/>
      <c r="G362" s="25"/>
      <c r="H362" s="25"/>
    </row>
    <row r="363" spans="1:8" x14ac:dyDescent="0.2">
      <c r="A363" s="25" t="s">
        <v>3326</v>
      </c>
      <c r="B363" s="78"/>
      <c r="G363" s="25"/>
      <c r="H363" s="25"/>
    </row>
    <row r="364" spans="1:8" x14ac:dyDescent="0.2">
      <c r="A364" s="25" t="s">
        <v>3327</v>
      </c>
      <c r="B364" s="78"/>
      <c r="G364" s="25"/>
      <c r="H364" s="25"/>
    </row>
    <row r="365" spans="1:8" x14ac:dyDescent="0.2">
      <c r="A365" s="25" t="s">
        <v>3328</v>
      </c>
      <c r="B365" s="78"/>
      <c r="G365" s="25"/>
      <c r="H365" s="25"/>
    </row>
    <row r="366" spans="1:8" x14ac:dyDescent="0.2">
      <c r="A366" s="25" t="s">
        <v>2546</v>
      </c>
      <c r="B366" s="78"/>
      <c r="G366" s="25"/>
      <c r="H366" s="25"/>
    </row>
    <row r="367" spans="1:8" x14ac:dyDescent="0.2">
      <c r="A367" s="25" t="s">
        <v>2547</v>
      </c>
      <c r="B367" s="78"/>
      <c r="G367" s="25"/>
      <c r="H367" s="25"/>
    </row>
    <row r="368" spans="1:8" x14ac:dyDescent="0.2">
      <c r="A368" s="25" t="s">
        <v>2548</v>
      </c>
      <c r="B368" s="78"/>
      <c r="G368" s="25"/>
      <c r="H368" s="25"/>
    </row>
    <row r="369" spans="1:8" x14ac:dyDescent="0.2">
      <c r="A369" s="25" t="s">
        <v>2549</v>
      </c>
      <c r="B369" s="78"/>
      <c r="G369" s="25"/>
      <c r="H369" s="25"/>
    </row>
    <row r="370" spans="1:8" x14ac:dyDescent="0.2">
      <c r="A370" s="25" t="s">
        <v>2888</v>
      </c>
      <c r="B370" s="78"/>
      <c r="G370" s="25"/>
      <c r="H370" s="25"/>
    </row>
    <row r="371" spans="1:8" x14ac:dyDescent="0.2">
      <c r="A371" s="25" t="s">
        <v>2889</v>
      </c>
      <c r="B371" s="78"/>
      <c r="G371" s="25"/>
      <c r="H371" s="25"/>
    </row>
    <row r="372" spans="1:8" x14ac:dyDescent="0.2">
      <c r="A372" s="25" t="s">
        <v>1650</v>
      </c>
      <c r="B372" s="78"/>
      <c r="G372" s="25"/>
      <c r="H372" s="25"/>
    </row>
    <row r="373" spans="1:8" x14ac:dyDescent="0.2">
      <c r="A373" s="25" t="s">
        <v>1651</v>
      </c>
      <c r="B373" s="78"/>
      <c r="G373" s="25"/>
      <c r="H373" s="25"/>
    </row>
    <row r="374" spans="1:8" x14ac:dyDescent="0.2">
      <c r="A374" s="25" t="s">
        <v>1652</v>
      </c>
      <c r="B374" s="78"/>
      <c r="G374" s="25"/>
      <c r="H374" s="25"/>
    </row>
    <row r="375" spans="1:8" x14ac:dyDescent="0.2">
      <c r="A375" s="25" t="s">
        <v>1653</v>
      </c>
      <c r="B375" s="78"/>
      <c r="G375" s="25"/>
      <c r="H375" s="25"/>
    </row>
    <row r="376" spans="1:8" x14ac:dyDescent="0.2">
      <c r="A376" s="25" t="s">
        <v>1654</v>
      </c>
      <c r="B376" s="78"/>
      <c r="G376" s="25"/>
      <c r="H376" s="25"/>
    </row>
    <row r="377" spans="1:8" x14ac:dyDescent="0.2">
      <c r="A377" s="25" t="s">
        <v>1655</v>
      </c>
      <c r="B377" s="78"/>
      <c r="G377" s="25"/>
      <c r="H377" s="25"/>
    </row>
    <row r="378" spans="1:8" x14ac:dyDescent="0.2">
      <c r="A378" s="25" t="s">
        <v>3329</v>
      </c>
      <c r="B378" s="78"/>
      <c r="G378" s="25"/>
      <c r="H378" s="25"/>
    </row>
    <row r="379" spans="1:8" x14ac:dyDescent="0.2">
      <c r="A379" s="25" t="s">
        <v>3330</v>
      </c>
      <c r="B379" s="78"/>
      <c r="G379" s="25"/>
      <c r="H379" s="25"/>
    </row>
    <row r="380" spans="1:8" x14ac:dyDescent="0.2">
      <c r="A380" s="25" t="s">
        <v>3331</v>
      </c>
      <c r="B380" s="78"/>
      <c r="G380" s="25"/>
      <c r="H380" s="25"/>
    </row>
    <row r="381" spans="1:8" x14ac:dyDescent="0.2">
      <c r="A381" s="25" t="s">
        <v>3332</v>
      </c>
      <c r="B381" s="78"/>
      <c r="G381" s="25"/>
      <c r="H381" s="25"/>
    </row>
    <row r="382" spans="1:8" x14ac:dyDescent="0.2">
      <c r="A382" s="25" t="s">
        <v>2262</v>
      </c>
      <c r="B382" s="78"/>
      <c r="G382" s="25"/>
      <c r="H382" s="25"/>
    </row>
    <row r="383" spans="1:8" x14ac:dyDescent="0.2">
      <c r="A383" s="25" t="s">
        <v>2263</v>
      </c>
      <c r="B383" s="78"/>
      <c r="G383" s="25"/>
      <c r="H383" s="25"/>
    </row>
    <row r="384" spans="1:8" x14ac:dyDescent="0.2">
      <c r="A384" s="25" t="s">
        <v>2264</v>
      </c>
      <c r="B384" s="78"/>
      <c r="G384" s="25"/>
      <c r="H384" s="25"/>
    </row>
    <row r="385" spans="1:8" x14ac:dyDescent="0.2">
      <c r="A385" s="25" t="s">
        <v>4207</v>
      </c>
      <c r="B385" s="78"/>
      <c r="G385" s="25"/>
      <c r="H385" s="25"/>
    </row>
    <row r="386" spans="1:8" x14ac:dyDescent="0.2">
      <c r="A386" s="25" t="s">
        <v>1748</v>
      </c>
      <c r="B386" s="78"/>
      <c r="G386" s="25"/>
      <c r="H386" s="25"/>
    </row>
    <row r="387" spans="1:8" x14ac:dyDescent="0.2">
      <c r="A387" s="25" t="s">
        <v>1749</v>
      </c>
      <c r="B387" s="78"/>
      <c r="G387" s="25"/>
      <c r="H387" s="25"/>
    </row>
    <row r="388" spans="1:8" x14ac:dyDescent="0.2">
      <c r="A388" s="25" t="s">
        <v>1750</v>
      </c>
      <c r="B388" s="78"/>
      <c r="G388" s="25"/>
      <c r="H388" s="25"/>
    </row>
    <row r="389" spans="1:8" x14ac:dyDescent="0.2">
      <c r="A389" s="25" t="s">
        <v>3870</v>
      </c>
      <c r="B389" s="78"/>
      <c r="G389" s="25"/>
      <c r="H389" s="25"/>
    </row>
    <row r="390" spans="1:8" x14ac:dyDescent="0.2">
      <c r="A390" s="25" t="s">
        <v>3871</v>
      </c>
      <c r="B390" s="78"/>
      <c r="G390" s="25"/>
      <c r="H390" s="25"/>
    </row>
    <row r="391" spans="1:8" x14ac:dyDescent="0.2">
      <c r="A391" s="25" t="s">
        <v>3872</v>
      </c>
      <c r="B391" s="78"/>
      <c r="G391" s="25"/>
      <c r="H391" s="25"/>
    </row>
    <row r="392" spans="1:8" x14ac:dyDescent="0.2">
      <c r="A392" s="25" t="s">
        <v>3873</v>
      </c>
      <c r="B392" s="78">
        <v>1</v>
      </c>
      <c r="C392" s="78">
        <v>1</v>
      </c>
      <c r="G392" s="25"/>
      <c r="H392" s="25"/>
    </row>
    <row r="393" spans="1:8" x14ac:dyDescent="0.2">
      <c r="A393" s="25" t="s">
        <v>3874</v>
      </c>
      <c r="B393" s="78">
        <v>1</v>
      </c>
      <c r="C393" s="78">
        <v>1</v>
      </c>
      <c r="G393" s="25"/>
      <c r="H393" s="25"/>
    </row>
    <row r="394" spans="1:8" x14ac:dyDescent="0.2">
      <c r="A394" s="25" t="s">
        <v>3875</v>
      </c>
      <c r="B394" s="78"/>
      <c r="G394" s="25"/>
      <c r="H394" s="25"/>
    </row>
    <row r="395" spans="1:8" x14ac:dyDescent="0.2">
      <c r="A395" s="25" t="s">
        <v>3876</v>
      </c>
      <c r="B395" s="78"/>
      <c r="G395" s="25"/>
      <c r="H395" s="25"/>
    </row>
    <row r="396" spans="1:8" x14ac:dyDescent="0.2">
      <c r="A396" s="25" t="s">
        <v>3877</v>
      </c>
      <c r="B396" s="78"/>
      <c r="G396" s="25"/>
      <c r="H396" s="25"/>
    </row>
    <row r="397" spans="1:8" x14ac:dyDescent="0.2">
      <c r="A397" s="25" t="s">
        <v>4022</v>
      </c>
      <c r="B397" s="78"/>
      <c r="G397" s="25"/>
      <c r="H397" s="25"/>
    </row>
    <row r="398" spans="1:8" x14ac:dyDescent="0.2">
      <c r="A398" s="25" t="s">
        <v>4023</v>
      </c>
      <c r="B398" s="78"/>
      <c r="G398" s="25"/>
      <c r="H398" s="25"/>
    </row>
    <row r="399" spans="1:8" x14ac:dyDescent="0.2">
      <c r="A399" s="25" t="s">
        <v>4024</v>
      </c>
      <c r="B399" s="78">
        <v>1</v>
      </c>
      <c r="C399" s="78">
        <v>1</v>
      </c>
      <c r="G399" s="25"/>
      <c r="H399" s="25"/>
    </row>
    <row r="400" spans="1:8" x14ac:dyDescent="0.2">
      <c r="A400" s="25" t="s">
        <v>4025</v>
      </c>
      <c r="B400" s="78">
        <v>1</v>
      </c>
      <c r="C400" s="78">
        <v>1</v>
      </c>
      <c r="G400" s="25"/>
      <c r="H400" s="25"/>
    </row>
    <row r="401" spans="1:8" x14ac:dyDescent="0.2">
      <c r="A401" s="25" t="s">
        <v>4026</v>
      </c>
      <c r="B401" s="78">
        <v>1</v>
      </c>
      <c r="C401" s="78">
        <v>1</v>
      </c>
      <c r="G401" s="25"/>
      <c r="H401" s="25"/>
    </row>
    <row r="402" spans="1:8" x14ac:dyDescent="0.2">
      <c r="A402" s="25" t="s">
        <v>4027</v>
      </c>
      <c r="B402" s="78">
        <v>1</v>
      </c>
      <c r="C402" s="78">
        <v>1</v>
      </c>
      <c r="G402" s="25"/>
      <c r="H402" s="25"/>
    </row>
    <row r="403" spans="1:8" x14ac:dyDescent="0.2">
      <c r="A403" s="25" t="s">
        <v>4028</v>
      </c>
      <c r="B403" s="78">
        <v>1</v>
      </c>
      <c r="C403" s="78">
        <v>1</v>
      </c>
      <c r="G403" s="25"/>
      <c r="H403" s="25"/>
    </row>
    <row r="404" spans="1:8" x14ac:dyDescent="0.2">
      <c r="A404" s="25" t="s">
        <v>2316</v>
      </c>
      <c r="B404" s="78">
        <v>1</v>
      </c>
      <c r="C404" s="78">
        <v>1</v>
      </c>
      <c r="G404" s="25"/>
      <c r="H404" s="25"/>
    </row>
    <row r="405" spans="1:8" x14ac:dyDescent="0.2">
      <c r="A405" s="25" t="s">
        <v>2317</v>
      </c>
      <c r="B405" s="78">
        <v>1</v>
      </c>
      <c r="C405" s="78">
        <v>1</v>
      </c>
      <c r="G405" s="25"/>
      <c r="H405" s="25"/>
    </row>
    <row r="406" spans="1:8" x14ac:dyDescent="0.2">
      <c r="A406" s="25" t="s">
        <v>2318</v>
      </c>
      <c r="B406" s="78">
        <v>1</v>
      </c>
      <c r="C406" s="78">
        <v>1</v>
      </c>
      <c r="G406" s="25"/>
      <c r="H406" s="25"/>
    </row>
    <row r="407" spans="1:8" x14ac:dyDescent="0.2">
      <c r="A407" s="25" t="s">
        <v>2319</v>
      </c>
      <c r="B407" s="78"/>
      <c r="G407" s="25"/>
      <c r="H407" s="25"/>
    </row>
    <row r="408" spans="1:8" x14ac:dyDescent="0.2">
      <c r="A408" s="25" t="s">
        <v>2320</v>
      </c>
      <c r="B408" s="78"/>
      <c r="G408" s="25"/>
      <c r="H408" s="25"/>
    </row>
    <row r="409" spans="1:8" x14ac:dyDescent="0.2">
      <c r="A409" s="25" t="s">
        <v>2321</v>
      </c>
      <c r="B409" s="78"/>
      <c r="G409" s="25"/>
      <c r="H409" s="25"/>
    </row>
    <row r="410" spans="1:8" x14ac:dyDescent="0.2">
      <c r="A410" s="25" t="s">
        <v>2322</v>
      </c>
      <c r="B410" s="78"/>
      <c r="G410" s="25"/>
      <c r="H410" s="25"/>
    </row>
    <row r="411" spans="1:8" x14ac:dyDescent="0.2">
      <c r="A411" s="25" t="s">
        <v>2323</v>
      </c>
      <c r="B411" s="78"/>
      <c r="G411" s="25"/>
      <c r="H411" s="25"/>
    </row>
    <row r="412" spans="1:8" x14ac:dyDescent="0.2">
      <c r="A412" s="25" t="s">
        <v>2324</v>
      </c>
      <c r="B412" s="78"/>
      <c r="G412" s="25"/>
      <c r="H412" s="25"/>
    </row>
    <row r="413" spans="1:8" x14ac:dyDescent="0.2">
      <c r="A413" s="25" t="s">
        <v>2325</v>
      </c>
      <c r="B413" s="78">
        <v>50</v>
      </c>
      <c r="C413" s="78">
        <v>50</v>
      </c>
      <c r="G413" s="25"/>
      <c r="H413" s="25"/>
    </row>
    <row r="414" spans="1:8" x14ac:dyDescent="0.2">
      <c r="A414" s="25" t="s">
        <v>2326</v>
      </c>
      <c r="B414" s="78">
        <v>50</v>
      </c>
      <c r="C414" s="78">
        <v>50</v>
      </c>
      <c r="G414" s="25"/>
      <c r="H414" s="25"/>
    </row>
    <row r="415" spans="1:8" x14ac:dyDescent="0.2">
      <c r="A415" s="25" t="s">
        <v>2348</v>
      </c>
      <c r="B415" s="78">
        <v>50</v>
      </c>
      <c r="C415" s="78">
        <v>50</v>
      </c>
      <c r="G415" s="25"/>
      <c r="H415" s="25"/>
    </row>
    <row r="416" spans="1:8" x14ac:dyDescent="0.2">
      <c r="A416" s="25" t="s">
        <v>4190</v>
      </c>
      <c r="B416" s="78">
        <v>50</v>
      </c>
      <c r="C416" s="78">
        <v>50</v>
      </c>
      <c r="G416" s="25"/>
      <c r="H416" s="25"/>
    </row>
    <row r="417" spans="1:8" x14ac:dyDescent="0.2">
      <c r="A417" s="25" t="s">
        <v>4191</v>
      </c>
      <c r="B417" s="78">
        <v>50</v>
      </c>
      <c r="C417" s="78">
        <v>50</v>
      </c>
      <c r="G417" s="25"/>
      <c r="H417" s="25"/>
    </row>
    <row r="418" spans="1:8" x14ac:dyDescent="0.2">
      <c r="A418" t="s">
        <v>676</v>
      </c>
      <c r="B418" s="78">
        <v>50</v>
      </c>
      <c r="C418" s="78">
        <v>50</v>
      </c>
      <c r="G418" s="25"/>
      <c r="H418" s="25"/>
    </row>
    <row r="419" spans="1:8" x14ac:dyDescent="0.2">
      <c r="A419" t="s">
        <v>677</v>
      </c>
      <c r="B419" s="78">
        <v>50</v>
      </c>
      <c r="C419" s="78">
        <v>50</v>
      </c>
      <c r="G419" s="25"/>
      <c r="H419" s="25"/>
    </row>
    <row r="420" spans="1:8" x14ac:dyDescent="0.2">
      <c r="A420" t="s">
        <v>3209</v>
      </c>
      <c r="B420" s="78">
        <v>50</v>
      </c>
      <c r="C420" s="78">
        <v>50</v>
      </c>
      <c r="G420" s="25"/>
      <c r="H420" s="25"/>
    </row>
    <row r="421" spans="1:8" x14ac:dyDescent="0.2">
      <c r="A421" t="s">
        <v>116</v>
      </c>
      <c r="B421" s="78"/>
      <c r="G421" s="25"/>
      <c r="H421" s="25"/>
    </row>
    <row r="422" spans="1:8" x14ac:dyDescent="0.2">
      <c r="A422" t="s">
        <v>117</v>
      </c>
      <c r="B422" s="78">
        <v>50</v>
      </c>
      <c r="C422" s="78">
        <v>50</v>
      </c>
      <c r="G422" s="25"/>
      <c r="H422" s="25"/>
    </row>
    <row r="423" spans="1:8" x14ac:dyDescent="0.2">
      <c r="A423" t="s">
        <v>118</v>
      </c>
      <c r="B423" s="78"/>
      <c r="G423" s="25"/>
      <c r="H423" s="25"/>
    </row>
    <row r="424" spans="1:8" x14ac:dyDescent="0.2">
      <c r="A424" s="25" t="s">
        <v>2727</v>
      </c>
      <c r="B424" s="78">
        <v>50</v>
      </c>
      <c r="C424" s="78">
        <v>50</v>
      </c>
      <c r="G424" s="25"/>
      <c r="H424" s="25"/>
    </row>
    <row r="425" spans="1:8" x14ac:dyDescent="0.2">
      <c r="A425" s="25" t="s">
        <v>112</v>
      </c>
      <c r="B425" s="78"/>
      <c r="G425" s="25"/>
      <c r="H425" s="25"/>
    </row>
    <row r="426" spans="1:8" x14ac:dyDescent="0.2">
      <c r="A426" s="25" t="s">
        <v>113</v>
      </c>
      <c r="B426" s="78">
        <v>50</v>
      </c>
      <c r="C426" s="78">
        <v>50</v>
      </c>
      <c r="G426" s="25"/>
      <c r="H426" s="25"/>
    </row>
    <row r="427" spans="1:8" x14ac:dyDescent="0.2">
      <c r="A427" s="25" t="s">
        <v>114</v>
      </c>
      <c r="B427" s="78">
        <v>50</v>
      </c>
      <c r="C427" s="78">
        <v>50</v>
      </c>
      <c r="G427" s="25"/>
      <c r="H427" s="25"/>
    </row>
    <row r="428" spans="1:8" x14ac:dyDescent="0.2">
      <c r="A428" s="25" t="s">
        <v>115</v>
      </c>
      <c r="B428" s="78">
        <v>50</v>
      </c>
      <c r="C428" s="78">
        <v>50</v>
      </c>
      <c r="G428" s="25"/>
      <c r="H428" s="25"/>
    </row>
    <row r="429" spans="1:8" x14ac:dyDescent="0.2">
      <c r="A429" s="25" t="s">
        <v>2728</v>
      </c>
      <c r="B429" s="78">
        <v>1</v>
      </c>
      <c r="C429" s="78">
        <v>1</v>
      </c>
      <c r="G429" s="25"/>
      <c r="H429" s="25"/>
    </row>
    <row r="430" spans="1:8" x14ac:dyDescent="0.2">
      <c r="A430" s="25" t="s">
        <v>2729</v>
      </c>
      <c r="B430" s="78">
        <v>50</v>
      </c>
      <c r="C430" s="78">
        <v>50</v>
      </c>
      <c r="G430" s="25"/>
      <c r="H430" s="25"/>
    </row>
    <row r="431" spans="1:8" x14ac:dyDescent="0.2">
      <c r="A431" s="25" t="s">
        <v>4183</v>
      </c>
      <c r="B431" s="78">
        <v>50</v>
      </c>
      <c r="C431" s="78">
        <v>50</v>
      </c>
      <c r="G431" s="25"/>
      <c r="H431" s="25"/>
    </row>
    <row r="432" spans="1:8" x14ac:dyDescent="0.2">
      <c r="A432" s="25" t="s">
        <v>2497</v>
      </c>
      <c r="B432" s="78">
        <v>50</v>
      </c>
      <c r="C432" s="78">
        <v>50</v>
      </c>
      <c r="G432" s="25"/>
      <c r="H432" s="25"/>
    </row>
    <row r="433" spans="1:8" x14ac:dyDescent="0.2">
      <c r="A433" s="25" t="s">
        <v>2498</v>
      </c>
      <c r="B433" s="78">
        <v>50</v>
      </c>
      <c r="C433" s="78">
        <v>50</v>
      </c>
      <c r="G433" s="25"/>
      <c r="H433" s="25"/>
    </row>
    <row r="434" spans="1:8" x14ac:dyDescent="0.2">
      <c r="A434" s="25" t="s">
        <v>2499</v>
      </c>
      <c r="B434" s="78">
        <v>50</v>
      </c>
      <c r="C434" s="78">
        <v>50</v>
      </c>
      <c r="G434" s="25"/>
      <c r="H434" s="25"/>
    </row>
    <row r="435" spans="1:8" x14ac:dyDescent="0.2">
      <c r="A435" s="25" t="s">
        <v>3722</v>
      </c>
      <c r="B435" s="78">
        <v>50</v>
      </c>
      <c r="C435" s="78">
        <v>50</v>
      </c>
      <c r="G435" s="25"/>
      <c r="H435" s="25"/>
    </row>
    <row r="436" spans="1:8" x14ac:dyDescent="0.2">
      <c r="A436" s="25" t="s">
        <v>3723</v>
      </c>
      <c r="B436" s="78">
        <v>4</v>
      </c>
      <c r="C436" s="78">
        <v>4</v>
      </c>
      <c r="G436" s="25"/>
      <c r="H436" s="25"/>
    </row>
    <row r="437" spans="1:8" x14ac:dyDescent="0.2">
      <c r="A437" s="25" t="s">
        <v>3724</v>
      </c>
      <c r="B437" s="78">
        <v>4</v>
      </c>
      <c r="C437" s="78">
        <v>4</v>
      </c>
      <c r="G437" s="25"/>
      <c r="H437" s="25"/>
    </row>
    <row r="438" spans="1:8" x14ac:dyDescent="0.2">
      <c r="A438" s="25" t="s">
        <v>3725</v>
      </c>
      <c r="B438" s="78">
        <v>4</v>
      </c>
      <c r="C438" s="78">
        <v>4</v>
      </c>
      <c r="G438" s="25"/>
      <c r="H438" s="25"/>
    </row>
    <row r="439" spans="1:8" x14ac:dyDescent="0.2">
      <c r="A439" s="25" t="s">
        <v>3313</v>
      </c>
      <c r="B439" s="78">
        <v>4</v>
      </c>
      <c r="C439" s="78">
        <v>4</v>
      </c>
      <c r="G439" s="25"/>
      <c r="H439" s="25"/>
    </row>
    <row r="440" spans="1:8" x14ac:dyDescent="0.2">
      <c r="A440" s="25" t="s">
        <v>3624</v>
      </c>
      <c r="B440" s="78">
        <v>4</v>
      </c>
      <c r="C440" s="78">
        <v>4</v>
      </c>
      <c r="G440" s="25"/>
      <c r="H440" s="25"/>
    </row>
    <row r="441" spans="1:8" x14ac:dyDescent="0.2">
      <c r="A441" s="25" t="s">
        <v>3625</v>
      </c>
      <c r="B441" s="78">
        <v>4</v>
      </c>
      <c r="C441" s="78">
        <v>4</v>
      </c>
      <c r="G441" s="25"/>
      <c r="H441" s="25"/>
    </row>
    <row r="442" spans="1:8" x14ac:dyDescent="0.2">
      <c r="A442" s="25" t="s">
        <v>3626</v>
      </c>
      <c r="B442" s="78">
        <v>4</v>
      </c>
      <c r="C442" s="78">
        <v>4</v>
      </c>
      <c r="G442" s="25"/>
      <c r="H442" s="25"/>
    </row>
    <row r="443" spans="1:8" x14ac:dyDescent="0.2">
      <c r="A443" s="25" t="s">
        <v>3627</v>
      </c>
      <c r="B443" s="78">
        <v>4</v>
      </c>
      <c r="C443" s="78">
        <v>4</v>
      </c>
      <c r="G443" s="25"/>
      <c r="H443" s="25"/>
    </row>
    <row r="444" spans="1:8" x14ac:dyDescent="0.2">
      <c r="A444" s="25" t="s">
        <v>3311</v>
      </c>
      <c r="B444" s="78">
        <v>4</v>
      </c>
      <c r="C444" s="78">
        <v>4</v>
      </c>
      <c r="G444" s="25"/>
      <c r="H444" s="25"/>
    </row>
    <row r="445" spans="1:8" x14ac:dyDescent="0.2">
      <c r="A445" s="25" t="s">
        <v>3312</v>
      </c>
      <c r="B445" s="78">
        <v>4</v>
      </c>
      <c r="C445" s="78">
        <v>4</v>
      </c>
      <c r="G445" s="25"/>
      <c r="H445" s="25"/>
    </row>
    <row r="446" spans="1:8" x14ac:dyDescent="0.2">
      <c r="A446" s="25" t="s">
        <v>3298</v>
      </c>
      <c r="B446" s="78">
        <v>4</v>
      </c>
      <c r="C446" s="78">
        <v>4</v>
      </c>
      <c r="G446" s="25"/>
      <c r="H446" s="25"/>
    </row>
    <row r="447" spans="1:8" x14ac:dyDescent="0.2">
      <c r="A447" s="25" t="s">
        <v>3299</v>
      </c>
      <c r="B447" s="78">
        <v>4</v>
      </c>
      <c r="C447" s="78">
        <v>4</v>
      </c>
      <c r="G447" s="25"/>
      <c r="H447" s="25"/>
    </row>
    <row r="448" spans="1:8" x14ac:dyDescent="0.2">
      <c r="A448" s="25" t="s">
        <v>3300</v>
      </c>
      <c r="B448" s="78">
        <v>4</v>
      </c>
      <c r="C448" s="78">
        <v>4</v>
      </c>
      <c r="G448" s="25"/>
      <c r="H448" s="25"/>
    </row>
    <row r="449" spans="1:8" x14ac:dyDescent="0.2">
      <c r="A449" s="25" t="s">
        <v>3199</v>
      </c>
      <c r="B449" s="78">
        <v>4</v>
      </c>
      <c r="C449" s="78">
        <v>4</v>
      </c>
      <c r="G449" s="25"/>
      <c r="H449" s="25"/>
    </row>
    <row r="450" spans="1:8" x14ac:dyDescent="0.2">
      <c r="A450" s="25" t="s">
        <v>3200</v>
      </c>
      <c r="B450" s="78">
        <v>4</v>
      </c>
      <c r="C450" s="78">
        <v>4</v>
      </c>
      <c r="G450" s="25"/>
      <c r="H450" s="25"/>
    </row>
    <row r="451" spans="1:8" x14ac:dyDescent="0.2">
      <c r="A451" s="25" t="s">
        <v>3201</v>
      </c>
      <c r="B451" s="78">
        <v>1</v>
      </c>
      <c r="C451" s="78">
        <v>1</v>
      </c>
      <c r="G451" s="25"/>
      <c r="H451" s="25"/>
    </row>
    <row r="452" spans="1:8" x14ac:dyDescent="0.2">
      <c r="A452" s="25" t="s">
        <v>3202</v>
      </c>
      <c r="B452" s="78"/>
      <c r="G452" s="25"/>
      <c r="H452" s="25"/>
    </row>
    <row r="453" spans="1:8" x14ac:dyDescent="0.2">
      <c r="A453" s="25" t="s">
        <v>3203</v>
      </c>
      <c r="B453" s="78"/>
      <c r="G453" s="25"/>
      <c r="H453" s="25"/>
    </row>
    <row r="454" spans="1:8" x14ac:dyDescent="0.2">
      <c r="A454" s="25" t="s">
        <v>3975</v>
      </c>
      <c r="B454" s="78"/>
      <c r="G454" s="25"/>
      <c r="H454" s="25"/>
    </row>
    <row r="455" spans="1:8" x14ac:dyDescent="0.2">
      <c r="A455" s="25" t="s">
        <v>3976</v>
      </c>
      <c r="B455" s="78"/>
      <c r="G455" s="25"/>
      <c r="H455" s="25"/>
    </row>
    <row r="456" spans="1:8" x14ac:dyDescent="0.2">
      <c r="A456" s="25" t="s">
        <v>3977</v>
      </c>
      <c r="B456" s="78"/>
      <c r="G456" s="25"/>
      <c r="H456" s="25"/>
    </row>
    <row r="457" spans="1:8" x14ac:dyDescent="0.2">
      <c r="A457" s="25" t="s">
        <v>3978</v>
      </c>
      <c r="B457" s="78"/>
      <c r="G457" s="25"/>
      <c r="H457" s="25"/>
    </row>
    <row r="458" spans="1:8" x14ac:dyDescent="0.2">
      <c r="A458" s="25" t="s">
        <v>3979</v>
      </c>
      <c r="B458" s="78"/>
      <c r="G458" s="25"/>
      <c r="H458" s="25"/>
    </row>
    <row r="459" spans="1:8" x14ac:dyDescent="0.2">
      <c r="A459" s="25" t="s">
        <v>3980</v>
      </c>
      <c r="B459" s="78"/>
      <c r="G459" s="25"/>
      <c r="H459" s="25"/>
    </row>
    <row r="460" spans="1:8" x14ac:dyDescent="0.2">
      <c r="A460" s="25" t="s">
        <v>3981</v>
      </c>
      <c r="B460" s="78"/>
      <c r="G460" s="25"/>
      <c r="H460" s="25"/>
    </row>
    <row r="461" spans="1:8" x14ac:dyDescent="0.2">
      <c r="A461" s="25" t="s">
        <v>3982</v>
      </c>
      <c r="B461" s="78"/>
      <c r="G461" s="25"/>
      <c r="H461" s="25"/>
    </row>
    <row r="462" spans="1:8" x14ac:dyDescent="0.2">
      <c r="A462" s="25" t="s">
        <v>3983</v>
      </c>
      <c r="B462" s="78"/>
      <c r="G462" s="25"/>
      <c r="H462" s="25"/>
    </row>
    <row r="463" spans="1:8" x14ac:dyDescent="0.2">
      <c r="A463" s="25" t="s">
        <v>3984</v>
      </c>
      <c r="B463" s="78"/>
      <c r="G463" s="25"/>
      <c r="H463" s="25"/>
    </row>
    <row r="464" spans="1:8" x14ac:dyDescent="0.2">
      <c r="A464" s="25" t="s">
        <v>3985</v>
      </c>
      <c r="B464" s="78"/>
      <c r="G464" s="25"/>
      <c r="H464" s="25"/>
    </row>
    <row r="465" spans="1:8" x14ac:dyDescent="0.2">
      <c r="A465" s="25" t="s">
        <v>3986</v>
      </c>
      <c r="B465" s="78"/>
      <c r="G465" s="25"/>
      <c r="H465" s="25"/>
    </row>
    <row r="466" spans="1:8" x14ac:dyDescent="0.2">
      <c r="A466" s="25" t="s">
        <v>3987</v>
      </c>
      <c r="B466" s="78"/>
      <c r="G466" s="25"/>
      <c r="H466" s="25"/>
    </row>
    <row r="467" spans="1:8" x14ac:dyDescent="0.2">
      <c r="A467" s="25" t="s">
        <v>2836</v>
      </c>
      <c r="B467" s="78"/>
      <c r="G467" s="25"/>
      <c r="H467" s="25"/>
    </row>
    <row r="468" spans="1:8" x14ac:dyDescent="0.2">
      <c r="A468" s="25" t="s">
        <v>2837</v>
      </c>
      <c r="B468" s="78"/>
      <c r="G468" s="25"/>
      <c r="H468" s="25"/>
    </row>
    <row r="469" spans="1:8" x14ac:dyDescent="0.2">
      <c r="A469" s="25" t="s">
        <v>2838</v>
      </c>
      <c r="B469" s="78"/>
      <c r="G469" s="25"/>
      <c r="H469" s="25"/>
    </row>
    <row r="470" spans="1:8" x14ac:dyDescent="0.2">
      <c r="A470" s="25" t="s">
        <v>1226</v>
      </c>
      <c r="B470" s="78"/>
      <c r="G470" s="25"/>
      <c r="H470" s="25"/>
    </row>
    <row r="471" spans="1:8" x14ac:dyDescent="0.2">
      <c r="A471" s="25" t="s">
        <v>1227</v>
      </c>
      <c r="B471" s="78"/>
      <c r="G471" s="25"/>
      <c r="H471" s="25"/>
    </row>
    <row r="472" spans="1:8" x14ac:dyDescent="0.2">
      <c r="A472" s="25" t="s">
        <v>1228</v>
      </c>
      <c r="B472" s="78"/>
      <c r="G472" s="25"/>
      <c r="H472" s="25"/>
    </row>
    <row r="473" spans="1:8" x14ac:dyDescent="0.2">
      <c r="A473" s="25" t="s">
        <v>1229</v>
      </c>
      <c r="B473" s="78"/>
      <c r="G473" s="25"/>
      <c r="H473" s="25"/>
    </row>
    <row r="474" spans="1:8" x14ac:dyDescent="0.2">
      <c r="A474" s="25" t="s">
        <v>1230</v>
      </c>
      <c r="B474" s="78"/>
      <c r="G474" s="25"/>
      <c r="H474" s="25"/>
    </row>
    <row r="475" spans="1:8" x14ac:dyDescent="0.2">
      <c r="A475" s="25" t="s">
        <v>1231</v>
      </c>
      <c r="B475" s="78"/>
      <c r="G475" s="25"/>
      <c r="H475" s="25"/>
    </row>
    <row r="476" spans="1:8" x14ac:dyDescent="0.2">
      <c r="A476" s="25" t="s">
        <v>2839</v>
      </c>
      <c r="B476" s="78"/>
      <c r="D476" s="78">
        <v>50</v>
      </c>
      <c r="G476" s="25"/>
      <c r="H476" s="25"/>
    </row>
    <row r="477" spans="1:8" x14ac:dyDescent="0.2">
      <c r="A477" s="25" t="s">
        <v>2840</v>
      </c>
      <c r="B477" s="78"/>
      <c r="D477" s="78">
        <v>50</v>
      </c>
      <c r="G477" s="25"/>
      <c r="H477" s="25"/>
    </row>
    <row r="478" spans="1:8" x14ac:dyDescent="0.2">
      <c r="A478" s="25" t="s">
        <v>2841</v>
      </c>
      <c r="B478" s="78"/>
      <c r="D478" s="78">
        <v>50</v>
      </c>
      <c r="G478" s="25"/>
      <c r="H478" s="25"/>
    </row>
    <row r="479" spans="1:8" x14ac:dyDescent="0.2">
      <c r="A479" s="25" t="s">
        <v>1947</v>
      </c>
      <c r="B479" s="78"/>
      <c r="D479" s="78">
        <v>50</v>
      </c>
      <c r="G479" s="25"/>
      <c r="H479" s="25"/>
    </row>
    <row r="480" spans="1:8" x14ac:dyDescent="0.2">
      <c r="A480" s="25" t="s">
        <v>1948</v>
      </c>
      <c r="B480" s="78"/>
      <c r="D480" s="78">
        <v>50</v>
      </c>
      <c r="G480" s="25"/>
      <c r="H480" s="25"/>
    </row>
    <row r="481" spans="1:8" x14ac:dyDescent="0.2">
      <c r="A481" s="25" t="s">
        <v>1949</v>
      </c>
      <c r="B481" s="78"/>
      <c r="D481" s="78">
        <v>50</v>
      </c>
      <c r="G481" s="25"/>
      <c r="H481" s="25"/>
    </row>
    <row r="482" spans="1:8" x14ac:dyDescent="0.2">
      <c r="A482" s="25" t="s">
        <v>1950</v>
      </c>
      <c r="B482" s="78"/>
      <c r="D482" s="78">
        <v>50</v>
      </c>
      <c r="G482" s="25"/>
      <c r="H482" s="25"/>
    </row>
    <row r="483" spans="1:8" x14ac:dyDescent="0.2">
      <c r="A483" s="25" t="s">
        <v>1951</v>
      </c>
      <c r="B483" s="78"/>
      <c r="D483" s="78">
        <v>50</v>
      </c>
      <c r="G483" s="25"/>
      <c r="H483" s="25"/>
    </row>
    <row r="484" spans="1:8" x14ac:dyDescent="0.2">
      <c r="A484" s="25" t="s">
        <v>1952</v>
      </c>
      <c r="B484" s="78"/>
      <c r="D484" s="78"/>
      <c r="G484" s="25"/>
      <c r="H484" s="25"/>
    </row>
    <row r="485" spans="1:8" x14ac:dyDescent="0.2">
      <c r="A485" s="25" t="s">
        <v>1953</v>
      </c>
      <c r="B485" s="78"/>
      <c r="D485" s="78">
        <v>50</v>
      </c>
      <c r="G485" s="25"/>
      <c r="H485" s="25"/>
    </row>
    <row r="486" spans="1:8" x14ac:dyDescent="0.2">
      <c r="A486" s="25" t="s">
        <v>1954</v>
      </c>
      <c r="B486" s="78"/>
      <c r="D486" s="78"/>
      <c r="G486" s="25"/>
      <c r="H486" s="25"/>
    </row>
    <row r="487" spans="1:8" x14ac:dyDescent="0.2">
      <c r="A487" s="25" t="s">
        <v>1955</v>
      </c>
      <c r="B487" s="78"/>
      <c r="D487" s="78">
        <v>50</v>
      </c>
      <c r="G487" s="25"/>
      <c r="H487" s="25"/>
    </row>
    <row r="488" spans="1:8" x14ac:dyDescent="0.2">
      <c r="A488" s="25" t="s">
        <v>1956</v>
      </c>
      <c r="B488" s="78"/>
      <c r="D488" s="78"/>
      <c r="G488" s="25"/>
      <c r="H488" s="25"/>
    </row>
    <row r="489" spans="1:8" x14ac:dyDescent="0.2">
      <c r="A489" s="25" t="s">
        <v>1957</v>
      </c>
      <c r="B489" s="78"/>
      <c r="D489" s="78">
        <v>50</v>
      </c>
      <c r="G489" s="25"/>
      <c r="H489" s="25"/>
    </row>
    <row r="490" spans="1:8" x14ac:dyDescent="0.2">
      <c r="A490" s="25" t="s">
        <v>1958</v>
      </c>
      <c r="B490" s="78"/>
      <c r="D490" s="78">
        <v>50</v>
      </c>
      <c r="G490" s="25"/>
      <c r="H490" s="25"/>
    </row>
    <row r="491" spans="1:8" x14ac:dyDescent="0.2">
      <c r="A491" s="25" t="s">
        <v>1959</v>
      </c>
      <c r="B491" s="78"/>
      <c r="D491" s="78">
        <v>50</v>
      </c>
      <c r="G491" s="25"/>
      <c r="H491" s="25"/>
    </row>
    <row r="492" spans="1:8" x14ac:dyDescent="0.2">
      <c r="A492" s="25" t="s">
        <v>1960</v>
      </c>
      <c r="B492" s="78"/>
      <c r="D492" s="78">
        <v>50</v>
      </c>
      <c r="G492" s="25"/>
      <c r="H492" s="25"/>
    </row>
    <row r="493" spans="1:8" x14ac:dyDescent="0.2">
      <c r="A493" s="25" t="s">
        <v>1961</v>
      </c>
      <c r="B493" s="78"/>
      <c r="D493" s="78">
        <v>50</v>
      </c>
      <c r="G493" s="25"/>
      <c r="H493" s="25"/>
    </row>
    <row r="494" spans="1:8" x14ac:dyDescent="0.2">
      <c r="A494" s="25" t="s">
        <v>1962</v>
      </c>
      <c r="B494" s="78"/>
      <c r="D494" s="78">
        <v>50</v>
      </c>
      <c r="G494" s="25"/>
      <c r="H494" s="25"/>
    </row>
    <row r="495" spans="1:8" x14ac:dyDescent="0.2">
      <c r="A495" s="25" t="s">
        <v>1963</v>
      </c>
      <c r="B495" s="78"/>
      <c r="D495" s="78">
        <v>50</v>
      </c>
      <c r="G495" s="25"/>
      <c r="H495" s="25"/>
    </row>
    <row r="496" spans="1:8" x14ac:dyDescent="0.2">
      <c r="A496" s="25" t="s">
        <v>1964</v>
      </c>
      <c r="B496" s="78"/>
      <c r="D496" s="78">
        <v>50</v>
      </c>
      <c r="G496" s="25"/>
      <c r="H496" s="25"/>
    </row>
    <row r="497" spans="1:8" x14ac:dyDescent="0.2">
      <c r="A497" s="25" t="s">
        <v>1965</v>
      </c>
      <c r="B497" s="78"/>
      <c r="D497" s="78">
        <v>50</v>
      </c>
      <c r="G497" s="25"/>
      <c r="H497" s="25"/>
    </row>
    <row r="498" spans="1:8" x14ac:dyDescent="0.2">
      <c r="A498" s="25" t="s">
        <v>2963</v>
      </c>
      <c r="B498" s="78"/>
      <c r="D498" s="78">
        <v>50</v>
      </c>
      <c r="G498" s="25"/>
      <c r="H498" s="25"/>
    </row>
    <row r="499" spans="1:8" x14ac:dyDescent="0.2">
      <c r="A499" s="25" t="s">
        <v>2964</v>
      </c>
      <c r="B499" s="78"/>
      <c r="G499" s="25"/>
      <c r="H499" s="25"/>
    </row>
    <row r="500" spans="1:8" x14ac:dyDescent="0.2">
      <c r="A500" s="25" t="s">
        <v>3897</v>
      </c>
      <c r="B500" s="78"/>
      <c r="G500" s="25"/>
      <c r="H500" s="25"/>
    </row>
    <row r="501" spans="1:8" x14ac:dyDescent="0.2">
      <c r="A501" s="25" t="s">
        <v>2478</v>
      </c>
      <c r="B501" s="78"/>
      <c r="G501" s="25"/>
      <c r="H501" s="25"/>
    </row>
    <row r="502" spans="1:8" x14ac:dyDescent="0.2">
      <c r="A502" s="25" t="s">
        <v>2479</v>
      </c>
      <c r="B502" s="78"/>
      <c r="G502" s="25"/>
      <c r="H502" s="25"/>
    </row>
    <row r="503" spans="1:8" x14ac:dyDescent="0.2">
      <c r="A503" s="25" t="s">
        <v>1836</v>
      </c>
      <c r="B503" s="78"/>
      <c r="G503" s="25"/>
      <c r="H503" s="25"/>
    </row>
    <row r="504" spans="1:8" x14ac:dyDescent="0.2">
      <c r="A504" s="25" t="s">
        <v>1837</v>
      </c>
      <c r="B504" s="78"/>
      <c r="G504" s="25"/>
      <c r="H504" s="25"/>
    </row>
    <row r="505" spans="1:8" x14ac:dyDescent="0.2">
      <c r="A505" s="25" t="s">
        <v>1838</v>
      </c>
      <c r="B505" s="78"/>
      <c r="G505" s="25"/>
      <c r="H505" s="25"/>
    </row>
    <row r="506" spans="1:8" x14ac:dyDescent="0.2">
      <c r="A506" s="25" t="s">
        <v>1839</v>
      </c>
      <c r="B506" s="78"/>
      <c r="G506" s="25"/>
      <c r="H506" s="25"/>
    </row>
    <row r="507" spans="1:8" x14ac:dyDescent="0.2">
      <c r="A507" s="25" t="s">
        <v>1840</v>
      </c>
      <c r="B507" s="78"/>
      <c r="G507" s="25"/>
      <c r="H507" s="25"/>
    </row>
    <row r="508" spans="1:8" x14ac:dyDescent="0.2">
      <c r="A508" s="25" t="s">
        <v>1232</v>
      </c>
      <c r="B508" s="78"/>
      <c r="G508" s="25"/>
      <c r="H508" s="25"/>
    </row>
    <row r="509" spans="1:8" x14ac:dyDescent="0.2">
      <c r="A509" s="25" t="s">
        <v>4184</v>
      </c>
      <c r="B509" s="78"/>
      <c r="G509" s="25"/>
      <c r="H509" s="25"/>
    </row>
    <row r="510" spans="1:8" x14ac:dyDescent="0.2">
      <c r="A510" s="25" t="s">
        <v>4185</v>
      </c>
      <c r="B510" s="78"/>
      <c r="G510" s="25"/>
      <c r="H510" s="25"/>
    </row>
    <row r="511" spans="1:8" x14ac:dyDescent="0.2">
      <c r="A511" s="25" t="s">
        <v>4186</v>
      </c>
      <c r="B511" s="78"/>
      <c r="G511" s="25"/>
      <c r="H511" s="25"/>
    </row>
    <row r="512" spans="1:8" x14ac:dyDescent="0.2">
      <c r="A512" s="25" t="s">
        <v>4187</v>
      </c>
      <c r="B512" s="78"/>
      <c r="G512" s="25"/>
      <c r="H512" s="25"/>
    </row>
    <row r="513" spans="1:8" x14ac:dyDescent="0.2">
      <c r="A513" s="25" t="s">
        <v>4188</v>
      </c>
      <c r="B513" s="78"/>
      <c r="G513" s="25"/>
      <c r="H513" s="25"/>
    </row>
    <row r="514" spans="1:8" x14ac:dyDescent="0.2">
      <c r="A514" s="25" t="s">
        <v>4189</v>
      </c>
      <c r="B514" s="78"/>
      <c r="G514" s="25"/>
      <c r="H514" s="25"/>
    </row>
    <row r="515" spans="1:8" x14ac:dyDescent="0.2">
      <c r="A515" s="25" t="s">
        <v>442</v>
      </c>
      <c r="B515" s="78"/>
      <c r="G515" s="25"/>
      <c r="H515" s="25"/>
    </row>
    <row r="516" spans="1:8" x14ac:dyDescent="0.2">
      <c r="A516" s="25" t="s">
        <v>443</v>
      </c>
      <c r="B516" s="78"/>
      <c r="G516" s="25"/>
      <c r="H516" s="25"/>
    </row>
    <row r="517" spans="1:8" x14ac:dyDescent="0.2">
      <c r="A517" s="25" t="s">
        <v>444</v>
      </c>
      <c r="B517" s="78"/>
      <c r="G517" s="25"/>
      <c r="H517" s="25"/>
    </row>
    <row r="518" spans="1:8" x14ac:dyDescent="0.2">
      <c r="A518" s="25" t="s">
        <v>445</v>
      </c>
      <c r="B518" s="78"/>
      <c r="G518" s="25"/>
      <c r="H518" s="25"/>
    </row>
    <row r="519" spans="1:8" x14ac:dyDescent="0.2">
      <c r="A519" s="25" t="s">
        <v>446</v>
      </c>
      <c r="B519" s="78"/>
      <c r="G519" s="25"/>
      <c r="H519" s="25"/>
    </row>
    <row r="520" spans="1:8" x14ac:dyDescent="0.2">
      <c r="A520" s="25" t="s">
        <v>447</v>
      </c>
      <c r="B520" s="78"/>
      <c r="G520" s="25"/>
      <c r="H520" s="25"/>
    </row>
    <row r="521" spans="1:8" x14ac:dyDescent="0.2">
      <c r="A521" s="25" t="s">
        <v>1379</v>
      </c>
      <c r="B521" s="78"/>
      <c r="G521" s="25"/>
      <c r="H521" s="25"/>
    </row>
    <row r="522" spans="1:8" x14ac:dyDescent="0.2">
      <c r="A522" s="25" t="s">
        <v>841</v>
      </c>
      <c r="B522" s="78"/>
      <c r="G522" s="25"/>
      <c r="H522" s="25"/>
    </row>
    <row r="523" spans="1:8" x14ac:dyDescent="0.2">
      <c r="A523" s="25" t="s">
        <v>842</v>
      </c>
      <c r="B523" s="78"/>
      <c r="G523" s="25"/>
      <c r="H523" s="25"/>
    </row>
    <row r="524" spans="1:8" x14ac:dyDescent="0.2">
      <c r="A524" s="25" t="s">
        <v>286</v>
      </c>
      <c r="B524" s="78"/>
      <c r="G524" s="25"/>
      <c r="H524" s="25"/>
    </row>
    <row r="525" spans="1:8" x14ac:dyDescent="0.2">
      <c r="A525" s="25" t="s">
        <v>287</v>
      </c>
      <c r="B525" s="78"/>
      <c r="G525" s="25"/>
      <c r="H525" s="25"/>
    </row>
    <row r="526" spans="1:8" x14ac:dyDescent="0.2">
      <c r="A526" s="25" t="s">
        <v>3180</v>
      </c>
      <c r="B526" s="78"/>
      <c r="G526" s="25"/>
      <c r="H526" s="25"/>
    </row>
    <row r="527" spans="1:8" x14ac:dyDescent="0.2">
      <c r="A527" s="25" t="s">
        <v>3181</v>
      </c>
      <c r="B527" s="78"/>
      <c r="G527" s="25"/>
      <c r="H527" s="25"/>
    </row>
    <row r="528" spans="1:8" x14ac:dyDescent="0.2">
      <c r="A528" s="25" t="s">
        <v>3182</v>
      </c>
      <c r="B528" s="78"/>
      <c r="G528" s="25"/>
      <c r="H528" s="25"/>
    </row>
    <row r="529" spans="1:8" x14ac:dyDescent="0.2">
      <c r="A529" s="25" t="s">
        <v>2909</v>
      </c>
      <c r="B529" s="78"/>
      <c r="G529" s="25"/>
      <c r="H529" s="25"/>
    </row>
    <row r="530" spans="1:8" x14ac:dyDescent="0.2">
      <c r="A530" s="25" t="s">
        <v>3100</v>
      </c>
      <c r="B530" s="78"/>
      <c r="G530" s="25"/>
      <c r="H530" s="25"/>
    </row>
    <row r="531" spans="1:8" x14ac:dyDescent="0.2">
      <c r="A531" s="25" t="s">
        <v>3101</v>
      </c>
      <c r="B531" s="78">
        <v>1500</v>
      </c>
      <c r="C531" s="78">
        <v>1500</v>
      </c>
      <c r="G531" s="25"/>
      <c r="H531" s="25"/>
    </row>
    <row r="532" spans="1:8" x14ac:dyDescent="0.2">
      <c r="A532" s="25" t="s">
        <v>3102</v>
      </c>
      <c r="B532" s="78">
        <v>1500</v>
      </c>
      <c r="C532" s="78">
        <v>1500</v>
      </c>
      <c r="G532" s="25"/>
      <c r="H532" s="25"/>
    </row>
    <row r="533" spans="1:8" x14ac:dyDescent="0.2">
      <c r="A533" s="25" t="s">
        <v>3103</v>
      </c>
      <c r="B533" s="78">
        <v>1500</v>
      </c>
      <c r="C533" s="78">
        <v>1500</v>
      </c>
      <c r="G533" s="25"/>
      <c r="H533" s="25"/>
    </row>
    <row r="534" spans="1:8" x14ac:dyDescent="0.2">
      <c r="A534" s="25" t="s">
        <v>423</v>
      </c>
      <c r="B534" s="78">
        <v>1500</v>
      </c>
      <c r="C534" s="78">
        <v>1500</v>
      </c>
      <c r="G534" s="25"/>
      <c r="H534" s="25"/>
    </row>
    <row r="535" spans="1:8" x14ac:dyDescent="0.2">
      <c r="A535" s="25" t="s">
        <v>424</v>
      </c>
      <c r="B535" s="78">
        <v>1500</v>
      </c>
      <c r="C535" s="78">
        <v>1500</v>
      </c>
      <c r="G535" s="25"/>
      <c r="H535" s="25"/>
    </row>
    <row r="536" spans="1:8" x14ac:dyDescent="0.2">
      <c r="A536" s="25" t="s">
        <v>681</v>
      </c>
      <c r="B536" s="78">
        <v>1500</v>
      </c>
      <c r="C536" s="78">
        <v>1500</v>
      </c>
      <c r="G536" s="25"/>
      <c r="H536" s="25"/>
    </row>
    <row r="537" spans="1:8" x14ac:dyDescent="0.2">
      <c r="A537" s="25" t="s">
        <v>682</v>
      </c>
      <c r="B537" s="78">
        <v>1500</v>
      </c>
      <c r="C537" s="78">
        <v>1500</v>
      </c>
      <c r="G537" s="25"/>
      <c r="H537" s="25"/>
    </row>
    <row r="538" spans="1:8" x14ac:dyDescent="0.2">
      <c r="A538" s="25" t="s">
        <v>2481</v>
      </c>
      <c r="B538" s="78">
        <v>1500</v>
      </c>
      <c r="C538" s="78">
        <v>1500</v>
      </c>
      <c r="G538" s="25"/>
      <c r="H538" s="25"/>
    </row>
    <row r="539" spans="1:8" x14ac:dyDescent="0.2">
      <c r="A539" s="25" t="s">
        <v>2491</v>
      </c>
      <c r="B539" s="78">
        <v>1500</v>
      </c>
      <c r="C539" s="78">
        <v>1500</v>
      </c>
      <c r="G539" s="25"/>
      <c r="H539" s="25"/>
    </row>
    <row r="540" spans="1:8" x14ac:dyDescent="0.2">
      <c r="A540" s="25" t="s">
        <v>2492</v>
      </c>
      <c r="B540" s="78">
        <v>1500</v>
      </c>
      <c r="C540" s="78">
        <v>1500</v>
      </c>
      <c r="G540" s="25"/>
      <c r="H540" s="25"/>
    </row>
    <row r="541" spans="1:8" x14ac:dyDescent="0.2">
      <c r="A541" s="25" t="s">
        <v>2493</v>
      </c>
      <c r="B541" s="78">
        <v>1500</v>
      </c>
      <c r="C541" s="78">
        <v>1500</v>
      </c>
      <c r="G541" s="25"/>
      <c r="H541" s="25"/>
    </row>
    <row r="542" spans="1:8" x14ac:dyDescent="0.2">
      <c r="A542" s="25" t="s">
        <v>2494</v>
      </c>
      <c r="B542" s="78">
        <v>1500</v>
      </c>
      <c r="C542" s="78">
        <v>1500</v>
      </c>
      <c r="G542" s="25"/>
      <c r="H542" s="25"/>
    </row>
    <row r="543" spans="1:8" x14ac:dyDescent="0.2">
      <c r="A543" s="25" t="s">
        <v>2495</v>
      </c>
      <c r="B543" s="78">
        <v>1500</v>
      </c>
      <c r="C543" s="78">
        <v>1500</v>
      </c>
      <c r="G543" s="25"/>
      <c r="H543" s="25"/>
    </row>
    <row r="544" spans="1:8" x14ac:dyDescent="0.2">
      <c r="A544" s="25" t="s">
        <v>2496</v>
      </c>
      <c r="B544" s="78">
        <v>1500</v>
      </c>
      <c r="C544" s="78">
        <v>1500</v>
      </c>
      <c r="G544" s="25"/>
      <c r="H544" s="25"/>
    </row>
    <row r="545" spans="1:8" x14ac:dyDescent="0.2">
      <c r="A545" s="25" t="s">
        <v>2490</v>
      </c>
      <c r="B545" s="78">
        <v>1500</v>
      </c>
      <c r="C545" s="78">
        <v>1500</v>
      </c>
      <c r="G545" s="25"/>
      <c r="H545" s="25"/>
    </row>
    <row r="546" spans="1:8" x14ac:dyDescent="0.2">
      <c r="A546" s="25" t="s">
        <v>283</v>
      </c>
      <c r="B546" s="78">
        <v>1500</v>
      </c>
      <c r="C546" s="78">
        <v>1500</v>
      </c>
      <c r="G546" s="25"/>
      <c r="H546" s="25"/>
    </row>
    <row r="547" spans="1:8" x14ac:dyDescent="0.2">
      <c r="A547" s="25" t="s">
        <v>284</v>
      </c>
      <c r="B547" s="78">
        <v>1500</v>
      </c>
      <c r="C547" s="78">
        <v>1500</v>
      </c>
      <c r="G547" s="25"/>
      <c r="H547" s="25"/>
    </row>
    <row r="548" spans="1:8" x14ac:dyDescent="0.2">
      <c r="A548" s="25" t="s">
        <v>285</v>
      </c>
      <c r="B548" s="78">
        <v>1500</v>
      </c>
      <c r="C548" s="78">
        <v>1500</v>
      </c>
      <c r="G548" s="25"/>
      <c r="H548" s="25"/>
    </row>
    <row r="549" spans="1:8" x14ac:dyDescent="0.2">
      <c r="A549" s="25" t="s">
        <v>1875</v>
      </c>
      <c r="B549" s="78">
        <v>1500</v>
      </c>
      <c r="C549" s="78">
        <v>1500</v>
      </c>
      <c r="G549" s="25"/>
      <c r="H549" s="25"/>
    </row>
    <row r="550" spans="1:8" x14ac:dyDescent="0.2">
      <c r="A550" s="25" t="s">
        <v>1876</v>
      </c>
      <c r="B550" s="78">
        <v>1500</v>
      </c>
      <c r="C550" s="78">
        <v>1500</v>
      </c>
      <c r="G550" s="25"/>
      <c r="H550" s="25"/>
    </row>
    <row r="551" spans="1:8" x14ac:dyDescent="0.2">
      <c r="A551" s="25" t="s">
        <v>2458</v>
      </c>
      <c r="B551" s="78">
        <v>1</v>
      </c>
      <c r="C551" s="78">
        <v>1</v>
      </c>
      <c r="G551" s="25"/>
      <c r="H551" s="25"/>
    </row>
    <row r="552" spans="1:8" x14ac:dyDescent="0.2">
      <c r="A552" s="25" t="s">
        <v>2459</v>
      </c>
      <c r="B552" s="78">
        <v>1</v>
      </c>
      <c r="C552" s="78">
        <v>1</v>
      </c>
      <c r="G552" s="25"/>
      <c r="H552" s="25"/>
    </row>
    <row r="553" spans="1:8" x14ac:dyDescent="0.2">
      <c r="A553" s="25" t="s">
        <v>2460</v>
      </c>
      <c r="B553" s="78">
        <v>1</v>
      </c>
      <c r="C553" s="78">
        <v>1</v>
      </c>
      <c r="G553" s="25"/>
      <c r="H553" s="25"/>
    </row>
    <row r="554" spans="1:8" x14ac:dyDescent="0.2">
      <c r="A554" s="25" t="s">
        <v>2461</v>
      </c>
      <c r="B554" s="78">
        <v>1</v>
      </c>
      <c r="C554" s="78">
        <v>1</v>
      </c>
      <c r="G554" s="25"/>
      <c r="H554" s="25"/>
    </row>
    <row r="555" spans="1:8" x14ac:dyDescent="0.2">
      <c r="A555" s="25" t="s">
        <v>3949</v>
      </c>
      <c r="B555" s="78">
        <v>1</v>
      </c>
      <c r="C555" s="78">
        <v>1</v>
      </c>
      <c r="G555" s="25"/>
      <c r="H555" s="25"/>
    </row>
    <row r="556" spans="1:8" x14ac:dyDescent="0.2">
      <c r="A556" s="25" t="s">
        <v>3950</v>
      </c>
      <c r="B556" s="78">
        <v>1</v>
      </c>
      <c r="C556" s="78">
        <v>1</v>
      </c>
      <c r="G556" s="25"/>
      <c r="H556" s="25"/>
    </row>
    <row r="557" spans="1:8" x14ac:dyDescent="0.2">
      <c r="A557" s="25" t="s">
        <v>3951</v>
      </c>
      <c r="B557" s="78">
        <v>1</v>
      </c>
      <c r="C557" s="78">
        <v>1</v>
      </c>
      <c r="G557" s="25"/>
      <c r="H557" s="25"/>
    </row>
    <row r="558" spans="1:8" x14ac:dyDescent="0.2">
      <c r="A558" s="25" t="s">
        <v>3952</v>
      </c>
      <c r="B558" s="78">
        <v>1</v>
      </c>
      <c r="C558" s="78">
        <v>1</v>
      </c>
      <c r="G558" s="25"/>
      <c r="H558" s="25"/>
    </row>
    <row r="559" spans="1:8" x14ac:dyDescent="0.2">
      <c r="A559" s="25" t="s">
        <v>3953</v>
      </c>
      <c r="B559" s="78">
        <v>1</v>
      </c>
      <c r="C559" s="78">
        <v>1</v>
      </c>
      <c r="G559" s="25"/>
      <c r="H559" s="25"/>
    </row>
    <row r="560" spans="1:8" x14ac:dyDescent="0.2">
      <c r="A560" s="25" t="s">
        <v>3988</v>
      </c>
      <c r="B560" s="78">
        <v>1</v>
      </c>
      <c r="C560" s="78">
        <v>1</v>
      </c>
      <c r="G560" s="25"/>
      <c r="H560" s="25"/>
    </row>
    <row r="561" spans="1:8" x14ac:dyDescent="0.2">
      <c r="A561" s="25" t="s">
        <v>3989</v>
      </c>
      <c r="B561" s="78">
        <v>1</v>
      </c>
      <c r="C561" s="78">
        <v>1</v>
      </c>
      <c r="G561" s="25"/>
      <c r="H561" s="25"/>
    </row>
    <row r="562" spans="1:8" x14ac:dyDescent="0.2">
      <c r="A562" s="25" t="s">
        <v>3990</v>
      </c>
      <c r="B562" s="78">
        <v>1</v>
      </c>
      <c r="C562" s="78">
        <v>1</v>
      </c>
      <c r="G562" s="25"/>
      <c r="H562" s="25"/>
    </row>
    <row r="563" spans="1:8" x14ac:dyDescent="0.2">
      <c r="A563" s="73" t="s">
        <v>3991</v>
      </c>
      <c r="B563" s="78">
        <v>1</v>
      </c>
      <c r="C563" s="78">
        <v>1</v>
      </c>
      <c r="G563" s="25"/>
      <c r="H563" s="25"/>
    </row>
    <row r="564" spans="1:8" x14ac:dyDescent="0.2">
      <c r="A564" s="73" t="s">
        <v>3992</v>
      </c>
      <c r="B564" s="78">
        <v>1</v>
      </c>
      <c r="C564" s="78">
        <v>1</v>
      </c>
      <c r="G564" s="25"/>
      <c r="H564" s="25"/>
    </row>
    <row r="565" spans="1:8" x14ac:dyDescent="0.2">
      <c r="A565" s="73" t="s">
        <v>3993</v>
      </c>
      <c r="B565" s="78">
        <v>1</v>
      </c>
      <c r="C565" s="78">
        <v>1</v>
      </c>
      <c r="G565" s="25"/>
      <c r="H565" s="25"/>
    </row>
    <row r="566" spans="1:8" x14ac:dyDescent="0.2">
      <c r="A566" s="73" t="s">
        <v>3994</v>
      </c>
      <c r="B566" s="78">
        <v>1</v>
      </c>
      <c r="C566" s="78">
        <v>1</v>
      </c>
      <c r="G566" s="25"/>
      <c r="H566" s="25"/>
    </row>
    <row r="567" spans="1:8" x14ac:dyDescent="0.2">
      <c r="A567" s="73" t="s">
        <v>3351</v>
      </c>
      <c r="B567" s="78">
        <v>1</v>
      </c>
      <c r="C567" s="78">
        <v>1</v>
      </c>
      <c r="G567" s="25"/>
      <c r="H567" s="25"/>
    </row>
    <row r="568" spans="1:8" x14ac:dyDescent="0.2">
      <c r="A568" s="73" t="s">
        <v>3664</v>
      </c>
      <c r="B568" s="78">
        <v>1</v>
      </c>
      <c r="C568" s="78">
        <v>1</v>
      </c>
      <c r="G568" s="25"/>
      <c r="H568" s="25"/>
    </row>
    <row r="569" spans="1:8" x14ac:dyDescent="0.2">
      <c r="A569" s="73" t="s">
        <v>3665</v>
      </c>
      <c r="B569" s="78">
        <v>1</v>
      </c>
      <c r="C569" s="78">
        <v>1</v>
      </c>
      <c r="G569" s="25"/>
      <c r="H569" s="25"/>
    </row>
    <row r="570" spans="1:8" x14ac:dyDescent="0.2">
      <c r="A570" s="73" t="s">
        <v>3666</v>
      </c>
      <c r="B570" s="78">
        <v>1</v>
      </c>
      <c r="C570" s="78">
        <v>1</v>
      </c>
      <c r="G570" s="25"/>
      <c r="H570" s="25"/>
    </row>
    <row r="571" spans="1:8" x14ac:dyDescent="0.2">
      <c r="A571" s="25" t="s">
        <v>3667</v>
      </c>
      <c r="B571" s="78"/>
      <c r="G571" s="25"/>
      <c r="H571" s="25"/>
    </row>
    <row r="572" spans="1:8" x14ac:dyDescent="0.2">
      <c r="A572" s="25" t="s">
        <v>3668</v>
      </c>
      <c r="B572" s="78"/>
      <c r="G572" s="25"/>
      <c r="H572" s="25"/>
    </row>
    <row r="573" spans="1:8" x14ac:dyDescent="0.2">
      <c r="A573" s="25" t="s">
        <v>1987</v>
      </c>
      <c r="B573" s="78"/>
      <c r="G573" s="25"/>
      <c r="H573" s="25"/>
    </row>
    <row r="574" spans="1:8" x14ac:dyDescent="0.2">
      <c r="A574" s="25" t="s">
        <v>2483</v>
      </c>
      <c r="B574" s="78"/>
      <c r="G574" s="25"/>
      <c r="H574" s="25"/>
    </row>
    <row r="575" spans="1:8" x14ac:dyDescent="0.2">
      <c r="A575" s="25" t="s">
        <v>2484</v>
      </c>
      <c r="B575" s="78"/>
      <c r="G575" s="25"/>
      <c r="H575" s="25"/>
    </row>
    <row r="576" spans="1:8" x14ac:dyDescent="0.2">
      <c r="A576" s="25" t="s">
        <v>2485</v>
      </c>
      <c r="B576" s="78"/>
      <c r="G576" s="25"/>
      <c r="H576" s="25"/>
    </row>
    <row r="577" spans="1:8" x14ac:dyDescent="0.2">
      <c r="A577" s="25" t="s">
        <v>2486</v>
      </c>
      <c r="B577" s="78"/>
      <c r="G577" s="25"/>
      <c r="H577" s="25"/>
    </row>
    <row r="578" spans="1:8" x14ac:dyDescent="0.2">
      <c r="A578" s="25" t="s">
        <v>2487</v>
      </c>
      <c r="B578" s="78"/>
      <c r="G578" s="25"/>
      <c r="H578" s="25"/>
    </row>
    <row r="579" spans="1:8" x14ac:dyDescent="0.2">
      <c r="A579" s="25" t="s">
        <v>2488</v>
      </c>
      <c r="B579" s="78"/>
      <c r="G579" s="25"/>
      <c r="H579" s="25"/>
    </row>
    <row r="580" spans="1:8" x14ac:dyDescent="0.2">
      <c r="A580" s="25" t="s">
        <v>3544</v>
      </c>
      <c r="B580" s="78"/>
      <c r="G580" s="25"/>
      <c r="H580" s="25"/>
    </row>
    <row r="581" spans="1:8" x14ac:dyDescent="0.2">
      <c r="A581" s="25" t="s">
        <v>3469</v>
      </c>
      <c r="B581" s="78"/>
      <c r="G581" s="25"/>
      <c r="H581" s="25"/>
    </row>
    <row r="582" spans="1:8" x14ac:dyDescent="0.2">
      <c r="A582" s="25" t="s">
        <v>3470</v>
      </c>
      <c r="B582" s="78"/>
      <c r="G582" s="25"/>
      <c r="H582" s="25"/>
    </row>
    <row r="583" spans="1:8" x14ac:dyDescent="0.2">
      <c r="A583" s="25" t="s">
        <v>3471</v>
      </c>
      <c r="B583" s="78"/>
      <c r="G583" s="25"/>
      <c r="H583" s="25"/>
    </row>
    <row r="584" spans="1:8" x14ac:dyDescent="0.2">
      <c r="A584" s="25" t="s">
        <v>3472</v>
      </c>
      <c r="B584" s="78"/>
      <c r="G584" s="25"/>
      <c r="H584" s="25"/>
    </row>
    <row r="585" spans="1:8" x14ac:dyDescent="0.2">
      <c r="A585" s="25" t="s">
        <v>3883</v>
      </c>
      <c r="B585" s="78"/>
      <c r="G585" s="25"/>
      <c r="H585" s="25"/>
    </row>
    <row r="586" spans="1:8" x14ac:dyDescent="0.2">
      <c r="A586" s="25" t="s">
        <v>4078</v>
      </c>
      <c r="B586" s="78"/>
      <c r="G586" s="25"/>
      <c r="H586" s="25"/>
    </row>
    <row r="587" spans="1:8" x14ac:dyDescent="0.2">
      <c r="A587" s="25" t="s">
        <v>4079</v>
      </c>
      <c r="B587" s="78"/>
      <c r="G587" s="25"/>
      <c r="H587" s="25"/>
    </row>
    <row r="588" spans="1:8" x14ac:dyDescent="0.2">
      <c r="A588" s="74" t="s">
        <v>4080</v>
      </c>
      <c r="B588" s="78"/>
      <c r="G588" s="25"/>
      <c r="H588" s="25"/>
    </row>
    <row r="589" spans="1:8" x14ac:dyDescent="0.2">
      <c r="A589" s="74" t="s">
        <v>4081</v>
      </c>
      <c r="B589" s="78"/>
      <c r="G589" s="25"/>
      <c r="H589" s="25"/>
    </row>
    <row r="590" spans="1:8" x14ac:dyDescent="0.2">
      <c r="A590" s="74" t="s">
        <v>1218</v>
      </c>
      <c r="B590" s="78"/>
      <c r="G590" s="25"/>
      <c r="H590" s="25"/>
    </row>
    <row r="591" spans="1:8" x14ac:dyDescent="0.2">
      <c r="A591" s="74" t="s">
        <v>1777</v>
      </c>
      <c r="B591" s="78" t="b">
        <v>0</v>
      </c>
      <c r="C591" s="78" t="b">
        <v>0</v>
      </c>
      <c r="G591" s="25"/>
      <c r="H591" s="25"/>
    </row>
    <row r="592" spans="1:8" x14ac:dyDescent="0.2">
      <c r="A592" s="74" t="s">
        <v>1778</v>
      </c>
      <c r="B592" s="78"/>
      <c r="G592" s="25"/>
      <c r="H592" s="25"/>
    </row>
    <row r="593" spans="1:8" x14ac:dyDescent="0.2">
      <c r="A593" s="74" t="s">
        <v>2688</v>
      </c>
      <c r="B593" s="78">
        <v>6</v>
      </c>
      <c r="C593" s="78">
        <v>6</v>
      </c>
      <c r="G593" s="25"/>
      <c r="H593" s="25"/>
    </row>
    <row r="594" spans="1:8" x14ac:dyDescent="0.2">
      <c r="A594" s="74" t="s">
        <v>1779</v>
      </c>
      <c r="B594" s="78" t="b">
        <v>0</v>
      </c>
      <c r="C594" s="78" t="b">
        <v>0</v>
      </c>
      <c r="G594" s="25"/>
      <c r="H594" s="25"/>
    </row>
    <row r="595" spans="1:8" x14ac:dyDescent="0.2">
      <c r="A595" s="74" t="s">
        <v>214</v>
      </c>
      <c r="B595" s="78"/>
      <c r="G595" s="25"/>
      <c r="H595" s="25"/>
    </row>
    <row r="596" spans="1:8" x14ac:dyDescent="0.2">
      <c r="A596" s="25" t="s">
        <v>3905</v>
      </c>
      <c r="B596" s="78"/>
      <c r="G596" s="25"/>
      <c r="H596" s="25"/>
    </row>
    <row r="597" spans="1:8" x14ac:dyDescent="0.2">
      <c r="A597" s="25" t="s">
        <v>215</v>
      </c>
      <c r="B597" s="78"/>
      <c r="G597" s="25"/>
      <c r="H597" s="25"/>
    </row>
    <row r="598" spans="1:8" x14ac:dyDescent="0.2">
      <c r="A598" s="25" t="s">
        <v>4238</v>
      </c>
      <c r="B598" s="78"/>
      <c r="G598" s="25"/>
      <c r="H598" s="25"/>
    </row>
    <row r="599" spans="1:8" x14ac:dyDescent="0.2">
      <c r="A599" s="74" t="s">
        <v>1250</v>
      </c>
      <c r="B599" s="78"/>
      <c r="G599" s="25"/>
      <c r="H599" s="25"/>
    </row>
    <row r="600" spans="1:8" x14ac:dyDescent="0.2">
      <c r="A600" s="74" t="s">
        <v>1251</v>
      </c>
      <c r="B600" s="78"/>
      <c r="G600" s="25"/>
      <c r="H600" s="25"/>
    </row>
    <row r="601" spans="1:8" x14ac:dyDescent="0.2">
      <c r="A601" s="74" t="s">
        <v>2972</v>
      </c>
      <c r="B601" s="78"/>
      <c r="G601" s="25"/>
      <c r="H601" s="25"/>
    </row>
    <row r="602" spans="1:8" x14ac:dyDescent="0.2">
      <c r="A602" s="74" t="s">
        <v>2973</v>
      </c>
      <c r="B602" s="78"/>
      <c r="G602" s="25"/>
      <c r="H602" s="25"/>
    </row>
    <row r="603" spans="1:8" x14ac:dyDescent="0.2">
      <c r="A603" s="74" t="s">
        <v>2974</v>
      </c>
      <c r="B603" s="78"/>
      <c r="G603" s="25"/>
      <c r="H603" s="25"/>
    </row>
    <row r="604" spans="1:8" x14ac:dyDescent="0.2">
      <c r="A604" s="74" t="s">
        <v>1666</v>
      </c>
      <c r="B604" s="78"/>
      <c r="G604" s="25"/>
      <c r="H604" s="25"/>
    </row>
    <row r="605" spans="1:8" x14ac:dyDescent="0.2">
      <c r="A605" s="74" t="s">
        <v>1667</v>
      </c>
      <c r="B605" s="78"/>
      <c r="G605" s="25"/>
      <c r="H605" s="25"/>
    </row>
    <row r="606" spans="1:8" x14ac:dyDescent="0.2">
      <c r="A606" s="74" t="s">
        <v>1668</v>
      </c>
      <c r="B606" s="78"/>
      <c r="G606" s="25"/>
      <c r="H606" s="25"/>
    </row>
    <row r="607" spans="1:8" x14ac:dyDescent="0.2">
      <c r="A607" s="74" t="s">
        <v>1669</v>
      </c>
      <c r="B607" s="78"/>
      <c r="G607" s="25"/>
      <c r="H607" s="25"/>
    </row>
    <row r="608" spans="1:8" x14ac:dyDescent="0.2">
      <c r="A608" s="74" t="s">
        <v>1670</v>
      </c>
      <c r="B608" s="78"/>
      <c r="G608" s="25"/>
      <c r="H608" s="25"/>
    </row>
    <row r="609" spans="1:8" x14ac:dyDescent="0.2">
      <c r="A609" s="74" t="s">
        <v>2183</v>
      </c>
      <c r="B609" s="78"/>
      <c r="G609" s="25"/>
      <c r="H609" s="25"/>
    </row>
    <row r="610" spans="1:8" x14ac:dyDescent="0.2">
      <c r="A610" s="74" t="s">
        <v>1787</v>
      </c>
      <c r="B610" s="78"/>
      <c r="G610" s="25"/>
      <c r="H610" s="25"/>
    </row>
    <row r="611" spans="1:8" x14ac:dyDescent="0.2">
      <c r="A611" s="74" t="s">
        <v>1788</v>
      </c>
      <c r="B611" s="78"/>
      <c r="G611" s="25"/>
      <c r="H611" s="25"/>
    </row>
    <row r="612" spans="1:8" x14ac:dyDescent="0.2">
      <c r="A612" s="74" t="s">
        <v>1789</v>
      </c>
      <c r="B612" s="78"/>
      <c r="G612" s="25"/>
      <c r="H612" s="25"/>
    </row>
    <row r="613" spans="1:8" x14ac:dyDescent="0.2">
      <c r="A613" s="74" t="s">
        <v>1713</v>
      </c>
      <c r="B613" s="78"/>
      <c r="G613" s="25"/>
      <c r="H613" s="25"/>
    </row>
    <row r="614" spans="1:8" x14ac:dyDescent="0.2">
      <c r="A614" s="74" t="s">
        <v>1714</v>
      </c>
      <c r="B614" s="78"/>
      <c r="G614" s="25"/>
      <c r="H614" s="25"/>
    </row>
    <row r="615" spans="1:8" x14ac:dyDescent="0.2">
      <c r="A615" s="74" t="s">
        <v>3317</v>
      </c>
      <c r="B615" s="78"/>
      <c r="G615" s="25"/>
      <c r="H615" s="25"/>
    </row>
    <row r="616" spans="1:8" x14ac:dyDescent="0.2">
      <c r="A616" s="74" t="s">
        <v>3318</v>
      </c>
      <c r="B616" s="78"/>
      <c r="G616" s="25"/>
      <c r="H616" s="25"/>
    </row>
    <row r="617" spans="1:8" x14ac:dyDescent="0.2">
      <c r="A617" s="74" t="s">
        <v>2959</v>
      </c>
      <c r="B617" s="78"/>
      <c r="G617" s="25"/>
      <c r="H617" s="25"/>
    </row>
    <row r="618" spans="1:8" x14ac:dyDescent="0.2">
      <c r="A618" s="74" t="s">
        <v>2960</v>
      </c>
      <c r="B618" s="78"/>
      <c r="G618" s="25"/>
      <c r="H618" s="25"/>
    </row>
    <row r="619" spans="1:8" x14ac:dyDescent="0.2">
      <c r="A619" s="74" t="s">
        <v>2961</v>
      </c>
      <c r="B619" s="78"/>
      <c r="G619" s="25"/>
      <c r="H619" s="25"/>
    </row>
    <row r="620" spans="1:8" x14ac:dyDescent="0.2">
      <c r="A620" s="74" t="s">
        <v>1303</v>
      </c>
      <c r="B620" s="78"/>
      <c r="G620" s="25"/>
      <c r="H620" s="25"/>
    </row>
    <row r="621" spans="1:8" x14ac:dyDescent="0.2">
      <c r="A621" s="74" t="s">
        <v>1304</v>
      </c>
      <c r="B621" s="78"/>
      <c r="G621" s="25"/>
      <c r="H621" s="25"/>
    </row>
    <row r="622" spans="1:8" x14ac:dyDescent="0.2">
      <c r="A622" s="74" t="s">
        <v>1305</v>
      </c>
      <c r="B622" s="78"/>
      <c r="G622" s="25"/>
      <c r="H622" s="25"/>
    </row>
    <row r="623" spans="1:8" x14ac:dyDescent="0.2">
      <c r="A623" s="74" t="s">
        <v>1306</v>
      </c>
      <c r="B623" s="78"/>
      <c r="G623" s="25"/>
      <c r="H623" s="25"/>
    </row>
    <row r="624" spans="1:8" x14ac:dyDescent="0.2">
      <c r="A624" s="74" t="s">
        <v>1307</v>
      </c>
      <c r="B624" s="78"/>
      <c r="G624" s="25"/>
      <c r="H624" s="25"/>
    </row>
    <row r="625" spans="1:8" x14ac:dyDescent="0.2">
      <c r="A625" s="74" t="s">
        <v>1852</v>
      </c>
      <c r="B625" s="78"/>
      <c r="G625" s="25"/>
      <c r="H625" s="25"/>
    </row>
    <row r="626" spans="1:8" x14ac:dyDescent="0.2">
      <c r="A626" s="74" t="s">
        <v>1847</v>
      </c>
      <c r="B626" s="78"/>
      <c r="G626" s="25"/>
      <c r="H626" s="25"/>
    </row>
    <row r="627" spans="1:8" x14ac:dyDescent="0.2">
      <c r="A627" s="74" t="s">
        <v>1848</v>
      </c>
      <c r="B627" s="78"/>
      <c r="G627" s="25"/>
      <c r="H627" s="25"/>
    </row>
    <row r="628" spans="1:8" x14ac:dyDescent="0.2">
      <c r="A628" s="74" t="s">
        <v>1849</v>
      </c>
      <c r="B628" s="78"/>
      <c r="G628" s="25"/>
      <c r="H628" s="25"/>
    </row>
    <row r="629" spans="1:8" x14ac:dyDescent="0.2">
      <c r="A629" s="74" t="s">
        <v>1850</v>
      </c>
      <c r="B629" s="78"/>
      <c r="G629" s="25"/>
      <c r="H629" s="25"/>
    </row>
    <row r="630" spans="1:8" x14ac:dyDescent="0.2">
      <c r="A630" s="74" t="s">
        <v>1851</v>
      </c>
      <c r="B630" s="78"/>
      <c r="G630" s="25"/>
      <c r="H630" s="25"/>
    </row>
    <row r="631" spans="1:8" x14ac:dyDescent="0.2">
      <c r="A631" s="74" t="s">
        <v>2993</v>
      </c>
      <c r="B631" s="78"/>
      <c r="G631" s="25"/>
      <c r="H631" s="25"/>
    </row>
    <row r="632" spans="1:8" x14ac:dyDescent="0.2">
      <c r="A632" s="74" t="s">
        <v>3530</v>
      </c>
      <c r="B632" s="78"/>
      <c r="G632" s="25"/>
      <c r="H632" s="25"/>
    </row>
    <row r="633" spans="1:8" x14ac:dyDescent="0.2">
      <c r="A633" s="25" t="s">
        <v>2173</v>
      </c>
      <c r="B633" s="78">
        <v>41363</v>
      </c>
      <c r="C633" s="78">
        <v>41363</v>
      </c>
      <c r="G633" s="25"/>
      <c r="H633" s="25"/>
    </row>
    <row r="634" spans="1:8" x14ac:dyDescent="0.2">
      <c r="A634" s="106" t="s">
        <v>1036</v>
      </c>
      <c r="B634" s="78">
        <v>1</v>
      </c>
      <c r="C634" s="78">
        <v>1</v>
      </c>
      <c r="G634" s="25"/>
      <c r="H634" s="25"/>
    </row>
    <row r="635" spans="1:8" x14ac:dyDescent="0.2">
      <c r="A635" s="106" t="s">
        <v>3409</v>
      </c>
      <c r="B635" s="78">
        <v>1</v>
      </c>
      <c r="C635" s="78">
        <v>1</v>
      </c>
      <c r="G635" s="25"/>
      <c r="H635" s="25"/>
    </row>
    <row r="636" spans="1:8" x14ac:dyDescent="0.2">
      <c r="A636" s="106" t="s">
        <v>3411</v>
      </c>
      <c r="B636" s="78">
        <v>1</v>
      </c>
      <c r="C636" s="78">
        <v>1</v>
      </c>
      <c r="G636" s="25"/>
      <c r="H636" s="25"/>
    </row>
    <row r="637" spans="1:8" x14ac:dyDescent="0.2">
      <c r="A637" s="106" t="s">
        <v>3413</v>
      </c>
      <c r="B637" s="78">
        <v>1</v>
      </c>
      <c r="C637" s="78">
        <v>1</v>
      </c>
      <c r="G637" s="25"/>
      <c r="H637" s="25"/>
    </row>
    <row r="638" spans="1:8" x14ac:dyDescent="0.2">
      <c r="A638" s="106" t="s">
        <v>3415</v>
      </c>
      <c r="B638" s="78">
        <v>1</v>
      </c>
      <c r="C638" s="78">
        <v>1</v>
      </c>
      <c r="G638" s="25"/>
      <c r="H638" s="25"/>
    </row>
    <row r="639" spans="1:8" x14ac:dyDescent="0.2">
      <c r="A639" s="106" t="s">
        <v>3417</v>
      </c>
      <c r="B639" s="78">
        <v>1</v>
      </c>
      <c r="C639" s="78">
        <v>1</v>
      </c>
      <c r="G639" s="25"/>
      <c r="H639" s="25"/>
    </row>
    <row r="640" spans="1:8" x14ac:dyDescent="0.2">
      <c r="A640" s="25" t="s">
        <v>3809</v>
      </c>
      <c r="B640" s="78"/>
      <c r="G640" s="25"/>
      <c r="H640" s="25"/>
    </row>
    <row r="641" spans="1:8" x14ac:dyDescent="0.2">
      <c r="A641" t="s">
        <v>3063</v>
      </c>
      <c r="B641" s="78"/>
      <c r="G641" s="25"/>
      <c r="H641" s="25"/>
    </row>
    <row r="642" spans="1:8" x14ac:dyDescent="0.2">
      <c r="A642" s="25" t="s">
        <v>2332</v>
      </c>
      <c r="B642" s="78">
        <v>5</v>
      </c>
      <c r="C642" s="78">
        <v>5</v>
      </c>
      <c r="G642" s="25"/>
      <c r="H642" s="25"/>
    </row>
    <row r="643" spans="1:8" x14ac:dyDescent="0.2">
      <c r="A643" t="s">
        <v>2544</v>
      </c>
      <c r="B643" s="78"/>
      <c r="G643" s="25"/>
      <c r="H643" s="25"/>
    </row>
    <row r="644" spans="1:8" x14ac:dyDescent="0.2">
      <c r="A644" t="s">
        <v>671</v>
      </c>
      <c r="B644" s="78"/>
      <c r="G644" s="25"/>
      <c r="H644" s="25"/>
    </row>
    <row r="645" spans="1:8" x14ac:dyDescent="0.2">
      <c r="A645" t="s">
        <v>674</v>
      </c>
      <c r="B645" s="78"/>
      <c r="G645" s="25"/>
      <c r="H645" s="25"/>
    </row>
    <row r="646" spans="1:8" x14ac:dyDescent="0.2">
      <c r="A646" t="s">
        <v>673</v>
      </c>
      <c r="B646" s="78"/>
      <c r="G646" s="25"/>
      <c r="H646" s="25"/>
    </row>
    <row r="647" spans="1:8" x14ac:dyDescent="0.2">
      <c r="A647" t="s">
        <v>670</v>
      </c>
      <c r="B647" s="78"/>
      <c r="G647" s="25"/>
      <c r="H647" s="25"/>
    </row>
    <row r="648" spans="1:8" x14ac:dyDescent="0.2">
      <c r="A648" t="s">
        <v>669</v>
      </c>
      <c r="B648" s="78"/>
      <c r="G648" s="25"/>
      <c r="H648" s="25"/>
    </row>
    <row r="649" spans="1:8" x14ac:dyDescent="0.2">
      <c r="A649" t="s">
        <v>672</v>
      </c>
      <c r="B649" s="78"/>
      <c r="G649" s="25"/>
      <c r="H649" s="25"/>
    </row>
    <row r="650" spans="1:8" x14ac:dyDescent="0.2">
      <c r="A650" t="s">
        <v>675</v>
      </c>
      <c r="B650" s="78"/>
      <c r="G650" s="25"/>
      <c r="H650" s="25"/>
    </row>
    <row r="651" spans="1:8" x14ac:dyDescent="0.2">
      <c r="A651" s="25" t="s">
        <v>3005</v>
      </c>
      <c r="B651" s="78"/>
      <c r="G651" s="25"/>
      <c r="H651" s="25"/>
    </row>
    <row r="652" spans="1:8" x14ac:dyDescent="0.2">
      <c r="A652" s="25" t="s">
        <v>3654</v>
      </c>
      <c r="B652" s="78"/>
      <c r="G652" s="25"/>
      <c r="H652" s="25"/>
    </row>
    <row r="653" spans="1:8" x14ac:dyDescent="0.2">
      <c r="A653" t="s">
        <v>2555</v>
      </c>
      <c r="B653" s="78"/>
      <c r="G653" s="25"/>
      <c r="H653" s="25"/>
    </row>
    <row r="654" spans="1:8" x14ac:dyDescent="0.2">
      <c r="A654" t="s">
        <v>2557</v>
      </c>
      <c r="B654" s="78"/>
      <c r="G654" s="25"/>
      <c r="H654" s="25"/>
    </row>
    <row r="655" spans="1:8" x14ac:dyDescent="0.2">
      <c r="A655" t="s">
        <v>2559</v>
      </c>
      <c r="B655" s="78"/>
      <c r="G655" s="25"/>
      <c r="H655" s="25"/>
    </row>
    <row r="656" spans="1:8" x14ac:dyDescent="0.2">
      <c r="A656" t="s">
        <v>2561</v>
      </c>
      <c r="B656" s="78"/>
      <c r="G656" s="25"/>
      <c r="H656" s="25"/>
    </row>
    <row r="657" spans="1:8" x14ac:dyDescent="0.2">
      <c r="A657" t="s">
        <v>4133</v>
      </c>
      <c r="B657" s="78"/>
      <c r="G657" s="25"/>
      <c r="H657" s="25"/>
    </row>
    <row r="658" spans="1:8" x14ac:dyDescent="0.2">
      <c r="A658" t="s">
        <v>4135</v>
      </c>
      <c r="C658"/>
      <c r="G658" s="25"/>
      <c r="H658" s="25"/>
    </row>
    <row r="659" spans="1:8" x14ac:dyDescent="0.2">
      <c r="A659" t="s">
        <v>4137</v>
      </c>
      <c r="B659" s="78"/>
      <c r="G659" s="25"/>
      <c r="H659" s="25"/>
    </row>
    <row r="660" spans="1:8" x14ac:dyDescent="0.2">
      <c r="A660" t="s">
        <v>4139</v>
      </c>
      <c r="C660"/>
      <c r="G660" s="25"/>
      <c r="H660" s="25"/>
    </row>
    <row r="661" spans="1:8" x14ac:dyDescent="0.2">
      <c r="A661" t="s">
        <v>2341</v>
      </c>
      <c r="B661" s="78"/>
      <c r="G661" s="25"/>
      <c r="H661" s="25"/>
    </row>
    <row r="662" spans="1:8" x14ac:dyDescent="0.2">
      <c r="A662" t="s">
        <v>3885</v>
      </c>
      <c r="B662" s="78"/>
      <c r="G662" s="25"/>
      <c r="H662" s="25"/>
    </row>
    <row r="663" spans="1:8" x14ac:dyDescent="0.2">
      <c r="A663" t="s">
        <v>3887</v>
      </c>
      <c r="B663" s="78"/>
      <c r="G663" s="25"/>
      <c r="H663" s="25"/>
    </row>
    <row r="664" spans="1:8" x14ac:dyDescent="0.2">
      <c r="A664" t="s">
        <v>3889</v>
      </c>
      <c r="B664" s="78"/>
      <c r="G664" s="25"/>
      <c r="H664" s="25"/>
    </row>
    <row r="665" spans="1:8" x14ac:dyDescent="0.2">
      <c r="A665" t="s">
        <v>2281</v>
      </c>
      <c r="B665" s="78"/>
      <c r="G665" s="25"/>
      <c r="H665" s="25"/>
    </row>
    <row r="666" spans="1:8" x14ac:dyDescent="0.2">
      <c r="A666" t="s">
        <v>2283</v>
      </c>
      <c r="B666" s="78"/>
      <c r="G666" s="25"/>
      <c r="H666" s="25"/>
    </row>
    <row r="667" spans="1:8" x14ac:dyDescent="0.2">
      <c r="A667" t="s">
        <v>2285</v>
      </c>
      <c r="B667" s="78"/>
      <c r="G667" s="25"/>
      <c r="H667" s="25"/>
    </row>
    <row r="668" spans="1:8" x14ac:dyDescent="0.2">
      <c r="A668" t="s">
        <v>2287</v>
      </c>
      <c r="B668" s="78"/>
      <c r="G668" s="25"/>
      <c r="H668" s="25"/>
    </row>
    <row r="669" spans="1:8" x14ac:dyDescent="0.2">
      <c r="A669" t="s">
        <v>2289</v>
      </c>
      <c r="B669" s="78"/>
      <c r="G669" s="25"/>
      <c r="H669" s="25"/>
    </row>
    <row r="670" spans="1:8" x14ac:dyDescent="0.2">
      <c r="A670" t="s">
        <v>2291</v>
      </c>
      <c r="B670" s="78"/>
      <c r="G670" s="25"/>
      <c r="H670" s="25"/>
    </row>
    <row r="671" spans="1:8" x14ac:dyDescent="0.2">
      <c r="A671" t="s">
        <v>2293</v>
      </c>
      <c r="B671" s="78"/>
      <c r="G671" s="25"/>
      <c r="H671" s="25"/>
    </row>
    <row r="672" spans="1:8" x14ac:dyDescent="0.2">
      <c r="A672" t="s">
        <v>2295</v>
      </c>
      <c r="B672" s="78"/>
      <c r="G672" s="25"/>
      <c r="H672" s="25"/>
    </row>
    <row r="673" spans="1:8" x14ac:dyDescent="0.2">
      <c r="A673" s="25" t="s">
        <v>2334</v>
      </c>
      <c r="B673" s="78">
        <v>5</v>
      </c>
      <c r="C673" s="78">
        <v>5</v>
      </c>
      <c r="G673" s="25"/>
      <c r="H673" s="25"/>
    </row>
    <row r="674" spans="1:8" x14ac:dyDescent="0.2">
      <c r="A674" s="25" t="s">
        <v>2117</v>
      </c>
      <c r="B674" s="78" t="b">
        <v>0</v>
      </c>
      <c r="C674" s="78" t="b">
        <v>0</v>
      </c>
      <c r="G674" s="25"/>
      <c r="H674" s="25"/>
    </row>
    <row r="675" spans="1:8" x14ac:dyDescent="0.2">
      <c r="A675" s="25" t="s">
        <v>3906</v>
      </c>
      <c r="B675" s="78">
        <v>1</v>
      </c>
      <c r="C675" s="78">
        <v>1</v>
      </c>
      <c r="G675" s="25"/>
      <c r="H675" s="25"/>
    </row>
    <row r="676" spans="1:8" x14ac:dyDescent="0.2">
      <c r="A676" s="25" t="s">
        <v>2138</v>
      </c>
      <c r="B676" s="78">
        <v>1</v>
      </c>
      <c r="C676" s="78">
        <v>1</v>
      </c>
      <c r="G676" s="25"/>
      <c r="H676" s="25"/>
    </row>
    <row r="677" spans="1:8" x14ac:dyDescent="0.2">
      <c r="A677" s="25" t="s">
        <v>3088</v>
      </c>
      <c r="B677" s="78"/>
      <c r="G677" s="25"/>
      <c r="H677" s="25"/>
    </row>
    <row r="678" spans="1:8" x14ac:dyDescent="0.2">
      <c r="A678" s="25" t="s">
        <v>3089</v>
      </c>
      <c r="B678" s="78"/>
      <c r="G678" s="25"/>
      <c r="H678" s="25"/>
    </row>
    <row r="679" spans="1:8" x14ac:dyDescent="0.2">
      <c r="A679" s="25" t="s">
        <v>3090</v>
      </c>
      <c r="B679" s="78"/>
      <c r="G679" s="25"/>
      <c r="H679" s="25"/>
    </row>
    <row r="680" spans="1:8" x14ac:dyDescent="0.2">
      <c r="A680" s="25" t="s">
        <v>3091</v>
      </c>
      <c r="B680" s="78"/>
      <c r="G680" s="25"/>
      <c r="H680" s="25"/>
    </row>
    <row r="681" spans="1:8" x14ac:dyDescent="0.2">
      <c r="A681" s="25" t="s">
        <v>3092</v>
      </c>
      <c r="B681" s="78"/>
      <c r="G681" s="25"/>
      <c r="H681" s="25"/>
    </row>
    <row r="682" spans="1:8" x14ac:dyDescent="0.2">
      <c r="A682" s="25" t="s">
        <v>3093</v>
      </c>
      <c r="B682" s="78"/>
      <c r="G682" s="25"/>
      <c r="H682" s="25"/>
    </row>
    <row r="683" spans="1:8" x14ac:dyDescent="0.2">
      <c r="A683" s="25" t="s">
        <v>1966</v>
      </c>
      <c r="B683" s="78"/>
      <c r="G683" s="25"/>
      <c r="H683" s="25"/>
    </row>
    <row r="684" spans="1:8" x14ac:dyDescent="0.2">
      <c r="A684" s="25" t="s">
        <v>3973</v>
      </c>
      <c r="B684" s="78"/>
      <c r="G684" s="25"/>
      <c r="H684" s="25"/>
    </row>
    <row r="685" spans="1:8" x14ac:dyDescent="0.2">
      <c r="A685" s="25" t="s">
        <v>3974</v>
      </c>
      <c r="B685" s="78"/>
      <c r="G685" s="25"/>
      <c r="H685" s="25"/>
    </row>
    <row r="686" spans="1:8" x14ac:dyDescent="0.2">
      <c r="A686" t="s">
        <v>3043</v>
      </c>
      <c r="B686" s="78">
        <v>0</v>
      </c>
      <c r="C686" s="78">
        <v>0</v>
      </c>
      <c r="G686" s="25"/>
      <c r="H686" s="25"/>
    </row>
    <row r="687" spans="1:8" x14ac:dyDescent="0.2">
      <c r="A687" s="25" t="s">
        <v>2885</v>
      </c>
      <c r="B687" s="78">
        <v>1</v>
      </c>
      <c r="C687" s="78">
        <v>1</v>
      </c>
      <c r="G687" s="25"/>
      <c r="H687" s="25"/>
    </row>
    <row r="688" spans="1:8" x14ac:dyDescent="0.2">
      <c r="A688" s="25" t="s">
        <v>4128</v>
      </c>
      <c r="B688" s="78">
        <v>1</v>
      </c>
      <c r="C688" s="78">
        <v>1</v>
      </c>
      <c r="G688" s="25"/>
      <c r="H688" s="25"/>
    </row>
    <row r="689" spans="1:8" x14ac:dyDescent="0.2">
      <c r="A689" s="25" t="s">
        <v>3907</v>
      </c>
      <c r="B689" s="78"/>
      <c r="G689" s="25"/>
      <c r="H689" s="25"/>
    </row>
    <row r="690" spans="1:8" x14ac:dyDescent="0.2">
      <c r="A690" s="25" t="s">
        <v>1737</v>
      </c>
      <c r="B690" s="78"/>
      <c r="G690" s="25"/>
      <c r="H690" s="25"/>
    </row>
    <row r="691" spans="1:8" x14ac:dyDescent="0.2">
      <c r="A691" s="25" t="s">
        <v>1738</v>
      </c>
      <c r="B691" s="78"/>
      <c r="G691" s="25"/>
      <c r="H691" s="25"/>
    </row>
    <row r="692" spans="1:8" x14ac:dyDescent="0.2">
      <c r="A692" s="25" t="s">
        <v>1739</v>
      </c>
      <c r="B692" s="78"/>
      <c r="G692" s="25"/>
      <c r="H692" s="25"/>
    </row>
    <row r="693" spans="1:8" x14ac:dyDescent="0.2">
      <c r="A693" s="25" t="s">
        <v>1740</v>
      </c>
      <c r="B693" s="78"/>
      <c r="G693" s="25"/>
      <c r="H693" s="25"/>
    </row>
    <row r="694" spans="1:8" x14ac:dyDescent="0.2">
      <c r="A694" s="25" t="s">
        <v>1741</v>
      </c>
      <c r="B694" s="78"/>
      <c r="G694" s="25"/>
      <c r="H694" s="25"/>
    </row>
    <row r="695" spans="1:8" x14ac:dyDescent="0.2">
      <c r="A695" s="25" t="s">
        <v>1742</v>
      </c>
      <c r="B695" s="78"/>
      <c r="G695" s="25"/>
      <c r="H695" s="25"/>
    </row>
    <row r="696" spans="1:8" x14ac:dyDescent="0.2">
      <c r="A696" s="25" t="s">
        <v>1743</v>
      </c>
      <c r="B696" s="79"/>
      <c r="C696" s="79"/>
      <c r="G696" s="25"/>
      <c r="H696" s="25"/>
    </row>
    <row r="697" spans="1:8" x14ac:dyDescent="0.2">
      <c r="A697" s="25" t="s">
        <v>1744</v>
      </c>
      <c r="C697"/>
      <c r="G697" s="25"/>
      <c r="H697" s="25"/>
    </row>
    <row r="698" spans="1:8" x14ac:dyDescent="0.2">
      <c r="A698" s="25" t="s">
        <v>1745</v>
      </c>
      <c r="C698"/>
      <c r="G698" s="25"/>
      <c r="H698" s="25"/>
    </row>
    <row r="699" spans="1:8" x14ac:dyDescent="0.2">
      <c r="A699" s="25" t="s">
        <v>162</v>
      </c>
      <c r="C699"/>
      <c r="G699" s="25"/>
      <c r="H699" s="25"/>
    </row>
    <row r="700" spans="1:8" x14ac:dyDescent="0.2">
      <c r="A700" s="25" t="s">
        <v>163</v>
      </c>
      <c r="C700"/>
      <c r="G700" s="25"/>
      <c r="H700" s="25"/>
    </row>
    <row r="701" spans="1:8" x14ac:dyDescent="0.2">
      <c r="A701" s="25" t="s">
        <v>164</v>
      </c>
      <c r="C701"/>
      <c r="G701" s="25"/>
      <c r="H701" s="25"/>
    </row>
    <row r="702" spans="1:8" x14ac:dyDescent="0.2">
      <c r="A702" s="25" t="s">
        <v>165</v>
      </c>
      <c r="C702"/>
      <c r="G702" s="25"/>
      <c r="H702" s="25"/>
    </row>
    <row r="703" spans="1:8" x14ac:dyDescent="0.2">
      <c r="A703" s="25" t="s">
        <v>166</v>
      </c>
      <c r="B703" s="78"/>
      <c r="G703" s="25"/>
      <c r="H703" s="25"/>
    </row>
    <row r="704" spans="1:8" x14ac:dyDescent="0.2">
      <c r="A704" s="25" t="s">
        <v>167</v>
      </c>
      <c r="C704"/>
      <c r="G704" s="25"/>
      <c r="H704" s="25"/>
    </row>
    <row r="705" spans="1:8" x14ac:dyDescent="0.2">
      <c r="A705" s="25" t="s">
        <v>168</v>
      </c>
      <c r="B705" s="78"/>
      <c r="G705" s="25"/>
      <c r="H705" s="25"/>
    </row>
    <row r="706" spans="1:8" x14ac:dyDescent="0.2">
      <c r="A706" s="25" t="s">
        <v>169</v>
      </c>
      <c r="C706"/>
      <c r="G706" s="25"/>
      <c r="H706" s="25"/>
    </row>
    <row r="707" spans="1:8" x14ac:dyDescent="0.2">
      <c r="A707" s="25" t="s">
        <v>170</v>
      </c>
      <c r="C707"/>
      <c r="G707" s="25"/>
      <c r="H707" s="25"/>
    </row>
    <row r="708" spans="1:8" x14ac:dyDescent="0.2">
      <c r="A708" s="25" t="s">
        <v>171</v>
      </c>
      <c r="C708"/>
      <c r="G708" s="25"/>
      <c r="H708" s="25"/>
    </row>
    <row r="709" spans="1:8" x14ac:dyDescent="0.2">
      <c r="A709" s="25" t="s">
        <v>172</v>
      </c>
      <c r="C709"/>
      <c r="G709" s="25"/>
      <c r="H709" s="25"/>
    </row>
    <row r="710" spans="1:8" x14ac:dyDescent="0.2">
      <c r="A710" s="25" t="s">
        <v>4239</v>
      </c>
      <c r="B710">
        <v>1500</v>
      </c>
      <c r="C710">
        <v>1500</v>
      </c>
      <c r="G710" s="25"/>
      <c r="H710" s="25"/>
    </row>
    <row r="711" spans="1:8" x14ac:dyDescent="0.2">
      <c r="A711" s="25" t="s">
        <v>4240</v>
      </c>
      <c r="B711">
        <v>1500</v>
      </c>
      <c r="C711">
        <v>1500</v>
      </c>
      <c r="G711" s="25"/>
      <c r="H711" s="25"/>
    </row>
    <row r="712" spans="1:8" x14ac:dyDescent="0.2">
      <c r="A712" s="25" t="s">
        <v>4241</v>
      </c>
      <c r="B712">
        <v>1500</v>
      </c>
      <c r="C712">
        <v>1500</v>
      </c>
      <c r="G712" s="25"/>
      <c r="H712" s="25"/>
    </row>
    <row r="713" spans="1:8" x14ac:dyDescent="0.2">
      <c r="A713" s="25" t="s">
        <v>4242</v>
      </c>
      <c r="B713">
        <v>1500</v>
      </c>
      <c r="C713">
        <v>1500</v>
      </c>
      <c r="G713" s="25"/>
      <c r="H713" s="25"/>
    </row>
    <row r="714" spans="1:8" x14ac:dyDescent="0.2">
      <c r="A714" s="25" t="s">
        <v>59</v>
      </c>
      <c r="B714" s="78">
        <v>1500</v>
      </c>
      <c r="C714" s="78">
        <v>1500</v>
      </c>
      <c r="G714" s="25"/>
      <c r="H714" s="25"/>
    </row>
    <row r="715" spans="1:8" x14ac:dyDescent="0.2">
      <c r="A715" s="25" t="s">
        <v>60</v>
      </c>
      <c r="B715" s="78">
        <v>1500</v>
      </c>
      <c r="C715" s="78">
        <v>1500</v>
      </c>
      <c r="G715" s="25"/>
      <c r="H715" s="25"/>
    </row>
    <row r="716" spans="1:8" x14ac:dyDescent="0.2">
      <c r="A716" s="25" t="s">
        <v>61</v>
      </c>
      <c r="B716">
        <v>1500</v>
      </c>
      <c r="C716">
        <v>1500</v>
      </c>
      <c r="G716" s="25"/>
      <c r="H716" s="25"/>
    </row>
    <row r="717" spans="1:8" x14ac:dyDescent="0.2">
      <c r="A717" s="25" t="s">
        <v>62</v>
      </c>
      <c r="B717">
        <v>1500</v>
      </c>
      <c r="C717">
        <v>1500</v>
      </c>
      <c r="G717" s="25"/>
      <c r="H717" s="25"/>
    </row>
    <row r="718" spans="1:8" x14ac:dyDescent="0.2">
      <c r="A718" s="25" t="s">
        <v>63</v>
      </c>
      <c r="B718">
        <v>1500</v>
      </c>
      <c r="C718">
        <v>1500</v>
      </c>
      <c r="G718" s="25"/>
      <c r="H718" s="25"/>
    </row>
    <row r="719" spans="1:8" x14ac:dyDescent="0.2">
      <c r="A719" s="25" t="s">
        <v>1911</v>
      </c>
      <c r="B719">
        <v>1500</v>
      </c>
      <c r="C719">
        <v>1500</v>
      </c>
      <c r="G719" s="25"/>
      <c r="H719" s="25"/>
    </row>
    <row r="720" spans="1:8" x14ac:dyDescent="0.2">
      <c r="A720" s="25" t="s">
        <v>1912</v>
      </c>
      <c r="B720">
        <v>1500</v>
      </c>
      <c r="C720">
        <v>1500</v>
      </c>
      <c r="G720" s="25"/>
      <c r="H720" s="25"/>
    </row>
    <row r="721" spans="1:8" x14ac:dyDescent="0.2">
      <c r="A721" s="25" t="s">
        <v>1913</v>
      </c>
      <c r="B721">
        <v>1500</v>
      </c>
      <c r="C721">
        <v>1500</v>
      </c>
      <c r="G721" s="25"/>
      <c r="H721" s="25"/>
    </row>
    <row r="722" spans="1:8" x14ac:dyDescent="0.2">
      <c r="A722" s="25" t="s">
        <v>189</v>
      </c>
      <c r="B722">
        <v>1500</v>
      </c>
      <c r="C722">
        <v>1500</v>
      </c>
      <c r="G722" s="25"/>
      <c r="H722" s="25"/>
    </row>
    <row r="723" spans="1:8" x14ac:dyDescent="0.2">
      <c r="A723" s="25" t="s">
        <v>190</v>
      </c>
      <c r="B723">
        <v>1500</v>
      </c>
      <c r="C723">
        <v>1500</v>
      </c>
      <c r="G723" s="25"/>
      <c r="H723" s="25"/>
    </row>
    <row r="724" spans="1:8" x14ac:dyDescent="0.2">
      <c r="A724" s="25" t="s">
        <v>191</v>
      </c>
      <c r="B724">
        <v>1500</v>
      </c>
      <c r="C724">
        <v>1500</v>
      </c>
      <c r="G724" s="25"/>
      <c r="H724" s="25"/>
    </row>
    <row r="725" spans="1:8" x14ac:dyDescent="0.2">
      <c r="A725" s="25" t="s">
        <v>192</v>
      </c>
      <c r="B725">
        <v>1500</v>
      </c>
      <c r="C725">
        <v>1500</v>
      </c>
      <c r="G725" s="25"/>
      <c r="H725" s="25"/>
    </row>
    <row r="726" spans="1:8" x14ac:dyDescent="0.2">
      <c r="A726" s="25" t="s">
        <v>2666</v>
      </c>
      <c r="B726">
        <v>1500</v>
      </c>
      <c r="C726">
        <v>1500</v>
      </c>
      <c r="G726" s="25"/>
      <c r="H726" s="25"/>
    </row>
    <row r="727" spans="1:8" x14ac:dyDescent="0.2">
      <c r="A727" s="25" t="s">
        <v>2667</v>
      </c>
      <c r="B727">
        <v>1500</v>
      </c>
      <c r="C727">
        <v>1500</v>
      </c>
      <c r="G727" s="25"/>
      <c r="H727" s="25"/>
    </row>
    <row r="728" spans="1:8" x14ac:dyDescent="0.2">
      <c r="A728" s="25" t="s">
        <v>2668</v>
      </c>
      <c r="B728">
        <v>1500</v>
      </c>
      <c r="C728">
        <v>1500</v>
      </c>
      <c r="G728" s="25"/>
      <c r="H728" s="25"/>
    </row>
    <row r="729" spans="1:8" x14ac:dyDescent="0.2">
      <c r="A729" s="25" t="s">
        <v>2669</v>
      </c>
      <c r="B729">
        <v>1500</v>
      </c>
      <c r="C729">
        <v>1500</v>
      </c>
      <c r="G729" s="25"/>
      <c r="H729" s="25"/>
    </row>
    <row r="730" spans="1:8" x14ac:dyDescent="0.2">
      <c r="A730" s="25" t="s">
        <v>3647</v>
      </c>
      <c r="C730"/>
      <c r="G730" s="25"/>
      <c r="H730" s="25"/>
    </row>
    <row r="731" spans="1:8" x14ac:dyDescent="0.2">
      <c r="A731" s="25" t="s">
        <v>3653</v>
      </c>
      <c r="B731">
        <v>40</v>
      </c>
      <c r="C731">
        <v>40</v>
      </c>
      <c r="G731" s="25"/>
      <c r="H731" s="25"/>
    </row>
    <row r="732" spans="1:8" x14ac:dyDescent="0.2">
      <c r="A732" s="25" t="s">
        <v>3652</v>
      </c>
      <c r="B732">
        <v>80</v>
      </c>
      <c r="C732">
        <v>80</v>
      </c>
      <c r="G732" s="25"/>
      <c r="H732" s="25"/>
    </row>
    <row r="733" spans="1:8" x14ac:dyDescent="0.2">
      <c r="A733" s="25" t="s">
        <v>3641</v>
      </c>
      <c r="C733"/>
      <c r="G733" s="25"/>
      <c r="H733" s="25"/>
    </row>
    <row r="734" spans="1:8" x14ac:dyDescent="0.2">
      <c r="A734" s="25" t="s">
        <v>3639</v>
      </c>
      <c r="C734"/>
      <c r="G734" s="25"/>
      <c r="H734" s="25"/>
    </row>
    <row r="735" spans="1:8" x14ac:dyDescent="0.2">
      <c r="A735" s="25" t="s">
        <v>3646</v>
      </c>
      <c r="C735"/>
      <c r="G735" s="25"/>
      <c r="H735" s="25"/>
    </row>
    <row r="736" spans="1:8" x14ac:dyDescent="0.2">
      <c r="A736" s="25" t="s">
        <v>3621</v>
      </c>
      <c r="B736" s="78">
        <v>1</v>
      </c>
      <c r="C736" s="78">
        <v>1</v>
      </c>
      <c r="G736" s="25"/>
      <c r="H736" s="25"/>
    </row>
    <row r="737" spans="1:8" x14ac:dyDescent="0.2">
      <c r="A737" s="25" t="s">
        <v>2333</v>
      </c>
      <c r="B737" s="78">
        <v>0</v>
      </c>
      <c r="C737" s="78">
        <v>0</v>
      </c>
      <c r="G737" s="25"/>
      <c r="H737" s="25"/>
    </row>
    <row r="738" spans="1:8" x14ac:dyDescent="0.2">
      <c r="A738" s="25" t="s">
        <v>2230</v>
      </c>
      <c r="B738" s="78">
        <v>1</v>
      </c>
      <c r="C738" s="78">
        <v>1</v>
      </c>
      <c r="G738" s="25"/>
      <c r="H738" s="25"/>
    </row>
    <row r="739" spans="1:8" x14ac:dyDescent="0.2">
      <c r="A739" s="25" t="s">
        <v>3908</v>
      </c>
      <c r="B739" s="78"/>
      <c r="G739" s="25"/>
      <c r="H739" s="25"/>
    </row>
    <row r="740" spans="1:8" x14ac:dyDescent="0.2">
      <c r="A740" s="25" t="s">
        <v>2335</v>
      </c>
      <c r="B740" s="78">
        <v>17</v>
      </c>
      <c r="C740" s="78">
        <v>17</v>
      </c>
      <c r="G740" s="25"/>
      <c r="H740" s="25"/>
    </row>
    <row r="741" spans="1:8" x14ac:dyDescent="0.2">
      <c r="A741" s="25" t="s">
        <v>3648</v>
      </c>
      <c r="B741" s="78">
        <v>18</v>
      </c>
      <c r="C741" s="78">
        <v>18</v>
      </c>
      <c r="G741" s="25"/>
      <c r="H741" s="25"/>
    </row>
    <row r="742" spans="1:8" x14ac:dyDescent="0.2">
      <c r="A742" s="25" t="s">
        <v>2177</v>
      </c>
      <c r="B742" s="78">
        <v>60</v>
      </c>
      <c r="C742" s="78">
        <v>60</v>
      </c>
      <c r="G742" s="25"/>
      <c r="H742" s="25"/>
    </row>
    <row r="743" spans="1:8" x14ac:dyDescent="0.2">
      <c r="A743" s="25" t="s">
        <v>3909</v>
      </c>
      <c r="B743" s="78" t="b">
        <v>0</v>
      </c>
      <c r="C743" s="78" t="b">
        <v>0</v>
      </c>
      <c r="G743" s="25"/>
      <c r="H743" s="25"/>
    </row>
    <row r="744" spans="1:8" x14ac:dyDescent="0.2">
      <c r="A744" s="25" t="s">
        <v>3910</v>
      </c>
      <c r="B744" s="78">
        <v>1</v>
      </c>
      <c r="C744" s="78">
        <v>1</v>
      </c>
      <c r="G744" s="25"/>
      <c r="H744" s="25"/>
    </row>
    <row r="745" spans="1:8" x14ac:dyDescent="0.2">
      <c r="A745" s="25" t="s">
        <v>1610</v>
      </c>
      <c r="B745" s="78">
        <v>0</v>
      </c>
      <c r="C745" s="78">
        <v>0</v>
      </c>
      <c r="G745" s="25"/>
      <c r="H745" s="25"/>
    </row>
    <row r="746" spans="1:8" x14ac:dyDescent="0.2">
      <c r="A746" s="25" t="s">
        <v>3423</v>
      </c>
      <c r="B746" s="78"/>
      <c r="G746" s="25"/>
      <c r="H746" s="25"/>
    </row>
    <row r="747" spans="1:8" x14ac:dyDescent="0.2">
      <c r="A747" s="25" t="s">
        <v>3424</v>
      </c>
      <c r="B747" s="78"/>
      <c r="G747" s="25"/>
      <c r="H747" s="25"/>
    </row>
    <row r="748" spans="1:8" x14ac:dyDescent="0.2">
      <c r="A748" s="25" t="s">
        <v>2185</v>
      </c>
      <c r="B748" s="78"/>
      <c r="G748" s="25"/>
      <c r="H748" s="25"/>
    </row>
    <row r="749" spans="1:8" x14ac:dyDescent="0.2">
      <c r="A749" s="25" t="s">
        <v>2175</v>
      </c>
      <c r="B749" t="s">
        <v>2675</v>
      </c>
      <c r="C749" t="s">
        <v>2675</v>
      </c>
      <c r="G749" s="25"/>
      <c r="H749" s="25"/>
    </row>
    <row r="750" spans="1:8" x14ac:dyDescent="0.2">
      <c r="A750" s="25" t="s">
        <v>2967</v>
      </c>
      <c r="B750" s="78" t="b">
        <v>0</v>
      </c>
      <c r="C750" s="78" t="b">
        <v>0</v>
      </c>
      <c r="G750" s="25"/>
      <c r="H750" s="25"/>
    </row>
    <row r="751" spans="1:8" x14ac:dyDescent="0.2">
      <c r="A751" s="25" t="s">
        <v>4236</v>
      </c>
      <c r="B751">
        <v>1</v>
      </c>
      <c r="C751">
        <v>1</v>
      </c>
      <c r="G751" s="25"/>
      <c r="H751" s="25"/>
    </row>
    <row r="752" spans="1:8" x14ac:dyDescent="0.2">
      <c r="A752" t="s">
        <v>4965</v>
      </c>
      <c r="B752" s="78" t="b">
        <v>0</v>
      </c>
      <c r="C752" s="78" t="b">
        <v>0</v>
      </c>
      <c r="G752" s="25"/>
      <c r="H752" s="25"/>
    </row>
    <row r="753" spans="1:8" x14ac:dyDescent="0.2">
      <c r="A753" t="s">
        <v>4966</v>
      </c>
      <c r="B753" s="78">
        <v>30</v>
      </c>
      <c r="C753" s="78">
        <v>30</v>
      </c>
      <c r="G753" s="25"/>
      <c r="H753" s="25"/>
    </row>
    <row r="754" spans="1:8" x14ac:dyDescent="0.2">
      <c r="A754" t="s">
        <v>4497</v>
      </c>
      <c r="B754" s="78">
        <v>3</v>
      </c>
      <c r="C754" s="78">
        <v>3</v>
      </c>
      <c r="G754" s="25"/>
      <c r="H754" s="25"/>
    </row>
    <row r="755" spans="1:8" x14ac:dyDescent="0.2">
      <c r="A755" s="25"/>
      <c r="B755" s="78"/>
      <c r="G755" s="25"/>
      <c r="H755" s="25"/>
    </row>
    <row r="756" spans="1:8" x14ac:dyDescent="0.2">
      <c r="A756" s="25"/>
      <c r="B756" s="78"/>
      <c r="G756" s="25"/>
      <c r="H756" s="25"/>
    </row>
    <row r="757" spans="1:8" x14ac:dyDescent="0.2">
      <c r="A757" s="25"/>
      <c r="B757" s="78"/>
      <c r="G757" s="25"/>
      <c r="H757" s="25"/>
    </row>
    <row r="758" spans="1:8" x14ac:dyDescent="0.2">
      <c r="A758" s="25"/>
      <c r="B758" s="78"/>
      <c r="G758" s="25"/>
      <c r="H758" s="25"/>
    </row>
    <row r="759" spans="1:8" x14ac:dyDescent="0.2">
      <c r="A759" s="25"/>
      <c r="B759" s="78"/>
      <c r="G759" s="25"/>
      <c r="H759" s="25"/>
    </row>
    <row r="760" spans="1:8" x14ac:dyDescent="0.2">
      <c r="A760" s="25"/>
      <c r="B760" s="78"/>
      <c r="G760" s="25"/>
      <c r="H760" s="25"/>
    </row>
    <row r="761" spans="1:8" x14ac:dyDescent="0.2">
      <c r="A761" s="25"/>
      <c r="B761" s="78"/>
      <c r="G761" s="25"/>
      <c r="H761" s="25"/>
    </row>
    <row r="762" spans="1:8" x14ac:dyDescent="0.2">
      <c r="A762" s="25"/>
      <c r="B762" s="78"/>
      <c r="G762" s="25"/>
      <c r="H762" s="25"/>
    </row>
    <row r="763" spans="1:8" x14ac:dyDescent="0.2">
      <c r="A763" s="25"/>
      <c r="B763" s="78"/>
      <c r="G763" s="25"/>
      <c r="H763" s="25"/>
    </row>
    <row r="764" spans="1:8" x14ac:dyDescent="0.2">
      <c r="A764" s="25"/>
      <c r="B764" s="78"/>
      <c r="G764" s="25"/>
      <c r="H764" s="25"/>
    </row>
    <row r="765" spans="1:8" x14ac:dyDescent="0.2">
      <c r="A765" s="25"/>
      <c r="B765" s="78"/>
      <c r="G765" s="25"/>
      <c r="H765" s="25"/>
    </row>
    <row r="766" spans="1:8" x14ac:dyDescent="0.2">
      <c r="A766" s="25"/>
      <c r="B766" s="78"/>
      <c r="G766" s="25"/>
      <c r="H766" s="25"/>
    </row>
    <row r="767" spans="1:8" x14ac:dyDescent="0.2">
      <c r="A767" s="25"/>
      <c r="B767" s="78"/>
      <c r="G767" s="25"/>
      <c r="H767" s="25"/>
    </row>
    <row r="768" spans="1:8" x14ac:dyDescent="0.2">
      <c r="A768" s="25"/>
      <c r="B768" s="78"/>
      <c r="G768" s="25"/>
      <c r="H768" s="25"/>
    </row>
    <row r="769" spans="1:8" x14ac:dyDescent="0.2">
      <c r="A769" s="25"/>
      <c r="B769" s="78"/>
      <c r="G769" s="25"/>
      <c r="H769" s="25"/>
    </row>
    <row r="770" spans="1:8" x14ac:dyDescent="0.2">
      <c r="A770" s="25"/>
      <c r="B770" s="78"/>
      <c r="G770" s="25"/>
      <c r="H770" s="25"/>
    </row>
    <row r="771" spans="1:8" x14ac:dyDescent="0.2">
      <c r="A771" s="25"/>
      <c r="B771" s="78"/>
      <c r="G771" s="25"/>
      <c r="H771" s="25"/>
    </row>
    <row r="772" spans="1:8" x14ac:dyDescent="0.2">
      <c r="A772" s="25"/>
      <c r="B772" s="78"/>
      <c r="G772" s="25"/>
      <c r="H772" s="25"/>
    </row>
    <row r="773" spans="1:8" x14ac:dyDescent="0.2">
      <c r="A773" s="25"/>
      <c r="B773" s="78"/>
      <c r="G773" s="25"/>
      <c r="H773" s="25"/>
    </row>
    <row r="774" spans="1:8" x14ac:dyDescent="0.2">
      <c r="A774" s="25"/>
      <c r="B774" s="78"/>
      <c r="G774" s="25"/>
      <c r="H774" s="25"/>
    </row>
    <row r="775" spans="1:8" x14ac:dyDescent="0.2">
      <c r="A775" s="25"/>
      <c r="B775" s="78"/>
      <c r="G775" s="25"/>
      <c r="H775" s="25"/>
    </row>
    <row r="776" spans="1:8" x14ac:dyDescent="0.2">
      <c r="A776" s="25"/>
      <c r="B776" s="78"/>
      <c r="G776" s="25"/>
      <c r="H776" s="25"/>
    </row>
    <row r="777" spans="1:8" x14ac:dyDescent="0.2">
      <c r="A777" s="25"/>
      <c r="B777" s="78"/>
      <c r="G777" s="25"/>
      <c r="H777" s="25"/>
    </row>
    <row r="778" spans="1:8" x14ac:dyDescent="0.2">
      <c r="A778" s="25"/>
      <c r="B778" s="78"/>
      <c r="G778" s="25"/>
      <c r="H778" s="25"/>
    </row>
    <row r="779" spans="1:8" x14ac:dyDescent="0.2">
      <c r="A779" s="25"/>
      <c r="B779" s="78"/>
      <c r="G779" s="25"/>
      <c r="H779" s="25"/>
    </row>
    <row r="780" spans="1:8" x14ac:dyDescent="0.2">
      <c r="A780" s="25"/>
      <c r="B780" s="78"/>
      <c r="G780" s="25"/>
      <c r="H780" s="25"/>
    </row>
    <row r="781" spans="1:8" x14ac:dyDescent="0.2">
      <c r="A781" s="25"/>
      <c r="B781" s="78"/>
      <c r="G781" s="25"/>
      <c r="H781" s="25"/>
    </row>
    <row r="782" spans="1:8" x14ac:dyDescent="0.2">
      <c r="A782" s="25"/>
      <c r="B782" s="78"/>
      <c r="G782" s="25"/>
      <c r="H782" s="25"/>
    </row>
    <row r="783" spans="1:8" x14ac:dyDescent="0.2">
      <c r="A783" s="25"/>
      <c r="B783" s="78"/>
      <c r="G783" s="25"/>
      <c r="H783" s="25"/>
    </row>
    <row r="784" spans="1:8" x14ac:dyDescent="0.2">
      <c r="A784" s="25"/>
      <c r="B784" s="78"/>
      <c r="G784" s="25"/>
      <c r="H784" s="25"/>
    </row>
    <row r="785" spans="1:8" x14ac:dyDescent="0.2">
      <c r="A785" s="25"/>
      <c r="B785" s="78"/>
      <c r="G785" s="25"/>
      <c r="H785" s="25"/>
    </row>
    <row r="786" spans="1:8" x14ac:dyDescent="0.2">
      <c r="A786" s="25"/>
      <c r="B786" s="78"/>
      <c r="G786" s="25"/>
      <c r="H786" s="25"/>
    </row>
    <row r="787" spans="1:8" x14ac:dyDescent="0.2">
      <c r="A787" s="25"/>
      <c r="B787" s="78"/>
      <c r="G787" s="25"/>
      <c r="H787" s="25"/>
    </row>
    <row r="788" spans="1:8" x14ac:dyDescent="0.2">
      <c r="A788" s="25"/>
      <c r="B788" s="78"/>
      <c r="G788" s="25"/>
      <c r="H788" s="25"/>
    </row>
    <row r="789" spans="1:8" x14ac:dyDescent="0.2">
      <c r="A789" s="25"/>
      <c r="B789" s="78"/>
      <c r="G789" s="25"/>
      <c r="H789" s="25"/>
    </row>
    <row r="790" spans="1:8" x14ac:dyDescent="0.2">
      <c r="A790" s="25"/>
      <c r="B790" s="78"/>
      <c r="G790" s="25"/>
      <c r="H790" s="25"/>
    </row>
    <row r="791" spans="1:8" x14ac:dyDescent="0.2">
      <c r="A791" s="25"/>
      <c r="B791" s="78"/>
      <c r="G791" s="25"/>
      <c r="H791" s="25"/>
    </row>
    <row r="792" spans="1:8" x14ac:dyDescent="0.2">
      <c r="A792" s="25"/>
      <c r="B792" s="78"/>
      <c r="G792" s="25"/>
      <c r="H792" s="25"/>
    </row>
    <row r="793" spans="1:8" x14ac:dyDescent="0.2">
      <c r="A793" s="25"/>
      <c r="B793" s="78"/>
      <c r="G793" s="25"/>
      <c r="H793" s="25"/>
    </row>
    <row r="794" spans="1:8" x14ac:dyDescent="0.2">
      <c r="A794" s="25"/>
      <c r="B794" s="78"/>
      <c r="G794" s="25"/>
      <c r="H794" s="25"/>
    </row>
    <row r="795" spans="1:8" x14ac:dyDescent="0.2">
      <c r="A795" s="25"/>
      <c r="B795" s="78"/>
      <c r="G795" s="25"/>
      <c r="H795" s="25"/>
    </row>
    <row r="796" spans="1:8" x14ac:dyDescent="0.2">
      <c r="A796" s="25"/>
      <c r="B796" s="78"/>
      <c r="G796" s="25"/>
      <c r="H796" s="25"/>
    </row>
    <row r="797" spans="1:8" x14ac:dyDescent="0.2">
      <c r="A797" s="25"/>
      <c r="B797" s="78"/>
      <c r="G797" s="25"/>
      <c r="H797" s="25"/>
    </row>
    <row r="798" spans="1:8" x14ac:dyDescent="0.2">
      <c r="A798" s="25"/>
      <c r="B798" s="78"/>
      <c r="G798" s="25"/>
      <c r="H798" s="25"/>
    </row>
    <row r="799" spans="1:8" x14ac:dyDescent="0.2">
      <c r="A799" s="25"/>
      <c r="B799" s="78"/>
      <c r="G799" s="25"/>
      <c r="H799" s="25"/>
    </row>
    <row r="800" spans="1:8" x14ac:dyDescent="0.2">
      <c r="A800" s="25"/>
      <c r="B800" s="78"/>
      <c r="G800" s="25"/>
      <c r="H800" s="25"/>
    </row>
    <row r="801" spans="1:8" x14ac:dyDescent="0.2">
      <c r="A801" s="25"/>
      <c r="B801" s="78"/>
      <c r="G801" s="25"/>
      <c r="H801" s="25"/>
    </row>
    <row r="802" spans="1:8" x14ac:dyDescent="0.2">
      <c r="A802" s="25"/>
      <c r="B802" s="78"/>
      <c r="G802" s="25"/>
      <c r="H802" s="25"/>
    </row>
    <row r="803" spans="1:8" x14ac:dyDescent="0.2">
      <c r="A803" s="25"/>
      <c r="B803" s="78"/>
      <c r="G803" s="25"/>
      <c r="H803" s="25"/>
    </row>
    <row r="804" spans="1:8" x14ac:dyDescent="0.2">
      <c r="A804" s="25"/>
      <c r="B804" s="78"/>
      <c r="G804" s="25"/>
      <c r="H804" s="25"/>
    </row>
    <row r="805" spans="1:8" x14ac:dyDescent="0.2">
      <c r="A805" s="25"/>
      <c r="B805" s="78"/>
      <c r="G805" s="25"/>
      <c r="H805" s="25"/>
    </row>
    <row r="806" spans="1:8" x14ac:dyDescent="0.2">
      <c r="A806" s="25"/>
      <c r="B806" s="78"/>
      <c r="G806" s="25"/>
      <c r="H806" s="25"/>
    </row>
    <row r="807" spans="1:8" x14ac:dyDescent="0.2">
      <c r="A807" s="25"/>
      <c r="B807" s="78"/>
      <c r="G807" s="25"/>
      <c r="H807" s="25"/>
    </row>
    <row r="808" spans="1:8" x14ac:dyDescent="0.2">
      <c r="A808" s="25"/>
      <c r="B808" s="78"/>
      <c r="G808" s="25"/>
      <c r="H808" s="25"/>
    </row>
    <row r="809" spans="1:8" x14ac:dyDescent="0.2">
      <c r="A809" s="25"/>
      <c r="B809" s="78"/>
      <c r="G809" s="25"/>
      <c r="H809" s="25"/>
    </row>
    <row r="810" spans="1:8" x14ac:dyDescent="0.2">
      <c r="A810" s="25"/>
      <c r="B810" s="78"/>
      <c r="G810" s="25"/>
      <c r="H810" s="25"/>
    </row>
    <row r="811" spans="1:8" x14ac:dyDescent="0.2">
      <c r="A811" s="25"/>
      <c r="B811" s="78"/>
      <c r="G811" s="25"/>
      <c r="H811" s="25"/>
    </row>
    <row r="812" spans="1:8" x14ac:dyDescent="0.2">
      <c r="A812" s="25"/>
      <c r="B812" s="78"/>
      <c r="G812" s="25"/>
      <c r="H812" s="25"/>
    </row>
    <row r="813" spans="1:8" x14ac:dyDescent="0.2">
      <c r="A813" s="25"/>
      <c r="B813" s="78"/>
      <c r="G813" s="25"/>
      <c r="H813" s="25"/>
    </row>
    <row r="814" spans="1:8" x14ac:dyDescent="0.2">
      <c r="A814" s="25"/>
      <c r="B814" s="78"/>
      <c r="G814" s="25"/>
      <c r="H814" s="25"/>
    </row>
    <row r="815" spans="1:8" x14ac:dyDescent="0.2">
      <c r="A815" s="25"/>
      <c r="G815" s="25"/>
      <c r="H815" s="25"/>
    </row>
    <row r="816" spans="1:8" x14ac:dyDescent="0.2">
      <c r="A816" s="25"/>
      <c r="G816" s="25"/>
      <c r="H816" s="25"/>
    </row>
    <row r="817" spans="1:8" x14ac:dyDescent="0.2">
      <c r="A817" s="25"/>
      <c r="G817" s="25"/>
      <c r="H817" s="25"/>
    </row>
    <row r="818" spans="1:8" x14ac:dyDescent="0.2">
      <c r="A818" s="25"/>
      <c r="B818" s="25"/>
      <c r="G818" s="25"/>
      <c r="H818" s="25"/>
    </row>
    <row r="819" spans="1:8" x14ac:dyDescent="0.2">
      <c r="A819" s="25"/>
      <c r="B819" s="25"/>
      <c r="G819" s="25"/>
      <c r="H819" s="25"/>
    </row>
    <row r="820" spans="1:8" x14ac:dyDescent="0.2">
      <c r="A820" s="25"/>
      <c r="B820" s="25"/>
      <c r="G820" s="25"/>
      <c r="H820" s="25"/>
    </row>
    <row r="821" spans="1:8" x14ac:dyDescent="0.2">
      <c r="A821" s="25"/>
      <c r="B821" s="25"/>
      <c r="G821" s="25"/>
      <c r="H821" s="25"/>
    </row>
    <row r="822" spans="1:8" x14ac:dyDescent="0.2">
      <c r="A822" s="25"/>
      <c r="B822" s="25"/>
      <c r="G822" s="25"/>
      <c r="H822" s="25"/>
    </row>
    <row r="823" spans="1:8" x14ac:dyDescent="0.2">
      <c r="A823" s="25"/>
      <c r="B823" s="25"/>
      <c r="G823" s="25"/>
      <c r="H823" s="25"/>
    </row>
    <row r="824" spans="1:8" x14ac:dyDescent="0.2">
      <c r="A824" s="25"/>
      <c r="B824" s="25"/>
      <c r="G824" s="25"/>
      <c r="H824" s="25"/>
    </row>
    <row r="825" spans="1:8" x14ac:dyDescent="0.2">
      <c r="A825" s="25"/>
      <c r="B825" s="25"/>
      <c r="G825" s="25"/>
      <c r="H825" s="25"/>
    </row>
    <row r="826" spans="1:8" x14ac:dyDescent="0.2">
      <c r="A826" s="25"/>
      <c r="B826" s="25"/>
      <c r="G826" s="25"/>
      <c r="H826" s="25"/>
    </row>
    <row r="827" spans="1:8" x14ac:dyDescent="0.2">
      <c r="A827" s="25"/>
      <c r="B827" s="25"/>
      <c r="G827" s="25"/>
      <c r="H827" s="25"/>
    </row>
    <row r="828" spans="1:8" x14ac:dyDescent="0.2">
      <c r="A828" s="25"/>
      <c r="B828" s="25"/>
      <c r="G828" s="25"/>
      <c r="H828" s="25"/>
    </row>
    <row r="829" spans="1:8" x14ac:dyDescent="0.2">
      <c r="A829" s="25"/>
      <c r="B829" s="25"/>
      <c r="G829" s="25"/>
      <c r="H829" s="25"/>
    </row>
    <row r="830" spans="1:8" x14ac:dyDescent="0.2">
      <c r="A830" s="25"/>
      <c r="B830" s="25"/>
      <c r="G830" s="25"/>
      <c r="H830" s="25"/>
    </row>
    <row r="831" spans="1:8" x14ac:dyDescent="0.2">
      <c r="A831" s="25"/>
      <c r="B831" s="25"/>
      <c r="G831" s="25"/>
      <c r="H831" s="25"/>
    </row>
    <row r="832" spans="1:8" x14ac:dyDescent="0.2">
      <c r="A832" s="25"/>
      <c r="B832" s="25"/>
      <c r="G832" s="25"/>
      <c r="H832" s="25"/>
    </row>
    <row r="833" spans="1:8" x14ac:dyDescent="0.2">
      <c r="A833" s="25"/>
      <c r="B833" s="25"/>
      <c r="G833" s="25"/>
      <c r="H833" s="25"/>
    </row>
    <row r="834" spans="1:8" x14ac:dyDescent="0.2">
      <c r="A834" s="25"/>
      <c r="B834" s="25"/>
      <c r="G834" s="25"/>
      <c r="H834" s="25"/>
    </row>
    <row r="835" spans="1:8" x14ac:dyDescent="0.2">
      <c r="A835" s="25"/>
      <c r="B835" s="25"/>
      <c r="G835" s="25"/>
      <c r="H835" s="25"/>
    </row>
    <row r="836" spans="1:8" x14ac:dyDescent="0.2">
      <c r="A836" s="25"/>
      <c r="B836" s="25"/>
      <c r="G836" s="25"/>
      <c r="H836" s="25"/>
    </row>
    <row r="837" spans="1:8" x14ac:dyDescent="0.2">
      <c r="A837" s="25"/>
      <c r="B837" s="25"/>
      <c r="G837" s="25"/>
      <c r="H837" s="25"/>
    </row>
    <row r="838" spans="1:8" x14ac:dyDescent="0.2">
      <c r="A838" s="25"/>
      <c r="B838" s="25"/>
      <c r="G838" s="25"/>
      <c r="H838" s="25"/>
    </row>
    <row r="839" spans="1:8" x14ac:dyDescent="0.2">
      <c r="A839" s="25"/>
      <c r="B839" s="25"/>
      <c r="G839" s="25"/>
      <c r="H839" s="25"/>
    </row>
    <row r="840" spans="1:8" x14ac:dyDescent="0.2">
      <c r="A840" s="25"/>
      <c r="B840" s="25"/>
      <c r="G840" s="25"/>
      <c r="H840" s="25"/>
    </row>
    <row r="841" spans="1:8" x14ac:dyDescent="0.2">
      <c r="A841" s="25"/>
      <c r="B841" s="25"/>
      <c r="G841" s="25"/>
      <c r="H841" s="25"/>
    </row>
    <row r="842" spans="1:8" x14ac:dyDescent="0.2">
      <c r="A842" s="25"/>
      <c r="B842" s="25"/>
      <c r="G842" s="25"/>
      <c r="H842" s="25"/>
    </row>
    <row r="843" spans="1:8" x14ac:dyDescent="0.2">
      <c r="A843" s="25"/>
      <c r="B843" s="25"/>
      <c r="G843" s="25"/>
      <c r="H843" s="25"/>
    </row>
    <row r="844" spans="1:8" x14ac:dyDescent="0.2">
      <c r="A844" s="25"/>
      <c r="B844" s="25"/>
      <c r="G844" s="25"/>
      <c r="H844" s="25"/>
    </row>
    <row r="845" spans="1:8" x14ac:dyDescent="0.2">
      <c r="A845" s="25"/>
      <c r="B845" s="25"/>
      <c r="G845" s="25"/>
      <c r="H845" s="25"/>
    </row>
    <row r="846" spans="1:8" x14ac:dyDescent="0.2">
      <c r="A846" s="25"/>
      <c r="B846" s="25"/>
      <c r="G846" s="25"/>
      <c r="H846" s="25"/>
    </row>
    <row r="847" spans="1:8" x14ac:dyDescent="0.2">
      <c r="A847" s="25"/>
      <c r="B847" s="25"/>
      <c r="G847" s="25"/>
      <c r="H847" s="25"/>
    </row>
    <row r="848" spans="1:8" x14ac:dyDescent="0.2">
      <c r="A848" s="25"/>
      <c r="B848" s="25"/>
      <c r="G848" s="25"/>
      <c r="H848" s="25"/>
    </row>
    <row r="849" spans="1:8" x14ac:dyDescent="0.2">
      <c r="A849" s="25"/>
      <c r="B849" s="25"/>
      <c r="G849" s="25"/>
      <c r="H849" s="25"/>
    </row>
    <row r="850" spans="1:8" x14ac:dyDescent="0.2">
      <c r="A850" s="25"/>
      <c r="B850" s="25"/>
      <c r="G850" s="25"/>
      <c r="H850" s="25"/>
    </row>
    <row r="851" spans="1:8" x14ac:dyDescent="0.2">
      <c r="A851" s="25"/>
      <c r="B851" s="25"/>
      <c r="G851" s="25"/>
      <c r="H851" s="25"/>
    </row>
    <row r="852" spans="1:8" x14ac:dyDescent="0.2">
      <c r="A852" s="25"/>
      <c r="B852" s="25"/>
      <c r="G852" s="25"/>
      <c r="H852" s="25"/>
    </row>
    <row r="853" spans="1:8" x14ac:dyDescent="0.2">
      <c r="A853" s="25"/>
      <c r="B853" s="25"/>
      <c r="G853" s="25"/>
      <c r="H853" s="25"/>
    </row>
    <row r="854" spans="1:8" x14ac:dyDescent="0.2">
      <c r="A854" s="25"/>
      <c r="B854" s="25"/>
      <c r="G854" s="25"/>
      <c r="H854" s="25"/>
    </row>
    <row r="855" spans="1:8" x14ac:dyDescent="0.2">
      <c r="A855" s="25"/>
      <c r="B855" s="25"/>
      <c r="G855" s="25"/>
      <c r="H855" s="25"/>
    </row>
    <row r="856" spans="1:8" x14ac:dyDescent="0.2">
      <c r="A856" s="25"/>
      <c r="B856" s="25"/>
      <c r="G856" s="25"/>
      <c r="H856" s="25"/>
    </row>
    <row r="857" spans="1:8" x14ac:dyDescent="0.2">
      <c r="A857" s="25"/>
      <c r="B857" s="25"/>
      <c r="G857" s="25"/>
      <c r="H857" s="25"/>
    </row>
    <row r="858" spans="1:8" x14ac:dyDescent="0.2">
      <c r="A858" s="25"/>
      <c r="B858" s="25"/>
      <c r="G858" s="25"/>
      <c r="H858" s="25"/>
    </row>
    <row r="859" spans="1:8" x14ac:dyDescent="0.2">
      <c r="A859" s="25"/>
      <c r="B859" s="25"/>
      <c r="G859" s="25"/>
      <c r="H859" s="25"/>
    </row>
    <row r="860" spans="1:8" x14ac:dyDescent="0.2">
      <c r="A860" s="25"/>
      <c r="B860" s="25"/>
      <c r="G860" s="25"/>
      <c r="H860" s="25"/>
    </row>
    <row r="861" spans="1:8" x14ac:dyDescent="0.2">
      <c r="A861" s="25"/>
      <c r="B861" s="25"/>
      <c r="G861" s="25"/>
      <c r="H861" s="25"/>
    </row>
    <row r="862" spans="1:8" x14ac:dyDescent="0.2">
      <c r="A862" s="25"/>
      <c r="B862" s="25"/>
      <c r="G862" s="25"/>
      <c r="H862" s="25"/>
    </row>
    <row r="863" spans="1:8" x14ac:dyDescent="0.2">
      <c r="A863" s="25"/>
      <c r="B863" s="25"/>
      <c r="G863" s="25"/>
      <c r="H863" s="25"/>
    </row>
    <row r="864" spans="1:8" x14ac:dyDescent="0.2">
      <c r="A864" s="25"/>
      <c r="B864" s="25"/>
      <c r="G864" s="25"/>
      <c r="H864" s="25"/>
    </row>
    <row r="865" spans="1:8" x14ac:dyDescent="0.2">
      <c r="A865" s="25"/>
      <c r="B865" s="25"/>
      <c r="G865" s="25"/>
      <c r="H865" s="25"/>
    </row>
    <row r="866" spans="1:8" x14ac:dyDescent="0.2">
      <c r="A866" s="25"/>
      <c r="B866" s="25"/>
      <c r="G866" s="25"/>
      <c r="H866" s="25"/>
    </row>
    <row r="867" spans="1:8" x14ac:dyDescent="0.2">
      <c r="A867" s="25"/>
      <c r="B867" s="25"/>
      <c r="G867" s="25"/>
      <c r="H867" s="25"/>
    </row>
    <row r="868" spans="1:8" x14ac:dyDescent="0.2">
      <c r="A868" s="25"/>
      <c r="B868" s="25"/>
      <c r="G868" s="25"/>
      <c r="H868" s="25"/>
    </row>
    <row r="869" spans="1:8" x14ac:dyDescent="0.2">
      <c r="A869" s="25"/>
      <c r="B869" s="25"/>
      <c r="G869" s="25"/>
      <c r="H869" s="25"/>
    </row>
    <row r="870" spans="1:8" x14ac:dyDescent="0.2">
      <c r="A870" s="25"/>
      <c r="B870" s="25"/>
      <c r="G870" s="25"/>
      <c r="H870" s="25"/>
    </row>
    <row r="871" spans="1:8" x14ac:dyDescent="0.2">
      <c r="A871" s="25"/>
      <c r="B871" s="25"/>
      <c r="G871" s="25"/>
      <c r="H871" s="25"/>
    </row>
    <row r="872" spans="1:8" x14ac:dyDescent="0.2">
      <c r="A872" s="25"/>
      <c r="B872" s="25"/>
      <c r="G872" s="25"/>
      <c r="H872" s="25"/>
    </row>
    <row r="873" spans="1:8" x14ac:dyDescent="0.2">
      <c r="A873" s="25"/>
      <c r="B873" s="25"/>
      <c r="G873" s="25"/>
      <c r="H873" s="25"/>
    </row>
    <row r="874" spans="1:8" x14ac:dyDescent="0.2">
      <c r="A874" s="25"/>
      <c r="B874" s="25"/>
      <c r="G874" s="25"/>
      <c r="H874" s="25"/>
    </row>
    <row r="875" spans="1:8" x14ac:dyDescent="0.2">
      <c r="A875" s="25"/>
      <c r="B875" s="25"/>
      <c r="G875" s="25"/>
      <c r="H875" s="25"/>
    </row>
    <row r="876" spans="1:8" x14ac:dyDescent="0.2">
      <c r="A876" s="25"/>
      <c r="B876" s="25"/>
      <c r="G876" s="25"/>
      <c r="H876" s="25"/>
    </row>
    <row r="877" spans="1:8" x14ac:dyDescent="0.2">
      <c r="A877" s="25"/>
      <c r="B877" s="25"/>
      <c r="G877" s="25"/>
      <c r="H877" s="25"/>
    </row>
    <row r="878" spans="1:8" x14ac:dyDescent="0.2">
      <c r="A878" s="25"/>
      <c r="B878" s="25"/>
      <c r="G878" s="25"/>
      <c r="H878" s="25"/>
    </row>
    <row r="879" spans="1:8" x14ac:dyDescent="0.2">
      <c r="A879" s="25"/>
      <c r="B879" s="25"/>
      <c r="G879" s="25"/>
      <c r="H879" s="25"/>
    </row>
    <row r="880" spans="1:8" x14ac:dyDescent="0.2">
      <c r="A880" s="25"/>
      <c r="B880" s="25"/>
      <c r="G880" s="25"/>
      <c r="H880" s="25"/>
    </row>
    <row r="881" spans="1:8" x14ac:dyDescent="0.2">
      <c r="A881" s="25"/>
      <c r="B881" s="25"/>
      <c r="G881" s="25"/>
      <c r="H881" s="25"/>
    </row>
    <row r="882" spans="1:8" x14ac:dyDescent="0.2">
      <c r="A882" s="25"/>
      <c r="B882" s="25"/>
      <c r="G882" s="25"/>
      <c r="H882" s="25"/>
    </row>
    <row r="883" spans="1:8" x14ac:dyDescent="0.2">
      <c r="A883" s="25"/>
      <c r="B883" s="25"/>
      <c r="G883" s="25"/>
      <c r="H883" s="25"/>
    </row>
    <row r="884" spans="1:8" x14ac:dyDescent="0.2">
      <c r="A884" s="25"/>
      <c r="B884" s="25"/>
      <c r="G884" s="25"/>
      <c r="H884" s="25"/>
    </row>
    <row r="885" spans="1:8" x14ac:dyDescent="0.2">
      <c r="A885" s="25"/>
      <c r="B885" s="25"/>
      <c r="G885" s="25"/>
      <c r="H885" s="25"/>
    </row>
    <row r="886" spans="1:8" x14ac:dyDescent="0.2">
      <c r="A886" s="25"/>
      <c r="B886" s="25"/>
      <c r="G886" s="25"/>
      <c r="H886" s="25"/>
    </row>
    <row r="887" spans="1:8" x14ac:dyDescent="0.2">
      <c r="A887" s="25"/>
      <c r="B887" s="25"/>
      <c r="G887" s="25"/>
      <c r="H887" s="25"/>
    </row>
    <row r="888" spans="1:8" x14ac:dyDescent="0.2">
      <c r="A888" s="25"/>
      <c r="B888" s="25"/>
      <c r="G888" s="25"/>
      <c r="H888" s="25"/>
    </row>
    <row r="889" spans="1:8" x14ac:dyDescent="0.2">
      <c r="A889" s="25"/>
      <c r="B889" s="25"/>
      <c r="G889" s="25"/>
      <c r="H889" s="25"/>
    </row>
    <row r="890" spans="1:8" x14ac:dyDescent="0.2">
      <c r="A890" s="25"/>
      <c r="B890" s="25"/>
      <c r="G890" s="25"/>
      <c r="H890" s="25"/>
    </row>
    <row r="891" spans="1:8" x14ac:dyDescent="0.2">
      <c r="A891" s="25"/>
      <c r="B891" s="25"/>
      <c r="G891" s="25"/>
      <c r="H891" s="25"/>
    </row>
    <row r="892" spans="1:8" x14ac:dyDescent="0.2">
      <c r="A892" s="25"/>
      <c r="B892" s="25"/>
      <c r="G892" s="25"/>
      <c r="H892" s="25"/>
    </row>
    <row r="893" spans="1:8" x14ac:dyDescent="0.2">
      <c r="A893" s="25"/>
      <c r="B893" s="25"/>
      <c r="G893" s="25"/>
      <c r="H893" s="25"/>
    </row>
    <row r="894" spans="1:8" x14ac:dyDescent="0.2">
      <c r="A894" s="25"/>
      <c r="B894" s="25"/>
      <c r="G894" s="25"/>
      <c r="H894" s="25"/>
    </row>
    <row r="895" spans="1:8" x14ac:dyDescent="0.2">
      <c r="A895" s="25"/>
      <c r="B895" s="25"/>
      <c r="G895" s="25"/>
      <c r="H895" s="25"/>
    </row>
    <row r="896" spans="1:8" x14ac:dyDescent="0.2">
      <c r="A896" s="25"/>
      <c r="B896" s="25"/>
      <c r="G896" s="25"/>
      <c r="H896" s="25"/>
    </row>
    <row r="897" spans="1:8" x14ac:dyDescent="0.2">
      <c r="A897" s="25"/>
      <c r="B897" s="25"/>
      <c r="G897" s="25"/>
      <c r="H897" s="25"/>
    </row>
    <row r="898" spans="1:8" x14ac:dyDescent="0.2">
      <c r="A898" s="25"/>
      <c r="B898" s="25"/>
      <c r="G898" s="25"/>
      <c r="H898" s="25"/>
    </row>
    <row r="899" spans="1:8" x14ac:dyDescent="0.2">
      <c r="A899" s="25"/>
      <c r="B899" s="25"/>
      <c r="G899" s="25"/>
      <c r="H899" s="25"/>
    </row>
    <row r="900" spans="1:8" x14ac:dyDescent="0.2">
      <c r="A900" s="25"/>
      <c r="B900" s="25"/>
      <c r="G900" s="25"/>
      <c r="H900" s="25"/>
    </row>
    <row r="901" spans="1:8" x14ac:dyDescent="0.2">
      <c r="A901" s="25"/>
      <c r="B901" s="25"/>
      <c r="G901" s="25"/>
      <c r="H901" s="25"/>
    </row>
    <row r="902" spans="1:8" x14ac:dyDescent="0.2">
      <c r="A902" s="25"/>
      <c r="B902" s="25"/>
      <c r="G902" s="25"/>
      <c r="H902" s="25"/>
    </row>
    <row r="903" spans="1:8" x14ac:dyDescent="0.2">
      <c r="A903" s="25"/>
      <c r="B903" s="25"/>
      <c r="G903" s="25"/>
      <c r="H903" s="25"/>
    </row>
    <row r="904" spans="1:8" x14ac:dyDescent="0.2">
      <c r="A904" s="25"/>
      <c r="B904" s="25"/>
      <c r="G904" s="25"/>
      <c r="H904" s="25"/>
    </row>
    <row r="905" spans="1:8" x14ac:dyDescent="0.2">
      <c r="A905" s="25"/>
      <c r="B905" s="25"/>
      <c r="G905" s="25"/>
      <c r="H905" s="25"/>
    </row>
    <row r="906" spans="1:8" x14ac:dyDescent="0.2">
      <c r="A906" s="25"/>
      <c r="B906" s="25"/>
      <c r="G906" s="25"/>
      <c r="H906" s="25"/>
    </row>
    <row r="907" spans="1:8" x14ac:dyDescent="0.2">
      <c r="A907" s="25"/>
      <c r="B907" s="25"/>
      <c r="G907" s="25"/>
      <c r="H907" s="25"/>
    </row>
    <row r="908" spans="1:8" x14ac:dyDescent="0.2">
      <c r="A908" s="25"/>
      <c r="B908" s="25"/>
      <c r="G908" s="25"/>
      <c r="H908" s="25"/>
    </row>
    <row r="909" spans="1:8" x14ac:dyDescent="0.2">
      <c r="A909" s="25"/>
      <c r="B909" s="25"/>
      <c r="G909" s="25"/>
      <c r="H909" s="25"/>
    </row>
    <row r="910" spans="1:8" x14ac:dyDescent="0.2">
      <c r="A910" s="25"/>
      <c r="B910" s="25"/>
      <c r="G910" s="25"/>
      <c r="H910" s="25"/>
    </row>
    <row r="911" spans="1:8" x14ac:dyDescent="0.2">
      <c r="A911" s="25"/>
      <c r="B911" s="25"/>
      <c r="G911" s="25"/>
      <c r="H911" s="25"/>
    </row>
    <row r="912" spans="1:8" x14ac:dyDescent="0.2">
      <c r="A912" s="25"/>
      <c r="B912" s="25"/>
      <c r="G912" s="25"/>
      <c r="H912" s="25"/>
    </row>
    <row r="913" spans="1:8" x14ac:dyDescent="0.2">
      <c r="A913" s="25"/>
      <c r="B913" s="25"/>
      <c r="G913" s="25"/>
      <c r="H913" s="25"/>
    </row>
    <row r="914" spans="1:8" x14ac:dyDescent="0.2">
      <c r="A914" s="25"/>
      <c r="B914" s="25"/>
      <c r="G914" s="25"/>
      <c r="H914" s="25"/>
    </row>
    <row r="915" spans="1:8" x14ac:dyDescent="0.2">
      <c r="A915" s="25"/>
      <c r="B915" s="25"/>
      <c r="G915" s="25"/>
      <c r="H915" s="25"/>
    </row>
    <row r="916" spans="1:8" x14ac:dyDescent="0.2">
      <c r="A916" s="25"/>
      <c r="B916" s="25"/>
      <c r="G916" s="25"/>
      <c r="H916" s="25"/>
    </row>
    <row r="917" spans="1:8" x14ac:dyDescent="0.2">
      <c r="B917" s="25"/>
      <c r="G917" s="25"/>
      <c r="H917" s="25"/>
    </row>
    <row r="918" spans="1:8" x14ac:dyDescent="0.2">
      <c r="B918" s="25"/>
      <c r="G918" s="25"/>
      <c r="H918" s="25"/>
    </row>
    <row r="919" spans="1:8" x14ac:dyDescent="0.2">
      <c r="B919" s="25"/>
      <c r="G919" s="25"/>
      <c r="H919" s="25"/>
    </row>
    <row r="920" spans="1:8" x14ac:dyDescent="0.2">
      <c r="B920" s="25"/>
      <c r="G920" s="25"/>
      <c r="H920" s="25"/>
    </row>
    <row r="921" spans="1:8" x14ac:dyDescent="0.2">
      <c r="B921" s="25"/>
      <c r="G921" s="25"/>
      <c r="H921" s="25"/>
    </row>
    <row r="922" spans="1:8" x14ac:dyDescent="0.2">
      <c r="B922" s="25"/>
      <c r="G922" s="25"/>
      <c r="H922" s="25"/>
    </row>
    <row r="923" spans="1:8" x14ac:dyDescent="0.2">
      <c r="B923" s="25"/>
      <c r="G923" s="25"/>
      <c r="H923" s="25"/>
    </row>
    <row r="924" spans="1:8" x14ac:dyDescent="0.2">
      <c r="B924" s="25"/>
      <c r="G924" s="25"/>
      <c r="H924" s="25"/>
    </row>
    <row r="925" spans="1:8" x14ac:dyDescent="0.2">
      <c r="B925" s="25"/>
      <c r="G925" s="25"/>
      <c r="H925" s="25"/>
    </row>
    <row r="926" spans="1:8" x14ac:dyDescent="0.2">
      <c r="B926" s="25"/>
      <c r="G926" s="25"/>
      <c r="H926" s="25"/>
    </row>
    <row r="927" spans="1:8" x14ac:dyDescent="0.2">
      <c r="B927" s="25"/>
      <c r="G927" s="25"/>
      <c r="H927" s="25"/>
    </row>
    <row r="928" spans="1:8" x14ac:dyDescent="0.2">
      <c r="B928" s="25"/>
      <c r="G928" s="25"/>
      <c r="H928" s="25"/>
    </row>
    <row r="929" spans="2:8" x14ac:dyDescent="0.2">
      <c r="B929" s="25"/>
      <c r="G929" s="25"/>
      <c r="H929" s="25"/>
    </row>
    <row r="930" spans="2:8" x14ac:dyDescent="0.2">
      <c r="B930" s="25"/>
      <c r="G930" s="25"/>
      <c r="H930" s="25"/>
    </row>
    <row r="931" spans="2:8" x14ac:dyDescent="0.2">
      <c r="B931" s="25"/>
      <c r="G931" s="25"/>
      <c r="H931" s="25"/>
    </row>
    <row r="932" spans="2:8" x14ac:dyDescent="0.2">
      <c r="B932" s="25"/>
      <c r="G932" s="25"/>
      <c r="H932" s="25"/>
    </row>
    <row r="933" spans="2:8" x14ac:dyDescent="0.2">
      <c r="B933" s="25"/>
      <c r="G933" s="25"/>
      <c r="H933" s="25"/>
    </row>
    <row r="934" spans="2:8" x14ac:dyDescent="0.2">
      <c r="B934" s="25"/>
      <c r="G934" s="25"/>
      <c r="H934" s="25"/>
    </row>
    <row r="935" spans="2:8" x14ac:dyDescent="0.2">
      <c r="B935" s="25"/>
      <c r="G935" s="25"/>
      <c r="H935" s="25"/>
    </row>
    <row r="936" spans="2:8" x14ac:dyDescent="0.2">
      <c r="B936" s="25"/>
      <c r="G936" s="25"/>
      <c r="H936" s="25"/>
    </row>
    <row r="937" spans="2:8" x14ac:dyDescent="0.2">
      <c r="B937" s="25"/>
      <c r="G937" s="25"/>
      <c r="H937" s="25"/>
    </row>
    <row r="938" spans="2:8" x14ac:dyDescent="0.2">
      <c r="B938" s="25"/>
      <c r="G938" s="25"/>
      <c r="H938" s="25"/>
    </row>
    <row r="939" spans="2:8" x14ac:dyDescent="0.2">
      <c r="B939" s="25"/>
      <c r="G939" s="25"/>
      <c r="H939" s="25"/>
    </row>
    <row r="940" spans="2:8" x14ac:dyDescent="0.2">
      <c r="B940" s="25"/>
      <c r="G940" s="25"/>
      <c r="H940" s="25"/>
    </row>
    <row r="941" spans="2:8" x14ac:dyDescent="0.2">
      <c r="B941" s="25"/>
      <c r="G941" s="25"/>
      <c r="H941" s="25"/>
    </row>
    <row r="942" spans="2:8" x14ac:dyDescent="0.2">
      <c r="B942" s="25"/>
      <c r="G942" s="25"/>
      <c r="H942" s="25"/>
    </row>
    <row r="943" spans="2:8" x14ac:dyDescent="0.2">
      <c r="B943" s="25"/>
      <c r="G943" s="25"/>
      <c r="H943" s="25"/>
    </row>
    <row r="944" spans="2:8" x14ac:dyDescent="0.2">
      <c r="B944" s="25"/>
      <c r="G944" s="25"/>
      <c r="H944" s="25"/>
    </row>
    <row r="945" spans="2:8" x14ac:dyDescent="0.2">
      <c r="B945" s="25"/>
      <c r="G945" s="25"/>
      <c r="H945" s="25"/>
    </row>
    <row r="946" spans="2:8" x14ac:dyDescent="0.2">
      <c r="B946" s="25"/>
      <c r="G946" s="25"/>
      <c r="H946" s="25"/>
    </row>
    <row r="947" spans="2:8" x14ac:dyDescent="0.2">
      <c r="B947" s="25"/>
    </row>
    <row r="948" spans="2:8" x14ac:dyDescent="0.2">
      <c r="B948" s="25"/>
    </row>
    <row r="949" spans="2:8" x14ac:dyDescent="0.2">
      <c r="B949" s="25"/>
    </row>
    <row r="950" spans="2:8" x14ac:dyDescent="0.2">
      <c r="B950" s="25"/>
    </row>
    <row r="951" spans="2:8" x14ac:dyDescent="0.2">
      <c r="B951" s="25"/>
    </row>
    <row r="952" spans="2:8" x14ac:dyDescent="0.2">
      <c r="B952" s="25"/>
    </row>
    <row r="953" spans="2:8" x14ac:dyDescent="0.2">
      <c r="B953" s="25"/>
    </row>
    <row r="954" spans="2:8" x14ac:dyDescent="0.2">
      <c r="B954" s="25"/>
    </row>
    <row r="955" spans="2:8" x14ac:dyDescent="0.2">
      <c r="B955" s="25"/>
    </row>
    <row r="956" spans="2:8" x14ac:dyDescent="0.2">
      <c r="B956" s="25"/>
    </row>
    <row r="957" spans="2:8" x14ac:dyDescent="0.2">
      <c r="B957" s="25"/>
    </row>
    <row r="958" spans="2:8" x14ac:dyDescent="0.2">
      <c r="B958" s="25"/>
    </row>
    <row r="959" spans="2:8" x14ac:dyDescent="0.2">
      <c r="B959" s="25"/>
    </row>
    <row r="960" spans="2:8" x14ac:dyDescent="0.2">
      <c r="B960" s="25"/>
    </row>
    <row r="961" spans="2:2" x14ac:dyDescent="0.2">
      <c r="B961" s="25"/>
    </row>
    <row r="962" spans="2:2" x14ac:dyDescent="0.2">
      <c r="B962" s="25"/>
    </row>
    <row r="963" spans="2:2" x14ac:dyDescent="0.2">
      <c r="B963" s="25"/>
    </row>
    <row r="964" spans="2:2" x14ac:dyDescent="0.2">
      <c r="B964" s="25"/>
    </row>
    <row r="965" spans="2:2" x14ac:dyDescent="0.2">
      <c r="B965" s="25"/>
    </row>
    <row r="966" spans="2:2" x14ac:dyDescent="0.2">
      <c r="B966" s="25"/>
    </row>
    <row r="967" spans="2:2" x14ac:dyDescent="0.2">
      <c r="B967" s="25"/>
    </row>
    <row r="968" spans="2:2" x14ac:dyDescent="0.2">
      <c r="B968" s="25"/>
    </row>
    <row r="969" spans="2:2" x14ac:dyDescent="0.2">
      <c r="B969" s="25"/>
    </row>
    <row r="970" spans="2:2" x14ac:dyDescent="0.2">
      <c r="B970" s="25"/>
    </row>
    <row r="971" spans="2:2" x14ac:dyDescent="0.2">
      <c r="B971" s="25"/>
    </row>
    <row r="972" spans="2:2" x14ac:dyDescent="0.2">
      <c r="B972" s="25"/>
    </row>
    <row r="973" spans="2:2" x14ac:dyDescent="0.2">
      <c r="B973" s="25"/>
    </row>
    <row r="974" spans="2:2" x14ac:dyDescent="0.2">
      <c r="B974" s="25"/>
    </row>
    <row r="975" spans="2:2" x14ac:dyDescent="0.2">
      <c r="B975" s="25"/>
    </row>
    <row r="976" spans="2:2" x14ac:dyDescent="0.2">
      <c r="B976" s="25"/>
    </row>
    <row r="977" spans="2:2" x14ac:dyDescent="0.2">
      <c r="B977" s="25"/>
    </row>
    <row r="978" spans="2:2" x14ac:dyDescent="0.2">
      <c r="B978" s="25"/>
    </row>
    <row r="979" spans="2:2" x14ac:dyDescent="0.2">
      <c r="B979" s="25"/>
    </row>
    <row r="980" spans="2:2" x14ac:dyDescent="0.2">
      <c r="B980" s="25"/>
    </row>
    <row r="981" spans="2:2" x14ac:dyDescent="0.2">
      <c r="B981" s="25"/>
    </row>
    <row r="982" spans="2:2" x14ac:dyDescent="0.2">
      <c r="B982" s="25"/>
    </row>
    <row r="983" spans="2:2" x14ac:dyDescent="0.2">
      <c r="B983" s="25"/>
    </row>
    <row r="984" spans="2:2" x14ac:dyDescent="0.2">
      <c r="B984" s="25"/>
    </row>
    <row r="985" spans="2:2" x14ac:dyDescent="0.2">
      <c r="B985" s="25"/>
    </row>
    <row r="986" spans="2:2" x14ac:dyDescent="0.2">
      <c r="B986" s="25"/>
    </row>
    <row r="987" spans="2:2" x14ac:dyDescent="0.2">
      <c r="B987" s="25"/>
    </row>
    <row r="988" spans="2:2" x14ac:dyDescent="0.2">
      <c r="B988" s="25"/>
    </row>
    <row r="989" spans="2:2" x14ac:dyDescent="0.2">
      <c r="B989" s="25"/>
    </row>
    <row r="990" spans="2:2" x14ac:dyDescent="0.2">
      <c r="B990" s="25"/>
    </row>
    <row r="991" spans="2:2" x14ac:dyDescent="0.2">
      <c r="B991" s="25"/>
    </row>
    <row r="992" spans="2:2" x14ac:dyDescent="0.2">
      <c r="B992" s="25"/>
    </row>
    <row r="993" spans="2:2" x14ac:dyDescent="0.2">
      <c r="B993" s="25"/>
    </row>
    <row r="994" spans="2:2" x14ac:dyDescent="0.2">
      <c r="B994" s="25"/>
    </row>
    <row r="995" spans="2:2" x14ac:dyDescent="0.2">
      <c r="B995" s="25"/>
    </row>
    <row r="996" spans="2:2" x14ac:dyDescent="0.2">
      <c r="B996" s="25"/>
    </row>
    <row r="997" spans="2:2" x14ac:dyDescent="0.2">
      <c r="B997" s="25"/>
    </row>
    <row r="998" spans="2:2" x14ac:dyDescent="0.2">
      <c r="B998" s="25"/>
    </row>
    <row r="999" spans="2:2" x14ac:dyDescent="0.2">
      <c r="B999" s="25"/>
    </row>
    <row r="1000" spans="2:2" x14ac:dyDescent="0.2">
      <c r="B1000" s="25"/>
    </row>
    <row r="1001" spans="2:2" x14ac:dyDescent="0.2">
      <c r="B1001" s="25"/>
    </row>
    <row r="1002" spans="2:2" x14ac:dyDescent="0.2">
      <c r="B1002" s="25"/>
    </row>
    <row r="1003" spans="2:2" x14ac:dyDescent="0.2">
      <c r="B1003" s="25"/>
    </row>
    <row r="1004" spans="2:2" x14ac:dyDescent="0.2">
      <c r="B1004" s="25"/>
    </row>
    <row r="1005" spans="2:2" x14ac:dyDescent="0.2">
      <c r="B1005" s="25"/>
    </row>
    <row r="1006" spans="2:2" x14ac:dyDescent="0.2">
      <c r="B1006" s="25"/>
    </row>
    <row r="1007" spans="2:2" x14ac:dyDescent="0.2">
      <c r="B1007" s="25"/>
    </row>
    <row r="1008" spans="2:2" x14ac:dyDescent="0.2">
      <c r="B1008" s="25"/>
    </row>
    <row r="1009" spans="2:2" x14ac:dyDescent="0.2">
      <c r="B1009" s="25"/>
    </row>
    <row r="1010" spans="2:2" x14ac:dyDescent="0.2">
      <c r="B1010" s="25"/>
    </row>
    <row r="1011" spans="2:2" x14ac:dyDescent="0.2">
      <c r="B1011" s="25"/>
    </row>
    <row r="1012" spans="2:2" x14ac:dyDescent="0.2">
      <c r="B1012" s="25"/>
    </row>
    <row r="1013" spans="2:2" x14ac:dyDescent="0.2">
      <c r="B1013" s="25"/>
    </row>
    <row r="1014" spans="2:2" x14ac:dyDescent="0.2">
      <c r="B1014" s="25"/>
    </row>
    <row r="1015" spans="2:2" x14ac:dyDescent="0.2">
      <c r="B1015" s="25"/>
    </row>
    <row r="1016" spans="2:2" x14ac:dyDescent="0.2">
      <c r="B1016" s="25"/>
    </row>
    <row r="1017" spans="2:2" x14ac:dyDescent="0.2">
      <c r="B1017" s="25"/>
    </row>
    <row r="1018" spans="2:2" x14ac:dyDescent="0.2">
      <c r="B1018" s="25"/>
    </row>
    <row r="1019" spans="2:2" x14ac:dyDescent="0.2">
      <c r="B1019" s="25"/>
    </row>
    <row r="1020" spans="2:2" x14ac:dyDescent="0.2">
      <c r="B1020" s="25"/>
    </row>
    <row r="1021" spans="2:2" x14ac:dyDescent="0.2">
      <c r="B1021" s="25"/>
    </row>
    <row r="1022" spans="2:2" x14ac:dyDescent="0.2">
      <c r="B1022" s="25"/>
    </row>
    <row r="1023" spans="2:2" x14ac:dyDescent="0.2">
      <c r="B1023" s="25"/>
    </row>
    <row r="1024" spans="2:2" x14ac:dyDescent="0.2">
      <c r="B1024" s="25"/>
    </row>
    <row r="1025" spans="2:2" x14ac:dyDescent="0.2">
      <c r="B1025" s="25"/>
    </row>
    <row r="1026" spans="2:2" x14ac:dyDescent="0.2">
      <c r="B1026" s="25"/>
    </row>
    <row r="1027" spans="2:2" x14ac:dyDescent="0.2">
      <c r="B1027" s="25"/>
    </row>
    <row r="1028" spans="2:2" x14ac:dyDescent="0.2">
      <c r="B1028" s="25"/>
    </row>
    <row r="1029" spans="2:2" x14ac:dyDescent="0.2">
      <c r="B1029" s="25"/>
    </row>
    <row r="1030" spans="2:2" x14ac:dyDescent="0.2">
      <c r="B1030" s="25"/>
    </row>
    <row r="1031" spans="2:2" x14ac:dyDescent="0.2">
      <c r="B1031" s="25"/>
    </row>
    <row r="1032" spans="2:2" x14ac:dyDescent="0.2">
      <c r="B1032" s="25"/>
    </row>
    <row r="1033" spans="2:2" x14ac:dyDescent="0.2">
      <c r="B1033" s="25"/>
    </row>
    <row r="1034" spans="2:2" x14ac:dyDescent="0.2">
      <c r="B1034" s="25"/>
    </row>
    <row r="1035" spans="2:2" x14ac:dyDescent="0.2">
      <c r="B1035" s="25"/>
    </row>
    <row r="1036" spans="2:2" x14ac:dyDescent="0.2">
      <c r="B1036" s="25"/>
    </row>
    <row r="1037" spans="2:2" x14ac:dyDescent="0.2">
      <c r="B1037" s="25"/>
    </row>
    <row r="1038" spans="2:2" x14ac:dyDescent="0.2">
      <c r="B1038" s="25"/>
    </row>
    <row r="1039" spans="2:2" x14ac:dyDescent="0.2">
      <c r="B1039" s="25"/>
    </row>
    <row r="1040" spans="2:2" x14ac:dyDescent="0.2">
      <c r="B1040" s="25"/>
    </row>
    <row r="1041" spans="2:2" x14ac:dyDescent="0.2">
      <c r="B1041" s="25"/>
    </row>
    <row r="1042" spans="2:2" x14ac:dyDescent="0.2">
      <c r="B1042" s="25"/>
    </row>
    <row r="1043" spans="2:2" x14ac:dyDescent="0.2">
      <c r="B1043" s="25"/>
    </row>
    <row r="1044" spans="2:2" x14ac:dyDescent="0.2">
      <c r="B1044" s="25"/>
    </row>
    <row r="1045" spans="2:2" x14ac:dyDescent="0.2">
      <c r="B1045" s="25"/>
    </row>
    <row r="1046" spans="2:2" x14ac:dyDescent="0.2">
      <c r="B1046" s="25"/>
    </row>
    <row r="1047" spans="2:2" x14ac:dyDescent="0.2">
      <c r="B1047" s="25"/>
    </row>
    <row r="1048" spans="2:2" x14ac:dyDescent="0.2">
      <c r="B1048" s="25"/>
    </row>
    <row r="1049" spans="2:2" x14ac:dyDescent="0.2">
      <c r="B1049" s="25"/>
    </row>
    <row r="1050" spans="2:2" x14ac:dyDescent="0.2">
      <c r="B1050" s="25"/>
    </row>
    <row r="1051" spans="2:2" x14ac:dyDescent="0.2">
      <c r="B1051" s="25"/>
    </row>
    <row r="1052" spans="2:2" x14ac:dyDescent="0.2">
      <c r="B1052" s="25"/>
    </row>
    <row r="1053" spans="2:2" x14ac:dyDescent="0.2">
      <c r="B1053" s="25"/>
    </row>
    <row r="1054" spans="2:2" x14ac:dyDescent="0.2">
      <c r="B1054" s="25"/>
    </row>
    <row r="1055" spans="2:2" x14ac:dyDescent="0.2">
      <c r="B1055" s="25"/>
    </row>
    <row r="1056" spans="2:2" x14ac:dyDescent="0.2">
      <c r="B1056" s="25"/>
    </row>
    <row r="1057" spans="1:2" x14ac:dyDescent="0.2">
      <c r="B1057" s="25"/>
    </row>
    <row r="1058" spans="1:2" x14ac:dyDescent="0.2">
      <c r="B1058" s="25"/>
    </row>
    <row r="1059" spans="1:2" x14ac:dyDescent="0.2">
      <c r="B1059" s="25"/>
    </row>
    <row r="1060" spans="1:2" x14ac:dyDescent="0.2">
      <c r="B1060" s="25"/>
    </row>
    <row r="1061" spans="1:2" x14ac:dyDescent="0.2">
      <c r="A1061" s="25"/>
      <c r="B1061" s="25"/>
    </row>
    <row r="1062" spans="1:2" x14ac:dyDescent="0.2">
      <c r="A1062" s="25"/>
      <c r="B1062" s="25"/>
    </row>
    <row r="1063" spans="1:2" x14ac:dyDescent="0.2">
      <c r="A1063" s="25"/>
      <c r="B1063" s="25"/>
    </row>
    <row r="1064" spans="1:2" x14ac:dyDescent="0.2">
      <c r="A1064" s="25"/>
      <c r="B1064" s="25"/>
    </row>
    <row r="1065" spans="1:2" x14ac:dyDescent="0.2">
      <c r="A1065" s="25"/>
      <c r="B1065" s="25"/>
    </row>
    <row r="1066" spans="1:2" x14ac:dyDescent="0.2">
      <c r="A1066" s="25"/>
      <c r="B1066" s="25"/>
    </row>
    <row r="1067" spans="1:2" x14ac:dyDescent="0.2">
      <c r="A1067" s="25"/>
      <c r="B1067" s="25"/>
    </row>
    <row r="1068" spans="1:2" x14ac:dyDescent="0.2">
      <c r="A1068" s="25"/>
      <c r="B1068" s="25"/>
    </row>
    <row r="1069" spans="1:2" x14ac:dyDescent="0.2">
      <c r="A1069" s="25"/>
      <c r="B1069" s="25"/>
    </row>
    <row r="1070" spans="1:2" x14ac:dyDescent="0.2">
      <c r="A1070" s="25"/>
      <c r="B1070" s="25"/>
    </row>
    <row r="1071" spans="1:2" x14ac:dyDescent="0.2">
      <c r="A1071" s="25"/>
      <c r="B1071" s="25"/>
    </row>
    <row r="1072" spans="1:2" x14ac:dyDescent="0.2">
      <c r="A1072" s="25"/>
      <c r="B1072" s="25"/>
    </row>
    <row r="1073" spans="1:2" x14ac:dyDescent="0.2">
      <c r="A1073" s="25"/>
      <c r="B1073" s="25"/>
    </row>
    <row r="1074" spans="1:2" x14ac:dyDescent="0.2">
      <c r="A1074" s="25"/>
      <c r="B1074" s="25"/>
    </row>
    <row r="1075" spans="1:2" x14ac:dyDescent="0.2">
      <c r="A1075" s="25"/>
      <c r="B1075" s="25"/>
    </row>
    <row r="1076" spans="1:2" x14ac:dyDescent="0.2">
      <c r="A1076" s="25"/>
      <c r="B1076" s="25"/>
    </row>
    <row r="1077" spans="1:2" x14ac:dyDescent="0.2">
      <c r="A1077" s="25"/>
      <c r="B1077" s="25"/>
    </row>
    <row r="1078" spans="1:2" x14ac:dyDescent="0.2">
      <c r="A1078" s="25"/>
      <c r="B1078" s="25"/>
    </row>
    <row r="1079" spans="1:2" x14ac:dyDescent="0.2">
      <c r="A1079" s="25"/>
      <c r="B1079" s="25"/>
    </row>
    <row r="1080" spans="1:2" x14ac:dyDescent="0.2">
      <c r="A1080" s="25"/>
      <c r="B1080" s="25"/>
    </row>
    <row r="1081" spans="1:2" x14ac:dyDescent="0.2">
      <c r="A1081" s="25"/>
      <c r="B1081" s="25"/>
    </row>
    <row r="1082" spans="1:2" x14ac:dyDescent="0.2">
      <c r="A1082" s="25"/>
      <c r="B1082" s="25"/>
    </row>
    <row r="1083" spans="1:2" x14ac:dyDescent="0.2">
      <c r="A1083" s="25"/>
      <c r="B1083" s="25"/>
    </row>
    <row r="1084" spans="1:2" x14ac:dyDescent="0.2">
      <c r="A1084" s="25"/>
      <c r="B1084" s="25"/>
    </row>
    <row r="1085" spans="1:2" x14ac:dyDescent="0.2">
      <c r="A1085" s="25"/>
      <c r="B1085" s="25"/>
    </row>
    <row r="1086" spans="1:2" x14ac:dyDescent="0.2">
      <c r="A1086" s="25"/>
      <c r="B1086" s="25"/>
    </row>
    <row r="1087" spans="1:2" x14ac:dyDescent="0.2">
      <c r="A1087" s="25"/>
      <c r="B1087" s="25"/>
    </row>
    <row r="1088" spans="1:2" x14ac:dyDescent="0.2">
      <c r="A1088" s="25"/>
      <c r="B1088" s="25"/>
    </row>
    <row r="1089" spans="1:2" x14ac:dyDescent="0.2">
      <c r="A1089" s="25"/>
      <c r="B1089" s="25"/>
    </row>
    <row r="1090" spans="1:2" x14ac:dyDescent="0.2">
      <c r="A1090" s="25"/>
      <c r="B1090" s="25"/>
    </row>
    <row r="1091" spans="1:2" x14ac:dyDescent="0.2">
      <c r="A1091" s="25"/>
      <c r="B1091" s="25"/>
    </row>
    <row r="1092" spans="1:2" x14ac:dyDescent="0.2">
      <c r="A1092" s="25"/>
      <c r="B1092" s="25"/>
    </row>
    <row r="1093" spans="1:2" x14ac:dyDescent="0.2">
      <c r="A1093" s="25"/>
      <c r="B1093" s="25"/>
    </row>
    <row r="1094" spans="1:2" x14ac:dyDescent="0.2">
      <c r="A1094" s="25"/>
      <c r="B1094" s="25"/>
    </row>
    <row r="1095" spans="1:2" x14ac:dyDescent="0.2">
      <c r="A1095" s="25"/>
      <c r="B1095" s="25"/>
    </row>
    <row r="1096" spans="1:2" x14ac:dyDescent="0.2">
      <c r="A1096" s="25"/>
      <c r="B1096" s="25"/>
    </row>
    <row r="1097" spans="1:2" x14ac:dyDescent="0.2">
      <c r="A1097" s="25"/>
      <c r="B1097" s="25"/>
    </row>
    <row r="1098" spans="1:2" x14ac:dyDescent="0.2">
      <c r="A1098" s="25"/>
      <c r="B1098" s="25"/>
    </row>
    <row r="1099" spans="1:2" x14ac:dyDescent="0.2">
      <c r="A1099" s="25"/>
      <c r="B1099" s="25"/>
    </row>
    <row r="1100" spans="1:2" x14ac:dyDescent="0.2">
      <c r="A1100" s="25"/>
      <c r="B1100" s="25"/>
    </row>
    <row r="1101" spans="1:2" x14ac:dyDescent="0.2">
      <c r="A1101" s="25"/>
      <c r="B1101" s="25"/>
    </row>
    <row r="1102" spans="1:2" x14ac:dyDescent="0.2">
      <c r="A1102" s="25"/>
      <c r="B1102" s="25"/>
    </row>
    <row r="1103" spans="1:2" x14ac:dyDescent="0.2">
      <c r="A1103" s="25"/>
      <c r="B1103" s="25"/>
    </row>
    <row r="1104" spans="1:2" x14ac:dyDescent="0.2">
      <c r="A1104" s="25"/>
      <c r="B1104" s="25"/>
    </row>
    <row r="1105" spans="1:2" x14ac:dyDescent="0.2">
      <c r="A1105" s="25"/>
      <c r="B1105" s="25"/>
    </row>
    <row r="1106" spans="1:2" x14ac:dyDescent="0.2">
      <c r="A1106" s="25"/>
      <c r="B1106" s="25"/>
    </row>
    <row r="1107" spans="1:2" x14ac:dyDescent="0.2">
      <c r="A1107" s="25"/>
      <c r="B1107" s="25"/>
    </row>
    <row r="1108" spans="1:2" x14ac:dyDescent="0.2">
      <c r="A1108" s="25"/>
      <c r="B1108" s="25"/>
    </row>
    <row r="1109" spans="1:2" x14ac:dyDescent="0.2">
      <c r="A1109" s="25"/>
      <c r="B1109" s="25"/>
    </row>
    <row r="1110" spans="1:2" x14ac:dyDescent="0.2">
      <c r="A1110" s="25"/>
      <c r="B1110" s="25"/>
    </row>
    <row r="1111" spans="1:2" x14ac:dyDescent="0.2">
      <c r="A1111" s="25"/>
      <c r="B1111" s="25"/>
    </row>
    <row r="1112" spans="1:2" x14ac:dyDescent="0.2">
      <c r="A1112" s="25"/>
      <c r="B1112" s="25"/>
    </row>
    <row r="1113" spans="1:2" x14ac:dyDescent="0.2">
      <c r="A1113" s="25"/>
      <c r="B1113" s="25"/>
    </row>
    <row r="1114" spans="1:2" x14ac:dyDescent="0.2">
      <c r="A1114" s="25"/>
      <c r="B1114" s="25"/>
    </row>
    <row r="1115" spans="1:2" x14ac:dyDescent="0.2">
      <c r="A1115" s="25"/>
      <c r="B1115" s="25"/>
    </row>
    <row r="1116" spans="1:2" x14ac:dyDescent="0.2">
      <c r="A1116" s="25"/>
      <c r="B1116" s="25"/>
    </row>
    <row r="1117" spans="1:2" x14ac:dyDescent="0.2">
      <c r="A1117" s="25"/>
      <c r="B1117" s="25"/>
    </row>
    <row r="1118" spans="1:2" x14ac:dyDescent="0.2">
      <c r="A1118" s="25"/>
      <c r="B1118" s="25"/>
    </row>
    <row r="1119" spans="1:2" x14ac:dyDescent="0.2">
      <c r="A1119" s="25"/>
      <c r="B1119" s="25"/>
    </row>
    <row r="1120" spans="1:2" x14ac:dyDescent="0.2">
      <c r="A1120" s="25"/>
      <c r="B1120" s="25"/>
    </row>
    <row r="1121" spans="1:2" x14ac:dyDescent="0.2">
      <c r="A1121" s="25"/>
      <c r="B1121" s="25"/>
    </row>
    <row r="1122" spans="1:2" x14ac:dyDescent="0.2">
      <c r="A1122" s="25"/>
      <c r="B1122" s="25"/>
    </row>
    <row r="1123" spans="1:2" x14ac:dyDescent="0.2">
      <c r="A1123" s="25"/>
      <c r="B1123" s="25"/>
    </row>
    <row r="1124" spans="1:2" x14ac:dyDescent="0.2">
      <c r="A1124" s="25"/>
      <c r="B1124" s="25"/>
    </row>
    <row r="1125" spans="1:2" x14ac:dyDescent="0.2">
      <c r="A1125" s="25"/>
      <c r="B1125" s="25"/>
    </row>
    <row r="1126" spans="1:2" x14ac:dyDescent="0.2">
      <c r="A1126" s="25"/>
      <c r="B1126" s="25"/>
    </row>
    <row r="1127" spans="1:2" x14ac:dyDescent="0.2">
      <c r="A1127" s="25"/>
      <c r="B1127" s="25"/>
    </row>
    <row r="1128" spans="1:2" x14ac:dyDescent="0.2">
      <c r="A1128" s="25"/>
      <c r="B1128" s="25"/>
    </row>
    <row r="1129" spans="1:2" x14ac:dyDescent="0.2">
      <c r="A1129" s="25"/>
      <c r="B1129" s="25"/>
    </row>
    <row r="1130" spans="1:2" x14ac:dyDescent="0.2">
      <c r="A1130" s="25"/>
      <c r="B1130" s="25"/>
    </row>
    <row r="1131" spans="1:2" x14ac:dyDescent="0.2">
      <c r="A1131" s="25"/>
      <c r="B1131" s="25"/>
    </row>
    <row r="1132" spans="1:2" x14ac:dyDescent="0.2">
      <c r="A1132" s="25"/>
      <c r="B1132" s="25"/>
    </row>
    <row r="1133" spans="1:2" x14ac:dyDescent="0.2">
      <c r="A1133" s="25"/>
      <c r="B1133" s="25"/>
    </row>
    <row r="1134" spans="1:2" x14ac:dyDescent="0.2">
      <c r="A1134" s="25"/>
      <c r="B1134" s="25"/>
    </row>
    <row r="1135" spans="1:2" x14ac:dyDescent="0.2">
      <c r="A1135" s="25"/>
      <c r="B1135" s="25"/>
    </row>
    <row r="1136" spans="1:2" x14ac:dyDescent="0.2">
      <c r="A1136" s="25"/>
      <c r="B1136" s="25"/>
    </row>
    <row r="1137" spans="1:2" x14ac:dyDescent="0.2">
      <c r="A1137" s="25"/>
      <c r="B1137" s="25"/>
    </row>
    <row r="1138" spans="1:2" x14ac:dyDescent="0.2">
      <c r="A1138" s="25"/>
      <c r="B1138" s="25"/>
    </row>
    <row r="1139" spans="1:2" x14ac:dyDescent="0.2">
      <c r="A1139" s="25"/>
      <c r="B1139" s="25"/>
    </row>
    <row r="1140" spans="1:2" x14ac:dyDescent="0.2">
      <c r="A1140" s="25"/>
      <c r="B1140" s="25"/>
    </row>
    <row r="1141" spans="1:2" x14ac:dyDescent="0.2">
      <c r="A1141" s="25"/>
      <c r="B1141" s="25"/>
    </row>
    <row r="1142" spans="1:2" x14ac:dyDescent="0.2">
      <c r="A1142" s="25"/>
      <c r="B1142" s="25"/>
    </row>
    <row r="1143" spans="1:2" x14ac:dyDescent="0.2">
      <c r="A1143" s="25"/>
      <c r="B1143" s="25"/>
    </row>
    <row r="1144" spans="1:2" x14ac:dyDescent="0.2">
      <c r="A1144" s="25"/>
      <c r="B1144" s="25"/>
    </row>
    <row r="1145" spans="1:2" x14ac:dyDescent="0.2">
      <c r="A1145" s="25"/>
      <c r="B1145" s="25"/>
    </row>
    <row r="1146" spans="1:2" x14ac:dyDescent="0.2">
      <c r="A1146" s="25"/>
      <c r="B1146" s="25"/>
    </row>
    <row r="1147" spans="1:2" x14ac:dyDescent="0.2">
      <c r="A1147" s="25"/>
      <c r="B1147" s="25"/>
    </row>
    <row r="1148" spans="1:2" x14ac:dyDescent="0.2">
      <c r="A1148" s="25"/>
      <c r="B1148" s="25"/>
    </row>
    <row r="1149" spans="1:2" x14ac:dyDescent="0.2">
      <c r="A1149" s="25"/>
      <c r="B1149" s="25"/>
    </row>
    <row r="1150" spans="1:2" x14ac:dyDescent="0.2">
      <c r="A1150" s="25"/>
      <c r="B1150" s="25"/>
    </row>
    <row r="1151" spans="1:2" x14ac:dyDescent="0.2">
      <c r="A1151" s="25"/>
      <c r="B1151" s="25"/>
    </row>
    <row r="1152" spans="1:2" x14ac:dyDescent="0.2">
      <c r="A1152" s="25"/>
      <c r="B1152" s="25"/>
    </row>
    <row r="1153" spans="1:2" x14ac:dyDescent="0.2">
      <c r="A1153" s="25"/>
      <c r="B1153" s="25"/>
    </row>
    <row r="1154" spans="1:2" x14ac:dyDescent="0.2">
      <c r="A1154" s="25"/>
      <c r="B1154" s="25"/>
    </row>
    <row r="1155" spans="1:2" x14ac:dyDescent="0.2">
      <c r="A1155" s="25"/>
      <c r="B1155" s="25"/>
    </row>
    <row r="1156" spans="1:2" x14ac:dyDescent="0.2">
      <c r="A1156" s="25"/>
      <c r="B1156" s="25"/>
    </row>
    <row r="1157" spans="1:2" x14ac:dyDescent="0.2">
      <c r="A1157" s="25"/>
      <c r="B1157" s="25"/>
    </row>
    <row r="1158" spans="1:2" x14ac:dyDescent="0.2">
      <c r="A1158" s="25"/>
      <c r="B1158" s="25"/>
    </row>
    <row r="1159" spans="1:2" x14ac:dyDescent="0.2">
      <c r="A1159" s="25"/>
      <c r="B1159" s="25"/>
    </row>
    <row r="1160" spans="1:2" x14ac:dyDescent="0.2">
      <c r="A1160" s="25"/>
      <c r="B1160" s="25"/>
    </row>
    <row r="1161" spans="1:2" x14ac:dyDescent="0.2">
      <c r="A1161" s="25"/>
      <c r="B1161" s="25"/>
    </row>
    <row r="1162" spans="1:2" x14ac:dyDescent="0.2">
      <c r="A1162" s="25"/>
      <c r="B1162" s="25"/>
    </row>
    <row r="1163" spans="1:2" x14ac:dyDescent="0.2">
      <c r="A1163" s="25"/>
      <c r="B1163" s="25"/>
    </row>
    <row r="1164" spans="1:2" x14ac:dyDescent="0.2">
      <c r="A1164" s="25"/>
      <c r="B1164" s="25"/>
    </row>
    <row r="1165" spans="1:2" x14ac:dyDescent="0.2">
      <c r="A1165" s="25"/>
      <c r="B1165" s="25"/>
    </row>
    <row r="1166" spans="1:2" x14ac:dyDescent="0.2">
      <c r="A1166" s="25"/>
      <c r="B1166" s="25"/>
    </row>
    <row r="1167" spans="1:2" x14ac:dyDescent="0.2">
      <c r="A1167" s="25"/>
      <c r="B1167" s="25"/>
    </row>
    <row r="1168" spans="1:2" x14ac:dyDescent="0.2">
      <c r="A1168" s="25"/>
      <c r="B1168" s="25"/>
    </row>
    <row r="1169" spans="1:2" x14ac:dyDescent="0.2">
      <c r="A1169" s="25"/>
      <c r="B1169" s="25"/>
    </row>
    <row r="1170" spans="1:2" x14ac:dyDescent="0.2">
      <c r="A1170" s="25"/>
      <c r="B1170" s="25"/>
    </row>
    <row r="1171" spans="1:2" x14ac:dyDescent="0.2">
      <c r="A1171" s="25"/>
      <c r="B1171" s="25"/>
    </row>
    <row r="1172" spans="1:2" x14ac:dyDescent="0.2">
      <c r="A1172" s="25"/>
      <c r="B1172" s="25"/>
    </row>
    <row r="1173" spans="1:2" x14ac:dyDescent="0.2">
      <c r="A1173" s="25"/>
      <c r="B1173" s="25"/>
    </row>
    <row r="1174" spans="1:2" x14ac:dyDescent="0.2">
      <c r="A1174" s="25"/>
      <c r="B1174" s="25"/>
    </row>
    <row r="1175" spans="1:2" x14ac:dyDescent="0.2">
      <c r="A1175" s="25"/>
      <c r="B1175" s="25"/>
    </row>
    <row r="1176" spans="1:2" x14ac:dyDescent="0.2">
      <c r="A1176" s="25"/>
      <c r="B1176" s="25"/>
    </row>
    <row r="1177" spans="1:2" x14ac:dyDescent="0.2">
      <c r="A1177" s="25"/>
      <c r="B1177" s="25"/>
    </row>
    <row r="1178" spans="1:2" x14ac:dyDescent="0.2">
      <c r="A1178" s="25"/>
      <c r="B1178" s="25"/>
    </row>
    <row r="1179" spans="1:2" x14ac:dyDescent="0.2">
      <c r="A1179" s="25"/>
      <c r="B1179" s="25"/>
    </row>
    <row r="1180" spans="1:2" x14ac:dyDescent="0.2">
      <c r="A1180" s="25"/>
      <c r="B1180" s="25"/>
    </row>
    <row r="1181" spans="1:2" x14ac:dyDescent="0.2">
      <c r="A1181" s="25"/>
      <c r="B1181" s="25"/>
    </row>
    <row r="1182" spans="1:2" x14ac:dyDescent="0.2">
      <c r="A1182" s="25"/>
      <c r="B1182" s="25"/>
    </row>
    <row r="1183" spans="1:2" x14ac:dyDescent="0.2">
      <c r="A1183" s="25"/>
      <c r="B1183" s="25"/>
    </row>
    <row r="1184" spans="1:2" x14ac:dyDescent="0.2">
      <c r="A1184" s="25"/>
      <c r="B1184" s="25"/>
    </row>
    <row r="1185" spans="1:2" x14ac:dyDescent="0.2">
      <c r="A1185" s="25"/>
      <c r="B1185" s="25"/>
    </row>
    <row r="1186" spans="1:2" x14ac:dyDescent="0.2">
      <c r="A1186" s="25"/>
      <c r="B1186" s="25"/>
    </row>
    <row r="1187" spans="1:2" x14ac:dyDescent="0.2">
      <c r="A1187" s="25"/>
      <c r="B1187" s="25"/>
    </row>
    <row r="1188" spans="1:2" x14ac:dyDescent="0.2">
      <c r="A1188" s="25"/>
      <c r="B1188" s="25"/>
    </row>
    <row r="1189" spans="1:2" x14ac:dyDescent="0.2">
      <c r="A1189" s="25"/>
      <c r="B1189" s="25"/>
    </row>
    <row r="1190" spans="1:2" x14ac:dyDescent="0.2">
      <c r="A1190" s="25"/>
      <c r="B1190" s="25"/>
    </row>
    <row r="1191" spans="1:2" x14ac:dyDescent="0.2">
      <c r="A1191" s="25"/>
      <c r="B1191" s="25"/>
    </row>
    <row r="1192" spans="1:2" x14ac:dyDescent="0.2">
      <c r="A1192" s="25"/>
      <c r="B1192" s="25"/>
    </row>
    <row r="1193" spans="1:2" x14ac:dyDescent="0.2">
      <c r="A1193" s="25"/>
      <c r="B1193" s="25"/>
    </row>
    <row r="1194" spans="1:2" x14ac:dyDescent="0.2">
      <c r="A1194" s="25"/>
      <c r="B1194" s="25"/>
    </row>
    <row r="1195" spans="1:2" x14ac:dyDescent="0.2">
      <c r="A1195" s="25"/>
      <c r="B1195" s="25"/>
    </row>
    <row r="1196" spans="1:2" x14ac:dyDescent="0.2">
      <c r="A1196" s="25"/>
      <c r="B1196" s="25"/>
    </row>
    <row r="1197" spans="1:2" x14ac:dyDescent="0.2">
      <c r="A1197" s="25"/>
      <c r="B1197" s="25"/>
    </row>
    <row r="1198" spans="1:2" x14ac:dyDescent="0.2">
      <c r="A1198" s="25"/>
      <c r="B1198" s="25"/>
    </row>
    <row r="1199" spans="1:2" x14ac:dyDescent="0.2">
      <c r="A1199" s="25"/>
      <c r="B1199" s="25"/>
    </row>
    <row r="1200" spans="1:2" x14ac:dyDescent="0.2">
      <c r="A1200" s="25"/>
      <c r="B1200" s="25"/>
    </row>
    <row r="1201" spans="1:2" x14ac:dyDescent="0.2">
      <c r="A1201" s="25"/>
      <c r="B1201" s="25"/>
    </row>
    <row r="1202" spans="1:2" x14ac:dyDescent="0.2">
      <c r="A1202" s="25"/>
      <c r="B1202" s="25"/>
    </row>
    <row r="1203" spans="1:2" x14ac:dyDescent="0.2">
      <c r="A1203" s="25"/>
      <c r="B1203" s="25"/>
    </row>
    <row r="1204" spans="1:2" x14ac:dyDescent="0.2">
      <c r="A1204" s="25"/>
      <c r="B1204" s="25"/>
    </row>
    <row r="1205" spans="1:2" x14ac:dyDescent="0.2">
      <c r="A1205" s="25"/>
      <c r="B1205" s="25"/>
    </row>
    <row r="1206" spans="1:2" x14ac:dyDescent="0.2">
      <c r="A1206" s="25"/>
      <c r="B1206" s="25"/>
    </row>
    <row r="1207" spans="1:2" x14ac:dyDescent="0.2">
      <c r="A1207" s="25"/>
      <c r="B1207" s="25"/>
    </row>
    <row r="1208" spans="1:2" x14ac:dyDescent="0.2">
      <c r="A1208" s="25"/>
      <c r="B1208" s="25"/>
    </row>
    <row r="1209" spans="1:2" x14ac:dyDescent="0.2">
      <c r="A1209" s="25"/>
      <c r="B1209" s="25"/>
    </row>
    <row r="1210" spans="1:2" x14ac:dyDescent="0.2">
      <c r="A1210" s="25"/>
      <c r="B1210" s="25"/>
    </row>
    <row r="1211" spans="1:2" x14ac:dyDescent="0.2">
      <c r="A1211" s="25"/>
      <c r="B1211" s="25"/>
    </row>
    <row r="1212" spans="1:2" x14ac:dyDescent="0.2">
      <c r="A1212" s="25"/>
      <c r="B1212" s="25"/>
    </row>
    <row r="1213" spans="1:2" x14ac:dyDescent="0.2">
      <c r="A1213" s="25"/>
      <c r="B1213" s="25"/>
    </row>
    <row r="1214" spans="1:2" x14ac:dyDescent="0.2">
      <c r="A1214" s="25"/>
      <c r="B1214" s="25"/>
    </row>
    <row r="1215" spans="1:2" x14ac:dyDescent="0.2">
      <c r="A1215" s="25"/>
      <c r="B1215" s="25"/>
    </row>
    <row r="1216" spans="1:2" x14ac:dyDescent="0.2">
      <c r="A1216" s="25"/>
      <c r="B1216" s="25"/>
    </row>
    <row r="1217" spans="1:2" x14ac:dyDescent="0.2">
      <c r="A1217" s="25"/>
      <c r="B1217" s="25"/>
    </row>
    <row r="1218" spans="1:2" x14ac:dyDescent="0.2">
      <c r="A1218" s="25"/>
      <c r="B1218" s="25"/>
    </row>
    <row r="1219" spans="1:2" x14ac:dyDescent="0.2">
      <c r="A1219" s="25"/>
      <c r="B1219" s="25"/>
    </row>
    <row r="1220" spans="1:2" x14ac:dyDescent="0.2">
      <c r="A1220" s="25"/>
      <c r="B1220" s="25"/>
    </row>
    <row r="1221" spans="1:2" x14ac:dyDescent="0.2">
      <c r="A1221" s="25"/>
      <c r="B1221" s="25"/>
    </row>
    <row r="1222" spans="1:2" x14ac:dyDescent="0.2">
      <c r="A1222" s="25"/>
      <c r="B1222" s="25"/>
    </row>
    <row r="1223" spans="1:2" x14ac:dyDescent="0.2">
      <c r="A1223" s="25"/>
      <c r="B1223" s="25"/>
    </row>
    <row r="1224" spans="1:2" x14ac:dyDescent="0.2">
      <c r="A1224" s="25"/>
      <c r="B1224" s="25"/>
    </row>
    <row r="1225" spans="1:2" x14ac:dyDescent="0.2">
      <c r="A1225" s="25"/>
      <c r="B1225" s="25"/>
    </row>
    <row r="1226" spans="1:2" x14ac:dyDescent="0.2">
      <c r="A1226" s="25"/>
      <c r="B1226" s="25"/>
    </row>
    <row r="1227" spans="1:2" x14ac:dyDescent="0.2">
      <c r="A1227" s="25"/>
      <c r="B1227" s="25"/>
    </row>
    <row r="1228" spans="1:2" x14ac:dyDescent="0.2">
      <c r="A1228" s="25"/>
      <c r="B1228" s="25"/>
    </row>
    <row r="1229" spans="1:2" x14ac:dyDescent="0.2">
      <c r="A1229" s="25"/>
      <c r="B1229" s="25"/>
    </row>
    <row r="1230" spans="1:2" x14ac:dyDescent="0.2">
      <c r="A1230" s="25"/>
      <c r="B1230" s="25"/>
    </row>
    <row r="1231" spans="1:2" x14ac:dyDescent="0.2">
      <c r="A1231" s="25"/>
      <c r="B1231" s="25"/>
    </row>
    <row r="1232" spans="1:2" x14ac:dyDescent="0.2">
      <c r="A1232" s="25"/>
      <c r="B1232" s="25"/>
    </row>
    <row r="1233" spans="1:2" x14ac:dyDescent="0.2">
      <c r="A1233" s="25"/>
      <c r="B1233" s="25"/>
    </row>
    <row r="1234" spans="1:2" x14ac:dyDescent="0.2">
      <c r="A1234" s="25"/>
      <c r="B1234" s="25"/>
    </row>
    <row r="1235" spans="1:2" x14ac:dyDescent="0.2">
      <c r="A1235" s="25"/>
      <c r="B1235" s="25"/>
    </row>
    <row r="1236" spans="1:2" x14ac:dyDescent="0.2">
      <c r="A1236" s="25"/>
      <c r="B1236" s="25"/>
    </row>
    <row r="1237" spans="1:2" x14ac:dyDescent="0.2">
      <c r="A1237" s="25"/>
      <c r="B1237" s="25"/>
    </row>
    <row r="1238" spans="1:2" x14ac:dyDescent="0.2">
      <c r="A1238" s="25"/>
      <c r="B1238" s="25"/>
    </row>
    <row r="1239" spans="1:2" x14ac:dyDescent="0.2">
      <c r="A1239" s="25"/>
      <c r="B1239" s="25"/>
    </row>
    <row r="1240" spans="1:2" x14ac:dyDescent="0.2">
      <c r="A1240" s="25"/>
      <c r="B1240" s="25"/>
    </row>
    <row r="1241" spans="1:2" x14ac:dyDescent="0.2">
      <c r="A1241" s="25"/>
      <c r="B1241" s="25"/>
    </row>
    <row r="1242" spans="1:2" x14ac:dyDescent="0.2">
      <c r="A1242" s="25"/>
      <c r="B1242" s="25"/>
    </row>
    <row r="1243" spans="1:2" x14ac:dyDescent="0.2">
      <c r="A1243" s="25"/>
      <c r="B1243" s="25"/>
    </row>
    <row r="1244" spans="1:2" x14ac:dyDescent="0.2">
      <c r="A1244" s="25"/>
      <c r="B1244" s="25"/>
    </row>
    <row r="1245" spans="1:2" x14ac:dyDescent="0.2">
      <c r="A1245" s="25"/>
      <c r="B1245" s="25"/>
    </row>
    <row r="1246" spans="1:2" x14ac:dyDescent="0.2">
      <c r="A1246" s="25"/>
      <c r="B1246" s="25"/>
    </row>
    <row r="1247" spans="1:2" x14ac:dyDescent="0.2">
      <c r="A1247" s="25"/>
      <c r="B1247" s="25"/>
    </row>
    <row r="1248" spans="1:2" x14ac:dyDescent="0.2">
      <c r="A1248" s="25"/>
      <c r="B1248" s="25"/>
    </row>
    <row r="1249" spans="1:2" x14ac:dyDescent="0.2">
      <c r="A1249" s="25"/>
      <c r="B1249" s="25"/>
    </row>
    <row r="1250" spans="1:2" x14ac:dyDescent="0.2">
      <c r="A1250" s="25"/>
      <c r="B1250" s="25"/>
    </row>
    <row r="1251" spans="1:2" x14ac:dyDescent="0.2">
      <c r="A1251" s="25"/>
      <c r="B1251" s="25"/>
    </row>
    <row r="1252" spans="1:2" x14ac:dyDescent="0.2">
      <c r="A1252" s="25"/>
      <c r="B1252" s="25"/>
    </row>
    <row r="1253" spans="1:2" x14ac:dyDescent="0.2">
      <c r="A1253" s="25"/>
      <c r="B1253" s="25"/>
    </row>
    <row r="1254" spans="1:2" x14ac:dyDescent="0.2">
      <c r="A1254" s="25"/>
      <c r="B1254" s="25"/>
    </row>
    <row r="1255" spans="1:2" x14ac:dyDescent="0.2">
      <c r="A1255" s="25"/>
      <c r="B1255" s="25"/>
    </row>
    <row r="1256" spans="1:2" x14ac:dyDescent="0.2">
      <c r="A1256" s="25"/>
      <c r="B1256" s="25"/>
    </row>
    <row r="1257" spans="1:2" x14ac:dyDescent="0.2">
      <c r="A1257" s="25"/>
      <c r="B1257" s="25"/>
    </row>
    <row r="1258" spans="1:2" x14ac:dyDescent="0.2">
      <c r="A1258" s="25"/>
      <c r="B1258" s="25"/>
    </row>
    <row r="1259" spans="1:2" x14ac:dyDescent="0.2">
      <c r="A1259" s="25"/>
      <c r="B1259" s="25"/>
    </row>
    <row r="1260" spans="1:2" x14ac:dyDescent="0.2">
      <c r="A1260" s="25"/>
      <c r="B1260" s="25"/>
    </row>
    <row r="1261" spans="1:2" x14ac:dyDescent="0.2">
      <c r="A1261" s="25"/>
      <c r="B1261" s="25"/>
    </row>
    <row r="1262" spans="1:2" x14ac:dyDescent="0.2">
      <c r="A1262" s="25"/>
      <c r="B1262" s="25"/>
    </row>
    <row r="1263" spans="1:2" x14ac:dyDescent="0.2">
      <c r="A1263" s="25"/>
      <c r="B1263" s="25"/>
    </row>
    <row r="1264" spans="1:2" x14ac:dyDescent="0.2">
      <c r="A1264" s="25"/>
      <c r="B1264" s="25"/>
    </row>
    <row r="1265" spans="1:2" x14ac:dyDescent="0.2">
      <c r="A1265" s="25"/>
      <c r="B1265" s="25"/>
    </row>
    <row r="1266" spans="1:2" x14ac:dyDescent="0.2">
      <c r="A1266" s="25"/>
      <c r="B1266" s="25"/>
    </row>
    <row r="1267" spans="1:2" x14ac:dyDescent="0.2">
      <c r="A1267" s="25"/>
      <c r="B1267" s="25"/>
    </row>
    <row r="1268" spans="1:2" x14ac:dyDescent="0.2">
      <c r="A1268" s="25"/>
      <c r="B1268" s="25"/>
    </row>
    <row r="1269" spans="1:2" x14ac:dyDescent="0.2">
      <c r="A1269" s="25"/>
      <c r="B1269" s="25"/>
    </row>
    <row r="1270" spans="1:2" x14ac:dyDescent="0.2">
      <c r="A1270" s="25"/>
      <c r="B1270" s="25"/>
    </row>
    <row r="1271" spans="1:2" x14ac:dyDescent="0.2">
      <c r="A1271" s="25"/>
      <c r="B1271" s="25"/>
    </row>
    <row r="1272" spans="1:2" x14ac:dyDescent="0.2">
      <c r="A1272" s="25"/>
      <c r="B1272" s="25"/>
    </row>
    <row r="1273" spans="1:2" x14ac:dyDescent="0.2">
      <c r="A1273" s="25"/>
      <c r="B1273" s="25"/>
    </row>
    <row r="1274" spans="1:2" x14ac:dyDescent="0.2">
      <c r="A1274" s="25"/>
      <c r="B1274" s="25"/>
    </row>
    <row r="1275" spans="1:2" x14ac:dyDescent="0.2">
      <c r="A1275" s="25"/>
      <c r="B1275" s="25"/>
    </row>
    <row r="1276" spans="1:2" x14ac:dyDescent="0.2">
      <c r="A1276" s="25"/>
      <c r="B1276" s="25"/>
    </row>
    <row r="1277" spans="1:2" x14ac:dyDescent="0.2">
      <c r="A1277" s="25"/>
      <c r="B1277" s="25"/>
    </row>
    <row r="1278" spans="1:2" x14ac:dyDescent="0.2">
      <c r="A1278" s="25"/>
      <c r="B1278" s="25"/>
    </row>
    <row r="1279" spans="1:2" x14ac:dyDescent="0.2">
      <c r="A1279" s="25"/>
      <c r="B1279" s="25"/>
    </row>
    <row r="1280" spans="1:2" x14ac:dyDescent="0.2">
      <c r="A1280" s="25"/>
      <c r="B1280" s="25"/>
    </row>
    <row r="1281" spans="1:2" x14ac:dyDescent="0.2">
      <c r="A1281" s="25"/>
      <c r="B1281" s="25"/>
    </row>
    <row r="1282" spans="1:2" x14ac:dyDescent="0.2">
      <c r="A1282" s="25"/>
      <c r="B1282" s="25"/>
    </row>
    <row r="1283" spans="1:2" x14ac:dyDescent="0.2">
      <c r="A1283" s="25"/>
      <c r="B1283" s="25"/>
    </row>
    <row r="1284" spans="1:2" x14ac:dyDescent="0.2">
      <c r="A1284" s="25"/>
      <c r="B1284" s="25"/>
    </row>
    <row r="1285" spans="1:2" x14ac:dyDescent="0.2">
      <c r="A1285" s="25"/>
      <c r="B1285" s="25"/>
    </row>
    <row r="1286" spans="1:2" x14ac:dyDescent="0.2">
      <c r="A1286" s="25"/>
      <c r="B1286" s="25"/>
    </row>
    <row r="1287" spans="1:2" x14ac:dyDescent="0.2">
      <c r="A1287" s="25"/>
      <c r="B1287" s="25"/>
    </row>
    <row r="1288" spans="1:2" x14ac:dyDescent="0.2">
      <c r="A1288" s="25"/>
      <c r="B1288" s="25"/>
    </row>
    <row r="1289" spans="1:2" x14ac:dyDescent="0.2">
      <c r="A1289" s="25"/>
      <c r="B1289" s="25"/>
    </row>
    <row r="1290" spans="1:2" x14ac:dyDescent="0.2">
      <c r="A1290" s="25"/>
      <c r="B1290" s="25"/>
    </row>
    <row r="1291" spans="1:2" x14ac:dyDescent="0.2">
      <c r="A1291" s="25"/>
      <c r="B1291" s="25"/>
    </row>
    <row r="1292" spans="1:2" x14ac:dyDescent="0.2">
      <c r="A1292" s="25"/>
      <c r="B1292" s="25"/>
    </row>
    <row r="1293" spans="1:2" x14ac:dyDescent="0.2">
      <c r="A1293" s="25"/>
      <c r="B1293" s="25"/>
    </row>
    <row r="1294" spans="1:2" x14ac:dyDescent="0.2">
      <c r="A1294" s="25"/>
      <c r="B1294" s="25"/>
    </row>
    <row r="1295" spans="1:2" x14ac:dyDescent="0.2">
      <c r="A1295" s="25"/>
      <c r="B1295" s="25"/>
    </row>
    <row r="1296" spans="1:2" x14ac:dyDescent="0.2">
      <c r="A1296" s="25"/>
      <c r="B1296" s="25"/>
    </row>
    <row r="1297" spans="1:2" x14ac:dyDescent="0.2">
      <c r="A1297" s="25"/>
      <c r="B1297" s="25"/>
    </row>
    <row r="1298" spans="1:2" x14ac:dyDescent="0.2">
      <c r="A1298" s="25"/>
      <c r="B1298" s="25"/>
    </row>
    <row r="1299" spans="1:2" x14ac:dyDescent="0.2">
      <c r="A1299" s="25"/>
      <c r="B1299" s="25"/>
    </row>
    <row r="1300" spans="1:2" x14ac:dyDescent="0.2">
      <c r="A1300" s="25"/>
      <c r="B1300" s="25"/>
    </row>
    <row r="1301" spans="1:2" x14ac:dyDescent="0.2">
      <c r="A1301" s="25"/>
      <c r="B1301" s="25"/>
    </row>
    <row r="1302" spans="1:2" x14ac:dyDescent="0.2">
      <c r="A1302" s="25"/>
      <c r="B1302" s="25"/>
    </row>
    <row r="1303" spans="1:2" x14ac:dyDescent="0.2">
      <c r="A1303" s="25"/>
      <c r="B1303" s="25"/>
    </row>
    <row r="1304" spans="1:2" x14ac:dyDescent="0.2">
      <c r="A1304" s="25"/>
      <c r="B1304" s="25"/>
    </row>
    <row r="1305" spans="1:2" x14ac:dyDescent="0.2">
      <c r="A1305" s="25"/>
      <c r="B1305" s="25"/>
    </row>
    <row r="1306" spans="1:2" x14ac:dyDescent="0.2">
      <c r="A1306" s="25"/>
      <c r="B1306" s="25"/>
    </row>
    <row r="1307" spans="1:2" x14ac:dyDescent="0.2">
      <c r="A1307" s="25"/>
      <c r="B1307" s="25"/>
    </row>
    <row r="1308" spans="1:2" x14ac:dyDescent="0.2">
      <c r="A1308" s="25"/>
      <c r="B1308" s="25"/>
    </row>
    <row r="1309" spans="1:2" x14ac:dyDescent="0.2">
      <c r="A1309" s="25"/>
      <c r="B1309" s="25"/>
    </row>
    <row r="1310" spans="1:2" x14ac:dyDescent="0.2">
      <c r="A1310" s="25"/>
      <c r="B1310" s="25"/>
    </row>
    <row r="1311" spans="1:2" x14ac:dyDescent="0.2">
      <c r="A1311" s="25"/>
      <c r="B1311" s="25"/>
    </row>
    <row r="1312" spans="1:2" x14ac:dyDescent="0.2">
      <c r="A1312" s="25"/>
      <c r="B1312" s="25"/>
    </row>
    <row r="1313" spans="1:2" x14ac:dyDescent="0.2">
      <c r="A1313" s="25"/>
      <c r="B1313" s="25"/>
    </row>
    <row r="1314" spans="1:2" x14ac:dyDescent="0.2">
      <c r="A1314" s="25"/>
      <c r="B1314" s="25"/>
    </row>
    <row r="1315" spans="1:2" x14ac:dyDescent="0.2">
      <c r="A1315" s="25"/>
      <c r="B1315" s="25"/>
    </row>
    <row r="1316" spans="1:2" x14ac:dyDescent="0.2">
      <c r="A1316" s="25"/>
      <c r="B1316" s="25"/>
    </row>
    <row r="1317" spans="1:2" x14ac:dyDescent="0.2">
      <c r="A1317" s="25"/>
      <c r="B1317" s="25"/>
    </row>
    <row r="1318" spans="1:2" x14ac:dyDescent="0.2">
      <c r="A1318" s="25"/>
      <c r="B1318" s="25"/>
    </row>
    <row r="1319" spans="1:2" x14ac:dyDescent="0.2">
      <c r="A1319" s="25"/>
      <c r="B1319" s="25"/>
    </row>
    <row r="1320" spans="1:2" x14ac:dyDescent="0.2">
      <c r="A1320" s="25"/>
      <c r="B1320" s="25"/>
    </row>
    <row r="1321" spans="1:2" x14ac:dyDescent="0.2">
      <c r="A1321" s="25"/>
      <c r="B1321" s="25"/>
    </row>
    <row r="1322" spans="1:2" x14ac:dyDescent="0.2">
      <c r="A1322" s="25"/>
      <c r="B1322" s="25"/>
    </row>
    <row r="1323" spans="1:2" x14ac:dyDescent="0.2">
      <c r="A1323" s="25"/>
      <c r="B1323" s="25"/>
    </row>
    <row r="1324" spans="1:2" x14ac:dyDescent="0.2">
      <c r="A1324" s="25"/>
      <c r="B1324" s="25"/>
    </row>
    <row r="1325" spans="1:2" x14ac:dyDescent="0.2">
      <c r="A1325" s="25"/>
      <c r="B1325" s="25"/>
    </row>
    <row r="1326" spans="1:2" x14ac:dyDescent="0.2">
      <c r="A1326" s="25"/>
      <c r="B1326" s="25"/>
    </row>
    <row r="1327" spans="1:2" x14ac:dyDescent="0.2">
      <c r="A1327" s="25"/>
      <c r="B1327" s="25"/>
    </row>
    <row r="1328" spans="1:2" x14ac:dyDescent="0.2">
      <c r="A1328" s="25"/>
      <c r="B1328" s="25"/>
    </row>
    <row r="1329" spans="1:2" x14ac:dyDescent="0.2">
      <c r="A1329" s="25"/>
      <c r="B1329" s="25"/>
    </row>
    <row r="1330" spans="1:2" x14ac:dyDescent="0.2">
      <c r="A1330" s="25"/>
      <c r="B1330" s="25"/>
    </row>
    <row r="1331" spans="1:2" x14ac:dyDescent="0.2">
      <c r="A1331" s="25"/>
      <c r="B1331" s="25"/>
    </row>
    <row r="1332" spans="1:2" x14ac:dyDescent="0.2">
      <c r="A1332" s="25"/>
      <c r="B1332" s="25"/>
    </row>
    <row r="1333" spans="1:2" x14ac:dyDescent="0.2">
      <c r="A1333" s="25"/>
      <c r="B1333" s="25"/>
    </row>
    <row r="1334" spans="1:2" x14ac:dyDescent="0.2">
      <c r="A1334" s="25"/>
      <c r="B1334" s="25"/>
    </row>
    <row r="1335" spans="1:2" x14ac:dyDescent="0.2">
      <c r="A1335" s="25"/>
      <c r="B1335" s="25"/>
    </row>
    <row r="1336" spans="1:2" x14ac:dyDescent="0.2">
      <c r="A1336" s="25"/>
      <c r="B1336" s="25"/>
    </row>
    <row r="1337" spans="1:2" x14ac:dyDescent="0.2">
      <c r="A1337" s="25"/>
      <c r="B1337" s="25"/>
    </row>
    <row r="1338" spans="1:2" x14ac:dyDescent="0.2">
      <c r="A1338" s="25"/>
      <c r="B1338" s="25"/>
    </row>
    <row r="1339" spans="1:2" x14ac:dyDescent="0.2">
      <c r="A1339" s="25"/>
      <c r="B1339" s="25"/>
    </row>
    <row r="1340" spans="1:2" x14ac:dyDescent="0.2">
      <c r="A1340" s="25"/>
      <c r="B1340" s="25"/>
    </row>
    <row r="1341" spans="1:2" x14ac:dyDescent="0.2">
      <c r="A1341" s="25"/>
      <c r="B1341" s="25"/>
    </row>
    <row r="1342" spans="1:2" x14ac:dyDescent="0.2">
      <c r="A1342" s="25"/>
      <c r="B1342" s="25"/>
    </row>
    <row r="1343" spans="1:2" x14ac:dyDescent="0.2">
      <c r="A1343" s="25"/>
      <c r="B1343" s="25"/>
    </row>
    <row r="1344" spans="1:2" x14ac:dyDescent="0.2">
      <c r="A1344" s="25"/>
      <c r="B1344" s="25"/>
    </row>
    <row r="1345" spans="1:2" x14ac:dyDescent="0.2">
      <c r="A1345" s="25"/>
      <c r="B1345" s="25"/>
    </row>
    <row r="1346" spans="1:2" x14ac:dyDescent="0.2">
      <c r="A1346" s="25"/>
      <c r="B1346" s="25"/>
    </row>
    <row r="1347" spans="1:2" x14ac:dyDescent="0.2">
      <c r="A1347" s="25"/>
      <c r="B1347" s="25"/>
    </row>
    <row r="1348" spans="1:2" x14ac:dyDescent="0.2">
      <c r="A1348" s="25"/>
      <c r="B1348" s="25"/>
    </row>
    <row r="1349" spans="1:2" x14ac:dyDescent="0.2">
      <c r="A1349" s="25"/>
      <c r="B1349" s="25"/>
    </row>
    <row r="1350" spans="1:2" x14ac:dyDescent="0.2">
      <c r="A1350" s="25"/>
      <c r="B1350" s="25"/>
    </row>
    <row r="1351" spans="1:2" x14ac:dyDescent="0.2">
      <c r="A1351" s="25"/>
      <c r="B1351" s="25"/>
    </row>
    <row r="1352" spans="1:2" x14ac:dyDescent="0.2">
      <c r="A1352" s="25"/>
      <c r="B1352" s="25"/>
    </row>
    <row r="1353" spans="1:2" x14ac:dyDescent="0.2">
      <c r="A1353" s="25"/>
      <c r="B1353" s="25"/>
    </row>
    <row r="1354" spans="1:2" x14ac:dyDescent="0.2">
      <c r="A1354" s="25"/>
      <c r="B1354" s="25"/>
    </row>
    <row r="1355" spans="1:2" x14ac:dyDescent="0.2">
      <c r="A1355" s="25"/>
      <c r="B1355" s="25"/>
    </row>
    <row r="1356" spans="1:2" x14ac:dyDescent="0.2">
      <c r="A1356" s="25"/>
      <c r="B1356" s="25"/>
    </row>
    <row r="1357" spans="1:2" x14ac:dyDescent="0.2">
      <c r="A1357" s="25"/>
      <c r="B1357" s="25"/>
    </row>
    <row r="1358" spans="1:2" x14ac:dyDescent="0.2">
      <c r="A1358" s="25"/>
      <c r="B1358" s="25"/>
    </row>
    <row r="1359" spans="1:2" x14ac:dyDescent="0.2">
      <c r="A1359" s="25"/>
      <c r="B1359" s="25"/>
    </row>
    <row r="1360" spans="1:2" x14ac:dyDescent="0.2">
      <c r="A1360" s="25"/>
      <c r="B1360" s="25"/>
    </row>
    <row r="1361" spans="1:2" x14ac:dyDescent="0.2">
      <c r="A1361" s="25"/>
      <c r="B1361" s="25"/>
    </row>
    <row r="1362" spans="1:2" x14ac:dyDescent="0.2">
      <c r="A1362" s="25"/>
      <c r="B1362" s="25"/>
    </row>
    <row r="1363" spans="1:2" x14ac:dyDescent="0.2">
      <c r="A1363" s="25"/>
      <c r="B1363" s="25"/>
    </row>
    <row r="1364" spans="1:2" x14ac:dyDescent="0.2">
      <c r="A1364" s="25"/>
      <c r="B1364" s="25"/>
    </row>
    <row r="1365" spans="1:2" x14ac:dyDescent="0.2">
      <c r="A1365" s="25"/>
      <c r="B1365" s="25"/>
    </row>
    <row r="1366" spans="1:2" x14ac:dyDescent="0.2">
      <c r="A1366" s="25"/>
      <c r="B1366" s="25"/>
    </row>
    <row r="1367" spans="1:2" x14ac:dyDescent="0.2">
      <c r="A1367" s="25"/>
      <c r="B1367" s="25"/>
    </row>
    <row r="1368" spans="1:2" x14ac:dyDescent="0.2">
      <c r="A1368" s="25"/>
      <c r="B1368" s="25"/>
    </row>
    <row r="1369" spans="1:2" x14ac:dyDescent="0.2">
      <c r="A1369" s="25"/>
      <c r="B1369" s="25"/>
    </row>
    <row r="1370" spans="1:2" x14ac:dyDescent="0.2">
      <c r="A1370" s="25"/>
      <c r="B1370" s="25"/>
    </row>
    <row r="1371" spans="1:2" x14ac:dyDescent="0.2">
      <c r="A1371" s="25"/>
      <c r="B1371" s="25"/>
    </row>
    <row r="1372" spans="1:2" x14ac:dyDescent="0.2">
      <c r="A1372" s="25"/>
      <c r="B1372" s="25"/>
    </row>
    <row r="1373" spans="1:2" x14ac:dyDescent="0.2">
      <c r="A1373" s="25"/>
      <c r="B1373" s="25"/>
    </row>
    <row r="1374" spans="1:2" x14ac:dyDescent="0.2">
      <c r="A1374" s="25"/>
      <c r="B1374" s="25"/>
    </row>
    <row r="1375" spans="1:2" x14ac:dyDescent="0.2">
      <c r="A1375" s="25"/>
      <c r="B1375" s="25"/>
    </row>
    <row r="1376" spans="1:2" x14ac:dyDescent="0.2">
      <c r="A1376" s="25"/>
      <c r="B1376" s="25"/>
    </row>
    <row r="1377" spans="1:2" x14ac:dyDescent="0.2">
      <c r="A1377" s="25"/>
      <c r="B1377" s="25"/>
    </row>
    <row r="1378" spans="1:2" x14ac:dyDescent="0.2">
      <c r="A1378" s="25"/>
      <c r="B1378" s="25"/>
    </row>
    <row r="1379" spans="1:2" x14ac:dyDescent="0.2">
      <c r="A1379" s="25"/>
      <c r="B1379" s="25"/>
    </row>
    <row r="1380" spans="1:2" x14ac:dyDescent="0.2">
      <c r="A1380" s="25"/>
      <c r="B1380" s="25"/>
    </row>
    <row r="1381" spans="1:2" x14ac:dyDescent="0.2">
      <c r="A1381" s="25"/>
      <c r="B1381" s="25"/>
    </row>
    <row r="1382" spans="1:2" x14ac:dyDescent="0.2">
      <c r="A1382" s="25"/>
      <c r="B1382" s="25"/>
    </row>
    <row r="1383" spans="1:2" x14ac:dyDescent="0.2">
      <c r="A1383" s="25"/>
      <c r="B1383" s="25"/>
    </row>
    <row r="1384" spans="1:2" x14ac:dyDescent="0.2">
      <c r="A1384" s="25"/>
      <c r="B1384" s="25"/>
    </row>
    <row r="1385" spans="1:2" x14ac:dyDescent="0.2">
      <c r="A1385" s="25"/>
      <c r="B1385" s="25"/>
    </row>
    <row r="1386" spans="1:2" x14ac:dyDescent="0.2">
      <c r="A1386" s="25"/>
      <c r="B1386" s="25"/>
    </row>
    <row r="1387" spans="1:2" x14ac:dyDescent="0.2">
      <c r="A1387" s="25"/>
      <c r="B1387" s="25"/>
    </row>
    <row r="1388" spans="1:2" x14ac:dyDescent="0.2">
      <c r="A1388" s="25"/>
      <c r="B1388" s="25"/>
    </row>
    <row r="1389" spans="1:2" x14ac:dyDescent="0.2">
      <c r="A1389" s="25"/>
      <c r="B1389" s="25"/>
    </row>
    <row r="1390" spans="1:2" x14ac:dyDescent="0.2">
      <c r="A1390" s="25"/>
      <c r="B1390" s="25"/>
    </row>
    <row r="1391" spans="1:2" x14ac:dyDescent="0.2">
      <c r="A1391" s="25"/>
      <c r="B1391" s="25"/>
    </row>
    <row r="1392" spans="1:2" x14ac:dyDescent="0.2">
      <c r="A1392" s="25"/>
      <c r="B1392" s="25"/>
    </row>
    <row r="1393" spans="1:2" x14ac:dyDescent="0.2">
      <c r="A1393" s="25"/>
      <c r="B1393" s="25"/>
    </row>
    <row r="1394" spans="1:2" x14ac:dyDescent="0.2">
      <c r="A1394" s="25"/>
      <c r="B1394" s="25"/>
    </row>
    <row r="1395" spans="1:2" x14ac:dyDescent="0.2">
      <c r="A1395" s="25"/>
      <c r="B1395" s="25"/>
    </row>
    <row r="1396" spans="1:2" x14ac:dyDescent="0.2">
      <c r="A1396" s="25"/>
      <c r="B1396" s="25"/>
    </row>
    <row r="1397" spans="1:2" x14ac:dyDescent="0.2">
      <c r="A1397" s="25"/>
      <c r="B1397" s="25"/>
    </row>
    <row r="1398" spans="1:2" x14ac:dyDescent="0.2">
      <c r="A1398" s="25"/>
      <c r="B1398" s="25"/>
    </row>
    <row r="1399" spans="1:2" x14ac:dyDescent="0.2">
      <c r="A1399" s="25"/>
      <c r="B1399" s="25"/>
    </row>
    <row r="1400" spans="1:2" x14ac:dyDescent="0.2">
      <c r="A1400" s="25"/>
      <c r="B1400" s="25"/>
    </row>
    <row r="1401" spans="1:2" x14ac:dyDescent="0.2">
      <c r="A1401" s="25"/>
      <c r="B1401" s="25"/>
    </row>
    <row r="1402" spans="1:2" x14ac:dyDescent="0.2">
      <c r="A1402" s="25"/>
      <c r="B1402" s="25"/>
    </row>
    <row r="1403" spans="1:2" x14ac:dyDescent="0.2">
      <c r="A1403" s="25"/>
      <c r="B1403" s="25"/>
    </row>
    <row r="1404" spans="1:2" x14ac:dyDescent="0.2">
      <c r="A1404" s="25"/>
      <c r="B1404" s="25"/>
    </row>
    <row r="1405" spans="1:2" x14ac:dyDescent="0.2">
      <c r="A1405" s="25"/>
      <c r="B1405" s="25"/>
    </row>
    <row r="1406" spans="1:2" x14ac:dyDescent="0.2">
      <c r="A1406" s="25"/>
      <c r="B1406" s="25"/>
    </row>
    <row r="1407" spans="1:2" x14ac:dyDescent="0.2">
      <c r="A1407" s="25"/>
      <c r="B1407" s="25"/>
    </row>
    <row r="1408" spans="1:2" x14ac:dyDescent="0.2">
      <c r="A1408" s="25"/>
      <c r="B1408" s="25"/>
    </row>
    <row r="1409" spans="1:2" x14ac:dyDescent="0.2">
      <c r="A1409" s="25"/>
      <c r="B1409" s="25"/>
    </row>
    <row r="1410" spans="1:2" x14ac:dyDescent="0.2">
      <c r="A1410" s="25"/>
      <c r="B1410" s="25"/>
    </row>
    <row r="1411" spans="1:2" x14ac:dyDescent="0.2">
      <c r="A1411" s="25"/>
      <c r="B1411" s="25"/>
    </row>
    <row r="1412" spans="1:2" x14ac:dyDescent="0.2">
      <c r="A1412" s="25"/>
      <c r="B1412" s="25"/>
    </row>
    <row r="1413" spans="1:2" x14ac:dyDescent="0.2">
      <c r="A1413" s="25"/>
      <c r="B1413" s="25"/>
    </row>
    <row r="1414" spans="1:2" x14ac:dyDescent="0.2">
      <c r="A1414" s="25"/>
      <c r="B1414" s="25"/>
    </row>
    <row r="1415" spans="1:2" x14ac:dyDescent="0.2">
      <c r="A1415" s="25"/>
      <c r="B1415" s="25"/>
    </row>
    <row r="1416" spans="1:2" x14ac:dyDescent="0.2">
      <c r="A1416" s="25"/>
      <c r="B1416" s="25"/>
    </row>
    <row r="1417" spans="1:2" x14ac:dyDescent="0.2">
      <c r="A1417" s="25"/>
      <c r="B1417" s="25"/>
    </row>
    <row r="1418" spans="1:2" x14ac:dyDescent="0.2">
      <c r="A1418" s="25"/>
      <c r="B1418" s="25"/>
    </row>
    <row r="1419" spans="1:2" x14ac:dyDescent="0.2">
      <c r="A1419" s="25"/>
      <c r="B1419" s="25"/>
    </row>
    <row r="1420" spans="1:2" x14ac:dyDescent="0.2">
      <c r="A1420" s="25"/>
      <c r="B1420" s="25"/>
    </row>
    <row r="1421" spans="1:2" x14ac:dyDescent="0.2">
      <c r="A1421" s="25"/>
      <c r="B1421" s="25"/>
    </row>
    <row r="1422" spans="1:2" x14ac:dyDescent="0.2">
      <c r="A1422" s="25"/>
      <c r="B1422" s="25"/>
    </row>
    <row r="1423" spans="1:2" x14ac:dyDescent="0.2">
      <c r="A1423" s="25"/>
      <c r="B1423" s="25"/>
    </row>
    <row r="1424" spans="1:2" x14ac:dyDescent="0.2">
      <c r="A1424" s="25"/>
      <c r="B1424" s="25"/>
    </row>
    <row r="1425" spans="1:2" x14ac:dyDescent="0.2">
      <c r="A1425" s="25"/>
      <c r="B1425" s="25"/>
    </row>
    <row r="1426" spans="1:2" x14ac:dyDescent="0.2">
      <c r="A1426" s="25"/>
      <c r="B1426" s="25"/>
    </row>
    <row r="1427" spans="1:2" x14ac:dyDescent="0.2">
      <c r="A1427" s="25"/>
      <c r="B1427" s="25"/>
    </row>
    <row r="1428" spans="1:2" x14ac:dyDescent="0.2">
      <c r="A1428" s="25"/>
      <c r="B1428" s="25"/>
    </row>
    <row r="1429" spans="1:2" x14ac:dyDescent="0.2">
      <c r="A1429" s="25"/>
      <c r="B1429" s="25"/>
    </row>
    <row r="1430" spans="1:2" x14ac:dyDescent="0.2">
      <c r="A1430" s="25"/>
      <c r="B1430" s="25"/>
    </row>
    <row r="1431" spans="1:2" x14ac:dyDescent="0.2">
      <c r="A1431" s="25"/>
      <c r="B1431" s="25"/>
    </row>
    <row r="1432" spans="1:2" x14ac:dyDescent="0.2">
      <c r="A1432" s="25"/>
      <c r="B1432" s="25"/>
    </row>
    <row r="1433" spans="1:2" x14ac:dyDescent="0.2">
      <c r="A1433" s="25"/>
      <c r="B1433" s="25"/>
    </row>
    <row r="1434" spans="1:2" x14ac:dyDescent="0.2">
      <c r="A1434" s="25"/>
      <c r="B1434" s="25"/>
    </row>
    <row r="1435" spans="1:2" x14ac:dyDescent="0.2">
      <c r="A1435" s="25"/>
      <c r="B1435" s="25"/>
    </row>
    <row r="1436" spans="1:2" x14ac:dyDescent="0.2">
      <c r="A1436" s="25"/>
      <c r="B1436" s="25"/>
    </row>
    <row r="1437" spans="1:2" x14ac:dyDescent="0.2">
      <c r="A1437" s="25"/>
      <c r="B1437" s="25"/>
    </row>
    <row r="1438" spans="1:2" x14ac:dyDescent="0.2">
      <c r="A1438" s="25"/>
      <c r="B1438" s="25"/>
    </row>
    <row r="1439" spans="1:2" x14ac:dyDescent="0.2">
      <c r="A1439" s="25"/>
      <c r="B1439" s="25"/>
    </row>
    <row r="1440" spans="1:2" x14ac:dyDescent="0.2">
      <c r="A1440" s="25"/>
      <c r="B1440" s="25"/>
    </row>
    <row r="1441" spans="1:2" x14ac:dyDescent="0.2">
      <c r="A1441" s="25"/>
      <c r="B1441" s="25"/>
    </row>
    <row r="1442" spans="1:2" x14ac:dyDescent="0.2">
      <c r="A1442" s="25"/>
      <c r="B1442" s="25"/>
    </row>
    <row r="1443" spans="1:2" x14ac:dyDescent="0.2">
      <c r="A1443" s="25"/>
      <c r="B1443" s="25"/>
    </row>
    <row r="1444" spans="1:2" x14ac:dyDescent="0.2">
      <c r="A1444" s="25"/>
      <c r="B1444" s="25"/>
    </row>
    <row r="1445" spans="1:2" x14ac:dyDescent="0.2">
      <c r="A1445" s="25"/>
      <c r="B1445" s="25"/>
    </row>
    <row r="1446" spans="1:2" x14ac:dyDescent="0.2">
      <c r="A1446" s="25"/>
      <c r="B1446" s="25"/>
    </row>
    <row r="1447" spans="1:2" x14ac:dyDescent="0.2">
      <c r="A1447" s="25"/>
      <c r="B1447" s="25"/>
    </row>
    <row r="1448" spans="1:2" x14ac:dyDescent="0.2">
      <c r="A1448" s="25"/>
      <c r="B1448" s="25"/>
    </row>
    <row r="1449" spans="1:2" x14ac:dyDescent="0.2">
      <c r="A1449" s="25"/>
      <c r="B1449" s="25"/>
    </row>
    <row r="1450" spans="1:2" x14ac:dyDescent="0.2">
      <c r="A1450" s="25"/>
      <c r="B1450" s="25"/>
    </row>
    <row r="1451" spans="1:2" x14ac:dyDescent="0.2">
      <c r="A1451" s="25"/>
      <c r="B1451" s="25"/>
    </row>
    <row r="1452" spans="1:2" x14ac:dyDescent="0.2">
      <c r="A1452" s="25"/>
      <c r="B1452" s="25"/>
    </row>
    <row r="1453" spans="1:2" x14ac:dyDescent="0.2">
      <c r="A1453" s="25"/>
      <c r="B1453" s="25"/>
    </row>
    <row r="1454" spans="1:2" x14ac:dyDescent="0.2">
      <c r="A1454" s="25"/>
      <c r="B1454" s="25"/>
    </row>
    <row r="1455" spans="1:2" x14ac:dyDescent="0.2">
      <c r="A1455" s="25"/>
      <c r="B1455" s="25"/>
    </row>
    <row r="1456" spans="1:2" x14ac:dyDescent="0.2">
      <c r="A1456" s="25"/>
      <c r="B1456" s="25"/>
    </row>
    <row r="1457" spans="1:2" x14ac:dyDescent="0.2">
      <c r="A1457" s="25"/>
      <c r="B1457" s="25"/>
    </row>
    <row r="1458" spans="1:2" x14ac:dyDescent="0.2">
      <c r="A1458" s="25"/>
      <c r="B1458" s="25"/>
    </row>
    <row r="1459" spans="1:2" x14ac:dyDescent="0.2">
      <c r="A1459" s="25"/>
      <c r="B1459" s="25"/>
    </row>
    <row r="1460" spans="1:2" x14ac:dyDescent="0.2">
      <c r="A1460" s="25"/>
      <c r="B1460" s="25"/>
    </row>
    <row r="1461" spans="1:2" x14ac:dyDescent="0.2">
      <c r="A1461" s="25"/>
      <c r="B1461" s="25"/>
    </row>
    <row r="1462" spans="1:2" x14ac:dyDescent="0.2">
      <c r="A1462" s="25"/>
      <c r="B1462" s="25"/>
    </row>
    <row r="1463" spans="1:2" x14ac:dyDescent="0.2">
      <c r="A1463" s="25"/>
      <c r="B1463" s="25"/>
    </row>
    <row r="1464" spans="1:2" x14ac:dyDescent="0.2">
      <c r="A1464" s="25"/>
      <c r="B1464" s="25"/>
    </row>
    <row r="1465" spans="1:2" x14ac:dyDescent="0.2">
      <c r="A1465" s="25"/>
      <c r="B1465" s="25"/>
    </row>
    <row r="1466" spans="1:2" x14ac:dyDescent="0.2">
      <c r="A1466" s="25"/>
      <c r="B1466" s="25"/>
    </row>
    <row r="1467" spans="1:2" x14ac:dyDescent="0.2">
      <c r="A1467" s="25"/>
      <c r="B1467" s="25"/>
    </row>
    <row r="1468" spans="1:2" x14ac:dyDescent="0.2">
      <c r="A1468" s="25"/>
      <c r="B1468" s="25"/>
    </row>
    <row r="1469" spans="1:2" x14ac:dyDescent="0.2">
      <c r="A1469" s="25"/>
      <c r="B1469" s="25"/>
    </row>
    <row r="1470" spans="1:2" x14ac:dyDescent="0.2">
      <c r="A1470" s="25"/>
      <c r="B1470" s="25"/>
    </row>
    <row r="1471" spans="1:2" x14ac:dyDescent="0.2">
      <c r="A1471" s="25"/>
      <c r="B1471" s="25"/>
    </row>
    <row r="1472" spans="1:2" x14ac:dyDescent="0.2">
      <c r="A1472" s="25"/>
      <c r="B1472" s="25"/>
    </row>
    <row r="1473" spans="1:2" x14ac:dyDescent="0.2">
      <c r="A1473" s="25"/>
      <c r="B1473" s="25"/>
    </row>
    <row r="1474" spans="1:2" x14ac:dyDescent="0.2">
      <c r="A1474" s="25"/>
      <c r="B1474" s="25"/>
    </row>
    <row r="1475" spans="1:2" x14ac:dyDescent="0.2">
      <c r="A1475" s="25"/>
      <c r="B1475" s="25"/>
    </row>
    <row r="1476" spans="1:2" x14ac:dyDescent="0.2">
      <c r="A1476" s="25"/>
      <c r="B1476" s="25"/>
    </row>
    <row r="1477" spans="1:2" x14ac:dyDescent="0.2">
      <c r="A1477" s="25"/>
      <c r="B1477" s="25"/>
    </row>
    <row r="1478" spans="1:2" x14ac:dyDescent="0.2">
      <c r="A1478" s="25"/>
      <c r="B1478" s="25"/>
    </row>
    <row r="1479" spans="1:2" x14ac:dyDescent="0.2">
      <c r="A1479" s="25"/>
      <c r="B1479" s="25"/>
    </row>
    <row r="1480" spans="1:2" x14ac:dyDescent="0.2">
      <c r="A1480" s="25"/>
      <c r="B1480" s="25"/>
    </row>
    <row r="1481" spans="1:2" x14ac:dyDescent="0.2">
      <c r="A1481" s="25"/>
      <c r="B1481" s="25"/>
    </row>
    <row r="1482" spans="1:2" x14ac:dyDescent="0.2">
      <c r="A1482" s="25"/>
      <c r="B1482" s="25"/>
    </row>
    <row r="1483" spans="1:2" x14ac:dyDescent="0.2">
      <c r="A1483" s="25"/>
      <c r="B1483" s="25"/>
    </row>
    <row r="1484" spans="1:2" x14ac:dyDescent="0.2">
      <c r="A1484" s="25"/>
      <c r="B1484" s="25"/>
    </row>
    <row r="1485" spans="1:2" x14ac:dyDescent="0.2">
      <c r="A1485" s="25"/>
      <c r="B1485" s="25"/>
    </row>
    <row r="1486" spans="1:2" x14ac:dyDescent="0.2">
      <c r="A1486" s="25"/>
      <c r="B1486" s="25"/>
    </row>
    <row r="1487" spans="1:2" x14ac:dyDescent="0.2">
      <c r="A1487" s="25"/>
      <c r="B1487" s="25"/>
    </row>
    <row r="1488" spans="1:2" x14ac:dyDescent="0.2">
      <c r="A1488" s="25"/>
      <c r="B1488" s="25"/>
    </row>
    <row r="1489" spans="1:2" x14ac:dyDescent="0.2">
      <c r="A1489" s="25"/>
      <c r="B1489" s="25"/>
    </row>
    <row r="1490" spans="1:2" x14ac:dyDescent="0.2">
      <c r="A1490" s="25"/>
      <c r="B1490" s="25"/>
    </row>
    <row r="1491" spans="1:2" x14ac:dyDescent="0.2">
      <c r="A1491" s="25"/>
      <c r="B1491" s="25"/>
    </row>
    <row r="1492" spans="1:2" x14ac:dyDescent="0.2">
      <c r="A1492" s="25"/>
      <c r="B1492" s="25"/>
    </row>
    <row r="1493" spans="1:2" x14ac:dyDescent="0.2">
      <c r="A1493" s="25"/>
      <c r="B1493" s="25"/>
    </row>
    <row r="1494" spans="1:2" x14ac:dyDescent="0.2">
      <c r="A1494" s="25"/>
      <c r="B1494" s="25"/>
    </row>
    <row r="1495" spans="1:2" x14ac:dyDescent="0.2">
      <c r="A1495" s="25"/>
      <c r="B1495" s="25"/>
    </row>
    <row r="1496" spans="1:2" x14ac:dyDescent="0.2">
      <c r="A1496" s="25"/>
      <c r="B1496" s="25"/>
    </row>
    <row r="1497" spans="1:2" x14ac:dyDescent="0.2">
      <c r="A1497" s="25"/>
      <c r="B1497" s="25"/>
    </row>
    <row r="1498" spans="1:2" x14ac:dyDescent="0.2">
      <c r="A1498" s="25"/>
      <c r="B1498" s="25"/>
    </row>
    <row r="1499" spans="1:2" x14ac:dyDescent="0.2">
      <c r="A1499" s="25"/>
      <c r="B1499" s="25"/>
    </row>
    <row r="1500" spans="1:2" x14ac:dyDescent="0.2">
      <c r="B1500" s="25"/>
    </row>
    <row r="1501" spans="1:2" x14ac:dyDescent="0.2">
      <c r="B1501" s="25"/>
    </row>
    <row r="1502" spans="1:2" x14ac:dyDescent="0.2">
      <c r="B1502" s="25"/>
    </row>
    <row r="1503" spans="1:2" x14ac:dyDescent="0.2">
      <c r="B1503" s="25"/>
    </row>
    <row r="1504" spans="1:2" x14ac:dyDescent="0.2">
      <c r="B1504" s="25"/>
    </row>
    <row r="1505" spans="2:2" x14ac:dyDescent="0.2">
      <c r="B1505" s="25"/>
    </row>
    <row r="1506" spans="2:2" x14ac:dyDescent="0.2">
      <c r="B1506" s="25"/>
    </row>
    <row r="1507" spans="2:2" x14ac:dyDescent="0.2">
      <c r="B1507" s="25"/>
    </row>
    <row r="1508" spans="2:2" x14ac:dyDescent="0.2">
      <c r="B1508" s="25"/>
    </row>
    <row r="1509" spans="2:2" x14ac:dyDescent="0.2">
      <c r="B1509" s="25"/>
    </row>
    <row r="1510" spans="2:2" x14ac:dyDescent="0.2">
      <c r="B1510" s="25"/>
    </row>
    <row r="1511" spans="2:2" x14ac:dyDescent="0.2">
      <c r="B1511" s="25"/>
    </row>
    <row r="1512" spans="2:2" x14ac:dyDescent="0.2">
      <c r="B1512" s="25"/>
    </row>
    <row r="1513" spans="2:2" x14ac:dyDescent="0.2">
      <c r="B1513" s="25"/>
    </row>
    <row r="1514" spans="2:2" x14ac:dyDescent="0.2">
      <c r="B1514" s="25"/>
    </row>
    <row r="1515" spans="2:2" x14ac:dyDescent="0.2">
      <c r="B1515" s="25"/>
    </row>
    <row r="1516" spans="2:2" x14ac:dyDescent="0.2">
      <c r="B1516" s="25"/>
    </row>
    <row r="1517" spans="2:2" x14ac:dyDescent="0.2">
      <c r="B1517" s="25"/>
    </row>
    <row r="1518" spans="2:2" x14ac:dyDescent="0.2">
      <c r="B1518" s="25"/>
    </row>
    <row r="1519" spans="2:2" x14ac:dyDescent="0.2">
      <c r="B1519" s="25"/>
    </row>
    <row r="1520" spans="2:2" x14ac:dyDescent="0.2">
      <c r="B1520" s="25"/>
    </row>
    <row r="1521" spans="2:2" x14ac:dyDescent="0.2">
      <c r="B1521" s="25"/>
    </row>
    <row r="1522" spans="2:2" x14ac:dyDescent="0.2">
      <c r="B1522" s="25"/>
    </row>
    <row r="1523" spans="2:2" x14ac:dyDescent="0.2">
      <c r="B1523" s="25"/>
    </row>
    <row r="1524" spans="2:2" x14ac:dyDescent="0.2">
      <c r="B1524" s="25"/>
    </row>
    <row r="1525" spans="2:2" x14ac:dyDescent="0.2">
      <c r="B1525" s="25"/>
    </row>
    <row r="1526" spans="2:2" x14ac:dyDescent="0.2">
      <c r="B1526" s="25"/>
    </row>
    <row r="1527" spans="2:2" x14ac:dyDescent="0.2">
      <c r="B1527" s="25"/>
    </row>
    <row r="1528" spans="2:2" x14ac:dyDescent="0.2">
      <c r="B1528" s="25"/>
    </row>
    <row r="1529" spans="2:2" x14ac:dyDescent="0.2">
      <c r="B1529" s="25"/>
    </row>
    <row r="1530" spans="2:2" x14ac:dyDescent="0.2">
      <c r="B1530" s="25"/>
    </row>
    <row r="1531" spans="2:2" x14ac:dyDescent="0.2">
      <c r="B1531" s="25"/>
    </row>
    <row r="1532" spans="2:2" x14ac:dyDescent="0.2">
      <c r="B1532" s="25"/>
    </row>
    <row r="1533" spans="2:2" x14ac:dyDescent="0.2">
      <c r="B1533" s="25"/>
    </row>
    <row r="1534" spans="2:2" x14ac:dyDescent="0.2">
      <c r="B1534" s="25"/>
    </row>
    <row r="1535" spans="2:2" x14ac:dyDescent="0.2">
      <c r="B1535" s="25"/>
    </row>
    <row r="1536" spans="2:2" x14ac:dyDescent="0.2">
      <c r="B1536" s="25"/>
    </row>
    <row r="1537" spans="2:2" x14ac:dyDescent="0.2">
      <c r="B1537" s="25"/>
    </row>
    <row r="1538" spans="2:2" x14ac:dyDescent="0.2">
      <c r="B1538" s="25"/>
    </row>
    <row r="1539" spans="2:2" x14ac:dyDescent="0.2">
      <c r="B1539" s="25"/>
    </row>
    <row r="1540" spans="2:2" x14ac:dyDescent="0.2">
      <c r="B1540" s="25"/>
    </row>
    <row r="1541" spans="2:2" x14ac:dyDescent="0.2">
      <c r="B1541" s="25"/>
    </row>
    <row r="1542" spans="2:2" x14ac:dyDescent="0.2">
      <c r="B1542" s="25"/>
    </row>
    <row r="1543" spans="2:2" x14ac:dyDescent="0.2">
      <c r="B1543" s="25"/>
    </row>
    <row r="1544" spans="2:2" x14ac:dyDescent="0.2">
      <c r="B1544" s="25"/>
    </row>
    <row r="1545" spans="2:2" x14ac:dyDescent="0.2">
      <c r="B1545" s="25"/>
    </row>
    <row r="1546" spans="2:2" x14ac:dyDescent="0.2">
      <c r="B1546" s="25"/>
    </row>
    <row r="1547" spans="2:2" x14ac:dyDescent="0.2">
      <c r="B1547" s="25"/>
    </row>
    <row r="1548" spans="2:2" x14ac:dyDescent="0.2">
      <c r="B1548" s="25"/>
    </row>
    <row r="1549" spans="2:2" x14ac:dyDescent="0.2">
      <c r="B1549" s="25"/>
    </row>
    <row r="1550" spans="2:2" x14ac:dyDescent="0.2">
      <c r="B1550" s="25"/>
    </row>
    <row r="1551" spans="2:2" x14ac:dyDescent="0.2">
      <c r="B1551" s="25"/>
    </row>
    <row r="1552" spans="2:2" x14ac:dyDescent="0.2">
      <c r="B1552" s="25"/>
    </row>
    <row r="1553" spans="2:2" x14ac:dyDescent="0.2">
      <c r="B1553" s="25"/>
    </row>
    <row r="1554" spans="2:2" x14ac:dyDescent="0.2">
      <c r="B1554" s="25"/>
    </row>
    <row r="1555" spans="2:2" x14ac:dyDescent="0.2">
      <c r="B1555" s="25"/>
    </row>
    <row r="1556" spans="2:2" x14ac:dyDescent="0.2">
      <c r="B1556" s="25"/>
    </row>
    <row r="1557" spans="2:2" x14ac:dyDescent="0.2">
      <c r="B1557" s="25"/>
    </row>
    <row r="1558" spans="2:2" x14ac:dyDescent="0.2">
      <c r="B1558" s="25"/>
    </row>
    <row r="1559" spans="2:2" x14ac:dyDescent="0.2">
      <c r="B1559" s="25"/>
    </row>
    <row r="1560" spans="2:2" x14ac:dyDescent="0.2">
      <c r="B1560" s="25"/>
    </row>
    <row r="1561" spans="2:2" x14ac:dyDescent="0.2">
      <c r="B1561" s="25"/>
    </row>
    <row r="1562" spans="2:2" x14ac:dyDescent="0.2">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RowHeight="12.75" x14ac:dyDescent="0.2"/>
  <cols>
    <col min="1" max="42" width="3.28515625" style="2" customWidth="1"/>
    <col min="43"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IF(OR(Toegang&lt;3,Toegang=5),"",TubeLengte/10&amp;"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2">
      <c r="B14" s="215"/>
      <c r="C14" s="215"/>
      <c r="D14" s="215"/>
      <c r="E14" s="215"/>
      <c r="F14" s="215"/>
      <c r="G14" s="215"/>
      <c r="H14" s="215"/>
    </row>
    <row r="15" spans="2:54" s="203" customFormat="1" ht="17.25" customHeight="1" x14ac:dyDescent="0.2">
      <c r="C15" s="294" t="s">
        <v>2179</v>
      </c>
      <c r="E15" s="215"/>
      <c r="L15" s="215"/>
      <c r="N15" s="216"/>
      <c r="O15" s="216"/>
      <c r="P15" s="292" t="s">
        <v>3189</v>
      </c>
      <c r="Q15" s="298">
        <f>IF(dbBead!R2&lt;&gt;1,dbBead!S2&amp;" %",)</f>
        <v>0</v>
      </c>
      <c r="R15" s="215"/>
      <c r="S15" s="215"/>
    </row>
    <row r="16" spans="2:54" s="203" customFormat="1" ht="17.25" customHeight="1" x14ac:dyDescent="0.2">
      <c r="B16" s="215"/>
      <c r="E16" s="215"/>
      <c r="L16" s="215"/>
      <c r="M16" s="287"/>
      <c r="N16" s="298"/>
      <c r="O16" s="215"/>
      <c r="P16" s="215"/>
      <c r="Q16" s="215"/>
    </row>
    <row r="17" spans="2:19" s="203" customFormat="1" ht="17.25" customHeight="1" x14ac:dyDescent="0.2">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2">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2">
      <c r="E19" s="215"/>
      <c r="H19" s="215"/>
      <c r="M19" s="26"/>
      <c r="N19" s="252" t="s">
        <v>3509</v>
      </c>
      <c r="O19" s="216"/>
      <c r="P19" s="216"/>
      <c r="Q19" s="289" t="str">
        <f>dbBead!AP2&amp;" l/min"</f>
        <v>20 l/min</v>
      </c>
    </row>
    <row r="20" spans="2:19" s="203" customFormat="1" ht="17.25" customHeight="1" x14ac:dyDescent="0.2">
      <c r="E20" s="215"/>
      <c r="H20" s="215"/>
      <c r="O20" s="215"/>
      <c r="P20" s="298"/>
      <c r="Q20" s="287"/>
      <c r="R20" s="298"/>
      <c r="S20" s="215"/>
    </row>
    <row r="21" spans="2:19" s="203" customFormat="1" ht="17.25" customHeight="1" x14ac:dyDescent="0.2">
      <c r="B21" s="216"/>
      <c r="C21" s="216"/>
      <c r="D21" s="216"/>
      <c r="E21" s="292" t="s">
        <v>2881</v>
      </c>
      <c r="H21" s="285">
        <f>ber_Opm!C2</f>
        <v>0</v>
      </c>
      <c r="L21" s="285"/>
      <c r="M21" s="285"/>
      <c r="N21" s="285"/>
      <c r="O21" s="285"/>
      <c r="P21" s="285"/>
      <c r="Q21" s="285"/>
    </row>
    <row r="22" spans="2:19" s="203" customFormat="1" ht="17.25" customHeight="1" x14ac:dyDescent="0.2">
      <c r="B22" s="287"/>
      <c r="E22" s="298"/>
      <c r="L22" s="215"/>
      <c r="M22" s="287"/>
      <c r="N22" s="289"/>
      <c r="O22" s="215"/>
      <c r="P22" s="215"/>
    </row>
    <row r="23" spans="2:19" s="203" customFormat="1" ht="17.25" customHeight="1" x14ac:dyDescent="0.2"/>
    <row r="24" spans="2:19" s="203" customFormat="1" ht="17.25" customHeight="1" x14ac:dyDescent="0.2"/>
    <row r="25" spans="2:19" s="203" customFormat="1" ht="17.25" customHeight="1" x14ac:dyDescent="0.2"/>
    <row r="26" spans="2:19" s="203" customFormat="1" ht="17.25" customHeight="1" x14ac:dyDescent="0.2"/>
    <row r="27" spans="2:19" s="203" customFormat="1" ht="17.25" customHeight="1" x14ac:dyDescent="0.2">
      <c r="B27" s="287"/>
      <c r="C27" s="298"/>
      <c r="D27" s="215"/>
      <c r="E27" s="215"/>
      <c r="F27" s="215"/>
      <c r="G27" s="215"/>
    </row>
    <row r="28" spans="2:19" s="203" customFormat="1" ht="17.25" customHeight="1" x14ac:dyDescent="0.2">
      <c r="B28" s="215"/>
      <c r="C28" s="215"/>
      <c r="D28" s="215"/>
      <c r="E28" s="215"/>
      <c r="F28" s="215"/>
      <c r="G28" s="215"/>
    </row>
    <row r="29" spans="2:19" s="203" customFormat="1" ht="17.25" customHeight="1" x14ac:dyDescent="0.2">
      <c r="B29" s="215"/>
      <c r="C29" s="215"/>
      <c r="D29" s="215"/>
      <c r="E29" s="215"/>
      <c r="F29" s="215"/>
      <c r="G29" s="215"/>
    </row>
    <row r="30" spans="2:19" s="203" customFormat="1" ht="17.25" customHeight="1" x14ac:dyDescent="0.2">
      <c r="B30" s="215"/>
      <c r="C30" s="215"/>
      <c r="D30" s="215"/>
      <c r="E30" s="215"/>
      <c r="F30" s="215"/>
      <c r="G30" s="215"/>
    </row>
    <row r="31" spans="2:19" s="203" customFormat="1" ht="17.25" customHeight="1" x14ac:dyDescent="0.2"/>
    <row r="32" spans="2:19" s="203" customFormat="1" x14ac:dyDescent="0.2"/>
    <row r="33" s="203" customFormat="1" x14ac:dyDescent="0.2"/>
    <row r="34" s="203" customFormat="1" x14ac:dyDescent="0.2"/>
    <row r="35" s="203" customFormat="1" x14ac:dyDescent="0.2"/>
    <row r="36" s="26" customFormat="1" x14ac:dyDescent="0.2"/>
    <row r="37" s="123" customFormat="1" x14ac:dyDescent="0.2"/>
    <row r="38" s="123" customFormat="1" x14ac:dyDescent="0.2"/>
    <row r="39" s="123" customFormat="1" x14ac:dyDescent="0.2"/>
    <row r="40" s="123" customFormat="1" x14ac:dyDescent="0.2"/>
    <row r="41" s="123" customFormat="1" x14ac:dyDescent="0.2"/>
    <row r="42" s="123" customFormat="1" x14ac:dyDescent="0.2"/>
    <row r="43" s="123" customFormat="1" x14ac:dyDescent="0.2"/>
    <row r="44" s="123" customFormat="1" x14ac:dyDescent="0.2"/>
    <row r="45" s="123" customFormat="1" x14ac:dyDescent="0.2"/>
    <row r="46" s="123" customFormat="1" x14ac:dyDescent="0.2"/>
    <row r="47" s="123"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180975</xdr:colOff>
                    <xdr:row>14</xdr:row>
                    <xdr:rowOff>19050</xdr:rowOff>
                  </from>
                  <to>
                    <xdr:col>18</xdr:col>
                    <xdr:colOff>123825</xdr:colOff>
                    <xdr:row>14</xdr:row>
                    <xdr:rowOff>190500</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142875</xdr:colOff>
                    <xdr:row>14</xdr:row>
                    <xdr:rowOff>28575</xdr:rowOff>
                  </from>
                  <to>
                    <xdr:col>11</xdr:col>
                    <xdr:colOff>104775</xdr:colOff>
                    <xdr:row>15</xdr:row>
                    <xdr:rowOff>9525</xdr:rowOff>
                  </to>
                </anchor>
              </controlPr>
            </control>
          </mc:Choice>
        </mc:AlternateContent>
        <mc:AlternateContent xmlns:mc="http://schemas.openxmlformats.org/markup-compatibility/2006">
          <mc:Choice Requires="x14">
            <control shapeId="14361" r:id="rId6" name="Spinner 25">
              <controlPr defaultSize="0" autoPict="0">
                <anchor>
                  <from>
                    <xdr:col>8</xdr:col>
                    <xdr:colOff>209550</xdr:colOff>
                    <xdr:row>16</xdr:row>
                    <xdr:rowOff>38100</xdr:rowOff>
                  </from>
                  <to>
                    <xdr:col>9</xdr:col>
                    <xdr:colOff>152400</xdr:colOff>
                    <xdr:row>16</xdr:row>
                    <xdr:rowOff>209550</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38100</xdr:rowOff>
                  </from>
                  <to>
                    <xdr:col>9</xdr:col>
                    <xdr:colOff>161925</xdr:colOff>
                    <xdr:row>17</xdr:row>
                    <xdr:rowOff>209550</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133350</xdr:colOff>
                    <xdr:row>16</xdr:row>
                    <xdr:rowOff>47625</xdr:rowOff>
                  </from>
                  <to>
                    <xdr:col>20</xdr:col>
                    <xdr:colOff>76200</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133350</xdr:colOff>
                    <xdr:row>17</xdr:row>
                    <xdr:rowOff>47625</xdr:rowOff>
                  </from>
                  <to>
                    <xdr:col>20</xdr:col>
                    <xdr:colOff>76200</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142875</xdr:colOff>
                    <xdr:row>18</xdr:row>
                    <xdr:rowOff>47625</xdr:rowOff>
                  </from>
                  <to>
                    <xdr:col>20</xdr:col>
                    <xdr:colOff>85725</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85725</xdr:colOff>
                    <xdr:row>7</xdr:row>
                    <xdr:rowOff>180975</xdr:rowOff>
                  </from>
                  <to>
                    <xdr:col>8</xdr:col>
                    <xdr:colOff>19050</xdr:colOff>
                    <xdr:row>8</xdr:row>
                    <xdr:rowOff>180975</xdr:rowOff>
                  </to>
                </anchor>
              </controlPr>
            </control>
          </mc:Choice>
        </mc:AlternateContent>
        <mc:AlternateContent xmlns:mc="http://schemas.openxmlformats.org/markup-compatibility/2006">
          <mc:Choice Requires="x14">
            <control shapeId="14407" r:id="rId15" name="Spinner 71">
              <controlPr defaultSize="0" autoPict="0">
                <anchor>
                  <from>
                    <xdr:col>7</xdr:col>
                    <xdr:colOff>85725</xdr:colOff>
                    <xdr:row>8</xdr:row>
                    <xdr:rowOff>200025</xdr:rowOff>
                  </from>
                  <to>
                    <xdr:col>8</xdr:col>
                    <xdr:colOff>19050</xdr:colOff>
                    <xdr:row>9</xdr:row>
                    <xdr:rowOff>200025</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38100</xdr:colOff>
                    <xdr:row>11</xdr:row>
                    <xdr:rowOff>19050</xdr:rowOff>
                  </from>
                  <to>
                    <xdr:col>16</xdr:col>
                    <xdr:colOff>161925</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38100</xdr:colOff>
                    <xdr:row>6</xdr:row>
                    <xdr:rowOff>0</xdr:rowOff>
                  </from>
                  <to>
                    <xdr:col>30</xdr:col>
                    <xdr:colOff>180975</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171450</xdr:colOff>
                    <xdr:row>6</xdr:row>
                    <xdr:rowOff>28575</xdr:rowOff>
                  </from>
                  <to>
                    <xdr:col>34</xdr:col>
                    <xdr:colOff>114300</xdr:colOff>
                    <xdr:row>6</xdr:row>
                    <xdr:rowOff>190500</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28575</xdr:colOff>
                    <xdr:row>8</xdr:row>
                    <xdr:rowOff>9525</xdr:rowOff>
                  </from>
                  <to>
                    <xdr:col>31</xdr:col>
                    <xdr:colOff>114300</xdr:colOff>
                    <xdr:row>9</xdr:row>
                    <xdr:rowOff>9525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28575</xdr:colOff>
                    <xdr:row>9</xdr:row>
                    <xdr:rowOff>28575</xdr:rowOff>
                  </from>
                  <to>
                    <xdr:col>31</xdr:col>
                    <xdr:colOff>114300</xdr:colOff>
                    <xdr:row>10</xdr:row>
                    <xdr:rowOff>28575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19050</xdr:colOff>
                    <xdr:row>2</xdr:row>
                    <xdr:rowOff>38100</xdr:rowOff>
                  </from>
                  <to>
                    <xdr:col>29</xdr:col>
                    <xdr:colOff>180975</xdr:colOff>
                    <xdr:row>2</xdr:row>
                    <xdr:rowOff>209550</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123825</xdr:colOff>
                    <xdr:row>2</xdr:row>
                    <xdr:rowOff>38100</xdr:rowOff>
                  </from>
                  <to>
                    <xdr:col>38</xdr:col>
                    <xdr:colOff>66675</xdr:colOff>
                    <xdr:row>2</xdr:row>
                    <xdr:rowOff>209550</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28575</xdr:colOff>
                    <xdr:row>6</xdr:row>
                    <xdr:rowOff>19050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RowHeight="12.75" x14ac:dyDescent="0.2"/>
  <cols>
    <col min="1" max="1" width="5.42578125" style="2" customWidth="1"/>
    <col min="2" max="41" width="3.28515625" style="2" customWidth="1"/>
    <col min="42"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x14ac:dyDescent="0.2">
      <c r="C14" s="301" t="s">
        <v>2179</v>
      </c>
      <c r="D14" s="29"/>
      <c r="M14" s="29"/>
      <c r="N14" s="216"/>
      <c r="O14" s="292" t="s">
        <v>3189</v>
      </c>
      <c r="P14" s="300">
        <f>IF(dbBead!R2&lt;&gt;1,dbBead!S2&amp;" %",)</f>
        <v>0</v>
      </c>
      <c r="Q14" s="29"/>
      <c r="R14" s="29"/>
    </row>
    <row r="15" spans="2:54" s="26" customFormat="1" ht="17.25" customHeight="1" x14ac:dyDescent="0.2">
      <c r="C15" s="29"/>
      <c r="D15" s="29"/>
      <c r="M15" s="29"/>
      <c r="N15" s="299"/>
      <c r="O15" s="300"/>
      <c r="P15" s="29"/>
      <c r="Q15" s="29"/>
      <c r="R15" s="29"/>
    </row>
    <row r="16" spans="2:54" s="26" customFormat="1" ht="17.25" customHeight="1" x14ac:dyDescent="0.2">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2">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2">
      <c r="B18" s="216"/>
      <c r="C18" s="216"/>
      <c r="D18" s="216"/>
      <c r="E18" s="292" t="s">
        <v>2134</v>
      </c>
      <c r="F18" s="228">
        <f>IF(dbBead!R2&lt;&gt;1,dbBead!AK2&amp;" l/min",)</f>
        <v>0</v>
      </c>
      <c r="O18" s="29"/>
      <c r="P18" s="29"/>
      <c r="Q18" s="29"/>
      <c r="R18" s="29"/>
      <c r="S18" s="29"/>
      <c r="T18" s="29"/>
    </row>
    <row r="19" spans="2:20" s="26" customFormat="1" ht="17.25" customHeight="1" x14ac:dyDescent="0.2">
      <c r="E19" s="299"/>
      <c r="F19" s="300"/>
      <c r="O19" s="299"/>
      <c r="P19" s="300"/>
      <c r="Q19" s="299"/>
      <c r="R19" s="300"/>
      <c r="S19" s="29"/>
      <c r="T19" s="29"/>
    </row>
    <row r="20" spans="2:20" s="26" customFormat="1" ht="17.25" customHeight="1" x14ac:dyDescent="0.2">
      <c r="B20" s="216"/>
      <c r="C20" s="216"/>
      <c r="D20" s="216"/>
      <c r="E20" s="292" t="s">
        <v>509</v>
      </c>
      <c r="F20" s="300">
        <f>IF(dbBead!R2&lt;&gt;1,dbBead!AL2&amp;" H2O",)</f>
        <v>0</v>
      </c>
      <c r="O20" s="29"/>
      <c r="P20" s="29"/>
      <c r="Q20" s="29"/>
      <c r="R20" s="29"/>
      <c r="S20" s="29"/>
      <c r="T20" s="29"/>
    </row>
    <row r="21" spans="2:20" s="26" customFormat="1" ht="17.25" customHeight="1" x14ac:dyDescent="0.2">
      <c r="B21" s="216"/>
      <c r="C21" s="216"/>
      <c r="D21" s="216"/>
      <c r="E21" s="292" t="s">
        <v>2135</v>
      </c>
      <c r="F21" s="300">
        <f>IF(dbBead!R2&lt;&gt;1,dbBead!AM2&amp;" H2O",)</f>
        <v>0</v>
      </c>
      <c r="O21" s="29"/>
      <c r="P21" s="299"/>
      <c r="Q21" s="228"/>
      <c r="R21" s="29"/>
      <c r="S21" s="29"/>
      <c r="T21" s="29"/>
    </row>
    <row r="22" spans="2:20" s="26" customFormat="1" ht="17.25" customHeight="1" x14ac:dyDescent="0.2">
      <c r="E22" s="299"/>
      <c r="F22" s="300"/>
      <c r="O22" s="29"/>
      <c r="P22" s="29"/>
      <c r="Q22" s="29"/>
      <c r="R22" s="29"/>
    </row>
    <row r="23" spans="2:20" s="26" customFormat="1" ht="17.25" customHeight="1" x14ac:dyDescent="0.2">
      <c r="B23" s="216"/>
      <c r="C23" s="216"/>
      <c r="D23" s="216"/>
      <c r="E23" s="292" t="s">
        <v>2881</v>
      </c>
      <c r="F23" s="109">
        <f>ber_Opm!C2</f>
        <v>0</v>
      </c>
      <c r="O23" s="109"/>
      <c r="P23" s="109"/>
      <c r="Q23" s="109"/>
      <c r="R23" s="109"/>
      <c r="S23" s="109"/>
      <c r="T23" s="109"/>
    </row>
    <row r="24" spans="2:20" s="26" customFormat="1" ht="17.25" customHeight="1" x14ac:dyDescent="0.2"/>
    <row r="25" spans="2:20" s="26" customFormat="1" ht="17.25" customHeight="1" x14ac:dyDescent="0.2"/>
    <row r="26" spans="2:20" s="26" customFormat="1" ht="17.25" customHeight="1" x14ac:dyDescent="0.2"/>
    <row r="27" spans="2:20" s="26" customFormat="1" ht="17.25" customHeight="1" x14ac:dyDescent="0.2"/>
    <row r="28" spans="2:20" s="26" customFormat="1" ht="17.25" customHeight="1" x14ac:dyDescent="0.2"/>
    <row r="29" spans="2:20" s="26" customFormat="1" ht="17.25" customHeight="1" x14ac:dyDescent="0.2"/>
    <row r="30" spans="2:20" s="26" customFormat="1" ht="17.25" customHeight="1" x14ac:dyDescent="0.2">
      <c r="B30" s="29"/>
      <c r="C30" s="29"/>
      <c r="D30" s="29"/>
      <c r="E30" s="29"/>
      <c r="F30" s="29"/>
      <c r="G30" s="29"/>
    </row>
    <row r="31" spans="2:20" s="26" customFormat="1" ht="17.25" customHeight="1" x14ac:dyDescent="0.2">
      <c r="B31" s="29"/>
      <c r="C31" s="29"/>
      <c r="D31" s="29"/>
      <c r="E31" s="29"/>
      <c r="F31" s="29"/>
      <c r="G31" s="29"/>
    </row>
    <row r="32" spans="2:20" s="26" customFormat="1" ht="17.25" customHeight="1" x14ac:dyDescent="0.2"/>
    <row r="33" s="26" customFormat="1" ht="17.25" customHeight="1" x14ac:dyDescent="0.2"/>
    <row r="34" s="26" customFormat="1" x14ac:dyDescent="0.2"/>
    <row r="35" s="26" customFormat="1" x14ac:dyDescent="0.2"/>
    <row r="36" s="26" customFormat="1" x14ac:dyDescent="0.2"/>
    <row r="37" s="26" customFormat="1" x14ac:dyDescent="0.2"/>
    <row r="38" s="26" customFormat="1" x14ac:dyDescent="0.2"/>
    <row r="39" s="26" customFormat="1" x14ac:dyDescent="0.2"/>
    <row r="40" s="26" customFormat="1" x14ac:dyDescent="0.2"/>
    <row r="41" s="26" customFormat="1" x14ac:dyDescent="0.2"/>
    <row r="42" s="26" customFormat="1" x14ac:dyDescent="0.2"/>
    <row r="43" s="26" customFormat="1" x14ac:dyDescent="0.2"/>
    <row r="44" s="26" customFormat="1" x14ac:dyDescent="0.2"/>
    <row r="45" s="26" customFormat="1" x14ac:dyDescent="0.2"/>
    <row r="46" s="26" customFormat="1" x14ac:dyDescent="0.2"/>
    <row r="47" s="26" customFormat="1" x14ac:dyDescent="0.2"/>
    <row r="48" s="26" customFormat="1" x14ac:dyDescent="0.2"/>
    <row r="49" s="26" customFormat="1" x14ac:dyDescent="0.2"/>
    <row r="50" s="26" customFormat="1" x14ac:dyDescent="0.2"/>
    <row r="51" s="26" customFormat="1" x14ac:dyDescent="0.2"/>
    <row r="52" s="26" customFormat="1" x14ac:dyDescent="0.2"/>
    <row r="53" s="26" customFormat="1" x14ac:dyDescent="0.2"/>
    <row r="54" s="26" customFormat="1" x14ac:dyDescent="0.2"/>
    <row r="55" s="26" customFormat="1" x14ac:dyDescent="0.2"/>
    <row r="56" s="26" customFormat="1" x14ac:dyDescent="0.2"/>
    <row r="57" s="26" customFormat="1" x14ac:dyDescent="0.2"/>
    <row r="58" s="26" customFormat="1" x14ac:dyDescent="0.2"/>
    <row r="59" s="26" customFormat="1" x14ac:dyDescent="0.2"/>
    <row r="60" s="26" customFormat="1" x14ac:dyDescent="0.2"/>
    <row r="61" s="26" customFormat="1" x14ac:dyDescent="0.2"/>
    <row r="62" s="26" customFormat="1" x14ac:dyDescent="0.2"/>
    <row r="63" s="26" customFormat="1" x14ac:dyDescent="0.2"/>
    <row r="64" s="26" customFormat="1" x14ac:dyDescent="0.2"/>
    <row r="65" s="26" customFormat="1" x14ac:dyDescent="0.2"/>
    <row r="66" s="26" customFormat="1" x14ac:dyDescent="0.2"/>
    <row r="67" s="26" customFormat="1" x14ac:dyDescent="0.2"/>
    <row r="68" s="26" customFormat="1" x14ac:dyDescent="0.2"/>
    <row r="69" s="26" customFormat="1" x14ac:dyDescent="0.2"/>
    <row r="70" s="26" customFormat="1" x14ac:dyDescent="0.2"/>
    <row r="71" s="26" customFormat="1" x14ac:dyDescent="0.2"/>
    <row r="72" s="26" customFormat="1" x14ac:dyDescent="0.2"/>
    <row r="73" s="26" customFormat="1" x14ac:dyDescent="0.2"/>
    <row r="74" s="26" customFormat="1" x14ac:dyDescent="0.2"/>
    <row r="75" s="26" customFormat="1" x14ac:dyDescent="0.2"/>
    <row r="76" s="26" customFormat="1" x14ac:dyDescent="0.2"/>
    <row r="77" s="26" customFormat="1" x14ac:dyDescent="0.2"/>
    <row r="78" s="26" customFormat="1" x14ac:dyDescent="0.2"/>
    <row r="79" s="26" customFormat="1" x14ac:dyDescent="0.2"/>
    <row r="80" s="26" customFormat="1" x14ac:dyDescent="0.2"/>
    <row r="81" s="26" customFormat="1" x14ac:dyDescent="0.2"/>
    <row r="82" s="26" customFormat="1" x14ac:dyDescent="0.2"/>
    <row r="83" s="26" customFormat="1" x14ac:dyDescent="0.2"/>
    <row r="84" s="26" customFormat="1" x14ac:dyDescent="0.2"/>
    <row r="85" s="26" customFormat="1" x14ac:dyDescent="0.2"/>
    <row r="86" s="26" customFormat="1" x14ac:dyDescent="0.2"/>
    <row r="87" s="26" customFormat="1" x14ac:dyDescent="0.2"/>
    <row r="88" s="26" customFormat="1" x14ac:dyDescent="0.2"/>
    <row r="89" s="26" customFormat="1" x14ac:dyDescent="0.2"/>
    <row r="90" s="26" customFormat="1" x14ac:dyDescent="0.2"/>
    <row r="91" s="26" customFormat="1" x14ac:dyDescent="0.2"/>
    <row r="92" s="26" customFormat="1" x14ac:dyDescent="0.2"/>
    <row r="93" s="26" customFormat="1" x14ac:dyDescent="0.2"/>
    <row r="94" s="26" customFormat="1" x14ac:dyDescent="0.2"/>
    <row r="95" s="26" customFormat="1" x14ac:dyDescent="0.2"/>
    <row r="96" s="26" customFormat="1" x14ac:dyDescent="0.2"/>
    <row r="97" s="26" customFormat="1" x14ac:dyDescent="0.2"/>
    <row r="98" s="26" customFormat="1" x14ac:dyDescent="0.2"/>
    <row r="99" s="26" customFormat="1" x14ac:dyDescent="0.2"/>
    <row r="100" s="26" customFormat="1" x14ac:dyDescent="0.2"/>
    <row r="101" s="26" customFormat="1" x14ac:dyDescent="0.2"/>
    <row r="102" s="26" customFormat="1" x14ac:dyDescent="0.2"/>
    <row r="103" s="26" customFormat="1" x14ac:dyDescent="0.2"/>
    <row r="104" s="26" customFormat="1" x14ac:dyDescent="0.2"/>
    <row r="105" s="26" customFormat="1" x14ac:dyDescent="0.2"/>
    <row r="106" s="26" customFormat="1" x14ac:dyDescent="0.2"/>
    <row r="107" s="26" customFormat="1" x14ac:dyDescent="0.2"/>
    <row r="108" s="26" customFormat="1" x14ac:dyDescent="0.2"/>
    <row r="109" s="26" customFormat="1" x14ac:dyDescent="0.2"/>
    <row r="110" s="26" customFormat="1" x14ac:dyDescent="0.2"/>
    <row r="111" s="26" customFormat="1" x14ac:dyDescent="0.2"/>
    <row r="112" s="26" customFormat="1" x14ac:dyDescent="0.2"/>
    <row r="113" s="26" customFormat="1" x14ac:dyDescent="0.2"/>
    <row r="114" s="26" customFormat="1" x14ac:dyDescent="0.2"/>
    <row r="115" s="26" customFormat="1" x14ac:dyDescent="0.2"/>
    <row r="116" s="26" customFormat="1" x14ac:dyDescent="0.2"/>
    <row r="117" s="26" customFormat="1" x14ac:dyDescent="0.2"/>
    <row r="118" s="26" customFormat="1" x14ac:dyDescent="0.2"/>
    <row r="119" s="26" customFormat="1" x14ac:dyDescent="0.2"/>
    <row r="120" s="26" customFormat="1" x14ac:dyDescent="0.2"/>
    <row r="121" s="26" customFormat="1" x14ac:dyDescent="0.2"/>
    <row r="122" s="26" customFormat="1" x14ac:dyDescent="0.2"/>
    <row r="123" s="26" customFormat="1" x14ac:dyDescent="0.2"/>
    <row r="124" s="26" customFormat="1" x14ac:dyDescent="0.2"/>
    <row r="125" s="26" customFormat="1" x14ac:dyDescent="0.2"/>
    <row r="126" s="26" customFormat="1" x14ac:dyDescent="0.2"/>
    <row r="127" s="26" customFormat="1" x14ac:dyDescent="0.2"/>
    <row r="128" s="26" customFormat="1" x14ac:dyDescent="0.2"/>
    <row r="129" s="26" customFormat="1" x14ac:dyDescent="0.2"/>
    <row r="130" s="26" customFormat="1" x14ac:dyDescent="0.2"/>
    <row r="131" s="26" customFormat="1" x14ac:dyDescent="0.2"/>
    <row r="132" s="26" customFormat="1" x14ac:dyDescent="0.2"/>
    <row r="133" s="26" customFormat="1" x14ac:dyDescent="0.2"/>
    <row r="134" s="26" customFormat="1" x14ac:dyDescent="0.2"/>
    <row r="135" s="26" customFormat="1" x14ac:dyDescent="0.2"/>
    <row r="136" s="26" customFormat="1" x14ac:dyDescent="0.2"/>
    <row r="137" s="26" customFormat="1" x14ac:dyDescent="0.2"/>
    <row r="138" s="26" customFormat="1" x14ac:dyDescent="0.2"/>
    <row r="139" s="26" customFormat="1" x14ac:dyDescent="0.2"/>
    <row r="140" s="26" customFormat="1" x14ac:dyDescent="0.2"/>
    <row r="141" s="26" customFormat="1" x14ac:dyDescent="0.2"/>
    <row r="142" s="26" customFormat="1" x14ac:dyDescent="0.2"/>
    <row r="143" s="26" customFormat="1" x14ac:dyDescent="0.2"/>
    <row r="144" s="26" customFormat="1" x14ac:dyDescent="0.2"/>
    <row r="145" s="26" customFormat="1" x14ac:dyDescent="0.2"/>
    <row r="146" s="26" customFormat="1" x14ac:dyDescent="0.2"/>
    <row r="147" s="26" customFormat="1" x14ac:dyDescent="0.2"/>
    <row r="148" s="26" customFormat="1" x14ac:dyDescent="0.2"/>
    <row r="149" s="26" customFormat="1" x14ac:dyDescent="0.2"/>
    <row r="150" s="26"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47625</xdr:colOff>
                    <xdr:row>12</xdr:row>
                    <xdr:rowOff>171450</xdr:rowOff>
                  </from>
                  <to>
                    <xdr:col>17</xdr:col>
                    <xdr:colOff>171450</xdr:colOff>
                    <xdr:row>13</xdr:row>
                    <xdr:rowOff>142875</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66675</xdr:colOff>
                    <xdr:row>12</xdr:row>
                    <xdr:rowOff>190500</xdr:rowOff>
                  </from>
                  <to>
                    <xdr:col>11</xdr:col>
                    <xdr:colOff>28575</xdr:colOff>
                    <xdr:row>14</xdr:row>
                    <xdr:rowOff>9525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28575</xdr:colOff>
                    <xdr:row>15</xdr:row>
                    <xdr:rowOff>28575</xdr:rowOff>
                  </from>
                  <to>
                    <xdr:col>7</xdr:col>
                    <xdr:colOff>161925</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28575</xdr:colOff>
                    <xdr:row>16</xdr:row>
                    <xdr:rowOff>28575</xdr:rowOff>
                  </from>
                  <to>
                    <xdr:col>7</xdr:col>
                    <xdr:colOff>161925</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19050</xdr:colOff>
                    <xdr:row>19</xdr:row>
                    <xdr:rowOff>9525</xdr:rowOff>
                  </from>
                  <to>
                    <xdr:col>7</xdr:col>
                    <xdr:colOff>152400</xdr:colOff>
                    <xdr:row>19</xdr:row>
                    <xdr:rowOff>200025</xdr:rowOff>
                  </to>
                </anchor>
              </controlPr>
            </control>
          </mc:Choice>
        </mc:AlternateContent>
        <mc:AlternateContent xmlns:mc="http://schemas.openxmlformats.org/markup-compatibility/2006">
          <mc:Choice Requires="x14">
            <control shapeId="15387" r:id="rId9" name="Spinner 27">
              <controlPr defaultSize="0" autoPict="0">
                <anchor>
                  <from>
                    <xdr:col>7</xdr:col>
                    <xdr:colOff>28575</xdr:colOff>
                    <xdr:row>17</xdr:row>
                    <xdr:rowOff>47625</xdr:rowOff>
                  </from>
                  <to>
                    <xdr:col>7</xdr:col>
                    <xdr:colOff>161925</xdr:colOff>
                    <xdr:row>18</xdr:row>
                    <xdr:rowOff>19050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28575</xdr:colOff>
                    <xdr:row>20</xdr:row>
                    <xdr:rowOff>28575</xdr:rowOff>
                  </from>
                  <to>
                    <xdr:col>7</xdr:col>
                    <xdr:colOff>161925</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85725</xdr:colOff>
                    <xdr:row>15</xdr:row>
                    <xdr:rowOff>9525</xdr:rowOff>
                  </from>
                  <to>
                    <xdr:col>17</xdr:col>
                    <xdr:colOff>0</xdr:colOff>
                    <xdr:row>15</xdr:row>
                    <xdr:rowOff>200025</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85725</xdr:colOff>
                    <xdr:row>16</xdr:row>
                    <xdr:rowOff>9525</xdr:rowOff>
                  </from>
                  <to>
                    <xdr:col>17</xdr:col>
                    <xdr:colOff>0</xdr:colOff>
                    <xdr:row>16</xdr:row>
                    <xdr:rowOff>200025</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123825</xdr:colOff>
                    <xdr:row>0</xdr:row>
                    <xdr:rowOff>0</xdr:rowOff>
                  </from>
                  <to>
                    <xdr:col>7</xdr:col>
                    <xdr:colOff>219075</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19050</xdr:colOff>
                    <xdr:row>0</xdr:row>
                    <xdr:rowOff>0</xdr:rowOff>
                  </from>
                  <to>
                    <xdr:col>9</xdr:col>
                    <xdr:colOff>180975</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142875</xdr:colOff>
                    <xdr:row>7</xdr:row>
                    <xdr:rowOff>190500</xdr:rowOff>
                  </from>
                  <to>
                    <xdr:col>8</xdr:col>
                    <xdr:colOff>76200</xdr:colOff>
                    <xdr:row>8</xdr:row>
                    <xdr:rowOff>190500</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142875</xdr:colOff>
                    <xdr:row>8</xdr:row>
                    <xdr:rowOff>209550</xdr:rowOff>
                  </from>
                  <to>
                    <xdr:col>8</xdr:col>
                    <xdr:colOff>76200</xdr:colOff>
                    <xdr:row>9</xdr:row>
                    <xdr:rowOff>209550</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28575</xdr:colOff>
                    <xdr:row>11</xdr:row>
                    <xdr:rowOff>28575</xdr:rowOff>
                  </from>
                  <to>
                    <xdr:col>16</xdr:col>
                    <xdr:colOff>152400</xdr:colOff>
                    <xdr:row>12</xdr:row>
                    <xdr:rowOff>9525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28575</xdr:colOff>
                    <xdr:row>6</xdr:row>
                    <xdr:rowOff>9525</xdr:rowOff>
                  </from>
                  <to>
                    <xdr:col>30</xdr:col>
                    <xdr:colOff>171450</xdr:colOff>
                    <xdr:row>7</xdr:row>
                    <xdr:rowOff>9525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161925</xdr:colOff>
                    <xdr:row>6</xdr:row>
                    <xdr:rowOff>38100</xdr:rowOff>
                  </from>
                  <to>
                    <xdr:col>34</xdr:col>
                    <xdr:colOff>104775</xdr:colOff>
                    <xdr:row>6</xdr:row>
                    <xdr:rowOff>200025</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19050</xdr:colOff>
                    <xdr:row>8</xdr:row>
                    <xdr:rowOff>19050</xdr:rowOff>
                  </from>
                  <to>
                    <xdr:col>31</xdr:col>
                    <xdr:colOff>104775</xdr:colOff>
                    <xdr:row>9</xdr:row>
                    <xdr:rowOff>19050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19050</xdr:colOff>
                    <xdr:row>9</xdr:row>
                    <xdr:rowOff>38100</xdr:rowOff>
                  </from>
                  <to>
                    <xdr:col>31</xdr:col>
                    <xdr:colOff>104775</xdr:colOff>
                    <xdr:row>10</xdr:row>
                    <xdr:rowOff>38100</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9525</xdr:colOff>
                    <xdr:row>2</xdr:row>
                    <xdr:rowOff>47625</xdr:rowOff>
                  </from>
                  <to>
                    <xdr:col>29</xdr:col>
                    <xdr:colOff>171450</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114300</xdr:colOff>
                    <xdr:row>2</xdr:row>
                    <xdr:rowOff>47625</xdr:rowOff>
                  </from>
                  <to>
                    <xdr:col>38</xdr:col>
                    <xdr:colOff>57150</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19050</xdr:colOff>
                    <xdr:row>6</xdr:row>
                    <xdr:rowOff>28575</xdr:rowOff>
                  </from>
                  <to>
                    <xdr:col>11</xdr:col>
                    <xdr:colOff>209550</xdr:colOff>
                    <xdr:row>7</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pageSetUpPr autoPageBreaks="0"/>
  </sheetPr>
  <dimension ref="A1:FIO66"/>
  <sheetViews>
    <sheetView tabSelected="1" workbookViewId="0">
      <pane ySplit="4" topLeftCell="A5" activePane="bottomLeft" state="frozen"/>
      <selection pane="bottomLeft" activeCell="L2" sqref="L2"/>
    </sheetView>
  </sheetViews>
  <sheetFormatPr defaultRowHeight="12.75" x14ac:dyDescent="0.2"/>
  <cols>
    <col min="1" max="1" width="3.85546875" style="284" customWidth="1"/>
    <col min="2" max="86" width="3.28515625" style="291" customWidth="1"/>
    <col min="87" max="16384" width="9.140625" style="291"/>
  </cols>
  <sheetData>
    <row r="1" spans="1:55 4305:4305" ht="15" customHeight="1" x14ac:dyDescent="0.2">
      <c r="A1" s="291"/>
      <c r="B1" s="201"/>
      <c r="C1" s="201" t="s">
        <v>4894</v>
      </c>
      <c r="D1" s="201"/>
      <c r="E1" s="201"/>
      <c r="F1" s="201"/>
      <c r="G1" s="201"/>
      <c r="H1" s="425">
        <f>AfsprakenVersie</f>
        <v>0</v>
      </c>
      <c r="I1" s="426"/>
      <c r="J1" s="426"/>
      <c r="K1" s="426"/>
      <c r="L1" s="426"/>
      <c r="S1" s="201"/>
      <c r="T1" s="201"/>
      <c r="U1" s="201"/>
    </row>
    <row r="2" spans="1:55 4305:4305" ht="17.25" customHeight="1" x14ac:dyDescent="0.2">
      <c r="A2" s="291"/>
      <c r="B2" s="201"/>
      <c r="C2" s="201" t="s">
        <v>3000</v>
      </c>
      <c r="H2" s="422">
        <f ca="1">AfspraakDatum</f>
        <v>42185</v>
      </c>
      <c r="I2" s="422"/>
      <c r="J2" s="422"/>
      <c r="K2" s="422"/>
      <c r="Q2" s="219" t="s">
        <v>3001</v>
      </c>
      <c r="V2" s="422">
        <f>OpnDatum</f>
        <v>41363</v>
      </c>
      <c r="W2" s="422"/>
      <c r="X2" s="422"/>
      <c r="Y2" s="422"/>
      <c r="Z2" s="201" t="str">
        <f ca="1">"ICU-dag: "&amp;AfspraakDatum-OpnDatum+1</f>
        <v>ICU-dag: 823</v>
      </c>
      <c r="AA2" s="282"/>
      <c r="AB2" s="217"/>
      <c r="AI2" s="219" t="s">
        <v>2001</v>
      </c>
      <c r="AK2" s="374">
        <f>TRUNC(BedNummer)</f>
        <v>0</v>
      </c>
      <c r="AM2" s="219" t="s">
        <v>3278</v>
      </c>
      <c r="AN2" s="219"/>
      <c r="AO2" s="352">
        <f>(BedNummer - TRUNC(BedNummer))*10</f>
        <v>0</v>
      </c>
      <c r="AP2" s="219"/>
      <c r="AQ2" s="219"/>
      <c r="AR2" s="219"/>
      <c r="AS2" s="219"/>
      <c r="AT2" s="219"/>
      <c r="FIO2" s="291">
        <v>30</v>
      </c>
    </row>
    <row r="3" spans="1:55 4305:4305" ht="17.25" customHeight="1" x14ac:dyDescent="0.2">
      <c r="A3" s="291"/>
      <c r="B3" s="201"/>
      <c r="C3" s="216" t="s">
        <v>288</v>
      </c>
      <c r="H3" s="222" t="str">
        <f>AchterNaam&amp;", "&amp;VoorNaam</f>
        <v>Achternaam, Voornaam</v>
      </c>
      <c r="I3" s="280"/>
      <c r="Q3" s="280" t="s">
        <v>3097</v>
      </c>
      <c r="V3" s="422">
        <f>GebDatum</f>
        <v>40909</v>
      </c>
      <c r="W3" s="422"/>
      <c r="X3" s="422"/>
      <c r="Y3" s="422"/>
      <c r="Z3" s="281" t="str">
        <f>"Gewicht: "&amp;Gewicht/10&amp;" kg"</f>
        <v>Gewicht: 10 kg</v>
      </c>
      <c r="AA3" s="282"/>
      <c r="AI3" s="222" t="str">
        <f>"Lengte: "&amp;Lengte&amp;" cm"</f>
        <v>Lengte: 80 cm</v>
      </c>
    </row>
    <row r="4" spans="1:55 4305:4305" ht="17.25" customHeight="1" x14ac:dyDescent="0.2">
      <c r="A4" s="291"/>
      <c r="B4" s="223"/>
      <c r="C4" s="223" t="s">
        <v>3468</v>
      </c>
      <c r="H4" s="423">
        <f>PatNummer</f>
        <v>0</v>
      </c>
      <c r="I4" s="423"/>
      <c r="J4" s="423"/>
      <c r="K4" s="423"/>
      <c r="L4" s="423"/>
      <c r="Q4" s="219" t="s">
        <v>2763</v>
      </c>
      <c r="S4" s="223"/>
      <c r="U4" s="217"/>
      <c r="V4" s="222" t="str">
        <f ca="1">TRUNC((AfspraakDatum-GebDatum)/365,0)&amp;" jaar en "&amp;TRUNC(((AfspraakDatum-GebDatum)-365*TRUNC((AfspraakDatum-GebDatum)/365,0))/30,0)&amp;" maand(-en)"</f>
        <v>3 jaar en 6 maand(-en)</v>
      </c>
      <c r="W4" s="217"/>
      <c r="Y4" s="223"/>
      <c r="AI4" s="283" t="str">
        <f>"Lichamelijk oppervlak: "&amp;ROUND(POWER(Gewicht/10,0.425)*POWER(((Lengte/100)*100),0.725)*0.007184,2)&amp;" m2"</f>
        <v>Lichamelijk oppervlak: 0,46 m2</v>
      </c>
    </row>
    <row r="5" spans="1:55 4305:4305" s="284" customFormat="1" ht="17.25" customHeight="1" x14ac:dyDescent="0.2">
      <c r="B5" s="285"/>
      <c r="C5" s="286"/>
      <c r="D5" s="286"/>
      <c r="E5" s="286"/>
      <c r="F5" s="286"/>
      <c r="G5" s="286"/>
      <c r="H5" s="286"/>
      <c r="I5" s="286"/>
      <c r="J5" s="286"/>
      <c r="K5" s="286"/>
      <c r="L5" s="285"/>
      <c r="M5" s="285"/>
      <c r="N5" s="285"/>
    </row>
    <row r="6" spans="1:55 4305:4305" s="284" customFormat="1" ht="17.25" customHeight="1" x14ac:dyDescent="0.2">
      <c r="B6" s="285"/>
      <c r="C6" s="294" t="s">
        <v>5070</v>
      </c>
      <c r="D6" s="285"/>
      <c r="E6" s="285"/>
      <c r="F6" s="285"/>
      <c r="G6" s="285"/>
      <c r="H6" s="285"/>
      <c r="I6" s="285"/>
      <c r="J6" s="285"/>
      <c r="K6" s="285"/>
      <c r="L6" s="285"/>
      <c r="M6" s="285"/>
      <c r="N6" s="285"/>
    </row>
    <row r="7" spans="1:55 4305:4305" s="284" customFormat="1" ht="17.25" customHeight="1" x14ac:dyDescent="0.2">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2">
      <c r="B8" s="285"/>
      <c r="C8" s="285"/>
      <c r="D8" s="285"/>
      <c r="E8" s="285"/>
      <c r="F8" s="285"/>
      <c r="G8" s="285"/>
      <c r="H8" s="285"/>
      <c r="I8" s="285"/>
      <c r="J8" s="285"/>
      <c r="K8" s="285"/>
      <c r="L8" s="285"/>
      <c r="M8" s="285"/>
      <c r="N8" s="285"/>
    </row>
    <row r="9" spans="1:55 4305:4305" s="284" customFormat="1" ht="17.25" customHeight="1" x14ac:dyDescent="0.2">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2">
      <c r="B10" s="219"/>
      <c r="C10" s="219" t="s">
        <v>1347</v>
      </c>
      <c r="D10" s="291"/>
      <c r="E10" s="291"/>
      <c r="F10" s="289" t="str">
        <f>IF(OR(Toegang&lt;3,Toegang=5),"",TubeLengte/10&amp;" cm")</f>
        <v/>
      </c>
      <c r="J10" s="297" t="str">
        <f ca="1">AcuteOpvang!D7</f>
        <v>Maat: 5, Lengte: 16 cm nasaal, 14 cm oraal</v>
      </c>
      <c r="K10" s="285"/>
      <c r="M10" s="285"/>
      <c r="N10" s="285"/>
      <c r="Y10" s="219" t="s">
        <v>2178</v>
      </c>
      <c r="Z10" s="291"/>
      <c r="AA10" s="291"/>
      <c r="AB10" s="291"/>
      <c r="AC10" s="291"/>
      <c r="AE10" s="290" t="str">
        <f>IF(dbBead!P2,"ja","nee")</f>
        <v>nee</v>
      </c>
    </row>
    <row r="11" spans="1:55 4305:4305" s="284" customFormat="1" ht="17.25" customHeight="1" x14ac:dyDescent="0.2">
      <c r="B11" s="285"/>
      <c r="C11" s="285"/>
      <c r="D11" s="285"/>
      <c r="E11" s="285"/>
      <c r="F11" s="285"/>
      <c r="G11" s="285"/>
      <c r="H11" s="285"/>
      <c r="I11" s="285"/>
      <c r="J11" s="285"/>
      <c r="K11" s="285"/>
      <c r="L11" s="285"/>
      <c r="M11" s="285"/>
      <c r="N11" s="285"/>
    </row>
    <row r="12" spans="1:55 4305:4305" s="284" customFormat="1" ht="17.25" customHeight="1" x14ac:dyDescent="0.2">
      <c r="B12" s="219"/>
      <c r="C12" s="219" t="s">
        <v>1349</v>
      </c>
      <c r="D12" s="219"/>
      <c r="E12" s="219"/>
      <c r="F12" s="219"/>
      <c r="G12" s="219"/>
      <c r="H12" s="219"/>
      <c r="I12" s="285"/>
      <c r="J12" s="285"/>
      <c r="K12" s="285"/>
      <c r="L12" s="285"/>
      <c r="M12" s="285"/>
      <c r="N12" s="285"/>
    </row>
    <row r="13" spans="1:55 4305:4305"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2">
      <c r="B14" s="285"/>
      <c r="C14" s="285"/>
      <c r="D14" s="285"/>
      <c r="E14" s="285"/>
      <c r="F14" s="285"/>
      <c r="G14" s="285"/>
      <c r="H14" s="285"/>
      <c r="I14" s="285"/>
      <c r="J14" s="285"/>
      <c r="K14" s="285"/>
      <c r="L14" s="285"/>
      <c r="M14" s="285"/>
      <c r="N14" s="285"/>
    </row>
    <row r="15" spans="1:55 4305:4305" s="284" customFormat="1" ht="17.25" customHeight="1" x14ac:dyDescent="0.2">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2">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2">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2">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2">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2">
      <c r="B20" s="285"/>
      <c r="F20" s="285"/>
      <c r="G20" s="285"/>
      <c r="V20" s="285"/>
      <c r="X20" s="360"/>
      <c r="Y20" s="109"/>
      <c r="Z20" s="109"/>
      <c r="AA20" s="109"/>
      <c r="AB20" s="109"/>
      <c r="AC20" s="109"/>
      <c r="AD20" s="109"/>
      <c r="AE20" s="109"/>
      <c r="AF20" s="285"/>
    </row>
    <row r="21" spans="2:46" s="284" customFormat="1" ht="17.25" customHeight="1" x14ac:dyDescent="0.2">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2">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2">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2">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2">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2">
      <c r="B26" s="285"/>
      <c r="C26" s="285"/>
      <c r="F26" s="285"/>
      <c r="O26" s="285"/>
      <c r="P26" s="285"/>
      <c r="Q26" s="285"/>
      <c r="R26" s="285"/>
      <c r="S26" s="285"/>
      <c r="T26" s="285"/>
      <c r="U26" s="285"/>
      <c r="V26" s="285"/>
      <c r="W26" s="285"/>
      <c r="X26" s="285"/>
      <c r="Y26" s="285"/>
    </row>
    <row r="27" spans="2:46" s="284" customFormat="1" ht="17.25" customHeight="1" x14ac:dyDescent="0.2">
      <c r="B27" s="285"/>
      <c r="C27" s="285"/>
      <c r="D27" s="285"/>
      <c r="E27" s="285"/>
      <c r="F27" s="285"/>
      <c r="G27" s="285"/>
      <c r="H27" s="285"/>
      <c r="I27" s="285"/>
      <c r="J27" s="285"/>
      <c r="K27" s="285"/>
      <c r="L27" s="285"/>
      <c r="M27" s="285"/>
      <c r="N27" s="285"/>
    </row>
    <row r="28" spans="2:46" s="284" customFormat="1" ht="17.25" customHeight="1" x14ac:dyDescent="0.2">
      <c r="B28" s="285"/>
      <c r="C28" s="285"/>
      <c r="D28" s="285"/>
      <c r="E28" s="285"/>
      <c r="F28" s="285"/>
      <c r="G28" s="285"/>
      <c r="H28" s="285"/>
      <c r="I28" s="285"/>
      <c r="J28" s="285"/>
      <c r="K28" s="285"/>
      <c r="L28" s="285"/>
      <c r="M28" s="285"/>
      <c r="N28" s="285"/>
    </row>
    <row r="29" spans="2:46" s="284" customFormat="1" ht="17.25" customHeight="1" x14ac:dyDescent="0.2">
      <c r="B29" s="285"/>
      <c r="C29" s="285"/>
      <c r="D29" s="285"/>
      <c r="E29" s="285"/>
      <c r="F29" s="285"/>
      <c r="G29" s="285"/>
      <c r="H29" s="285"/>
      <c r="I29" s="285"/>
      <c r="J29" s="285"/>
      <c r="K29" s="285"/>
      <c r="L29" s="285"/>
      <c r="M29" s="285"/>
      <c r="N29" s="285"/>
    </row>
    <row r="30" spans="2:46" s="284" customFormat="1" ht="17.25" customHeight="1" x14ac:dyDescent="0.2">
      <c r="B30" s="285"/>
      <c r="C30" s="285"/>
      <c r="D30" s="285"/>
      <c r="E30" s="285"/>
      <c r="F30" s="285"/>
      <c r="G30" s="285"/>
      <c r="H30" s="285"/>
      <c r="I30" s="285"/>
      <c r="J30" s="285"/>
      <c r="K30" s="285"/>
      <c r="L30" s="285"/>
      <c r="M30" s="285"/>
      <c r="N30" s="285"/>
    </row>
    <row r="31" spans="2:46" s="284" customFormat="1" ht="17.25" customHeight="1" x14ac:dyDescent="0.2">
      <c r="B31" s="285"/>
      <c r="C31" s="285"/>
      <c r="D31" s="285"/>
      <c r="E31" s="285"/>
      <c r="F31" s="285"/>
      <c r="G31" s="285"/>
      <c r="H31" s="285"/>
      <c r="I31" s="285"/>
      <c r="J31" s="285"/>
      <c r="K31" s="285"/>
      <c r="L31" s="285"/>
      <c r="M31" s="285"/>
      <c r="N31" s="285"/>
    </row>
    <row r="32" spans="2:46" s="284" customFormat="1" x14ac:dyDescent="0.2">
      <c r="B32" s="285"/>
      <c r="C32" s="285"/>
      <c r="D32" s="285"/>
      <c r="E32" s="285"/>
      <c r="F32" s="285"/>
      <c r="G32" s="285"/>
      <c r="H32" s="285"/>
      <c r="I32" s="285"/>
      <c r="J32" s="285"/>
      <c r="K32" s="285"/>
      <c r="L32" s="285"/>
      <c r="M32" s="285"/>
      <c r="N32" s="285"/>
    </row>
    <row r="33" spans="2:91" s="284" customFormat="1" x14ac:dyDescent="0.2">
      <c r="B33" s="285"/>
      <c r="C33" s="285"/>
      <c r="D33" s="285"/>
      <c r="E33" s="285"/>
      <c r="F33" s="285"/>
      <c r="G33" s="285"/>
      <c r="H33" s="285"/>
      <c r="I33" s="285"/>
      <c r="J33" s="285"/>
      <c r="K33" s="285"/>
      <c r="L33" s="285"/>
      <c r="M33" s="285"/>
      <c r="N33" s="285"/>
    </row>
    <row r="34" spans="2:91" s="284" customFormat="1" x14ac:dyDescent="0.2">
      <c r="B34" s="285"/>
      <c r="C34" s="285"/>
      <c r="D34" s="285"/>
      <c r="E34" s="285"/>
      <c r="F34" s="285"/>
      <c r="G34" s="285"/>
      <c r="H34" s="285"/>
      <c r="I34" s="285"/>
      <c r="J34" s="285"/>
      <c r="K34" s="285"/>
      <c r="L34" s="285"/>
      <c r="M34" s="285"/>
      <c r="N34" s="285"/>
    </row>
    <row r="35" spans="2:91" s="284" customFormat="1" x14ac:dyDescent="0.2">
      <c r="B35" s="285"/>
      <c r="C35" s="285"/>
      <c r="D35" s="285"/>
      <c r="E35" s="285"/>
      <c r="F35" s="285"/>
      <c r="G35" s="285"/>
      <c r="H35" s="285"/>
      <c r="I35" s="285"/>
      <c r="J35" s="285"/>
      <c r="K35" s="285"/>
      <c r="L35" s="285"/>
      <c r="M35" s="285"/>
      <c r="N35" s="285"/>
    </row>
    <row r="36" spans="2:91" s="284" customFormat="1" x14ac:dyDescent="0.2">
      <c r="B36" s="285"/>
      <c r="C36" s="285"/>
      <c r="D36" s="285"/>
      <c r="E36" s="285"/>
      <c r="F36" s="285"/>
      <c r="G36" s="285"/>
      <c r="H36" s="285"/>
      <c r="I36" s="285"/>
      <c r="J36" s="285"/>
      <c r="K36" s="285"/>
      <c r="L36" s="285"/>
      <c r="M36" s="285"/>
      <c r="N36" s="285"/>
    </row>
    <row r="37" spans="2:91" s="284" customFormat="1" x14ac:dyDescent="0.2">
      <c r="B37" s="285"/>
      <c r="C37" s="285"/>
      <c r="D37" s="285"/>
      <c r="E37" s="285"/>
      <c r="F37" s="285"/>
      <c r="G37" s="285"/>
      <c r="H37" s="285"/>
      <c r="I37" s="285"/>
      <c r="J37" s="285"/>
      <c r="K37" s="285"/>
      <c r="L37" s="285"/>
      <c r="M37" s="285"/>
      <c r="N37" s="285"/>
    </row>
    <row r="38" spans="2:91" s="284" customFormat="1" x14ac:dyDescent="0.2">
      <c r="B38" s="285"/>
      <c r="C38" s="285"/>
      <c r="D38" s="285"/>
      <c r="E38" s="285"/>
      <c r="F38" s="285"/>
      <c r="G38" s="285"/>
      <c r="H38" s="285"/>
      <c r="I38" s="285"/>
      <c r="J38" s="285"/>
      <c r="K38" s="285"/>
      <c r="L38" s="285"/>
      <c r="M38" s="285"/>
      <c r="N38" s="285"/>
    </row>
    <row r="39" spans="2:91" s="284" customFormat="1" x14ac:dyDescent="0.2">
      <c r="B39" s="285"/>
      <c r="C39" s="285"/>
      <c r="D39" s="285"/>
      <c r="E39" s="285"/>
      <c r="F39" s="285"/>
      <c r="G39" s="285"/>
      <c r="H39" s="285"/>
      <c r="I39" s="285"/>
      <c r="J39" s="285"/>
      <c r="K39" s="285"/>
      <c r="L39" s="285"/>
      <c r="M39" s="285"/>
      <c r="N39" s="285"/>
    </row>
    <row r="40" spans="2:91" s="284" customFormat="1" x14ac:dyDescent="0.2">
      <c r="B40" s="285"/>
      <c r="C40" s="285"/>
      <c r="D40" s="285"/>
      <c r="E40" s="285"/>
      <c r="F40" s="285"/>
      <c r="G40" s="285"/>
      <c r="H40" s="285"/>
      <c r="I40" s="285"/>
      <c r="J40" s="285"/>
      <c r="K40" s="285"/>
      <c r="L40" s="285"/>
      <c r="M40" s="285"/>
      <c r="N40" s="285"/>
    </row>
    <row r="41" spans="2:91" s="284" customFormat="1" x14ac:dyDescent="0.2">
      <c r="B41" s="285"/>
      <c r="C41" s="285"/>
      <c r="D41" s="285"/>
      <c r="E41" s="285"/>
      <c r="F41" s="285"/>
      <c r="G41" s="285"/>
      <c r="H41" s="285"/>
      <c r="I41" s="285"/>
      <c r="J41" s="285"/>
      <c r="K41" s="285"/>
      <c r="L41" s="285"/>
      <c r="M41" s="285"/>
      <c r="N41" s="285"/>
    </row>
    <row r="42" spans="2:91" s="284" customFormat="1" x14ac:dyDescent="0.2">
      <c r="B42" s="285"/>
      <c r="C42" s="285"/>
      <c r="D42" s="285"/>
      <c r="E42" s="285"/>
      <c r="F42" s="285"/>
      <c r="G42" s="285"/>
      <c r="H42" s="285"/>
      <c r="I42" s="285"/>
      <c r="J42" s="285"/>
      <c r="K42" s="285"/>
      <c r="L42" s="285"/>
      <c r="M42" s="285"/>
      <c r="N42" s="285"/>
    </row>
    <row r="43" spans="2:91" x14ac:dyDescent="0.2">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2">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2">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2">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2">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2">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2">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2">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2">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2">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2">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2">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2">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2">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2">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2">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2">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2">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2">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2">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2">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2">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2">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2">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password="CC2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9525</xdr:colOff>
                    <xdr:row>7</xdr:row>
                    <xdr:rowOff>180975</xdr:rowOff>
                  </from>
                  <to>
                    <xdr:col>8</xdr:col>
                    <xdr:colOff>161925</xdr:colOff>
                    <xdr:row>8</xdr:row>
                    <xdr:rowOff>180975</xdr:rowOff>
                  </to>
                </anchor>
              </controlPr>
            </control>
          </mc:Choice>
        </mc:AlternateContent>
        <mc:AlternateContent xmlns:mc="http://schemas.openxmlformats.org/markup-compatibility/2006">
          <mc:Choice Requires="x14">
            <control shapeId="1032" r:id="rId5" name="Spinner 8">
              <controlPr defaultSize="0" autoPict="0">
                <anchor>
                  <from>
                    <xdr:col>8</xdr:col>
                    <xdr:colOff>9525</xdr:colOff>
                    <xdr:row>8</xdr:row>
                    <xdr:rowOff>200025</xdr:rowOff>
                  </from>
                  <to>
                    <xdr:col>8</xdr:col>
                    <xdr:colOff>161925</xdr:colOff>
                    <xdr:row>9</xdr:row>
                    <xdr:rowOff>200025</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180975</xdr:colOff>
                    <xdr:row>11</xdr:row>
                    <xdr:rowOff>19050</xdr:rowOff>
                  </from>
                  <to>
                    <xdr:col>17</xdr:col>
                    <xdr:colOff>85725</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180975</xdr:colOff>
                    <xdr:row>6</xdr:row>
                    <xdr:rowOff>0</xdr:rowOff>
                  </from>
                  <to>
                    <xdr:col>31</xdr:col>
                    <xdr:colOff>104775</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95250</xdr:colOff>
                    <xdr:row>6</xdr:row>
                    <xdr:rowOff>28575</xdr:rowOff>
                  </from>
                  <to>
                    <xdr:col>35</xdr:col>
                    <xdr:colOff>38100</xdr:colOff>
                    <xdr:row>6</xdr:row>
                    <xdr:rowOff>190500</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66675</xdr:colOff>
                    <xdr:row>8</xdr:row>
                    <xdr:rowOff>9525</xdr:rowOff>
                  </from>
                  <to>
                    <xdr:col>32</xdr:col>
                    <xdr:colOff>152400</xdr:colOff>
                    <xdr:row>9</xdr:row>
                    <xdr:rowOff>9525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66675</xdr:colOff>
                    <xdr:row>9</xdr:row>
                    <xdr:rowOff>28575</xdr:rowOff>
                  </from>
                  <to>
                    <xdr:col>32</xdr:col>
                    <xdr:colOff>152400</xdr:colOff>
                    <xdr:row>10</xdr:row>
                    <xdr:rowOff>28575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209550</xdr:colOff>
                    <xdr:row>14</xdr:row>
                    <xdr:rowOff>9525</xdr:rowOff>
                  </from>
                  <to>
                    <xdr:col>25</xdr:col>
                    <xdr:colOff>133350</xdr:colOff>
                    <xdr:row>14</xdr:row>
                    <xdr:rowOff>209550</xdr:rowOff>
                  </to>
                </anchor>
              </controlPr>
            </control>
          </mc:Choice>
        </mc:AlternateContent>
        <mc:AlternateContent xmlns:mc="http://schemas.openxmlformats.org/markup-compatibility/2006">
          <mc:Choice Requires="x14">
            <control shapeId="1043" r:id="rId12" name="Spinner 19">
              <controlPr defaultSize="0" autoPict="0">
                <anchor>
                  <from>
                    <xdr:col>10</xdr:col>
                    <xdr:colOff>85725</xdr:colOff>
                    <xdr:row>16</xdr:row>
                    <xdr:rowOff>9525</xdr:rowOff>
                  </from>
                  <to>
                    <xdr:col>11</xdr:col>
                    <xdr:colOff>28575</xdr:colOff>
                    <xdr:row>16</xdr:row>
                    <xdr:rowOff>180975</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9525</xdr:colOff>
                    <xdr:row>16</xdr:row>
                    <xdr:rowOff>28575</xdr:rowOff>
                  </from>
                  <to>
                    <xdr:col>26</xdr:col>
                    <xdr:colOff>171450</xdr:colOff>
                    <xdr:row>16</xdr:row>
                    <xdr:rowOff>200025</xdr:rowOff>
                  </to>
                </anchor>
              </controlPr>
            </control>
          </mc:Choice>
        </mc:AlternateContent>
        <mc:AlternateContent xmlns:mc="http://schemas.openxmlformats.org/markup-compatibility/2006">
          <mc:Choice Requires="x14">
            <control shapeId="1050" r:id="rId14" name="Spinner 26">
              <controlPr defaultSize="0" autoPict="0">
                <anchor>
                  <from>
                    <xdr:col>9</xdr:col>
                    <xdr:colOff>209550</xdr:colOff>
                    <xdr:row>20</xdr:row>
                    <xdr:rowOff>38100</xdr:rowOff>
                  </from>
                  <to>
                    <xdr:col>10</xdr:col>
                    <xdr:colOff>152400</xdr:colOff>
                    <xdr:row>20</xdr:row>
                    <xdr:rowOff>209550</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161925</xdr:colOff>
                    <xdr:row>20</xdr:row>
                    <xdr:rowOff>38100</xdr:rowOff>
                  </from>
                  <to>
                    <xdr:col>40</xdr:col>
                    <xdr:colOff>104775</xdr:colOff>
                    <xdr:row>20</xdr:row>
                    <xdr:rowOff>209550</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114300</xdr:colOff>
                    <xdr:row>18</xdr:row>
                    <xdr:rowOff>19050</xdr:rowOff>
                  </from>
                  <to>
                    <xdr:col>14</xdr:col>
                    <xdr:colOff>57150</xdr:colOff>
                    <xdr:row>18</xdr:row>
                    <xdr:rowOff>190500</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152400</xdr:colOff>
                    <xdr:row>18</xdr:row>
                    <xdr:rowOff>38100</xdr:rowOff>
                  </from>
                  <to>
                    <xdr:col>40</xdr:col>
                    <xdr:colOff>95250</xdr:colOff>
                    <xdr:row>18</xdr:row>
                    <xdr:rowOff>209550</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152400</xdr:colOff>
                    <xdr:row>20</xdr:row>
                    <xdr:rowOff>38100</xdr:rowOff>
                  </from>
                  <to>
                    <xdr:col>15</xdr:col>
                    <xdr:colOff>95250</xdr:colOff>
                    <xdr:row>20</xdr:row>
                    <xdr:rowOff>209550</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19050</xdr:rowOff>
                  </from>
                  <to>
                    <xdr:col>28</xdr:col>
                    <xdr:colOff>161925</xdr:colOff>
                    <xdr:row>20</xdr:row>
                    <xdr:rowOff>190500</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161925</xdr:colOff>
                    <xdr:row>18</xdr:row>
                    <xdr:rowOff>19050</xdr:rowOff>
                  </from>
                  <to>
                    <xdr:col>30</xdr:col>
                    <xdr:colOff>104775</xdr:colOff>
                    <xdr:row>18</xdr:row>
                    <xdr:rowOff>190500</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161925</xdr:colOff>
                    <xdr:row>14</xdr:row>
                    <xdr:rowOff>76200</xdr:rowOff>
                  </from>
                  <to>
                    <xdr:col>39</xdr:col>
                    <xdr:colOff>104775</xdr:colOff>
                    <xdr:row>15</xdr:row>
                    <xdr:rowOff>28575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180975</xdr:colOff>
                    <xdr:row>16</xdr:row>
                    <xdr:rowOff>19050</xdr:rowOff>
                  </from>
                  <to>
                    <xdr:col>39</xdr:col>
                    <xdr:colOff>123825</xdr:colOff>
                    <xdr:row>16</xdr:row>
                    <xdr:rowOff>190500</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161925</xdr:colOff>
                    <xdr:row>2</xdr:row>
                    <xdr:rowOff>28575</xdr:rowOff>
                  </from>
                  <to>
                    <xdr:col>30</xdr:col>
                    <xdr:colOff>104775</xdr:colOff>
                    <xdr:row>2</xdr:row>
                    <xdr:rowOff>200025</xdr:rowOff>
                  </to>
                </anchor>
              </controlPr>
            </control>
          </mc:Choice>
        </mc:AlternateContent>
        <mc:AlternateContent xmlns:mc="http://schemas.openxmlformats.org/markup-compatibility/2006">
          <mc:Choice Requires="x14">
            <control shapeId="1063" r:id="rId24" name="Spinner 39">
              <controlPr defaultSize="0" autoPict="0">
                <anchor>
                  <from>
                    <xdr:col>38</xdr:col>
                    <xdr:colOff>85725</xdr:colOff>
                    <xdr:row>2</xdr:row>
                    <xdr:rowOff>19050</xdr:rowOff>
                  </from>
                  <to>
                    <xdr:col>39</xdr:col>
                    <xdr:colOff>28575</xdr:colOff>
                    <xdr:row>2</xdr:row>
                    <xdr:rowOff>190500</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66675</xdr:colOff>
                    <xdr:row>14</xdr:row>
                    <xdr:rowOff>19050</xdr:rowOff>
                  </from>
                  <to>
                    <xdr:col>13</xdr:col>
                    <xdr:colOff>28575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171450</xdr:colOff>
                    <xdr:row>6</xdr:row>
                    <xdr:rowOff>19050</xdr:rowOff>
                  </from>
                  <to>
                    <xdr:col>12</xdr:col>
                    <xdr:colOff>142875</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180975</xdr:colOff>
                    <xdr:row>20</xdr:row>
                    <xdr:rowOff>209550</xdr:rowOff>
                  </from>
                  <to>
                    <xdr:col>11</xdr:col>
                    <xdr:colOff>47625</xdr:colOff>
                    <xdr:row>21</xdr:row>
                    <xdr:rowOff>209550</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161925</xdr:colOff>
                    <xdr:row>21</xdr:row>
                    <xdr:rowOff>47625</xdr:rowOff>
                  </from>
                  <to>
                    <xdr:col>40</xdr:col>
                    <xdr:colOff>104775</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19050</xdr:rowOff>
                  </from>
                  <to>
                    <xdr:col>28</xdr:col>
                    <xdr:colOff>161925</xdr:colOff>
                    <xdr:row>21</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75" x14ac:dyDescent="0.2"/>
  <cols>
    <col min="1" max="1" width="21.85546875" customWidth="1"/>
    <col min="2" max="2" width="6.28515625" customWidth="1"/>
    <col min="3" max="3" width="62.140625" customWidth="1"/>
  </cols>
  <sheetData>
    <row r="1" spans="1:3" x14ac:dyDescent="0.2">
      <c r="A1" t="s">
        <v>2942</v>
      </c>
      <c r="B1" s="372" t="s">
        <v>4885</v>
      </c>
      <c r="C1" s="371" t="str">
        <f>AfsprakenCMV!F2&amp;" geb: "&amp;TEXT(AfsprakenCMV!F3,"dd-mmm-jj")&amp;". Gewicht: "&amp;ROUND(Gewicht/10,1)&amp;" kg"</f>
        <v>Achternaam, Voornaam geb: 01-jan-12. Gewicht: 10 kg</v>
      </c>
    </row>
    <row r="2" spans="1:3" x14ac:dyDescent="0.2">
      <c r="A2" t="s">
        <v>2942</v>
      </c>
      <c r="B2" s="373" t="s">
        <v>4886</v>
      </c>
      <c r="C2" s="371" t="str">
        <f>AchterNaam</f>
        <v>Achternaam</v>
      </c>
    </row>
    <row r="3" spans="1:3" x14ac:dyDescent="0.2">
      <c r="A3" t="s">
        <v>2942</v>
      </c>
      <c r="B3" s="373" t="s">
        <v>4887</v>
      </c>
      <c r="C3" s="371" t="str">
        <f>VoorNaam</f>
        <v>Voornaam</v>
      </c>
    </row>
    <row r="4" spans="1:3" x14ac:dyDescent="0.2">
      <c r="A4" t="s">
        <v>2942</v>
      </c>
      <c r="B4" s="373" t="s">
        <v>4888</v>
      </c>
      <c r="C4" s="371" t="str">
        <f>TEXT(AfsprakenCMV!F3,"dd-mmm-jj")</f>
        <v>01-jan-12</v>
      </c>
    </row>
    <row r="5" spans="1:3" x14ac:dyDescent="0.2">
      <c r="A5" t="s">
        <v>2942</v>
      </c>
      <c r="B5" s="373" t="s">
        <v>4889</v>
      </c>
      <c r="C5" s="25">
        <f>PatNummer</f>
        <v>0</v>
      </c>
    </row>
    <row r="6" spans="1:3" x14ac:dyDescent="0.2">
      <c r="A6" t="s">
        <v>5105</v>
      </c>
      <c r="B6" s="373" t="s">
        <v>4885</v>
      </c>
      <c r="C6" t="str">
        <f>IF(AfsprakenCMV!C84&lt;&gt;0,AfsprakenCMV!C84&amp;" "&amp;AfsprakenCMV!E84&amp;" "&amp;AfsprakenCMV!F84&amp;" "&amp;AfsprakenCMV!G84&amp;", totaal "&amp;AfsprakenCMV!J84&amp;" "&amp;AfsprakenCMV!I84,"")</f>
        <v/>
      </c>
    </row>
    <row r="7" spans="1:3" x14ac:dyDescent="0.2">
      <c r="A7" t="s">
        <v>5105</v>
      </c>
      <c r="B7" s="373" t="s">
        <v>4886</v>
      </c>
      <c r="C7" t="str">
        <f>IF(AfsprakenCMV!C85&lt;&gt;0,AfsprakenCMV!C85&amp;" "&amp;AfsprakenCMV!E85&amp;" "&amp;AfsprakenCMV!F85&amp;" "&amp;AfsprakenCMV!G85&amp;", totaal "&amp;AfsprakenCMV!J85&amp;" "&amp;AfsprakenCMV!I85,"")</f>
        <v/>
      </c>
    </row>
    <row r="8" spans="1:3" x14ac:dyDescent="0.2">
      <c r="A8" t="s">
        <v>5105</v>
      </c>
      <c r="B8" s="373" t="s">
        <v>4887</v>
      </c>
      <c r="C8" t="str">
        <f>IF(AfsprakenCMV!C86&lt;&gt;0,AfsprakenCMV!C86&amp;" "&amp;AfsprakenCMV!E86&amp;" "&amp;AfsprakenCMV!F86&amp;" "&amp;AfsprakenCMV!G86&amp;", totaal "&amp;AfsprakenCMV!J86&amp;" "&amp;AfsprakenCMV!I86,"")</f>
        <v/>
      </c>
    </row>
    <row r="9" spans="1:3" x14ac:dyDescent="0.2">
      <c r="A9" t="s">
        <v>5105</v>
      </c>
      <c r="B9" s="372" t="s">
        <v>4888</v>
      </c>
      <c r="C9" t="str">
        <f>IF(AfsprakenCMV!C87&lt;&gt;0,AfsprakenCMV!C87&amp;" "&amp;AfsprakenCMV!E87&amp;" "&amp;AfsprakenCMV!F87&amp;" "&amp;AfsprakenCMV!G87&amp;", totaal "&amp;AfsprakenCMV!J87&amp;" "&amp;AfsprakenCMV!I87,"")</f>
        <v/>
      </c>
    </row>
    <row r="10" spans="1:3" x14ac:dyDescent="0.2">
      <c r="A10" t="s">
        <v>5105</v>
      </c>
      <c r="B10" s="372" t="s">
        <v>4889</v>
      </c>
      <c r="C10" t="str">
        <f>IF(AfsprakenCMV!C88&lt;&gt;0,AfsprakenCMV!C88&amp;" "&amp;AfsprakenCMV!E88&amp;" "&amp;AfsprakenCMV!F88&amp;" "&amp;AfsprakenCMV!G88&amp;", totaal "&amp;AfsprakenCMV!J88&amp;" "&amp;AfsprakenCMV!I88,"")</f>
        <v/>
      </c>
    </row>
    <row r="11" spans="1:3" x14ac:dyDescent="0.2">
      <c r="A11" t="s">
        <v>5105</v>
      </c>
      <c r="B11" s="372" t="s">
        <v>4890</v>
      </c>
      <c r="C11" t="str">
        <f>IF(AfsprakenCMV!C89&lt;&gt;0,AfsprakenCMV!C89&amp;" "&amp;AfsprakenCMV!E89&amp;" "&amp;AfsprakenCMV!F89&amp;" "&amp;AfsprakenCMV!G89&amp;", totaal "&amp;AfsprakenCMV!J89&amp;" "&amp;AfsprakenCMV!I89,"")</f>
        <v/>
      </c>
    </row>
    <row r="12" spans="1:3" x14ac:dyDescent="0.2">
      <c r="A12" t="s">
        <v>5105</v>
      </c>
      <c r="B12" s="372" t="s">
        <v>4891</v>
      </c>
      <c r="C12" t="str">
        <f>IF(AfsprakenCMV!C90&lt;&gt;0,AfsprakenCMV!C90&amp;" "&amp;AfsprakenCMV!E90&amp;" "&amp;AfsprakenCMV!F90&amp;" "&amp;AfsprakenCMV!G90&amp;", totaal "&amp;AfsprakenCMV!J90&amp;" "&amp;AfsprakenCMV!I90,"")</f>
        <v/>
      </c>
    </row>
    <row r="13" spans="1:3" x14ac:dyDescent="0.2">
      <c r="A13" t="s">
        <v>5105</v>
      </c>
      <c r="B13" s="372" t="s">
        <v>4892</v>
      </c>
      <c r="C13" t="str">
        <f>IF(AfsprakenCMV!C91&lt;&gt;0,AfsprakenCMV!C91&amp;" "&amp;AfsprakenCMV!E91&amp;" "&amp;AfsprakenCMV!F91&amp;" "&amp;AfsprakenCMV!G91&amp;", totaal "&amp;AfsprakenCMV!J91&amp;" "&amp;AfsprakenCMV!I91,"")</f>
        <v/>
      </c>
    </row>
    <row r="14" spans="1:3" x14ac:dyDescent="0.2">
      <c r="A14" t="s">
        <v>5105</v>
      </c>
      <c r="B14" s="372" t="s">
        <v>4893</v>
      </c>
      <c r="C14" t="str">
        <f>IF(AfsprakenCMV!C92&lt;&gt;0,AfsprakenCMV!C92&amp;" "&amp;AfsprakenCMV!E92&amp;" "&amp;AfsprakenCMV!F92&amp;" "&amp;AfsprakenCMV!G92&amp;", totaal "&amp;AfsprakenCMV!J92&amp;" "&amp;AfsprakenCMV!I92,"")</f>
        <v/>
      </c>
    </row>
    <row r="15" spans="1:3" x14ac:dyDescent="0.2">
      <c r="A15" t="s">
        <v>5105</v>
      </c>
      <c r="B15" s="372">
        <v>10</v>
      </c>
      <c r="C15" t="str">
        <f>IF(AfsprakenCMV!C93&lt;&gt;0,AfsprakenCMV!C93&amp;" "&amp;AfsprakenCMV!E93&amp;" "&amp;AfsprakenCMV!F93&amp;" "&amp;AfsprakenCMV!G93&amp;", totaal "&amp;AfsprakenCMV!J93&amp;" "&amp;AfsprakenCMV!I93,"")</f>
        <v/>
      </c>
    </row>
    <row r="16" spans="1:3" x14ac:dyDescent="0.2">
      <c r="A16" t="s">
        <v>5105</v>
      </c>
      <c r="B16" s="372">
        <v>11</v>
      </c>
      <c r="C16" t="str">
        <f>IF(AfsprakenCMV!C94&lt;&gt;0,AfsprakenCMV!C94&amp;" "&amp;AfsprakenCMV!E94&amp;" "&amp;AfsprakenCMV!F94&amp;" "&amp;AfsprakenCMV!G94&amp;", totaal "&amp;AfsprakenCMV!J94&amp;" "&amp;AfsprakenCMV!I94,"")</f>
        <v/>
      </c>
    </row>
    <row r="17" spans="1:3" x14ac:dyDescent="0.2">
      <c r="A17" t="s">
        <v>5105</v>
      </c>
      <c r="B17" s="372">
        <v>12</v>
      </c>
      <c r="C17" t="str">
        <f>IF(AfsprakenCMV!C95&lt;&gt;0,AfsprakenCMV!C95&amp;" "&amp;AfsprakenCMV!E95&amp;" "&amp;AfsprakenCMV!F95&amp;" "&amp;AfsprakenCMV!G95&amp;", totaal "&amp;AfsprakenCMV!J95&amp;" "&amp;AfsprakenCMV!I95,"")</f>
        <v/>
      </c>
    </row>
    <row r="18" spans="1:3" x14ac:dyDescent="0.2">
      <c r="A18" t="s">
        <v>5105</v>
      </c>
      <c r="B18" s="372">
        <v>13</v>
      </c>
      <c r="C18" t="str">
        <f>IF(AfsprakenCMV!C96&lt;&gt;0,AfsprakenCMV!C96&amp;" "&amp;AfsprakenCMV!E96&amp;" "&amp;AfsprakenCMV!F96&amp;" "&amp;AfsprakenCMV!G96&amp;", totaal "&amp;AfsprakenCMV!J96&amp;" "&amp;AfsprakenCMV!I96,"")</f>
        <v/>
      </c>
    </row>
    <row r="19" spans="1:3" x14ac:dyDescent="0.2">
      <c r="A19" t="s">
        <v>5105</v>
      </c>
      <c r="B19" s="372">
        <v>14</v>
      </c>
      <c r="C19" t="str">
        <f>IF(AfsprakenCMV!C97&lt;&gt;0,AfsprakenCMV!C97&amp;" "&amp;AfsprakenCMV!E97&amp;" "&amp;AfsprakenCMV!F97&amp;" "&amp;AfsprakenCMV!G97&amp;", totaal "&amp;AfsprakenCMV!J97&amp;" "&amp;AfsprakenCMV!I97,"")</f>
        <v/>
      </c>
    </row>
    <row r="20" spans="1:3" x14ac:dyDescent="0.2">
      <c r="A20" t="s">
        <v>5105</v>
      </c>
      <c r="B20" s="372">
        <v>15</v>
      </c>
      <c r="C20" t="str">
        <f>IF(AfsprakenCMV!C98&lt;&gt;0,AfsprakenCMV!C98&amp;" "&amp;AfsprakenCMV!E98&amp;" "&amp;AfsprakenCMV!F98&amp;" "&amp;AfsprakenCMV!G98&amp;", totaal "&amp;AfsprakenCMV!J98&amp;" "&amp;AfsprakenCMV!I98,"")</f>
        <v/>
      </c>
    </row>
    <row r="21" spans="1:3" x14ac:dyDescent="0.2">
      <c r="A21" t="s">
        <v>5105</v>
      </c>
      <c r="B21" s="372">
        <v>16</v>
      </c>
      <c r="C21" t="str">
        <f>IF(ber_Opm!C4&lt;&gt;0,AfsprakenCMV!C100&amp;" "&amp;ber_Opm!C4,"")</f>
        <v/>
      </c>
    </row>
    <row r="22" spans="1:3" x14ac:dyDescent="0.2">
      <c r="A22" t="s">
        <v>5106</v>
      </c>
      <c r="B22" s="372" t="s">
        <v>4885</v>
      </c>
      <c r="C22" t="str">
        <f>ber_Med_disc!AB2</f>
        <v/>
      </c>
    </row>
    <row r="23" spans="1:3" x14ac:dyDescent="0.2">
      <c r="A23" t="s">
        <v>5106</v>
      </c>
      <c r="B23" s="372" t="s">
        <v>4886</v>
      </c>
      <c r="C23" t="str">
        <f>ber_Med_disc!AB3</f>
        <v/>
      </c>
    </row>
    <row r="24" spans="1:3" x14ac:dyDescent="0.2">
      <c r="A24" t="s">
        <v>5106</v>
      </c>
      <c r="B24" s="372" t="s">
        <v>4887</v>
      </c>
      <c r="C24" t="str">
        <f>ber_Med_disc!AB4</f>
        <v/>
      </c>
    </row>
    <row r="25" spans="1:3" x14ac:dyDescent="0.2">
      <c r="A25" t="s">
        <v>5106</v>
      </c>
      <c r="B25" s="372" t="s">
        <v>4888</v>
      </c>
      <c r="C25" t="str">
        <f>ber_Med_disc!AB5</f>
        <v/>
      </c>
    </row>
    <row r="26" spans="1:3" x14ac:dyDescent="0.2">
      <c r="A26" t="s">
        <v>5106</v>
      </c>
      <c r="B26" s="372" t="s">
        <v>4889</v>
      </c>
      <c r="C26" t="str">
        <f>ber_Med_disc!AB6</f>
        <v/>
      </c>
    </row>
    <row r="27" spans="1:3" x14ac:dyDescent="0.2">
      <c r="A27" t="s">
        <v>5106</v>
      </c>
      <c r="B27" s="372" t="s">
        <v>4890</v>
      </c>
      <c r="C27" t="str">
        <f>ber_Med_disc!AB7</f>
        <v/>
      </c>
    </row>
    <row r="28" spans="1:3" x14ac:dyDescent="0.2">
      <c r="A28" t="s">
        <v>5106</v>
      </c>
      <c r="B28" s="372" t="s">
        <v>4891</v>
      </c>
      <c r="C28" t="str">
        <f>ber_Med_disc!AB8</f>
        <v/>
      </c>
    </row>
    <row r="29" spans="1:3" x14ac:dyDescent="0.2">
      <c r="A29" t="s">
        <v>5106</v>
      </c>
      <c r="B29" s="372" t="s">
        <v>4892</v>
      </c>
      <c r="C29" t="str">
        <f>ber_Med_disc!AB9</f>
        <v/>
      </c>
    </row>
    <row r="30" spans="1:3" x14ac:dyDescent="0.2">
      <c r="A30" t="s">
        <v>5106</v>
      </c>
      <c r="B30" s="372" t="s">
        <v>4893</v>
      </c>
      <c r="C30" t="str">
        <f>ber_Med_disc!AB10</f>
        <v/>
      </c>
    </row>
    <row r="31" spans="1:3" x14ac:dyDescent="0.2">
      <c r="A31" t="s">
        <v>5106</v>
      </c>
      <c r="B31" s="372">
        <v>10</v>
      </c>
      <c r="C31" t="str">
        <f>ber_Med_disc!AB11</f>
        <v/>
      </c>
    </row>
    <row r="32" spans="1:3" x14ac:dyDescent="0.2">
      <c r="A32" t="s">
        <v>5106</v>
      </c>
      <c r="B32" s="372">
        <v>11</v>
      </c>
      <c r="C32" t="str">
        <f>ber_Med_disc!AB12</f>
        <v/>
      </c>
    </row>
    <row r="33" spans="1:3" x14ac:dyDescent="0.2">
      <c r="A33" t="s">
        <v>5106</v>
      </c>
      <c r="B33" s="372">
        <v>12</v>
      </c>
      <c r="C33" t="str">
        <f>ber_Med_disc!AB13</f>
        <v/>
      </c>
    </row>
    <row r="34" spans="1:3" x14ac:dyDescent="0.2">
      <c r="A34" t="s">
        <v>5106</v>
      </c>
      <c r="B34" s="372">
        <v>13</v>
      </c>
      <c r="C34" t="str">
        <f>ber_Med_disc!AB14</f>
        <v/>
      </c>
    </row>
    <row r="35" spans="1:3" x14ac:dyDescent="0.2">
      <c r="A35" t="s">
        <v>5106</v>
      </c>
      <c r="B35" s="372">
        <v>14</v>
      </c>
      <c r="C35" t="str">
        <f>ber_Med_disc!AB15</f>
        <v/>
      </c>
    </row>
    <row r="36" spans="1:3" x14ac:dyDescent="0.2">
      <c r="A36" t="s">
        <v>5106</v>
      </c>
      <c r="B36" s="372">
        <v>15</v>
      </c>
      <c r="C36" t="str">
        <f>ber_Med_disc!AB16</f>
        <v/>
      </c>
    </row>
    <row r="37" spans="1:3" x14ac:dyDescent="0.2">
      <c r="A37" t="s">
        <v>5106</v>
      </c>
      <c r="B37" s="372">
        <v>16</v>
      </c>
      <c r="C37" t="str">
        <f>ber_Med_disc!AB17</f>
        <v/>
      </c>
    </row>
    <row r="38" spans="1:3" x14ac:dyDescent="0.2">
      <c r="A38" t="s">
        <v>5106</v>
      </c>
      <c r="B38" s="372">
        <v>17</v>
      </c>
      <c r="C38" t="str">
        <f>ber_Med_disc!AB18</f>
        <v/>
      </c>
    </row>
    <row r="39" spans="1:3" x14ac:dyDescent="0.2">
      <c r="A39" t="s">
        <v>5106</v>
      </c>
      <c r="B39" s="372">
        <v>18</v>
      </c>
      <c r="C39" t="str">
        <f>ber_Med_disc!AB19</f>
        <v/>
      </c>
    </row>
    <row r="40" spans="1:3" x14ac:dyDescent="0.2">
      <c r="A40" t="s">
        <v>5106</v>
      </c>
      <c r="B40" s="372">
        <v>19</v>
      </c>
      <c r="C40" t="str">
        <f>ber_Med_disc!AB20</f>
        <v/>
      </c>
    </row>
    <row r="41" spans="1:3" x14ac:dyDescent="0.2">
      <c r="A41" t="s">
        <v>5106</v>
      </c>
      <c r="B41" s="372">
        <v>20</v>
      </c>
      <c r="C41" t="str">
        <f>ber_Med_disc!AB21</f>
        <v/>
      </c>
    </row>
    <row r="42" spans="1:3" x14ac:dyDescent="0.2">
      <c r="A42" t="s">
        <v>5107</v>
      </c>
      <c r="B42" s="372" t="s">
        <v>4885</v>
      </c>
      <c r="C42" t="str">
        <f>IF(AfsprakenCMV!C49&lt;&gt;0,AfsprakenCMV!C49,"")</f>
        <v/>
      </c>
    </row>
    <row r="43" spans="1:3" x14ac:dyDescent="0.2">
      <c r="A43" t="s">
        <v>5107</v>
      </c>
      <c r="B43" s="372" t="s">
        <v>4886</v>
      </c>
      <c r="C43" t="str">
        <f>IF(AfsprakenCMV!C50&lt;&gt;0,AfsprakenCMV!C50,"")</f>
        <v/>
      </c>
    </row>
    <row r="44" spans="1:3" x14ac:dyDescent="0.2">
      <c r="A44" t="s">
        <v>5107</v>
      </c>
      <c r="B44" s="372" t="s">
        <v>4887</v>
      </c>
      <c r="C44" t="str">
        <f>IF(AfsprakenCMV!C51&lt;&gt;0,AfsprakenCMV!C51,"")</f>
        <v/>
      </c>
    </row>
    <row r="45" spans="1:3" x14ac:dyDescent="0.2">
      <c r="A45" t="s">
        <v>5107</v>
      </c>
      <c r="B45" s="372" t="s">
        <v>4888</v>
      </c>
      <c r="C45" t="str">
        <f>IF(AfsprakenCMV!C52&lt;&gt;0,AfsprakenCMV!C52,"")</f>
        <v/>
      </c>
    </row>
    <row r="46" spans="1:3" x14ac:dyDescent="0.2">
      <c r="A46" t="s">
        <v>5107</v>
      </c>
      <c r="B46" s="372" t="s">
        <v>4889</v>
      </c>
      <c r="C46" t="str">
        <f>IF(AfsprakenCMV!C53&lt;&gt;0,AfsprakenCMV!C53,"")</f>
        <v/>
      </c>
    </row>
    <row r="47" spans="1:3" x14ac:dyDescent="0.2">
      <c r="A47" t="s">
        <v>5107</v>
      </c>
      <c r="B47" s="372" t="s">
        <v>4890</v>
      </c>
      <c r="C47" t="str">
        <f>IF(AfsprakenCMV!C54&lt;&gt;0,AfsprakenCMV!C54,"")</f>
        <v/>
      </c>
    </row>
    <row r="48" spans="1:3" x14ac:dyDescent="0.2">
      <c r="A48" t="s">
        <v>5107</v>
      </c>
      <c r="B48" s="372" t="s">
        <v>4891</v>
      </c>
      <c r="C48" t="str">
        <f>IF(AfsprakenCMV!C56&lt;&gt;0,"Opmerkingen: "&amp;AfsprakenCMV!C56,"")</f>
        <v/>
      </c>
    </row>
    <row r="49" spans="1:3" x14ac:dyDescent="0.2">
      <c r="A49" t="s">
        <v>5108</v>
      </c>
      <c r="B49" s="372" t="s">
        <v>4885</v>
      </c>
      <c r="C49" t="str">
        <f>IF(AfsprakenCMV!C72&lt;&gt;0,AfsprakenCMV!C72,"")</f>
        <v/>
      </c>
    </row>
    <row r="50" spans="1:3" x14ac:dyDescent="0.2">
      <c r="A50" t="s">
        <v>5108</v>
      </c>
      <c r="B50" s="372" t="s">
        <v>4886</v>
      </c>
      <c r="C50" t="str">
        <f>IF(AfsprakenCMV!C73&lt;&gt;0,AfsprakenCMV!C73,"")</f>
        <v/>
      </c>
    </row>
    <row r="51" spans="1:3" x14ac:dyDescent="0.2">
      <c r="A51" t="s">
        <v>5108</v>
      </c>
      <c r="B51" s="372" t="s">
        <v>4887</v>
      </c>
      <c r="C51" t="str">
        <f>IF(AfsprakenCMV!C74&lt;&gt;0,AfsprakenCMV!C74,"")</f>
        <v/>
      </c>
    </row>
    <row r="52" spans="1:3" x14ac:dyDescent="0.2">
      <c r="A52" t="s">
        <v>5108</v>
      </c>
      <c r="B52" s="372" t="s">
        <v>4888</v>
      </c>
      <c r="C52" t="str">
        <f>IF(AfsprakenCMV!C75&lt;&gt;0,AfsprakenCMV!C75,"")</f>
        <v/>
      </c>
    </row>
    <row r="53" spans="1:3" x14ac:dyDescent="0.2">
      <c r="A53" t="s">
        <v>5108</v>
      </c>
      <c r="B53" s="372" t="s">
        <v>4889</v>
      </c>
      <c r="C53" t="str">
        <f>IF(AfsprakenCMV!C76&lt;&gt;0,AfsprakenCMV!C76,"")</f>
        <v/>
      </c>
    </row>
    <row r="54" spans="1:3" x14ac:dyDescent="0.2">
      <c r="A54" t="s">
        <v>5108</v>
      </c>
      <c r="B54" s="372" t="s">
        <v>4890</v>
      </c>
      <c r="C54" t="str">
        <f>IF(AfsprakenCMV!C77&lt;&gt;0,AfsprakenCMV!C77,"")</f>
        <v/>
      </c>
    </row>
    <row r="55" spans="1:3" x14ac:dyDescent="0.2">
      <c r="A55" t="s">
        <v>5108</v>
      </c>
      <c r="B55" s="372" t="s">
        <v>4891</v>
      </c>
      <c r="C55" t="str">
        <f>IF(AfsprakenCMV!D100&lt;&gt;0,"Opmerkingen: "&amp;AfsprakenCMV!D100,"")</f>
        <v/>
      </c>
    </row>
    <row r="56" spans="1:3" x14ac:dyDescent="0.2">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2">
      <c r="A57" t="s">
        <v>5109</v>
      </c>
      <c r="B57" s="372" t="s">
        <v>4886</v>
      </c>
      <c r="C57" t="str">
        <f>IF(AfsprakenCMV!D37&lt;&gt;0,"Opmerkingen: "&amp;AfsprakenCMV!D37,"")</f>
        <v/>
      </c>
    </row>
    <row r="58" spans="1:3" x14ac:dyDescent="0.2">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2">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2">
      <c r="A60" t="s">
        <v>5109</v>
      </c>
      <c r="B60" s="372" t="s">
        <v>4889</v>
      </c>
      <c r="C60" t="str">
        <f>IF(AfsprakenCMV!E118&lt;&gt;" ",AfsprakenCMV!D118&amp;": "&amp;AfsprakenCMV!E118,"")</f>
        <v/>
      </c>
    </row>
    <row r="61" spans="1:3" x14ac:dyDescent="0.2">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2">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2">
      <c r="A63" t="s">
        <v>5109</v>
      </c>
      <c r="B63" s="373" t="s">
        <v>4892</v>
      </c>
      <c r="C63" t="str">
        <f>IF(Intake!D29&lt;&gt;0,"Opmerkingen: "&amp;Intake!D29,"")</f>
        <v/>
      </c>
    </row>
    <row r="64" spans="1:3" x14ac:dyDescent="0.2">
      <c r="A64" t="s">
        <v>1561</v>
      </c>
      <c r="B64" s="372" t="s">
        <v>4885</v>
      </c>
      <c r="C64" t="str">
        <f>IF(AfsprakenCMV!D40&lt;&gt;"",AfsprakenCMV!C40&amp;": "&amp;AfsprakenCMV!D40,"")</f>
        <v/>
      </c>
    </row>
    <row r="65" spans="1:3" x14ac:dyDescent="0.2">
      <c r="A65" t="s">
        <v>1561</v>
      </c>
      <c r="B65" s="372" t="s">
        <v>4886</v>
      </c>
      <c r="C65" t="str">
        <f>IF(AfsprakenCMV!D41&lt;&gt;"",AfsprakenCMV!C41&amp;": "&amp;AfsprakenCMV!D41,"")</f>
        <v/>
      </c>
    </row>
    <row r="66" spans="1:3" x14ac:dyDescent="0.2">
      <c r="A66" t="s">
        <v>1561</v>
      </c>
      <c r="B66" s="372" t="s">
        <v>4887</v>
      </c>
      <c r="C66" t="str">
        <f>IF(AfsprakenCMV!D42&lt;&gt;"",AfsprakenCMV!C42&amp;": "&amp;AfsprakenCMV!D42,"")</f>
        <v/>
      </c>
    </row>
    <row r="67" spans="1:3" x14ac:dyDescent="0.2">
      <c r="A67" t="s">
        <v>1561</v>
      </c>
      <c r="B67" s="372" t="s">
        <v>4888</v>
      </c>
      <c r="C67" t="str">
        <f>IF(AfsprakenCMV!D43&lt;&gt;"",AfsprakenCMV!C43&amp;": "&amp;AfsprakenCMV!D43,"")</f>
        <v/>
      </c>
    </row>
    <row r="68" spans="1:3" x14ac:dyDescent="0.2">
      <c r="A68" t="s">
        <v>1561</v>
      </c>
      <c r="B68" s="372" t="s">
        <v>4889</v>
      </c>
      <c r="C68" t="str">
        <f>IF(AfsprakenCMV!D44&lt;&gt;"",AfsprakenCMV!C44&amp;": "&amp;AfsprakenCMV!D44,"")</f>
        <v/>
      </c>
    </row>
    <row r="69" spans="1:3" x14ac:dyDescent="0.2">
      <c r="A69" t="s">
        <v>1561</v>
      </c>
      <c r="B69" s="372" t="s">
        <v>4890</v>
      </c>
      <c r="C69" t="str">
        <f>IF(AfsprakenCMV!D45&lt;&gt;0,AfsprakenCMV!C45&amp;": "&amp;AfsprakenCMV!D45,"")</f>
        <v/>
      </c>
    </row>
    <row r="70" spans="1:3" x14ac:dyDescent="0.2">
      <c r="A70" t="s">
        <v>3527</v>
      </c>
      <c r="B70" s="372" t="s">
        <v>4885</v>
      </c>
      <c r="C70" t="str">
        <f>AfsprakenCMV!C129&amp;": "&amp;AfsprakenCMV!D129</f>
        <v>Vocht: 0 ml/kg</v>
      </c>
    </row>
    <row r="71" spans="1:3" x14ac:dyDescent="0.2">
      <c r="A71" t="s">
        <v>3527</v>
      </c>
      <c r="B71" s="372" t="s">
        <v>4886</v>
      </c>
      <c r="C71" t="str">
        <f>AfsprakenCMV!C130&amp;": "&amp;AfsprakenCMV!D130</f>
        <v>Eiwit: 0  gram/kg</v>
      </c>
    </row>
    <row r="72" spans="1:3" x14ac:dyDescent="0.2">
      <c r="A72" t="s">
        <v>3527</v>
      </c>
      <c r="B72" s="372" t="s">
        <v>4887</v>
      </c>
      <c r="C72" t="str">
        <f>AfsprakenCMV!C131&amp;": "&amp;AfsprakenCMV!D131</f>
        <v>Glucose/KH: 0 g/kg</v>
      </c>
    </row>
    <row r="73" spans="1:3" x14ac:dyDescent="0.2">
      <c r="A73" t="s">
        <v>3527</v>
      </c>
      <c r="B73" s="372" t="s">
        <v>4888</v>
      </c>
      <c r="C73" t="str">
        <f>AfsprakenCMV!E129&amp;": "&amp;AfsprakenCMV!F129</f>
        <v>Calorieen: 0 kCal/kg</v>
      </c>
    </row>
    <row r="74" spans="1:3" x14ac:dyDescent="0.2">
      <c r="A74" t="s">
        <v>3527</v>
      </c>
      <c r="B74" s="372" t="s">
        <v>4889</v>
      </c>
      <c r="C74" t="str">
        <f>AfsprakenCMV!E130&amp;": "&amp;AfsprakenCMV!F130</f>
        <v>Vet: 0 gram/kg</v>
      </c>
    </row>
    <row r="75" spans="1:3" x14ac:dyDescent="0.2">
      <c r="A75" t="s">
        <v>3527</v>
      </c>
      <c r="B75" s="372" t="s">
        <v>4890</v>
      </c>
      <c r="C75" t="str">
        <f>AfsprakenCMV!G129&amp;": "&amp;AfsprakenCMV!H129</f>
        <v>Kalium: 0 mmol/kg</v>
      </c>
    </row>
    <row r="76" spans="1:3" x14ac:dyDescent="0.2">
      <c r="A76" t="s">
        <v>3527</v>
      </c>
      <c r="B76" s="372" t="s">
        <v>4891</v>
      </c>
      <c r="C76" t="str">
        <f>AfsprakenCMV!G130&amp;": "&amp;AfsprakenCMV!H130</f>
        <v>Calcium: 0 mmol/kg</v>
      </c>
    </row>
    <row r="77" spans="1:3" x14ac:dyDescent="0.2">
      <c r="A77" t="s">
        <v>3527</v>
      </c>
      <c r="B77" s="372" t="s">
        <v>4892</v>
      </c>
      <c r="C77" t="str">
        <f>AfsprakenCMV!G131&amp;": "&amp;AfsprakenCMV!H131</f>
        <v>Magnesium: 0 mmol/kg</v>
      </c>
    </row>
    <row r="78" spans="1:3" x14ac:dyDescent="0.2">
      <c r="A78" t="s">
        <v>3527</v>
      </c>
      <c r="B78" s="372" t="s">
        <v>4893</v>
      </c>
      <c r="C78" t="str">
        <f>AfsprakenCMV!I129&amp;": "&amp;AfsprakenCMV!J129</f>
        <v>Natrium : 0 mmol/kg</v>
      </c>
    </row>
    <row r="79" spans="1:3" x14ac:dyDescent="0.2">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RowHeight="12.75" x14ac:dyDescent="0.2"/>
  <cols>
    <col min="1" max="1" width="5.28515625" style="20" customWidth="1"/>
    <col min="2" max="2" width="3.5703125" style="20" customWidth="1"/>
    <col min="3" max="3" width="16.85546875" style="20" customWidth="1"/>
    <col min="4" max="4" width="13.42578125" style="20" customWidth="1"/>
    <col min="5" max="5" width="11.140625" style="20" customWidth="1"/>
    <col min="6" max="6" width="11" style="20" customWidth="1"/>
    <col min="7" max="7" width="16.5703125" style="20" customWidth="1"/>
    <col min="8" max="8" width="20.140625" style="20" customWidth="1"/>
    <col min="9" max="9" width="9.140625" style="20"/>
    <col min="10" max="10" width="10.7109375" style="20" bestFit="1" customWidth="1"/>
    <col min="11" max="16384" width="9.140625" style="20"/>
  </cols>
  <sheetData>
    <row r="1" spans="1:81" ht="7.5" customHeight="1" x14ac:dyDescent="0.2">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2">
      <c r="A2" s="201"/>
      <c r="B2" s="201"/>
      <c r="C2" s="217" t="s">
        <v>3000</v>
      </c>
      <c r="D2" s="218">
        <f ca="1">AfspraakDatum</f>
        <v>42185</v>
      </c>
      <c r="E2" s="219"/>
      <c r="F2" s="217" t="s">
        <v>3001</v>
      </c>
      <c r="G2" s="201"/>
      <c r="H2" s="220">
        <f>OpnDatum</f>
        <v>41363</v>
      </c>
      <c r="I2" s="217" t="str">
        <f ca="1">"ICU-dag: "&amp;AfspraakDatum-OpnDatum+1</f>
        <v>ICU-dag: 823</v>
      </c>
      <c r="J2" s="217"/>
      <c r="K2" s="217"/>
      <c r="L2" s="217"/>
      <c r="M2" s="201"/>
      <c r="N2" s="201"/>
      <c r="O2" s="201"/>
      <c r="P2" s="201"/>
      <c r="Q2" s="201"/>
      <c r="R2" s="201"/>
      <c r="S2" s="201"/>
      <c r="T2" s="201"/>
      <c r="U2" s="201"/>
      <c r="V2" s="201"/>
      <c r="W2" s="201"/>
      <c r="X2" s="201"/>
    </row>
    <row r="3" spans="1:81" ht="17.25" customHeight="1" x14ac:dyDescent="0.2">
      <c r="A3" s="201"/>
      <c r="B3" s="216"/>
      <c r="C3" s="217" t="s">
        <v>288</v>
      </c>
      <c r="D3" s="221" t="str">
        <f>AchterNaam&amp;", "&amp;VoorNaam</f>
        <v>Achternaam, Voornaam</v>
      </c>
      <c r="E3" s="221"/>
      <c r="F3" s="217" t="s">
        <v>3097</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2">
      <c r="A4" s="223"/>
      <c r="B4" s="223"/>
      <c r="C4" s="217" t="s">
        <v>3468</v>
      </c>
      <c r="D4" s="222">
        <f>PatNummer</f>
        <v>0</v>
      </c>
      <c r="E4" s="219"/>
      <c r="F4" s="217" t="s">
        <v>2763</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x14ac:dyDescent="0.2">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x14ac:dyDescent="0.2">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75" customHeight="1" x14ac:dyDescent="0.2">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2">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2">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2">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2">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2">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2">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2">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2">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2">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2">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2">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2">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2">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2">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2">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2">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2">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x14ac:dyDescent="0.2">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x14ac:dyDescent="0.2">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x14ac:dyDescent="0.2">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x14ac:dyDescent="0.2">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x14ac:dyDescent="0.2">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2">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2">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2">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2">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2">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2">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2">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2">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2">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2">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2">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2">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2">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2">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2">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2">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2">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2">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2">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2">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2">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2">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2">
      <c r="A52" s="200"/>
      <c r="B52" s="200"/>
      <c r="C52" s="200"/>
      <c r="D52" s="200"/>
      <c r="E52" s="200"/>
      <c r="F52" s="200"/>
      <c r="G52" s="200"/>
      <c r="H52" s="200"/>
      <c r="I52" s="200"/>
      <c r="J52" s="200"/>
      <c r="K52" s="200"/>
      <c r="L52" s="200"/>
      <c r="M52" s="200"/>
      <c r="N52" s="200"/>
      <c r="O52" s="200"/>
      <c r="P52" s="200"/>
      <c r="Q52" s="200"/>
      <c r="R52" s="200"/>
    </row>
    <row r="53" spans="1:24" x14ac:dyDescent="0.2">
      <c r="A53" s="200"/>
      <c r="B53" s="200"/>
      <c r="C53" s="200"/>
      <c r="D53" s="200"/>
      <c r="E53" s="200"/>
      <c r="F53" s="200"/>
      <c r="G53" s="200"/>
      <c r="H53" s="200"/>
      <c r="I53" s="200"/>
      <c r="J53" s="200"/>
      <c r="K53" s="200"/>
      <c r="L53" s="200"/>
      <c r="M53" s="200"/>
      <c r="N53" s="200"/>
      <c r="O53" s="200"/>
      <c r="P53" s="200"/>
      <c r="Q53" s="200"/>
      <c r="R53" s="200"/>
    </row>
    <row r="54" spans="1:24" x14ac:dyDescent="0.2">
      <c r="A54" s="200"/>
      <c r="B54" s="200"/>
      <c r="C54" s="200"/>
      <c r="D54" s="200"/>
      <c r="E54" s="200"/>
      <c r="F54" s="200"/>
      <c r="G54" s="200"/>
      <c r="H54" s="200"/>
      <c r="I54" s="200"/>
      <c r="J54" s="200"/>
      <c r="K54" s="200"/>
      <c r="L54" s="200"/>
      <c r="M54" s="200"/>
      <c r="N54" s="200"/>
      <c r="O54" s="200"/>
      <c r="P54" s="200"/>
      <c r="Q54" s="200"/>
      <c r="R54" s="200"/>
    </row>
    <row r="55" spans="1:24" x14ac:dyDescent="0.2">
      <c r="A55" s="200"/>
      <c r="B55" s="200"/>
      <c r="C55" s="200"/>
      <c r="D55" s="200"/>
      <c r="E55" s="200"/>
      <c r="F55" s="200"/>
      <c r="G55" s="200"/>
      <c r="H55" s="200"/>
      <c r="I55" s="200"/>
      <c r="J55" s="200"/>
      <c r="K55" s="200"/>
      <c r="L55" s="200"/>
      <c r="M55" s="200"/>
      <c r="N55" s="200"/>
      <c r="O55" s="200"/>
      <c r="P55" s="200"/>
      <c r="Q55" s="200"/>
      <c r="R55" s="200"/>
    </row>
    <row r="56" spans="1:24" x14ac:dyDescent="0.2">
      <c r="A56" s="200"/>
      <c r="B56" s="200"/>
      <c r="C56" s="200"/>
      <c r="D56" s="200"/>
      <c r="E56" s="200"/>
      <c r="F56" s="200"/>
      <c r="G56" s="200"/>
      <c r="H56" s="200"/>
      <c r="I56" s="200"/>
      <c r="J56" s="200"/>
      <c r="K56" s="200"/>
      <c r="L56" s="200"/>
      <c r="M56" s="200"/>
      <c r="N56" s="200"/>
      <c r="O56" s="200"/>
      <c r="P56" s="200"/>
      <c r="Q56" s="200"/>
      <c r="R56" s="200"/>
    </row>
    <row r="57" spans="1:24" x14ac:dyDescent="0.2">
      <c r="A57" s="200"/>
      <c r="B57" s="200"/>
      <c r="C57" s="200"/>
      <c r="D57" s="200"/>
      <c r="E57" s="200"/>
      <c r="F57" s="200"/>
      <c r="G57" s="200"/>
      <c r="H57" s="200"/>
      <c r="I57" s="200"/>
      <c r="J57" s="200"/>
      <c r="K57" s="200"/>
      <c r="L57" s="200"/>
      <c r="M57" s="200"/>
      <c r="N57" s="200"/>
      <c r="O57" s="200"/>
      <c r="P57" s="200"/>
      <c r="Q57" s="200"/>
      <c r="R57" s="200"/>
    </row>
    <row r="58" spans="1:24" x14ac:dyDescent="0.2">
      <c r="A58" s="200"/>
      <c r="B58" s="200"/>
      <c r="C58" s="200"/>
      <c r="D58" s="200"/>
      <c r="E58" s="200"/>
      <c r="F58" s="200"/>
      <c r="G58" s="200"/>
      <c r="H58" s="200"/>
      <c r="I58" s="200"/>
      <c r="J58" s="200"/>
      <c r="K58" s="200"/>
      <c r="L58" s="200"/>
      <c r="M58" s="200"/>
      <c r="N58" s="200"/>
      <c r="O58" s="200"/>
      <c r="P58" s="200"/>
      <c r="Q58" s="200"/>
      <c r="R58" s="200"/>
    </row>
    <row r="59" spans="1:24" x14ac:dyDescent="0.2">
      <c r="A59" s="200"/>
      <c r="B59" s="200"/>
      <c r="C59" s="200"/>
      <c r="D59" s="200"/>
      <c r="E59" s="200"/>
      <c r="F59" s="200"/>
      <c r="G59" s="200"/>
      <c r="H59" s="200"/>
      <c r="I59" s="200"/>
      <c r="J59" s="200"/>
      <c r="K59" s="200"/>
      <c r="L59" s="200"/>
      <c r="M59" s="200"/>
      <c r="N59" s="200"/>
      <c r="O59" s="200"/>
      <c r="P59" s="200"/>
      <c r="Q59" s="200"/>
      <c r="R59" s="200"/>
    </row>
    <row r="60" spans="1:24" x14ac:dyDescent="0.2">
      <c r="A60" s="200"/>
      <c r="B60" s="200"/>
      <c r="C60" s="200"/>
      <c r="D60" s="200"/>
      <c r="E60" s="200"/>
      <c r="F60" s="200"/>
      <c r="G60" s="200"/>
      <c r="H60" s="200"/>
      <c r="I60" s="200"/>
      <c r="J60" s="200"/>
      <c r="K60" s="200"/>
      <c r="L60" s="200"/>
      <c r="M60" s="200"/>
      <c r="N60" s="200"/>
      <c r="O60" s="200"/>
      <c r="P60" s="200"/>
      <c r="Q60" s="200"/>
      <c r="R60" s="200"/>
    </row>
    <row r="61" spans="1:24" x14ac:dyDescent="0.2">
      <c r="A61" s="200"/>
      <c r="B61" s="200"/>
      <c r="C61" s="200"/>
      <c r="D61" s="200"/>
      <c r="E61" s="200"/>
      <c r="F61" s="200"/>
      <c r="G61" s="200"/>
      <c r="H61" s="200"/>
      <c r="I61" s="200"/>
      <c r="J61" s="200"/>
      <c r="K61" s="200"/>
      <c r="L61" s="200"/>
      <c r="M61" s="200"/>
      <c r="N61" s="200"/>
      <c r="O61" s="200"/>
      <c r="P61" s="200"/>
      <c r="Q61" s="200"/>
      <c r="R61" s="200"/>
    </row>
    <row r="62" spans="1:24" x14ac:dyDescent="0.2">
      <c r="A62" s="200"/>
      <c r="B62" s="200"/>
      <c r="C62" s="200"/>
      <c r="D62" s="200"/>
      <c r="E62" s="200"/>
      <c r="F62" s="200"/>
      <c r="G62" s="200"/>
      <c r="H62" s="200"/>
      <c r="I62" s="200"/>
      <c r="J62" s="200"/>
      <c r="K62" s="200"/>
      <c r="L62" s="200"/>
      <c r="M62" s="200"/>
      <c r="N62" s="200"/>
      <c r="O62" s="200"/>
      <c r="P62" s="200"/>
      <c r="Q62" s="200"/>
      <c r="R62" s="200"/>
    </row>
    <row r="63" spans="1:24" x14ac:dyDescent="0.2">
      <c r="A63" s="200"/>
      <c r="B63" s="200"/>
      <c r="C63" s="200"/>
      <c r="D63" s="200"/>
      <c r="E63" s="200"/>
      <c r="F63" s="200"/>
      <c r="G63" s="200"/>
      <c r="H63" s="200"/>
      <c r="I63" s="200"/>
      <c r="J63" s="200"/>
      <c r="K63" s="200"/>
      <c r="L63" s="200"/>
      <c r="M63" s="200"/>
      <c r="N63" s="200"/>
      <c r="O63" s="200"/>
      <c r="P63" s="200"/>
      <c r="Q63" s="200"/>
      <c r="R63" s="200"/>
    </row>
    <row r="64" spans="1:24" x14ac:dyDescent="0.2">
      <c r="A64" s="200"/>
      <c r="B64" s="200"/>
      <c r="C64" s="200"/>
      <c r="D64" s="200"/>
      <c r="E64" s="200"/>
      <c r="F64" s="200"/>
      <c r="G64" s="200"/>
      <c r="H64" s="200"/>
      <c r="I64" s="200"/>
      <c r="J64" s="200"/>
      <c r="K64" s="200"/>
      <c r="L64" s="200"/>
      <c r="M64" s="200"/>
      <c r="N64" s="200"/>
      <c r="O64" s="200"/>
      <c r="P64" s="200"/>
      <c r="Q64" s="200"/>
      <c r="R64" s="200"/>
    </row>
    <row r="65" spans="1:18" x14ac:dyDescent="0.2">
      <c r="A65" s="200"/>
      <c r="B65" s="200"/>
      <c r="C65" s="200"/>
      <c r="D65" s="200"/>
      <c r="E65" s="200"/>
      <c r="F65" s="200"/>
      <c r="G65" s="200"/>
      <c r="H65" s="200"/>
      <c r="I65" s="200"/>
      <c r="J65" s="200"/>
      <c r="K65" s="200"/>
      <c r="L65" s="200"/>
      <c r="M65" s="200"/>
      <c r="N65" s="200"/>
      <c r="O65" s="200"/>
      <c r="P65" s="200"/>
      <c r="Q65" s="200"/>
      <c r="R65" s="200"/>
    </row>
    <row r="66" spans="1:18" x14ac:dyDescent="0.2">
      <c r="A66" s="200"/>
      <c r="B66" s="200"/>
      <c r="C66" s="200"/>
      <c r="D66" s="200"/>
      <c r="E66" s="200"/>
      <c r="F66" s="200"/>
      <c r="G66" s="200"/>
      <c r="H66" s="200"/>
      <c r="I66" s="200"/>
      <c r="J66" s="200"/>
      <c r="K66" s="200"/>
      <c r="L66" s="200"/>
      <c r="M66" s="200"/>
      <c r="N66" s="200"/>
      <c r="O66" s="200"/>
      <c r="P66" s="200"/>
      <c r="Q66" s="200"/>
      <c r="R66" s="200"/>
    </row>
    <row r="67" spans="1:18" x14ac:dyDescent="0.2">
      <c r="A67" s="200"/>
      <c r="B67" s="200"/>
      <c r="C67" s="200"/>
      <c r="D67" s="200"/>
      <c r="E67" s="200"/>
      <c r="F67" s="200"/>
      <c r="G67" s="200"/>
      <c r="H67" s="200"/>
      <c r="I67" s="200"/>
      <c r="J67" s="200"/>
      <c r="K67" s="200"/>
      <c r="L67" s="200"/>
      <c r="M67" s="200"/>
      <c r="N67" s="200"/>
      <c r="O67" s="200"/>
      <c r="P67" s="200"/>
      <c r="Q67" s="200"/>
      <c r="R67" s="200"/>
    </row>
    <row r="68" spans="1:18" x14ac:dyDescent="0.2">
      <c r="A68" s="200"/>
      <c r="B68" s="200"/>
      <c r="C68" s="200"/>
      <c r="D68" s="200"/>
      <c r="E68" s="200"/>
      <c r="F68" s="200"/>
      <c r="G68" s="200"/>
      <c r="H68" s="200"/>
      <c r="I68" s="200"/>
      <c r="J68" s="200"/>
      <c r="K68" s="200"/>
      <c r="L68" s="200"/>
      <c r="M68" s="200"/>
      <c r="N68" s="200"/>
      <c r="O68" s="200"/>
      <c r="P68" s="200"/>
      <c r="Q68" s="200"/>
      <c r="R68" s="200"/>
    </row>
    <row r="69" spans="1:18" x14ac:dyDescent="0.2">
      <c r="A69" s="200"/>
      <c r="B69" s="200"/>
      <c r="C69" s="200"/>
      <c r="D69" s="200"/>
      <c r="E69" s="200"/>
      <c r="F69" s="200"/>
      <c r="G69" s="200"/>
      <c r="H69" s="200"/>
      <c r="I69" s="200"/>
      <c r="J69" s="200"/>
      <c r="K69" s="200"/>
      <c r="L69" s="200"/>
      <c r="M69" s="200"/>
      <c r="N69" s="200"/>
      <c r="O69" s="200"/>
      <c r="P69" s="200"/>
      <c r="Q69" s="200"/>
      <c r="R69" s="200"/>
    </row>
    <row r="70" spans="1:18" x14ac:dyDescent="0.2">
      <c r="A70" s="200"/>
      <c r="B70" s="200"/>
      <c r="C70" s="200"/>
      <c r="D70" s="200"/>
      <c r="E70" s="200"/>
      <c r="F70" s="200"/>
      <c r="G70" s="200"/>
      <c r="H70" s="200"/>
      <c r="I70" s="200"/>
      <c r="J70" s="200"/>
      <c r="K70" s="200"/>
      <c r="L70" s="200"/>
      <c r="M70" s="200"/>
      <c r="N70" s="200"/>
      <c r="O70" s="200"/>
      <c r="P70" s="200"/>
      <c r="Q70" s="200"/>
      <c r="R70" s="200"/>
    </row>
    <row r="71" spans="1:18" x14ac:dyDescent="0.2">
      <c r="A71" s="200"/>
      <c r="B71" s="200"/>
      <c r="C71" s="200"/>
      <c r="D71" s="200"/>
      <c r="E71" s="200"/>
      <c r="F71" s="200"/>
      <c r="G71" s="200"/>
      <c r="H71" s="200"/>
      <c r="I71" s="200"/>
      <c r="J71" s="200"/>
      <c r="K71" s="200"/>
      <c r="L71" s="200"/>
      <c r="M71" s="200"/>
      <c r="N71" s="200"/>
      <c r="O71" s="200"/>
      <c r="P71" s="200"/>
      <c r="Q71" s="200"/>
      <c r="R71" s="200"/>
    </row>
    <row r="72" spans="1:18" x14ac:dyDescent="0.2">
      <c r="A72" s="200"/>
      <c r="B72" s="200"/>
      <c r="C72" s="200"/>
      <c r="D72" s="200"/>
      <c r="E72" s="200"/>
      <c r="F72" s="200"/>
      <c r="G72" s="200"/>
      <c r="H72" s="200"/>
      <c r="I72" s="200"/>
      <c r="J72" s="200"/>
      <c r="K72" s="200"/>
      <c r="L72" s="200"/>
      <c r="M72" s="200"/>
      <c r="N72" s="200"/>
      <c r="O72" s="200"/>
      <c r="P72" s="200"/>
      <c r="Q72" s="200"/>
      <c r="R72" s="200"/>
    </row>
    <row r="73" spans="1:18" x14ac:dyDescent="0.2">
      <c r="A73" s="200"/>
      <c r="B73" s="200"/>
      <c r="C73" s="200"/>
      <c r="D73" s="200"/>
      <c r="E73" s="200"/>
      <c r="F73" s="200"/>
      <c r="G73" s="200"/>
      <c r="H73" s="200"/>
      <c r="I73" s="200"/>
      <c r="J73" s="200"/>
      <c r="K73" s="200"/>
      <c r="L73" s="200"/>
      <c r="M73" s="200"/>
      <c r="N73" s="200"/>
      <c r="O73" s="200"/>
      <c r="P73" s="200"/>
      <c r="Q73" s="200"/>
      <c r="R73" s="200"/>
    </row>
    <row r="74" spans="1:18" x14ac:dyDescent="0.2">
      <c r="A74" s="200"/>
      <c r="B74" s="200"/>
      <c r="C74" s="200"/>
      <c r="D74" s="200"/>
      <c r="E74" s="200"/>
      <c r="F74" s="200"/>
      <c r="G74" s="200"/>
      <c r="H74" s="200"/>
      <c r="I74" s="200"/>
      <c r="J74" s="200"/>
      <c r="K74" s="200"/>
      <c r="L74" s="200"/>
      <c r="M74" s="200"/>
      <c r="N74" s="200"/>
      <c r="O74" s="200"/>
      <c r="P74" s="200"/>
      <c r="Q74" s="200"/>
      <c r="R74" s="200"/>
    </row>
    <row r="75" spans="1:18" x14ac:dyDescent="0.2">
      <c r="A75" s="200"/>
      <c r="B75" s="200"/>
      <c r="C75" s="200"/>
      <c r="D75" s="200"/>
      <c r="E75" s="200"/>
      <c r="F75" s="200"/>
      <c r="G75" s="200"/>
      <c r="H75" s="200"/>
      <c r="I75" s="200"/>
      <c r="J75" s="200"/>
      <c r="K75" s="200"/>
      <c r="L75" s="200"/>
      <c r="M75" s="200"/>
      <c r="N75" s="200"/>
      <c r="O75" s="200"/>
      <c r="P75" s="200"/>
      <c r="Q75" s="200"/>
      <c r="R75" s="200"/>
    </row>
    <row r="76" spans="1:18" x14ac:dyDescent="0.2">
      <c r="A76" s="200"/>
      <c r="B76" s="200"/>
      <c r="C76" s="200"/>
      <c r="D76" s="200"/>
      <c r="E76" s="200"/>
      <c r="F76" s="200"/>
      <c r="G76" s="200"/>
      <c r="H76" s="200"/>
      <c r="I76" s="200"/>
      <c r="J76" s="200"/>
      <c r="K76" s="200"/>
      <c r="L76" s="200"/>
      <c r="M76" s="200"/>
      <c r="N76" s="200"/>
      <c r="O76" s="200"/>
      <c r="P76" s="200"/>
      <c r="Q76" s="200"/>
      <c r="R76" s="200"/>
    </row>
    <row r="77" spans="1:18" x14ac:dyDescent="0.2">
      <c r="A77" s="200"/>
      <c r="B77" s="200"/>
      <c r="C77" s="200"/>
      <c r="D77" s="200"/>
      <c r="E77" s="200"/>
      <c r="F77" s="200"/>
      <c r="G77" s="200"/>
      <c r="H77" s="200"/>
      <c r="I77" s="200"/>
      <c r="J77" s="200"/>
      <c r="K77" s="200"/>
      <c r="L77" s="200"/>
      <c r="M77" s="200"/>
      <c r="N77" s="200"/>
      <c r="O77" s="200"/>
      <c r="P77" s="200"/>
      <c r="Q77" s="200"/>
      <c r="R77" s="200"/>
    </row>
    <row r="78" spans="1:18" x14ac:dyDescent="0.2">
      <c r="A78" s="200"/>
      <c r="B78" s="200"/>
      <c r="C78" s="200"/>
      <c r="D78" s="200"/>
      <c r="E78" s="200"/>
      <c r="F78" s="200"/>
      <c r="G78" s="200"/>
      <c r="H78" s="200"/>
      <c r="I78" s="200"/>
      <c r="J78" s="200"/>
      <c r="K78" s="200"/>
      <c r="L78" s="200"/>
      <c r="M78" s="200"/>
      <c r="N78" s="200"/>
      <c r="O78" s="200"/>
      <c r="P78" s="200"/>
      <c r="Q78" s="200"/>
      <c r="R78" s="200"/>
    </row>
    <row r="79" spans="1:18" x14ac:dyDescent="0.2">
      <c r="A79" s="200"/>
      <c r="B79" s="200"/>
      <c r="C79" s="200"/>
      <c r="D79" s="200"/>
      <c r="E79" s="200"/>
      <c r="F79" s="200"/>
      <c r="G79" s="200"/>
      <c r="H79" s="200"/>
      <c r="I79" s="200"/>
      <c r="J79" s="200"/>
      <c r="K79" s="200"/>
      <c r="L79" s="200"/>
      <c r="M79" s="200"/>
      <c r="N79" s="200"/>
      <c r="O79" s="200"/>
      <c r="P79" s="200"/>
      <c r="Q79" s="200"/>
      <c r="R79" s="200"/>
    </row>
    <row r="80" spans="1:18" x14ac:dyDescent="0.2">
      <c r="A80" s="200"/>
      <c r="B80" s="200"/>
      <c r="C80" s="200"/>
      <c r="D80" s="200"/>
      <c r="E80" s="200"/>
      <c r="F80" s="200"/>
      <c r="G80" s="200"/>
      <c r="H80" s="200"/>
      <c r="I80" s="200"/>
      <c r="J80" s="200"/>
      <c r="K80" s="200"/>
      <c r="L80" s="200"/>
      <c r="M80" s="200"/>
      <c r="N80" s="200"/>
      <c r="O80" s="200"/>
      <c r="P80" s="200"/>
      <c r="Q80" s="200"/>
      <c r="R80" s="200"/>
    </row>
    <row r="81" spans="1:18" x14ac:dyDescent="0.2">
      <c r="A81" s="200"/>
      <c r="B81" s="200"/>
      <c r="C81" s="200"/>
      <c r="D81" s="200"/>
      <c r="E81" s="200"/>
      <c r="F81" s="200"/>
      <c r="G81" s="200"/>
      <c r="H81" s="200"/>
      <c r="I81" s="200"/>
      <c r="J81" s="200"/>
      <c r="K81" s="200"/>
      <c r="L81" s="200"/>
      <c r="M81" s="200"/>
      <c r="N81" s="200"/>
      <c r="O81" s="200"/>
      <c r="P81" s="200"/>
      <c r="Q81" s="200"/>
      <c r="R81" s="200"/>
    </row>
    <row r="82" spans="1:18" x14ac:dyDescent="0.2">
      <c r="A82" s="200"/>
      <c r="B82" s="200"/>
      <c r="C82" s="200"/>
      <c r="D82" s="200"/>
      <c r="E82" s="200"/>
      <c r="F82" s="200"/>
      <c r="G82" s="200"/>
      <c r="H82" s="200"/>
      <c r="I82" s="200"/>
      <c r="J82" s="200"/>
      <c r="K82" s="200"/>
      <c r="L82" s="200"/>
      <c r="M82" s="200"/>
      <c r="N82" s="200"/>
      <c r="O82" s="200"/>
      <c r="P82" s="200"/>
      <c r="Q82" s="200"/>
      <c r="R82" s="200"/>
    </row>
    <row r="83" spans="1:18" x14ac:dyDescent="0.2">
      <c r="A83" s="200"/>
      <c r="B83" s="200"/>
      <c r="C83" s="200"/>
      <c r="D83" s="200"/>
      <c r="E83" s="200"/>
      <c r="F83" s="200"/>
      <c r="G83" s="200"/>
      <c r="H83" s="200"/>
      <c r="I83" s="200"/>
      <c r="J83" s="200"/>
      <c r="K83" s="200"/>
      <c r="L83" s="200"/>
      <c r="M83" s="200"/>
      <c r="N83" s="200"/>
      <c r="O83" s="200"/>
      <c r="P83" s="200"/>
      <c r="Q83" s="200"/>
      <c r="R83" s="200"/>
    </row>
    <row r="84" spans="1:18" x14ac:dyDescent="0.2">
      <c r="A84" s="200"/>
      <c r="B84" s="200"/>
      <c r="C84" s="200"/>
      <c r="D84" s="200"/>
      <c r="E84" s="200"/>
      <c r="F84" s="200"/>
      <c r="G84" s="200"/>
      <c r="H84" s="200"/>
      <c r="I84" s="200"/>
      <c r="J84" s="200"/>
      <c r="K84" s="200"/>
      <c r="L84" s="200"/>
      <c r="M84" s="200"/>
      <c r="N84" s="200"/>
      <c r="O84" s="200"/>
      <c r="P84" s="200"/>
      <c r="Q84" s="200"/>
      <c r="R84" s="200"/>
    </row>
    <row r="85" spans="1:18" x14ac:dyDescent="0.2">
      <c r="A85" s="200"/>
      <c r="B85" s="200"/>
      <c r="C85" s="200"/>
      <c r="D85" s="200"/>
      <c r="E85" s="200"/>
      <c r="F85" s="200"/>
      <c r="G85" s="200"/>
      <c r="H85" s="200"/>
      <c r="I85" s="200"/>
      <c r="J85" s="200"/>
      <c r="K85" s="200"/>
      <c r="L85" s="200"/>
      <c r="M85" s="200"/>
      <c r="N85" s="200"/>
      <c r="O85" s="200"/>
      <c r="P85" s="200"/>
      <c r="Q85" s="200"/>
      <c r="R85" s="200"/>
    </row>
    <row r="86" spans="1:18" x14ac:dyDescent="0.2">
      <c r="A86" s="200"/>
      <c r="B86" s="200"/>
      <c r="C86" s="200"/>
      <c r="D86" s="200"/>
      <c r="E86" s="200"/>
      <c r="F86" s="200"/>
      <c r="G86" s="200"/>
      <c r="H86" s="200"/>
      <c r="I86" s="200"/>
      <c r="J86" s="200"/>
      <c r="K86" s="200"/>
      <c r="L86" s="200"/>
      <c r="M86" s="200"/>
      <c r="N86" s="200"/>
      <c r="O86" s="200"/>
      <c r="P86" s="200"/>
      <c r="Q86" s="200"/>
      <c r="R86" s="200"/>
    </row>
    <row r="87" spans="1:18" x14ac:dyDescent="0.2">
      <c r="A87" s="200"/>
      <c r="B87" s="200"/>
      <c r="C87" s="200"/>
      <c r="D87" s="200"/>
      <c r="E87" s="200"/>
      <c r="F87" s="200"/>
      <c r="G87" s="200"/>
      <c r="H87" s="200"/>
      <c r="I87" s="200"/>
      <c r="J87" s="200"/>
      <c r="K87" s="200"/>
      <c r="L87" s="200"/>
      <c r="M87" s="200"/>
      <c r="N87" s="200"/>
      <c r="O87" s="200"/>
      <c r="P87" s="200"/>
      <c r="Q87" s="200"/>
      <c r="R87" s="200"/>
    </row>
    <row r="88" spans="1:18" x14ac:dyDescent="0.2">
      <c r="A88" s="200"/>
      <c r="B88" s="200"/>
      <c r="C88" s="200"/>
      <c r="D88" s="200"/>
      <c r="E88" s="200"/>
      <c r="F88" s="200"/>
      <c r="G88" s="200"/>
      <c r="H88" s="200"/>
      <c r="I88" s="200"/>
      <c r="J88" s="200"/>
      <c r="K88" s="200"/>
      <c r="L88" s="200"/>
      <c r="M88" s="200"/>
      <c r="N88" s="200"/>
      <c r="O88" s="200"/>
      <c r="P88" s="200"/>
      <c r="Q88" s="200"/>
      <c r="R88" s="200"/>
    </row>
    <row r="89" spans="1:18" x14ac:dyDescent="0.2">
      <c r="A89" s="200"/>
      <c r="B89" s="200"/>
      <c r="C89" s="200"/>
      <c r="D89" s="200"/>
      <c r="E89" s="200"/>
      <c r="F89" s="200"/>
      <c r="G89" s="200"/>
      <c r="H89" s="200"/>
      <c r="I89" s="200"/>
      <c r="J89" s="200"/>
      <c r="K89" s="200"/>
      <c r="L89" s="200"/>
      <c r="M89" s="200"/>
      <c r="N89" s="200"/>
      <c r="O89" s="200"/>
      <c r="P89" s="200"/>
      <c r="Q89" s="200"/>
      <c r="R89" s="200"/>
    </row>
    <row r="90" spans="1:18" x14ac:dyDescent="0.2">
      <c r="A90" s="200"/>
      <c r="B90" s="200"/>
      <c r="C90" s="200"/>
      <c r="D90" s="200"/>
      <c r="E90" s="200"/>
      <c r="F90" s="200"/>
      <c r="G90" s="200"/>
      <c r="H90" s="200"/>
      <c r="I90" s="200"/>
      <c r="J90" s="200"/>
      <c r="K90" s="200"/>
      <c r="L90" s="200"/>
      <c r="M90" s="200"/>
      <c r="N90" s="200"/>
      <c r="O90" s="200"/>
      <c r="P90" s="200"/>
      <c r="Q90" s="200"/>
      <c r="R90" s="200"/>
    </row>
    <row r="91" spans="1:18" x14ac:dyDescent="0.2">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114300</xdr:colOff>
                    <xdr:row>7</xdr:row>
                    <xdr:rowOff>38100</xdr:rowOff>
                  </from>
                  <to>
                    <xdr:col>2</xdr:col>
                    <xdr:colOff>1057275</xdr:colOff>
                    <xdr:row>8</xdr:row>
                    <xdr:rowOff>9525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114300</xdr:colOff>
                    <xdr:row>8</xdr:row>
                    <xdr:rowOff>38100</xdr:rowOff>
                  </from>
                  <to>
                    <xdr:col>2</xdr:col>
                    <xdr:colOff>1057275</xdr:colOff>
                    <xdr:row>9</xdr:row>
                    <xdr:rowOff>9525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114300</xdr:colOff>
                    <xdr:row>9</xdr:row>
                    <xdr:rowOff>38100</xdr:rowOff>
                  </from>
                  <to>
                    <xdr:col>2</xdr:col>
                    <xdr:colOff>1057275</xdr:colOff>
                    <xdr:row>10</xdr:row>
                    <xdr:rowOff>9525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114300</xdr:colOff>
                    <xdr:row>10</xdr:row>
                    <xdr:rowOff>38100</xdr:rowOff>
                  </from>
                  <to>
                    <xdr:col>2</xdr:col>
                    <xdr:colOff>1057275</xdr:colOff>
                    <xdr:row>11</xdr:row>
                    <xdr:rowOff>9525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114300</xdr:colOff>
                    <xdr:row>11</xdr:row>
                    <xdr:rowOff>38100</xdr:rowOff>
                  </from>
                  <to>
                    <xdr:col>2</xdr:col>
                    <xdr:colOff>1057275</xdr:colOff>
                    <xdr:row>12</xdr:row>
                    <xdr:rowOff>9525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114300</xdr:colOff>
                    <xdr:row>12</xdr:row>
                    <xdr:rowOff>38100</xdr:rowOff>
                  </from>
                  <to>
                    <xdr:col>2</xdr:col>
                    <xdr:colOff>1057275</xdr:colOff>
                    <xdr:row>13</xdr:row>
                    <xdr:rowOff>9525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114300</xdr:colOff>
                    <xdr:row>13</xdr:row>
                    <xdr:rowOff>38100</xdr:rowOff>
                  </from>
                  <to>
                    <xdr:col>2</xdr:col>
                    <xdr:colOff>1057275</xdr:colOff>
                    <xdr:row>14</xdr:row>
                    <xdr:rowOff>9525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114300</xdr:colOff>
                    <xdr:row>14</xdr:row>
                    <xdr:rowOff>38100</xdr:rowOff>
                  </from>
                  <to>
                    <xdr:col>2</xdr:col>
                    <xdr:colOff>1057275</xdr:colOff>
                    <xdr:row>15</xdr:row>
                    <xdr:rowOff>9525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114300</xdr:colOff>
                    <xdr:row>15</xdr:row>
                    <xdr:rowOff>38100</xdr:rowOff>
                  </from>
                  <to>
                    <xdr:col>2</xdr:col>
                    <xdr:colOff>1057275</xdr:colOff>
                    <xdr:row>16</xdr:row>
                    <xdr:rowOff>9525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19050</xdr:colOff>
                    <xdr:row>7</xdr:row>
                    <xdr:rowOff>19050</xdr:rowOff>
                  </from>
                  <to>
                    <xdr:col>5</xdr:col>
                    <xdr:colOff>723900</xdr:colOff>
                    <xdr:row>7</xdr:row>
                    <xdr:rowOff>238125</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19050</xdr:colOff>
                    <xdr:row>8</xdr:row>
                    <xdr:rowOff>19050</xdr:rowOff>
                  </from>
                  <to>
                    <xdr:col>5</xdr:col>
                    <xdr:colOff>723900</xdr:colOff>
                    <xdr:row>8</xdr:row>
                    <xdr:rowOff>238125</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19050</xdr:colOff>
                    <xdr:row>9</xdr:row>
                    <xdr:rowOff>19050</xdr:rowOff>
                  </from>
                  <to>
                    <xdr:col>5</xdr:col>
                    <xdr:colOff>723900</xdr:colOff>
                    <xdr:row>9</xdr:row>
                    <xdr:rowOff>238125</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19050</xdr:colOff>
                    <xdr:row>10</xdr:row>
                    <xdr:rowOff>19050</xdr:rowOff>
                  </from>
                  <to>
                    <xdr:col>5</xdr:col>
                    <xdr:colOff>723900</xdr:colOff>
                    <xdr:row>10</xdr:row>
                    <xdr:rowOff>238125</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19050</xdr:colOff>
                    <xdr:row>11</xdr:row>
                    <xdr:rowOff>19050</xdr:rowOff>
                  </from>
                  <to>
                    <xdr:col>5</xdr:col>
                    <xdr:colOff>723900</xdr:colOff>
                    <xdr:row>11</xdr:row>
                    <xdr:rowOff>238125</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19050</xdr:colOff>
                    <xdr:row>12</xdr:row>
                    <xdr:rowOff>19050</xdr:rowOff>
                  </from>
                  <to>
                    <xdr:col>5</xdr:col>
                    <xdr:colOff>723900</xdr:colOff>
                    <xdr:row>12</xdr:row>
                    <xdr:rowOff>238125</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19050</xdr:colOff>
                    <xdr:row>13</xdr:row>
                    <xdr:rowOff>19050</xdr:rowOff>
                  </from>
                  <to>
                    <xdr:col>5</xdr:col>
                    <xdr:colOff>723900</xdr:colOff>
                    <xdr:row>13</xdr:row>
                    <xdr:rowOff>238125</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19050</xdr:colOff>
                    <xdr:row>14</xdr:row>
                    <xdr:rowOff>19050</xdr:rowOff>
                  </from>
                  <to>
                    <xdr:col>5</xdr:col>
                    <xdr:colOff>723900</xdr:colOff>
                    <xdr:row>14</xdr:row>
                    <xdr:rowOff>238125</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19050</xdr:colOff>
                    <xdr:row>15</xdr:row>
                    <xdr:rowOff>19050</xdr:rowOff>
                  </from>
                  <to>
                    <xdr:col>5</xdr:col>
                    <xdr:colOff>723900</xdr:colOff>
                    <xdr:row>15</xdr:row>
                    <xdr:rowOff>238125</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704850</xdr:colOff>
                    <xdr:row>20</xdr:row>
                    <xdr:rowOff>0</xdr:rowOff>
                  </from>
                  <to>
                    <xdr:col>5</xdr:col>
                    <xdr:colOff>666750</xdr:colOff>
                    <xdr:row>20</xdr:row>
                    <xdr:rowOff>219075</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504825</xdr:colOff>
                    <xdr:row>20</xdr:row>
                    <xdr:rowOff>28575</xdr:rowOff>
                  </from>
                  <to>
                    <xdr:col>4</xdr:col>
                    <xdr:colOff>647700</xdr:colOff>
                    <xdr:row>20</xdr:row>
                    <xdr:rowOff>219075</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504825</xdr:colOff>
                    <xdr:row>21</xdr:row>
                    <xdr:rowOff>28575</xdr:rowOff>
                  </from>
                  <to>
                    <xdr:col>4</xdr:col>
                    <xdr:colOff>647700</xdr:colOff>
                    <xdr:row>21</xdr:row>
                    <xdr:rowOff>219075</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504825</xdr:colOff>
                    <xdr:row>22</xdr:row>
                    <xdr:rowOff>28575</xdr:rowOff>
                  </from>
                  <to>
                    <xdr:col>4</xdr:col>
                    <xdr:colOff>647700</xdr:colOff>
                    <xdr:row>22</xdr:row>
                    <xdr:rowOff>219075</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819150</xdr:colOff>
                    <xdr:row>20</xdr:row>
                    <xdr:rowOff>19050</xdr:rowOff>
                  </from>
                  <to>
                    <xdr:col>6</xdr:col>
                    <xdr:colOff>962025</xdr:colOff>
                    <xdr:row>20</xdr:row>
                    <xdr:rowOff>209550</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819150</xdr:colOff>
                    <xdr:row>21</xdr:row>
                    <xdr:rowOff>19050</xdr:rowOff>
                  </from>
                  <to>
                    <xdr:col>6</xdr:col>
                    <xdr:colOff>962025</xdr:colOff>
                    <xdr:row>21</xdr:row>
                    <xdr:rowOff>209550</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819150</xdr:colOff>
                    <xdr:row>22</xdr:row>
                    <xdr:rowOff>19050</xdr:rowOff>
                  </from>
                  <to>
                    <xdr:col>6</xdr:col>
                    <xdr:colOff>962025</xdr:colOff>
                    <xdr:row>22</xdr:row>
                    <xdr:rowOff>209550</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704850</xdr:colOff>
                    <xdr:row>18</xdr:row>
                    <xdr:rowOff>0</xdr:rowOff>
                  </from>
                  <to>
                    <xdr:col>5</xdr:col>
                    <xdr:colOff>666750</xdr:colOff>
                    <xdr:row>18</xdr:row>
                    <xdr:rowOff>219075</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504825</xdr:colOff>
                    <xdr:row>18</xdr:row>
                    <xdr:rowOff>28575</xdr:rowOff>
                  </from>
                  <to>
                    <xdr:col>4</xdr:col>
                    <xdr:colOff>647700</xdr:colOff>
                    <xdr:row>18</xdr:row>
                    <xdr:rowOff>219075</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819150</xdr:colOff>
                    <xdr:row>18</xdr:row>
                    <xdr:rowOff>19050</xdr:rowOff>
                  </from>
                  <to>
                    <xdr:col>6</xdr:col>
                    <xdr:colOff>962025</xdr:colOff>
                    <xdr:row>18</xdr:row>
                    <xdr:rowOff>209550</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704850</xdr:colOff>
                    <xdr:row>19</xdr:row>
                    <xdr:rowOff>0</xdr:rowOff>
                  </from>
                  <to>
                    <xdr:col>5</xdr:col>
                    <xdr:colOff>666750</xdr:colOff>
                    <xdr:row>19</xdr:row>
                    <xdr:rowOff>219075</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504825</xdr:colOff>
                    <xdr:row>19</xdr:row>
                    <xdr:rowOff>28575</xdr:rowOff>
                  </from>
                  <to>
                    <xdr:col>4</xdr:col>
                    <xdr:colOff>647700</xdr:colOff>
                    <xdr:row>19</xdr:row>
                    <xdr:rowOff>219075</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819150</xdr:colOff>
                    <xdr:row>19</xdr:row>
                    <xdr:rowOff>19050</xdr:rowOff>
                  </from>
                  <to>
                    <xdr:col>6</xdr:col>
                    <xdr:colOff>962025</xdr:colOff>
                    <xdr:row>19</xdr:row>
                    <xdr:rowOff>209550</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114300</xdr:colOff>
                    <xdr:row>16</xdr:row>
                    <xdr:rowOff>38100</xdr:rowOff>
                  </from>
                  <to>
                    <xdr:col>2</xdr:col>
                    <xdr:colOff>1057275</xdr:colOff>
                    <xdr:row>17</xdr:row>
                    <xdr:rowOff>9525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19050</xdr:colOff>
                    <xdr:row>16</xdr:row>
                    <xdr:rowOff>19050</xdr:rowOff>
                  </from>
                  <to>
                    <xdr:col>5</xdr:col>
                    <xdr:colOff>723900</xdr:colOff>
                    <xdr:row>16</xdr:row>
                    <xdr:rowOff>238125</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800100</xdr:colOff>
                    <xdr:row>7</xdr:row>
                    <xdr:rowOff>9525</xdr:rowOff>
                  </from>
                  <to>
                    <xdr:col>6</xdr:col>
                    <xdr:colOff>952500</xdr:colOff>
                    <xdr:row>7</xdr:row>
                    <xdr:rowOff>219075</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800100</xdr:colOff>
                    <xdr:row>8</xdr:row>
                    <xdr:rowOff>9525</xdr:rowOff>
                  </from>
                  <to>
                    <xdr:col>6</xdr:col>
                    <xdr:colOff>952500</xdr:colOff>
                    <xdr:row>8</xdr:row>
                    <xdr:rowOff>219075</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800100</xdr:colOff>
                    <xdr:row>9</xdr:row>
                    <xdr:rowOff>9525</xdr:rowOff>
                  </from>
                  <to>
                    <xdr:col>6</xdr:col>
                    <xdr:colOff>952500</xdr:colOff>
                    <xdr:row>9</xdr:row>
                    <xdr:rowOff>219075</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800100</xdr:colOff>
                    <xdr:row>10</xdr:row>
                    <xdr:rowOff>9525</xdr:rowOff>
                  </from>
                  <to>
                    <xdr:col>6</xdr:col>
                    <xdr:colOff>952500</xdr:colOff>
                    <xdr:row>10</xdr:row>
                    <xdr:rowOff>219075</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800100</xdr:colOff>
                    <xdr:row>11</xdr:row>
                    <xdr:rowOff>9525</xdr:rowOff>
                  </from>
                  <to>
                    <xdr:col>6</xdr:col>
                    <xdr:colOff>952500</xdr:colOff>
                    <xdr:row>11</xdr:row>
                    <xdr:rowOff>219075</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800100</xdr:colOff>
                    <xdr:row>12</xdr:row>
                    <xdr:rowOff>9525</xdr:rowOff>
                  </from>
                  <to>
                    <xdr:col>6</xdr:col>
                    <xdr:colOff>952500</xdr:colOff>
                    <xdr:row>12</xdr:row>
                    <xdr:rowOff>219075</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800100</xdr:colOff>
                    <xdr:row>13</xdr:row>
                    <xdr:rowOff>9525</xdr:rowOff>
                  </from>
                  <to>
                    <xdr:col>6</xdr:col>
                    <xdr:colOff>952500</xdr:colOff>
                    <xdr:row>13</xdr:row>
                    <xdr:rowOff>219075</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800100</xdr:colOff>
                    <xdr:row>14</xdr:row>
                    <xdr:rowOff>9525</xdr:rowOff>
                  </from>
                  <to>
                    <xdr:col>6</xdr:col>
                    <xdr:colOff>952500</xdr:colOff>
                    <xdr:row>14</xdr:row>
                    <xdr:rowOff>219075</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800100</xdr:colOff>
                    <xdr:row>15</xdr:row>
                    <xdr:rowOff>9525</xdr:rowOff>
                  </from>
                  <to>
                    <xdr:col>6</xdr:col>
                    <xdr:colOff>952500</xdr:colOff>
                    <xdr:row>15</xdr:row>
                    <xdr:rowOff>219075</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800100</xdr:colOff>
                    <xdr:row>16</xdr:row>
                    <xdr:rowOff>9525</xdr:rowOff>
                  </from>
                  <to>
                    <xdr:col>6</xdr:col>
                    <xdr:colOff>952500</xdr:colOff>
                    <xdr:row>16</xdr:row>
                    <xdr:rowOff>219075</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428625</xdr:colOff>
                    <xdr:row>2</xdr:row>
                    <xdr:rowOff>9525</xdr:rowOff>
                  </from>
                  <to>
                    <xdr:col>9</xdr:col>
                    <xdr:colOff>590550</xdr:colOff>
                    <xdr:row>2</xdr:row>
                    <xdr:rowOff>180975</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352425</xdr:colOff>
                    <xdr:row>2</xdr:row>
                    <xdr:rowOff>0</xdr:rowOff>
                  </from>
                  <to>
                    <xdr:col>11</xdr:col>
                    <xdr:colOff>514350</xdr:colOff>
                    <xdr:row>2</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RowHeight="12.75" x14ac:dyDescent="0.2"/>
  <cols>
    <col min="1" max="1" width="9.140625" style="26"/>
    <col min="2" max="2" width="13.42578125" style="26" customWidth="1"/>
    <col min="3" max="7" width="9.140625" style="26"/>
    <col min="8" max="8" width="18.85546875" style="26" customWidth="1"/>
    <col min="9" max="9" width="24.28515625" style="26" customWidth="1"/>
    <col min="10" max="10" width="7.7109375" style="26" customWidth="1"/>
    <col min="11" max="11" width="8.5703125" style="26" customWidth="1"/>
    <col min="12" max="12" width="9.85546875" style="26" customWidth="1"/>
    <col min="13" max="16384" width="9.140625" style="26"/>
  </cols>
  <sheetData>
    <row r="1" spans="1:16" ht="26.25" thickBot="1" x14ac:dyDescent="0.25">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2">
      <c r="B2" s="30"/>
      <c r="C2" s="31"/>
      <c r="D2" s="30"/>
      <c r="E2" s="30"/>
      <c r="F2" s="30"/>
      <c r="G2" s="29"/>
      <c r="H2" s="29"/>
      <c r="I2" s="29"/>
      <c r="J2" s="29"/>
      <c r="K2" s="29"/>
      <c r="L2" s="29"/>
    </row>
    <row r="3" spans="1:16" x14ac:dyDescent="0.2">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2">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2">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2">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2">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2">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2">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2">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2">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2">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2">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2">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2">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2">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2">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2">
      <c r="A18" s="26">
        <v>16</v>
      </c>
      <c r="B18" s="26" t="s">
        <v>1283</v>
      </c>
      <c r="C18" s="26">
        <f>ROUND((F18/100)*(Gewicht/10)*D18/(E18)/24/K18,0)*K18</f>
        <v>10</v>
      </c>
      <c r="D18" s="26">
        <v>50</v>
      </c>
      <c r="E18" s="26">
        <v>10</v>
      </c>
      <c r="F18" s="26">
        <v>250</v>
      </c>
      <c r="G18" s="26">
        <f>ROUND(24*C18/D18/(Gewicht/10),4)</f>
        <v>0.48</v>
      </c>
      <c r="H18" s="26" t="s">
        <v>3566</v>
      </c>
      <c r="I18" s="26" t="s">
        <v>1285</v>
      </c>
      <c r="J18" s="26" t="s">
        <v>1844</v>
      </c>
      <c r="K18" s="26">
        <v>10</v>
      </c>
      <c r="L18" s="26">
        <v>10</v>
      </c>
    </row>
    <row r="19" spans="1:14" x14ac:dyDescent="0.2">
      <c r="A19" s="26">
        <v>17</v>
      </c>
      <c r="B19" s="26" t="s">
        <v>3376</v>
      </c>
      <c r="C19" s="26">
        <v>0.5</v>
      </c>
      <c r="G19" s="26">
        <f>ROUND(24*C19/(Gewicht/10),2)</f>
        <v>1.2</v>
      </c>
      <c r="H19" s="26" t="s">
        <v>4020</v>
      </c>
      <c r="I19" s="26" t="s">
        <v>2191</v>
      </c>
      <c r="J19" s="26" t="s">
        <v>3855</v>
      </c>
    </row>
    <row r="20" spans="1:14" x14ac:dyDescent="0.2">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2">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2">
      <c r="A22" s="26">
        <v>20</v>
      </c>
      <c r="B22" s="26" t="s">
        <v>3196</v>
      </c>
      <c r="C22" s="26">
        <v>10</v>
      </c>
      <c r="G22" s="26">
        <f>ROUND(C22/(Gewicht/10),3)</f>
        <v>1</v>
      </c>
      <c r="H22" s="26" t="s">
        <v>3565</v>
      </c>
      <c r="I22" s="26" t="s">
        <v>4979</v>
      </c>
      <c r="J22" s="26" t="s">
        <v>3595</v>
      </c>
    </row>
    <row r="23" spans="1:14" x14ac:dyDescent="0.2">
      <c r="A23" s="26">
        <v>21</v>
      </c>
      <c r="B23" s="26" t="s">
        <v>3197</v>
      </c>
      <c r="C23" s="26">
        <v>20</v>
      </c>
      <c r="G23" s="26">
        <f>ROUND(C23/(Gewicht/10),3)</f>
        <v>2</v>
      </c>
      <c r="H23" s="26" t="s">
        <v>3565</v>
      </c>
      <c r="I23" s="26" t="s">
        <v>4979</v>
      </c>
      <c r="J23" s="26" t="s">
        <v>3595</v>
      </c>
    </row>
    <row r="24" spans="1:14" x14ac:dyDescent="0.2">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2">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2">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2">
      <c r="A27" s="26">
        <v>25</v>
      </c>
      <c r="B27" s="26" t="s">
        <v>4980</v>
      </c>
      <c r="C27" s="26">
        <v>0</v>
      </c>
      <c r="D27" s="26">
        <v>100</v>
      </c>
      <c r="E27" s="26">
        <v>10</v>
      </c>
      <c r="F27" s="26">
        <v>10</v>
      </c>
      <c r="G27" s="26">
        <f>F27/10</f>
        <v>1</v>
      </c>
      <c r="H27" s="26" t="s">
        <v>4981</v>
      </c>
      <c r="I27" s="26" t="s">
        <v>5118</v>
      </c>
      <c r="J27" s="26" t="s">
        <v>1845</v>
      </c>
      <c r="K27" s="26">
        <v>10</v>
      </c>
    </row>
    <row r="29" spans="1:14" x14ac:dyDescent="0.2">
      <c r="F29" s="32"/>
      <c r="G29" s="32"/>
      <c r="H29" s="32"/>
      <c r="I29" s="32"/>
      <c r="J29" s="32"/>
      <c r="K29" s="32"/>
      <c r="L29" s="32"/>
    </row>
    <row r="30" spans="1:14" ht="25.5" x14ac:dyDescent="0.2">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2">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2">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2">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2">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2">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2">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2">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2">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2">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2">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2">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2">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2">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2">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2">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2">
      <c r="F46" s="33">
        <f>SUM(F31:F45)</f>
        <v>0</v>
      </c>
      <c r="G46" s="33">
        <f>SUM(G31:G45)</f>
        <v>0</v>
      </c>
      <c r="H46" s="33">
        <f>SUM(H31:H45)</f>
        <v>0</v>
      </c>
      <c r="I46" s="33"/>
      <c r="J46" s="26">
        <f>SUM(J31:J45)+SUM(I31:I45)</f>
        <v>0</v>
      </c>
      <c r="K46" s="26">
        <f>SUM(K31:K45)</f>
        <v>0</v>
      </c>
      <c r="L46" s="26">
        <f>SUM(L31:L45)</f>
        <v>0</v>
      </c>
      <c r="M46" s="26">
        <f>SUM(M31:M45)</f>
        <v>0</v>
      </c>
    </row>
    <row r="47" spans="1:13" x14ac:dyDescent="0.2">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RowHeight="17.25" customHeight="1" x14ac:dyDescent="0.2"/>
  <cols>
    <col min="1" max="1" width="5.7109375" style="203" customWidth="1"/>
    <col min="2" max="2" width="13.42578125" style="203" customWidth="1"/>
    <col min="3" max="3" width="11.42578125" style="203" customWidth="1"/>
    <col min="4" max="4" width="11.7109375" style="203" customWidth="1"/>
    <col min="5" max="5" width="14.85546875" style="203" customWidth="1"/>
    <col min="6" max="6" width="18.28515625" style="203" customWidth="1"/>
    <col min="7" max="7" width="25.5703125" style="203" customWidth="1"/>
    <col min="8" max="8" width="9.140625" style="203"/>
    <col min="9" max="9" width="9.7109375" style="203" customWidth="1"/>
    <col min="10" max="16384" width="9.140625" style="203"/>
  </cols>
  <sheetData>
    <row r="1" spans="1:9" ht="9.9499999999999993" customHeight="1" x14ac:dyDescent="0.2">
      <c r="A1" s="202"/>
      <c r="B1" s="202"/>
      <c r="C1" s="202"/>
      <c r="D1" s="202"/>
      <c r="E1" s="202"/>
      <c r="F1" s="202"/>
      <c r="G1" s="202"/>
      <c r="H1" s="202"/>
    </row>
    <row r="2" spans="1:9" ht="17.25" customHeight="1" x14ac:dyDescent="0.2">
      <c r="A2" s="202"/>
      <c r="B2" s="245" t="s">
        <v>2983</v>
      </c>
      <c r="C2" s="246"/>
      <c r="D2" s="245" t="s">
        <v>2984</v>
      </c>
      <c r="E2" s="245" t="s">
        <v>2985</v>
      </c>
      <c r="F2" s="245" t="s">
        <v>2986</v>
      </c>
      <c r="G2" s="247" t="s">
        <v>3250</v>
      </c>
      <c r="H2" s="248" t="s">
        <v>2044</v>
      </c>
      <c r="I2" s="351"/>
    </row>
    <row r="3" spans="1:9" ht="14.25" customHeight="1" x14ac:dyDescent="0.2">
      <c r="A3" s="202"/>
      <c r="C3" s="215"/>
      <c r="D3" s="215"/>
      <c r="E3" s="215"/>
      <c r="F3" s="215"/>
      <c r="G3" s="215"/>
      <c r="H3" s="215"/>
    </row>
    <row r="4" spans="1:9" ht="17.25" customHeight="1" x14ac:dyDescent="0.2">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2">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2">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2">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2">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2">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2">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2">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2">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2">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2">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2">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2">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2">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2">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2">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2">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2">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2">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2">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1076325</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628650</xdr:colOff>
                    <xdr:row>4</xdr:row>
                    <xdr:rowOff>38100</xdr:rowOff>
                  </from>
                  <to>
                    <xdr:col>3</xdr:col>
                    <xdr:colOff>742950</xdr:colOff>
                    <xdr:row>4</xdr:row>
                    <xdr:rowOff>209550</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809625</xdr:colOff>
                    <xdr:row>4</xdr:row>
                    <xdr:rowOff>38100</xdr:rowOff>
                  </from>
                  <to>
                    <xdr:col>4</xdr:col>
                    <xdr:colOff>923925</xdr:colOff>
                    <xdr:row>4</xdr:row>
                    <xdr:rowOff>209550</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1085850</xdr:colOff>
                    <xdr:row>4</xdr:row>
                    <xdr:rowOff>38100</xdr:rowOff>
                  </from>
                  <to>
                    <xdr:col>5</xdr:col>
                    <xdr:colOff>1200150</xdr:colOff>
                    <xdr:row>4</xdr:row>
                    <xdr:rowOff>209550</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1085850</xdr:colOff>
                    <xdr:row>5</xdr:row>
                    <xdr:rowOff>38100</xdr:rowOff>
                  </from>
                  <to>
                    <xdr:col>5</xdr:col>
                    <xdr:colOff>1200150</xdr:colOff>
                    <xdr:row>5</xdr:row>
                    <xdr:rowOff>209550</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1085850</xdr:colOff>
                    <xdr:row>6</xdr:row>
                    <xdr:rowOff>38100</xdr:rowOff>
                  </from>
                  <to>
                    <xdr:col>5</xdr:col>
                    <xdr:colOff>1200150</xdr:colOff>
                    <xdr:row>6</xdr:row>
                    <xdr:rowOff>209550</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1085850</xdr:colOff>
                    <xdr:row>7</xdr:row>
                    <xdr:rowOff>38100</xdr:rowOff>
                  </from>
                  <to>
                    <xdr:col>5</xdr:col>
                    <xdr:colOff>1200150</xdr:colOff>
                    <xdr:row>7</xdr:row>
                    <xdr:rowOff>209550</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1085850</xdr:colOff>
                    <xdr:row>9</xdr:row>
                    <xdr:rowOff>38100</xdr:rowOff>
                  </from>
                  <to>
                    <xdr:col>5</xdr:col>
                    <xdr:colOff>1200150</xdr:colOff>
                    <xdr:row>9</xdr:row>
                    <xdr:rowOff>209550</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1085850</xdr:colOff>
                    <xdr:row>10</xdr:row>
                    <xdr:rowOff>38100</xdr:rowOff>
                  </from>
                  <to>
                    <xdr:col>5</xdr:col>
                    <xdr:colOff>1200150</xdr:colOff>
                    <xdr:row>10</xdr:row>
                    <xdr:rowOff>209550</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1085850</xdr:colOff>
                    <xdr:row>11</xdr:row>
                    <xdr:rowOff>38100</xdr:rowOff>
                  </from>
                  <to>
                    <xdr:col>5</xdr:col>
                    <xdr:colOff>1200150</xdr:colOff>
                    <xdr:row>11</xdr:row>
                    <xdr:rowOff>209550</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1085850</xdr:colOff>
                    <xdr:row>12</xdr:row>
                    <xdr:rowOff>38100</xdr:rowOff>
                  </from>
                  <to>
                    <xdr:col>5</xdr:col>
                    <xdr:colOff>1200150</xdr:colOff>
                    <xdr:row>12</xdr:row>
                    <xdr:rowOff>209550</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1085850</xdr:colOff>
                    <xdr:row>13</xdr:row>
                    <xdr:rowOff>38100</xdr:rowOff>
                  </from>
                  <to>
                    <xdr:col>5</xdr:col>
                    <xdr:colOff>1200150</xdr:colOff>
                    <xdr:row>13</xdr:row>
                    <xdr:rowOff>209550</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1085850</xdr:colOff>
                    <xdr:row>14</xdr:row>
                    <xdr:rowOff>38100</xdr:rowOff>
                  </from>
                  <to>
                    <xdr:col>5</xdr:col>
                    <xdr:colOff>1200150</xdr:colOff>
                    <xdr:row>14</xdr:row>
                    <xdr:rowOff>209550</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1085850</xdr:colOff>
                    <xdr:row>15</xdr:row>
                    <xdr:rowOff>38100</xdr:rowOff>
                  </from>
                  <to>
                    <xdr:col>5</xdr:col>
                    <xdr:colOff>1200150</xdr:colOff>
                    <xdr:row>15</xdr:row>
                    <xdr:rowOff>209550</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1085850</xdr:colOff>
                    <xdr:row>16</xdr:row>
                    <xdr:rowOff>38100</xdr:rowOff>
                  </from>
                  <to>
                    <xdr:col>5</xdr:col>
                    <xdr:colOff>1200150</xdr:colOff>
                    <xdr:row>16</xdr:row>
                    <xdr:rowOff>209550</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1085850</xdr:colOff>
                    <xdr:row>17</xdr:row>
                    <xdr:rowOff>38100</xdr:rowOff>
                  </from>
                  <to>
                    <xdr:col>5</xdr:col>
                    <xdr:colOff>1200150</xdr:colOff>
                    <xdr:row>17</xdr:row>
                    <xdr:rowOff>209550</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1085850</xdr:colOff>
                    <xdr:row>18</xdr:row>
                    <xdr:rowOff>38100</xdr:rowOff>
                  </from>
                  <to>
                    <xdr:col>5</xdr:col>
                    <xdr:colOff>1200150</xdr:colOff>
                    <xdr:row>18</xdr:row>
                    <xdr:rowOff>209550</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1085850</xdr:colOff>
                    <xdr:row>19</xdr:row>
                    <xdr:rowOff>38100</xdr:rowOff>
                  </from>
                  <to>
                    <xdr:col>5</xdr:col>
                    <xdr:colOff>1200150</xdr:colOff>
                    <xdr:row>19</xdr:row>
                    <xdr:rowOff>209550</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1085850</xdr:colOff>
                    <xdr:row>20</xdr:row>
                    <xdr:rowOff>38100</xdr:rowOff>
                  </from>
                  <to>
                    <xdr:col>5</xdr:col>
                    <xdr:colOff>1200150</xdr:colOff>
                    <xdr:row>20</xdr:row>
                    <xdr:rowOff>209550</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1085850</xdr:colOff>
                    <xdr:row>21</xdr:row>
                    <xdr:rowOff>38100</xdr:rowOff>
                  </from>
                  <to>
                    <xdr:col>5</xdr:col>
                    <xdr:colOff>1200150</xdr:colOff>
                    <xdr:row>21</xdr:row>
                    <xdr:rowOff>209550</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514350</xdr:colOff>
                    <xdr:row>4</xdr:row>
                    <xdr:rowOff>38100</xdr:rowOff>
                  </from>
                  <to>
                    <xdr:col>8</xdr:col>
                    <xdr:colOff>19050</xdr:colOff>
                    <xdr:row>4</xdr:row>
                    <xdr:rowOff>209550</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514350</xdr:colOff>
                    <xdr:row>5</xdr:row>
                    <xdr:rowOff>38100</xdr:rowOff>
                  </from>
                  <to>
                    <xdr:col>8</xdr:col>
                    <xdr:colOff>19050</xdr:colOff>
                    <xdr:row>5</xdr:row>
                    <xdr:rowOff>209550</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514350</xdr:colOff>
                    <xdr:row>6</xdr:row>
                    <xdr:rowOff>38100</xdr:rowOff>
                  </from>
                  <to>
                    <xdr:col>8</xdr:col>
                    <xdr:colOff>19050</xdr:colOff>
                    <xdr:row>6</xdr:row>
                    <xdr:rowOff>209550</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514350</xdr:colOff>
                    <xdr:row>7</xdr:row>
                    <xdr:rowOff>38100</xdr:rowOff>
                  </from>
                  <to>
                    <xdr:col>8</xdr:col>
                    <xdr:colOff>19050</xdr:colOff>
                    <xdr:row>7</xdr:row>
                    <xdr:rowOff>209550</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514350</xdr:colOff>
                    <xdr:row>9</xdr:row>
                    <xdr:rowOff>38100</xdr:rowOff>
                  </from>
                  <to>
                    <xdr:col>8</xdr:col>
                    <xdr:colOff>19050</xdr:colOff>
                    <xdr:row>9</xdr:row>
                    <xdr:rowOff>209550</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514350</xdr:colOff>
                    <xdr:row>10</xdr:row>
                    <xdr:rowOff>38100</xdr:rowOff>
                  </from>
                  <to>
                    <xdr:col>8</xdr:col>
                    <xdr:colOff>19050</xdr:colOff>
                    <xdr:row>10</xdr:row>
                    <xdr:rowOff>209550</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514350</xdr:colOff>
                    <xdr:row>11</xdr:row>
                    <xdr:rowOff>38100</xdr:rowOff>
                  </from>
                  <to>
                    <xdr:col>8</xdr:col>
                    <xdr:colOff>19050</xdr:colOff>
                    <xdr:row>11</xdr:row>
                    <xdr:rowOff>209550</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514350</xdr:colOff>
                    <xdr:row>12</xdr:row>
                    <xdr:rowOff>38100</xdr:rowOff>
                  </from>
                  <to>
                    <xdr:col>8</xdr:col>
                    <xdr:colOff>19050</xdr:colOff>
                    <xdr:row>12</xdr:row>
                    <xdr:rowOff>209550</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514350</xdr:colOff>
                    <xdr:row>13</xdr:row>
                    <xdr:rowOff>38100</xdr:rowOff>
                  </from>
                  <to>
                    <xdr:col>8</xdr:col>
                    <xdr:colOff>19050</xdr:colOff>
                    <xdr:row>13</xdr:row>
                    <xdr:rowOff>209550</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514350</xdr:colOff>
                    <xdr:row>14</xdr:row>
                    <xdr:rowOff>38100</xdr:rowOff>
                  </from>
                  <to>
                    <xdr:col>8</xdr:col>
                    <xdr:colOff>19050</xdr:colOff>
                    <xdr:row>14</xdr:row>
                    <xdr:rowOff>209550</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514350</xdr:colOff>
                    <xdr:row>15</xdr:row>
                    <xdr:rowOff>38100</xdr:rowOff>
                  </from>
                  <to>
                    <xdr:col>8</xdr:col>
                    <xdr:colOff>19050</xdr:colOff>
                    <xdr:row>15</xdr:row>
                    <xdr:rowOff>209550</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514350</xdr:colOff>
                    <xdr:row>16</xdr:row>
                    <xdr:rowOff>38100</xdr:rowOff>
                  </from>
                  <to>
                    <xdr:col>8</xdr:col>
                    <xdr:colOff>19050</xdr:colOff>
                    <xdr:row>16</xdr:row>
                    <xdr:rowOff>209550</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514350</xdr:colOff>
                    <xdr:row>17</xdr:row>
                    <xdr:rowOff>38100</xdr:rowOff>
                  </from>
                  <to>
                    <xdr:col>8</xdr:col>
                    <xdr:colOff>19050</xdr:colOff>
                    <xdr:row>17</xdr:row>
                    <xdr:rowOff>209550</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514350</xdr:colOff>
                    <xdr:row>18</xdr:row>
                    <xdr:rowOff>38100</xdr:rowOff>
                  </from>
                  <to>
                    <xdr:col>8</xdr:col>
                    <xdr:colOff>19050</xdr:colOff>
                    <xdr:row>18</xdr:row>
                    <xdr:rowOff>209550</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514350</xdr:colOff>
                    <xdr:row>19</xdr:row>
                    <xdr:rowOff>38100</xdr:rowOff>
                  </from>
                  <to>
                    <xdr:col>8</xdr:col>
                    <xdr:colOff>19050</xdr:colOff>
                    <xdr:row>19</xdr:row>
                    <xdr:rowOff>209550</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514350</xdr:colOff>
                    <xdr:row>20</xdr:row>
                    <xdr:rowOff>38100</xdr:rowOff>
                  </from>
                  <to>
                    <xdr:col>8</xdr:col>
                    <xdr:colOff>19050</xdr:colOff>
                    <xdr:row>20</xdr:row>
                    <xdr:rowOff>209550</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514350</xdr:colOff>
                    <xdr:row>21</xdr:row>
                    <xdr:rowOff>38100</xdr:rowOff>
                  </from>
                  <to>
                    <xdr:col>8</xdr:col>
                    <xdr:colOff>19050</xdr:colOff>
                    <xdr:row>21</xdr:row>
                    <xdr:rowOff>209550</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628650</xdr:colOff>
                    <xdr:row>5</xdr:row>
                    <xdr:rowOff>38100</xdr:rowOff>
                  </from>
                  <to>
                    <xdr:col>3</xdr:col>
                    <xdr:colOff>742950</xdr:colOff>
                    <xdr:row>5</xdr:row>
                    <xdr:rowOff>209550</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809625</xdr:colOff>
                    <xdr:row>5</xdr:row>
                    <xdr:rowOff>38100</xdr:rowOff>
                  </from>
                  <to>
                    <xdr:col>4</xdr:col>
                    <xdr:colOff>923925</xdr:colOff>
                    <xdr:row>5</xdr:row>
                    <xdr:rowOff>209550</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628650</xdr:colOff>
                    <xdr:row>6</xdr:row>
                    <xdr:rowOff>38100</xdr:rowOff>
                  </from>
                  <to>
                    <xdr:col>3</xdr:col>
                    <xdr:colOff>742950</xdr:colOff>
                    <xdr:row>6</xdr:row>
                    <xdr:rowOff>209550</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809625</xdr:colOff>
                    <xdr:row>6</xdr:row>
                    <xdr:rowOff>38100</xdr:rowOff>
                  </from>
                  <to>
                    <xdr:col>4</xdr:col>
                    <xdr:colOff>923925</xdr:colOff>
                    <xdr:row>6</xdr:row>
                    <xdr:rowOff>209550</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628650</xdr:colOff>
                    <xdr:row>7</xdr:row>
                    <xdr:rowOff>38100</xdr:rowOff>
                  </from>
                  <to>
                    <xdr:col>3</xdr:col>
                    <xdr:colOff>742950</xdr:colOff>
                    <xdr:row>7</xdr:row>
                    <xdr:rowOff>209550</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809625</xdr:colOff>
                    <xdr:row>7</xdr:row>
                    <xdr:rowOff>38100</xdr:rowOff>
                  </from>
                  <to>
                    <xdr:col>4</xdr:col>
                    <xdr:colOff>923925</xdr:colOff>
                    <xdr:row>7</xdr:row>
                    <xdr:rowOff>209550</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809625</xdr:colOff>
                    <xdr:row>9</xdr:row>
                    <xdr:rowOff>38100</xdr:rowOff>
                  </from>
                  <to>
                    <xdr:col>4</xdr:col>
                    <xdr:colOff>923925</xdr:colOff>
                    <xdr:row>9</xdr:row>
                    <xdr:rowOff>209550</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628650</xdr:colOff>
                    <xdr:row>10</xdr:row>
                    <xdr:rowOff>38100</xdr:rowOff>
                  </from>
                  <to>
                    <xdr:col>3</xdr:col>
                    <xdr:colOff>742950</xdr:colOff>
                    <xdr:row>10</xdr:row>
                    <xdr:rowOff>209550</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809625</xdr:colOff>
                    <xdr:row>10</xdr:row>
                    <xdr:rowOff>38100</xdr:rowOff>
                  </from>
                  <to>
                    <xdr:col>4</xdr:col>
                    <xdr:colOff>923925</xdr:colOff>
                    <xdr:row>10</xdr:row>
                    <xdr:rowOff>209550</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628650</xdr:colOff>
                    <xdr:row>11</xdr:row>
                    <xdr:rowOff>38100</xdr:rowOff>
                  </from>
                  <to>
                    <xdr:col>3</xdr:col>
                    <xdr:colOff>742950</xdr:colOff>
                    <xdr:row>11</xdr:row>
                    <xdr:rowOff>209550</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809625</xdr:colOff>
                    <xdr:row>11</xdr:row>
                    <xdr:rowOff>38100</xdr:rowOff>
                  </from>
                  <to>
                    <xdr:col>4</xdr:col>
                    <xdr:colOff>923925</xdr:colOff>
                    <xdr:row>11</xdr:row>
                    <xdr:rowOff>209550</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628650</xdr:colOff>
                    <xdr:row>12</xdr:row>
                    <xdr:rowOff>38100</xdr:rowOff>
                  </from>
                  <to>
                    <xdr:col>3</xdr:col>
                    <xdr:colOff>742950</xdr:colOff>
                    <xdr:row>12</xdr:row>
                    <xdr:rowOff>209550</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809625</xdr:colOff>
                    <xdr:row>12</xdr:row>
                    <xdr:rowOff>38100</xdr:rowOff>
                  </from>
                  <to>
                    <xdr:col>4</xdr:col>
                    <xdr:colOff>923925</xdr:colOff>
                    <xdr:row>12</xdr:row>
                    <xdr:rowOff>209550</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628650</xdr:colOff>
                    <xdr:row>13</xdr:row>
                    <xdr:rowOff>38100</xdr:rowOff>
                  </from>
                  <to>
                    <xdr:col>3</xdr:col>
                    <xdr:colOff>742950</xdr:colOff>
                    <xdr:row>13</xdr:row>
                    <xdr:rowOff>209550</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809625</xdr:colOff>
                    <xdr:row>13</xdr:row>
                    <xdr:rowOff>38100</xdr:rowOff>
                  </from>
                  <to>
                    <xdr:col>4</xdr:col>
                    <xdr:colOff>923925</xdr:colOff>
                    <xdr:row>13</xdr:row>
                    <xdr:rowOff>209550</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628650</xdr:colOff>
                    <xdr:row>14</xdr:row>
                    <xdr:rowOff>38100</xdr:rowOff>
                  </from>
                  <to>
                    <xdr:col>3</xdr:col>
                    <xdr:colOff>742950</xdr:colOff>
                    <xdr:row>14</xdr:row>
                    <xdr:rowOff>209550</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809625</xdr:colOff>
                    <xdr:row>14</xdr:row>
                    <xdr:rowOff>38100</xdr:rowOff>
                  </from>
                  <to>
                    <xdr:col>4</xdr:col>
                    <xdr:colOff>923925</xdr:colOff>
                    <xdr:row>14</xdr:row>
                    <xdr:rowOff>209550</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628650</xdr:colOff>
                    <xdr:row>15</xdr:row>
                    <xdr:rowOff>38100</xdr:rowOff>
                  </from>
                  <to>
                    <xdr:col>3</xdr:col>
                    <xdr:colOff>742950</xdr:colOff>
                    <xdr:row>15</xdr:row>
                    <xdr:rowOff>209550</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809625</xdr:colOff>
                    <xdr:row>15</xdr:row>
                    <xdr:rowOff>38100</xdr:rowOff>
                  </from>
                  <to>
                    <xdr:col>4</xdr:col>
                    <xdr:colOff>923925</xdr:colOff>
                    <xdr:row>15</xdr:row>
                    <xdr:rowOff>209550</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628650</xdr:colOff>
                    <xdr:row>16</xdr:row>
                    <xdr:rowOff>38100</xdr:rowOff>
                  </from>
                  <to>
                    <xdr:col>3</xdr:col>
                    <xdr:colOff>742950</xdr:colOff>
                    <xdr:row>16</xdr:row>
                    <xdr:rowOff>209550</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809625</xdr:colOff>
                    <xdr:row>16</xdr:row>
                    <xdr:rowOff>38100</xdr:rowOff>
                  </from>
                  <to>
                    <xdr:col>4</xdr:col>
                    <xdr:colOff>923925</xdr:colOff>
                    <xdr:row>16</xdr:row>
                    <xdr:rowOff>209550</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628650</xdr:colOff>
                    <xdr:row>17</xdr:row>
                    <xdr:rowOff>38100</xdr:rowOff>
                  </from>
                  <to>
                    <xdr:col>3</xdr:col>
                    <xdr:colOff>742950</xdr:colOff>
                    <xdr:row>17</xdr:row>
                    <xdr:rowOff>209550</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809625</xdr:colOff>
                    <xdr:row>17</xdr:row>
                    <xdr:rowOff>38100</xdr:rowOff>
                  </from>
                  <to>
                    <xdr:col>4</xdr:col>
                    <xdr:colOff>923925</xdr:colOff>
                    <xdr:row>17</xdr:row>
                    <xdr:rowOff>209550</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628650</xdr:colOff>
                    <xdr:row>18</xdr:row>
                    <xdr:rowOff>38100</xdr:rowOff>
                  </from>
                  <to>
                    <xdr:col>3</xdr:col>
                    <xdr:colOff>742950</xdr:colOff>
                    <xdr:row>18</xdr:row>
                    <xdr:rowOff>209550</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809625</xdr:colOff>
                    <xdr:row>18</xdr:row>
                    <xdr:rowOff>38100</xdr:rowOff>
                  </from>
                  <to>
                    <xdr:col>4</xdr:col>
                    <xdr:colOff>923925</xdr:colOff>
                    <xdr:row>18</xdr:row>
                    <xdr:rowOff>209550</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628650</xdr:colOff>
                    <xdr:row>19</xdr:row>
                    <xdr:rowOff>38100</xdr:rowOff>
                  </from>
                  <to>
                    <xdr:col>3</xdr:col>
                    <xdr:colOff>742950</xdr:colOff>
                    <xdr:row>19</xdr:row>
                    <xdr:rowOff>209550</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809625</xdr:colOff>
                    <xdr:row>19</xdr:row>
                    <xdr:rowOff>38100</xdr:rowOff>
                  </from>
                  <to>
                    <xdr:col>4</xdr:col>
                    <xdr:colOff>923925</xdr:colOff>
                    <xdr:row>19</xdr:row>
                    <xdr:rowOff>209550</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628650</xdr:colOff>
                    <xdr:row>20</xdr:row>
                    <xdr:rowOff>38100</xdr:rowOff>
                  </from>
                  <to>
                    <xdr:col>3</xdr:col>
                    <xdr:colOff>742950</xdr:colOff>
                    <xdr:row>20</xdr:row>
                    <xdr:rowOff>209550</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809625</xdr:colOff>
                    <xdr:row>20</xdr:row>
                    <xdr:rowOff>38100</xdr:rowOff>
                  </from>
                  <to>
                    <xdr:col>4</xdr:col>
                    <xdr:colOff>923925</xdr:colOff>
                    <xdr:row>20</xdr:row>
                    <xdr:rowOff>209550</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628650</xdr:colOff>
                    <xdr:row>21</xdr:row>
                    <xdr:rowOff>38100</xdr:rowOff>
                  </from>
                  <to>
                    <xdr:col>3</xdr:col>
                    <xdr:colOff>742950</xdr:colOff>
                    <xdr:row>21</xdr:row>
                    <xdr:rowOff>209550</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809625</xdr:colOff>
                    <xdr:row>21</xdr:row>
                    <xdr:rowOff>38100</xdr:rowOff>
                  </from>
                  <to>
                    <xdr:col>4</xdr:col>
                    <xdr:colOff>923925</xdr:colOff>
                    <xdr:row>21</xdr:row>
                    <xdr:rowOff>209550</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628650</xdr:colOff>
                    <xdr:row>3</xdr:row>
                    <xdr:rowOff>38100</xdr:rowOff>
                  </from>
                  <to>
                    <xdr:col>3</xdr:col>
                    <xdr:colOff>742950</xdr:colOff>
                    <xdr:row>3</xdr:row>
                    <xdr:rowOff>209550</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809625</xdr:colOff>
                    <xdr:row>3</xdr:row>
                    <xdr:rowOff>38100</xdr:rowOff>
                  </from>
                  <to>
                    <xdr:col>4</xdr:col>
                    <xdr:colOff>923925</xdr:colOff>
                    <xdr:row>3</xdr:row>
                    <xdr:rowOff>209550</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1085850</xdr:colOff>
                    <xdr:row>3</xdr:row>
                    <xdr:rowOff>38100</xdr:rowOff>
                  </from>
                  <to>
                    <xdr:col>5</xdr:col>
                    <xdr:colOff>1200150</xdr:colOff>
                    <xdr:row>3</xdr:row>
                    <xdr:rowOff>209550</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514350</xdr:colOff>
                    <xdr:row>3</xdr:row>
                    <xdr:rowOff>38100</xdr:rowOff>
                  </from>
                  <to>
                    <xdr:col>8</xdr:col>
                    <xdr:colOff>19050</xdr:colOff>
                    <xdr:row>3</xdr:row>
                    <xdr:rowOff>209550</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1085850</xdr:colOff>
                    <xdr:row>8</xdr:row>
                    <xdr:rowOff>38100</xdr:rowOff>
                  </from>
                  <to>
                    <xdr:col>5</xdr:col>
                    <xdr:colOff>1200150</xdr:colOff>
                    <xdr:row>8</xdr:row>
                    <xdr:rowOff>209550</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514350</xdr:colOff>
                    <xdr:row>8</xdr:row>
                    <xdr:rowOff>38100</xdr:rowOff>
                  </from>
                  <to>
                    <xdr:col>8</xdr:col>
                    <xdr:colOff>19050</xdr:colOff>
                    <xdr:row>8</xdr:row>
                    <xdr:rowOff>209550</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628650</xdr:colOff>
                    <xdr:row>8</xdr:row>
                    <xdr:rowOff>38100</xdr:rowOff>
                  </from>
                  <to>
                    <xdr:col>3</xdr:col>
                    <xdr:colOff>742950</xdr:colOff>
                    <xdr:row>8</xdr:row>
                    <xdr:rowOff>209550</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809625</xdr:colOff>
                    <xdr:row>8</xdr:row>
                    <xdr:rowOff>38100</xdr:rowOff>
                  </from>
                  <to>
                    <xdr:col>4</xdr:col>
                    <xdr:colOff>923925</xdr:colOff>
                    <xdr:row>8</xdr:row>
                    <xdr:rowOff>209550</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628650</xdr:colOff>
                    <xdr:row>22</xdr:row>
                    <xdr:rowOff>38100</xdr:rowOff>
                  </from>
                  <to>
                    <xdr:col>3</xdr:col>
                    <xdr:colOff>742950</xdr:colOff>
                    <xdr:row>22</xdr:row>
                    <xdr:rowOff>209550</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628650</xdr:colOff>
                    <xdr:row>22</xdr:row>
                    <xdr:rowOff>38100</xdr:rowOff>
                  </from>
                  <to>
                    <xdr:col>2</xdr:col>
                    <xdr:colOff>742950</xdr:colOff>
                    <xdr:row>22</xdr:row>
                    <xdr:rowOff>209550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RowHeight="12.75" x14ac:dyDescent="0.2"/>
  <cols>
    <col min="1" max="1" width="1.7109375" style="2" customWidth="1"/>
    <col min="2" max="2" width="4.42578125" style="2" customWidth="1"/>
    <col min="3" max="3" width="9.42578125" style="2" customWidth="1"/>
    <col min="4" max="4" width="9.140625" style="2"/>
    <col min="5" max="5" width="9.5703125" style="2" customWidth="1"/>
    <col min="6" max="7" width="9.140625" style="2"/>
    <col min="8" max="8" width="10" style="2" bestFit="1" customWidth="1"/>
    <col min="9" max="9" width="9.140625" style="2"/>
    <col min="10" max="10" width="11.42578125" style="2" customWidth="1"/>
    <col min="11" max="11" width="9.140625" style="2"/>
    <col min="12" max="12" width="8.7109375" style="2" customWidth="1"/>
    <col min="13" max="13" width="9.7109375" style="2" customWidth="1"/>
    <col min="14" max="16384" width="9.140625" style="2"/>
  </cols>
  <sheetData>
    <row r="1" spans="1:64" ht="6.75" customHeight="1" x14ac:dyDescent="0.2">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2">
      <c r="A2" s="177"/>
      <c r="B2" s="177"/>
      <c r="C2" s="178" t="s">
        <v>3000</v>
      </c>
      <c r="D2" s="177"/>
      <c r="E2" s="179">
        <f ca="1">AfspraakDatum</f>
        <v>42185</v>
      </c>
      <c r="F2" s="180"/>
      <c r="G2" s="177"/>
      <c r="H2" s="178" t="s">
        <v>3001</v>
      </c>
      <c r="I2" s="177"/>
      <c r="J2" s="181">
        <f>OpnDatum</f>
        <v>41363</v>
      </c>
      <c r="K2" s="178" t="str">
        <f ca="1">"ICU-dag: "&amp;AfspraakDatum-OpnDatum+1</f>
        <v>ICU-dag: 823</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2">
      <c r="A3" s="177"/>
      <c r="B3" s="177"/>
      <c r="C3" s="178" t="s">
        <v>288</v>
      </c>
      <c r="D3" s="177"/>
      <c r="E3" s="182" t="str">
        <f>AchterNaam&amp;", "&amp;VoorNaam</f>
        <v>Achternaam, Voornaam</v>
      </c>
      <c r="F3" s="182"/>
      <c r="G3" s="177"/>
      <c r="H3" s="178" t="s">
        <v>3097</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2">
      <c r="A4" s="177"/>
      <c r="B4" s="177"/>
      <c r="C4" s="178" t="s">
        <v>3468</v>
      </c>
      <c r="D4" s="184"/>
      <c r="E4" s="183">
        <f>PatNummer</f>
        <v>0</v>
      </c>
      <c r="F4" s="180"/>
      <c r="G4" s="184"/>
      <c r="H4" s="178" t="s">
        <v>2763</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2">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 customHeight="1" x14ac:dyDescent="0.2">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 customHeight="1" x14ac:dyDescent="0.2">
      <c r="A7" s="187"/>
      <c r="B7" s="194" t="s">
        <v>2881</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 customHeight="1" x14ac:dyDescent="0.2">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 customHeight="1" x14ac:dyDescent="0.2">
      <c r="A9" s="186"/>
      <c r="B9" s="194" t="s">
        <v>2881</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 customHeight="1" x14ac:dyDescent="0.2">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 customHeight="1" x14ac:dyDescent="0.2">
      <c r="A11" s="186"/>
      <c r="B11" s="194" t="s">
        <v>2881</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 customHeight="1" x14ac:dyDescent="0.2">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 customHeight="1" x14ac:dyDescent="0.2">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 customHeight="1" x14ac:dyDescent="0.2">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 customHeight="1" x14ac:dyDescent="0.2">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 customHeight="1" x14ac:dyDescent="0.2">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 customHeight="1" x14ac:dyDescent="0.2">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 customHeight="1" x14ac:dyDescent="0.2">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 customHeight="1" x14ac:dyDescent="0.2">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 customHeight="1" x14ac:dyDescent="0.2">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 customHeight="1" x14ac:dyDescent="0.2">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 customHeight="1" x14ac:dyDescent="0.2">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 customHeight="1" x14ac:dyDescent="0.2">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 customHeight="1" x14ac:dyDescent="0.2">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 customHeight="1" x14ac:dyDescent="0.2">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 customHeight="1" x14ac:dyDescent="0.2">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 customHeight="1" x14ac:dyDescent="0.2">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 customHeight="1" x14ac:dyDescent="0.2">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 customHeight="1" x14ac:dyDescent="0.2">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 customHeight="1" x14ac:dyDescent="0.2">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 customHeight="1" x14ac:dyDescent="0.2">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 customHeight="1" x14ac:dyDescent="0.2">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 customHeight="1" x14ac:dyDescent="0.2">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 customHeight="1" x14ac:dyDescent="0.2">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 customHeight="1" x14ac:dyDescent="0.2">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 customHeight="1" x14ac:dyDescent="0.2">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 customHeight="1" x14ac:dyDescent="0.2">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 customHeight="1" x14ac:dyDescent="0.2">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 customHeight="1" x14ac:dyDescent="0.2">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 customHeight="1" x14ac:dyDescent="0.2">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 customHeight="1" x14ac:dyDescent="0.2">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 customHeight="1" x14ac:dyDescent="0.2">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 customHeight="1" x14ac:dyDescent="0.2">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 customHeight="1" x14ac:dyDescent="0.2">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 customHeight="1" x14ac:dyDescent="0.2">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 customHeight="1" x14ac:dyDescent="0.2">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 customHeight="1" x14ac:dyDescent="0.2">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 customHeight="1" x14ac:dyDescent="0.2">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 customHeight="1" x14ac:dyDescent="0.2">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 customHeight="1" x14ac:dyDescent="0.2">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 customHeight="1" x14ac:dyDescent="0.2">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 customHeight="1" x14ac:dyDescent="0.2">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 customHeight="1" x14ac:dyDescent="0.2">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 customHeight="1" x14ac:dyDescent="0.2">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 customHeight="1" x14ac:dyDescent="0.2">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 customHeight="1" x14ac:dyDescent="0.2">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 customHeight="1" x14ac:dyDescent="0.2">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2">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2">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2">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2">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2">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2">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2">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2">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2">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2">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2">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2">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2"/>
    <row r="71" spans="1:22" s="389" customFormat="1" x14ac:dyDescent="0.2"/>
    <row r="72" spans="1:22" s="389" customFormat="1" x14ac:dyDescent="0.2"/>
    <row r="73" spans="1:22" s="389" customFormat="1" x14ac:dyDescent="0.2"/>
    <row r="74" spans="1:22" s="389" customFormat="1" x14ac:dyDescent="0.2"/>
    <row r="75" spans="1:22" s="389" customFormat="1" x14ac:dyDescent="0.2"/>
    <row r="76" spans="1:22" s="389" customFormat="1" x14ac:dyDescent="0.2"/>
    <row r="77" spans="1:22" s="389" customFormat="1" x14ac:dyDescent="0.2"/>
    <row r="78" spans="1:22" s="389" customFormat="1" x14ac:dyDescent="0.2"/>
    <row r="79" spans="1:22" s="389" customFormat="1" x14ac:dyDescent="0.2"/>
    <row r="80" spans="1:22" s="389" customFormat="1" x14ac:dyDescent="0.2"/>
    <row r="81" s="389" customFormat="1" x14ac:dyDescent="0.2"/>
    <row r="82" s="389" customFormat="1" x14ac:dyDescent="0.2"/>
    <row r="83" s="389" customFormat="1" x14ac:dyDescent="0.2"/>
    <row r="84" s="389" customFormat="1" x14ac:dyDescent="0.2"/>
    <row r="85" s="389" customFormat="1" x14ac:dyDescent="0.2"/>
    <row r="86" s="389" customFormat="1" x14ac:dyDescent="0.2"/>
    <row r="87" s="389" customFormat="1" x14ac:dyDescent="0.2"/>
    <row r="88" s="389" customFormat="1" x14ac:dyDescent="0.2"/>
    <row r="89" s="389" customFormat="1" x14ac:dyDescent="0.2"/>
    <row r="90" s="389" customFormat="1" x14ac:dyDescent="0.2"/>
    <row r="91" s="389" customFormat="1" x14ac:dyDescent="0.2"/>
    <row r="92" s="389" customFormat="1" x14ac:dyDescent="0.2"/>
    <row r="93" s="389" customFormat="1" x14ac:dyDescent="0.2"/>
    <row r="94" s="389" customFormat="1" x14ac:dyDescent="0.2"/>
    <row r="95" s="389" customFormat="1" x14ac:dyDescent="0.2"/>
    <row r="96" s="389" customFormat="1" x14ac:dyDescent="0.2"/>
    <row r="97" s="389" customFormat="1" x14ac:dyDescent="0.2"/>
    <row r="98" s="389" customFormat="1" x14ac:dyDescent="0.2"/>
    <row r="99" s="389" customFormat="1" x14ac:dyDescent="0.2"/>
    <row r="100" s="389" customFormat="1" x14ac:dyDescent="0.2"/>
    <row r="101" s="389" customFormat="1" x14ac:dyDescent="0.2"/>
    <row r="102" s="389" customFormat="1" x14ac:dyDescent="0.2"/>
    <row r="103" s="389" customFormat="1" x14ac:dyDescent="0.2"/>
    <row r="104" s="389" customFormat="1" x14ac:dyDescent="0.2"/>
    <row r="105" s="389" customFormat="1" x14ac:dyDescent="0.2"/>
    <row r="106" s="389" customFormat="1" x14ac:dyDescent="0.2"/>
    <row r="107" s="389" customFormat="1" x14ac:dyDescent="0.2"/>
    <row r="108" s="389" customFormat="1" x14ac:dyDescent="0.2"/>
    <row r="109" s="389" customFormat="1" x14ac:dyDescent="0.2"/>
    <row r="110" s="389" customFormat="1" x14ac:dyDescent="0.2"/>
    <row r="111" s="389" customFormat="1" x14ac:dyDescent="0.2"/>
    <row r="112" s="389" customFormat="1" x14ac:dyDescent="0.2"/>
    <row r="113" s="389" customFormat="1" x14ac:dyDescent="0.2"/>
    <row r="114" s="389" customFormat="1" x14ac:dyDescent="0.2"/>
    <row r="115" s="389" customFormat="1" x14ac:dyDescent="0.2"/>
    <row r="116" s="389" customFormat="1" x14ac:dyDescent="0.2"/>
    <row r="117" s="389" customFormat="1" x14ac:dyDescent="0.2"/>
    <row r="118" s="389" customFormat="1" x14ac:dyDescent="0.2"/>
    <row r="119" s="389" customFormat="1" x14ac:dyDescent="0.2"/>
    <row r="120" s="389" customFormat="1" x14ac:dyDescent="0.2"/>
    <row r="121" s="389" customFormat="1" x14ac:dyDescent="0.2"/>
    <row r="122" s="389" customFormat="1" x14ac:dyDescent="0.2"/>
    <row r="123" s="389" customFormat="1" x14ac:dyDescent="0.2"/>
    <row r="124" s="389" customFormat="1" x14ac:dyDescent="0.2"/>
    <row r="125" s="389" customFormat="1" x14ac:dyDescent="0.2"/>
    <row r="126" s="389" customFormat="1" x14ac:dyDescent="0.2"/>
    <row r="127" s="389" customFormat="1" x14ac:dyDescent="0.2"/>
    <row r="128" s="389" customFormat="1" x14ac:dyDescent="0.2"/>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447675</xdr:colOff>
                    <xdr:row>5</xdr:row>
                    <xdr:rowOff>28575</xdr:rowOff>
                  </from>
                  <to>
                    <xdr:col>7</xdr:col>
                    <xdr:colOff>581025</xdr:colOff>
                    <xdr:row>5</xdr:row>
                    <xdr:rowOff>219075</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495300</xdr:colOff>
                    <xdr:row>5</xdr:row>
                    <xdr:rowOff>19050</xdr:rowOff>
                  </from>
                  <to>
                    <xdr:col>3</xdr:col>
                    <xdr:colOff>0</xdr:colOff>
                    <xdr:row>5</xdr:row>
                    <xdr:rowOff>228600</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9525</xdr:rowOff>
                  </from>
                  <to>
                    <xdr:col>9</xdr:col>
                    <xdr:colOff>133350</xdr:colOff>
                    <xdr:row>5</xdr:row>
                    <xdr:rowOff>238125</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504825</xdr:colOff>
                    <xdr:row>5</xdr:row>
                    <xdr:rowOff>28575</xdr:rowOff>
                  </from>
                  <to>
                    <xdr:col>13</xdr:col>
                    <xdr:colOff>533400</xdr:colOff>
                    <xdr:row>5</xdr:row>
                    <xdr:rowOff>228600</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333375</xdr:colOff>
                    <xdr:row>5</xdr:row>
                    <xdr:rowOff>38100</xdr:rowOff>
                  </from>
                  <to>
                    <xdr:col>12</xdr:col>
                    <xdr:colOff>466725</xdr:colOff>
                    <xdr:row>5</xdr:row>
                    <xdr:rowOff>228600</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495300</xdr:colOff>
                    <xdr:row>7</xdr:row>
                    <xdr:rowOff>19050</xdr:rowOff>
                  </from>
                  <to>
                    <xdr:col>3</xdr:col>
                    <xdr:colOff>0</xdr:colOff>
                    <xdr:row>7</xdr:row>
                    <xdr:rowOff>228600</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9525</xdr:rowOff>
                  </from>
                  <to>
                    <xdr:col>9</xdr:col>
                    <xdr:colOff>133350</xdr:colOff>
                    <xdr:row>7</xdr:row>
                    <xdr:rowOff>238125</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504825</xdr:colOff>
                    <xdr:row>7</xdr:row>
                    <xdr:rowOff>28575</xdr:rowOff>
                  </from>
                  <to>
                    <xdr:col>13</xdr:col>
                    <xdr:colOff>533400</xdr:colOff>
                    <xdr:row>7</xdr:row>
                    <xdr:rowOff>228600</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333375</xdr:colOff>
                    <xdr:row>7</xdr:row>
                    <xdr:rowOff>38100</xdr:rowOff>
                  </from>
                  <to>
                    <xdr:col>12</xdr:col>
                    <xdr:colOff>466725</xdr:colOff>
                    <xdr:row>7</xdr:row>
                    <xdr:rowOff>228600</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447675</xdr:colOff>
                    <xdr:row>9</xdr:row>
                    <xdr:rowOff>28575</xdr:rowOff>
                  </from>
                  <to>
                    <xdr:col>7</xdr:col>
                    <xdr:colOff>581025</xdr:colOff>
                    <xdr:row>9</xdr:row>
                    <xdr:rowOff>219075</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495300</xdr:colOff>
                    <xdr:row>9</xdr:row>
                    <xdr:rowOff>19050</xdr:rowOff>
                  </from>
                  <to>
                    <xdr:col>3</xdr:col>
                    <xdr:colOff>0</xdr:colOff>
                    <xdr:row>9</xdr:row>
                    <xdr:rowOff>228600</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9525</xdr:rowOff>
                  </from>
                  <to>
                    <xdr:col>9</xdr:col>
                    <xdr:colOff>133350</xdr:colOff>
                    <xdr:row>9</xdr:row>
                    <xdr:rowOff>238125</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333375</xdr:colOff>
                    <xdr:row>9</xdr:row>
                    <xdr:rowOff>38100</xdr:rowOff>
                  </from>
                  <to>
                    <xdr:col>12</xdr:col>
                    <xdr:colOff>466725</xdr:colOff>
                    <xdr:row>9</xdr:row>
                    <xdr:rowOff>228600</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447675</xdr:colOff>
                    <xdr:row>11</xdr:row>
                    <xdr:rowOff>28575</xdr:rowOff>
                  </from>
                  <to>
                    <xdr:col>7</xdr:col>
                    <xdr:colOff>581025</xdr:colOff>
                    <xdr:row>11</xdr:row>
                    <xdr:rowOff>219075</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495300</xdr:colOff>
                    <xdr:row>11</xdr:row>
                    <xdr:rowOff>19050</xdr:rowOff>
                  </from>
                  <to>
                    <xdr:col>3</xdr:col>
                    <xdr:colOff>0</xdr:colOff>
                    <xdr:row>11</xdr:row>
                    <xdr:rowOff>228600</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9525</xdr:rowOff>
                  </from>
                  <to>
                    <xdr:col>9</xdr:col>
                    <xdr:colOff>133350</xdr:colOff>
                    <xdr:row>11</xdr:row>
                    <xdr:rowOff>238125</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504825</xdr:colOff>
                    <xdr:row>11</xdr:row>
                    <xdr:rowOff>28575</xdr:rowOff>
                  </from>
                  <to>
                    <xdr:col>13</xdr:col>
                    <xdr:colOff>533400</xdr:colOff>
                    <xdr:row>11</xdr:row>
                    <xdr:rowOff>228600</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333375</xdr:colOff>
                    <xdr:row>11</xdr:row>
                    <xdr:rowOff>38100</xdr:rowOff>
                  </from>
                  <to>
                    <xdr:col>12</xdr:col>
                    <xdr:colOff>466725</xdr:colOff>
                    <xdr:row>11</xdr:row>
                    <xdr:rowOff>228600</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447675</xdr:colOff>
                    <xdr:row>13</xdr:row>
                    <xdr:rowOff>28575</xdr:rowOff>
                  </from>
                  <to>
                    <xdr:col>7</xdr:col>
                    <xdr:colOff>581025</xdr:colOff>
                    <xdr:row>13</xdr:row>
                    <xdr:rowOff>219075</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495300</xdr:colOff>
                    <xdr:row>13</xdr:row>
                    <xdr:rowOff>19050</xdr:rowOff>
                  </from>
                  <to>
                    <xdr:col>3</xdr:col>
                    <xdr:colOff>0</xdr:colOff>
                    <xdr:row>13</xdr:row>
                    <xdr:rowOff>228600</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9525</xdr:rowOff>
                  </from>
                  <to>
                    <xdr:col>9</xdr:col>
                    <xdr:colOff>133350</xdr:colOff>
                    <xdr:row>13</xdr:row>
                    <xdr:rowOff>238125</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504825</xdr:colOff>
                    <xdr:row>13</xdr:row>
                    <xdr:rowOff>28575</xdr:rowOff>
                  </from>
                  <to>
                    <xdr:col>13</xdr:col>
                    <xdr:colOff>533400</xdr:colOff>
                    <xdr:row>13</xdr:row>
                    <xdr:rowOff>228600</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333375</xdr:colOff>
                    <xdr:row>13</xdr:row>
                    <xdr:rowOff>38100</xdr:rowOff>
                  </from>
                  <to>
                    <xdr:col>12</xdr:col>
                    <xdr:colOff>466725</xdr:colOff>
                    <xdr:row>13</xdr:row>
                    <xdr:rowOff>228600</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447675</xdr:colOff>
                    <xdr:row>15</xdr:row>
                    <xdr:rowOff>28575</xdr:rowOff>
                  </from>
                  <to>
                    <xdr:col>7</xdr:col>
                    <xdr:colOff>581025</xdr:colOff>
                    <xdr:row>15</xdr:row>
                    <xdr:rowOff>219075</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495300</xdr:colOff>
                    <xdr:row>15</xdr:row>
                    <xdr:rowOff>19050</xdr:rowOff>
                  </from>
                  <to>
                    <xdr:col>3</xdr:col>
                    <xdr:colOff>0</xdr:colOff>
                    <xdr:row>15</xdr:row>
                    <xdr:rowOff>228600</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9525</xdr:rowOff>
                  </from>
                  <to>
                    <xdr:col>9</xdr:col>
                    <xdr:colOff>133350</xdr:colOff>
                    <xdr:row>15</xdr:row>
                    <xdr:rowOff>238125</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504825</xdr:colOff>
                    <xdr:row>15</xdr:row>
                    <xdr:rowOff>28575</xdr:rowOff>
                  </from>
                  <to>
                    <xdr:col>13</xdr:col>
                    <xdr:colOff>533400</xdr:colOff>
                    <xdr:row>15</xdr:row>
                    <xdr:rowOff>228600</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333375</xdr:colOff>
                    <xdr:row>15</xdr:row>
                    <xdr:rowOff>38100</xdr:rowOff>
                  </from>
                  <to>
                    <xdr:col>12</xdr:col>
                    <xdr:colOff>466725</xdr:colOff>
                    <xdr:row>15</xdr:row>
                    <xdr:rowOff>228600</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447675</xdr:colOff>
                    <xdr:row>17</xdr:row>
                    <xdr:rowOff>28575</xdr:rowOff>
                  </from>
                  <to>
                    <xdr:col>7</xdr:col>
                    <xdr:colOff>581025</xdr:colOff>
                    <xdr:row>17</xdr:row>
                    <xdr:rowOff>219075</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495300</xdr:colOff>
                    <xdr:row>17</xdr:row>
                    <xdr:rowOff>19050</xdr:rowOff>
                  </from>
                  <to>
                    <xdr:col>3</xdr:col>
                    <xdr:colOff>0</xdr:colOff>
                    <xdr:row>17</xdr:row>
                    <xdr:rowOff>228600</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9525</xdr:rowOff>
                  </from>
                  <to>
                    <xdr:col>9</xdr:col>
                    <xdr:colOff>133350</xdr:colOff>
                    <xdr:row>17</xdr:row>
                    <xdr:rowOff>238125</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504825</xdr:colOff>
                    <xdr:row>17</xdr:row>
                    <xdr:rowOff>28575</xdr:rowOff>
                  </from>
                  <to>
                    <xdr:col>13</xdr:col>
                    <xdr:colOff>533400</xdr:colOff>
                    <xdr:row>17</xdr:row>
                    <xdr:rowOff>228600</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333375</xdr:colOff>
                    <xdr:row>17</xdr:row>
                    <xdr:rowOff>38100</xdr:rowOff>
                  </from>
                  <to>
                    <xdr:col>12</xdr:col>
                    <xdr:colOff>466725</xdr:colOff>
                    <xdr:row>17</xdr:row>
                    <xdr:rowOff>228600</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447675</xdr:colOff>
                    <xdr:row>19</xdr:row>
                    <xdr:rowOff>28575</xdr:rowOff>
                  </from>
                  <to>
                    <xdr:col>7</xdr:col>
                    <xdr:colOff>581025</xdr:colOff>
                    <xdr:row>19</xdr:row>
                    <xdr:rowOff>219075</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495300</xdr:colOff>
                    <xdr:row>19</xdr:row>
                    <xdr:rowOff>19050</xdr:rowOff>
                  </from>
                  <to>
                    <xdr:col>3</xdr:col>
                    <xdr:colOff>0</xdr:colOff>
                    <xdr:row>19</xdr:row>
                    <xdr:rowOff>228600</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9525</xdr:rowOff>
                  </from>
                  <to>
                    <xdr:col>9</xdr:col>
                    <xdr:colOff>133350</xdr:colOff>
                    <xdr:row>19</xdr:row>
                    <xdr:rowOff>238125</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504825</xdr:colOff>
                    <xdr:row>19</xdr:row>
                    <xdr:rowOff>28575</xdr:rowOff>
                  </from>
                  <to>
                    <xdr:col>13</xdr:col>
                    <xdr:colOff>533400</xdr:colOff>
                    <xdr:row>19</xdr:row>
                    <xdr:rowOff>228600</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333375</xdr:colOff>
                    <xdr:row>19</xdr:row>
                    <xdr:rowOff>38100</xdr:rowOff>
                  </from>
                  <to>
                    <xdr:col>12</xdr:col>
                    <xdr:colOff>466725</xdr:colOff>
                    <xdr:row>19</xdr:row>
                    <xdr:rowOff>228600</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447675</xdr:colOff>
                    <xdr:row>21</xdr:row>
                    <xdr:rowOff>28575</xdr:rowOff>
                  </from>
                  <to>
                    <xdr:col>7</xdr:col>
                    <xdr:colOff>581025</xdr:colOff>
                    <xdr:row>21</xdr:row>
                    <xdr:rowOff>219075</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495300</xdr:colOff>
                    <xdr:row>21</xdr:row>
                    <xdr:rowOff>19050</xdr:rowOff>
                  </from>
                  <to>
                    <xdr:col>3</xdr:col>
                    <xdr:colOff>0</xdr:colOff>
                    <xdr:row>21</xdr:row>
                    <xdr:rowOff>228600</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9525</xdr:rowOff>
                  </from>
                  <to>
                    <xdr:col>9</xdr:col>
                    <xdr:colOff>133350</xdr:colOff>
                    <xdr:row>21</xdr:row>
                    <xdr:rowOff>238125</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504825</xdr:colOff>
                    <xdr:row>21</xdr:row>
                    <xdr:rowOff>28575</xdr:rowOff>
                  </from>
                  <to>
                    <xdr:col>13</xdr:col>
                    <xdr:colOff>533400</xdr:colOff>
                    <xdr:row>21</xdr:row>
                    <xdr:rowOff>228600</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333375</xdr:colOff>
                    <xdr:row>21</xdr:row>
                    <xdr:rowOff>38100</xdr:rowOff>
                  </from>
                  <to>
                    <xdr:col>12</xdr:col>
                    <xdr:colOff>466725</xdr:colOff>
                    <xdr:row>21</xdr:row>
                    <xdr:rowOff>228600</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447675</xdr:colOff>
                    <xdr:row>23</xdr:row>
                    <xdr:rowOff>28575</xdr:rowOff>
                  </from>
                  <to>
                    <xdr:col>7</xdr:col>
                    <xdr:colOff>581025</xdr:colOff>
                    <xdr:row>23</xdr:row>
                    <xdr:rowOff>219075</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495300</xdr:colOff>
                    <xdr:row>23</xdr:row>
                    <xdr:rowOff>19050</xdr:rowOff>
                  </from>
                  <to>
                    <xdr:col>3</xdr:col>
                    <xdr:colOff>0</xdr:colOff>
                    <xdr:row>23</xdr:row>
                    <xdr:rowOff>228600</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9525</xdr:rowOff>
                  </from>
                  <to>
                    <xdr:col>9</xdr:col>
                    <xdr:colOff>133350</xdr:colOff>
                    <xdr:row>23</xdr:row>
                    <xdr:rowOff>238125</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504825</xdr:colOff>
                    <xdr:row>23</xdr:row>
                    <xdr:rowOff>28575</xdr:rowOff>
                  </from>
                  <to>
                    <xdr:col>13</xdr:col>
                    <xdr:colOff>533400</xdr:colOff>
                    <xdr:row>23</xdr:row>
                    <xdr:rowOff>228600</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333375</xdr:colOff>
                    <xdr:row>23</xdr:row>
                    <xdr:rowOff>38100</xdr:rowOff>
                  </from>
                  <to>
                    <xdr:col>12</xdr:col>
                    <xdr:colOff>466725</xdr:colOff>
                    <xdr:row>23</xdr:row>
                    <xdr:rowOff>228600</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447675</xdr:colOff>
                    <xdr:row>25</xdr:row>
                    <xdr:rowOff>28575</xdr:rowOff>
                  </from>
                  <to>
                    <xdr:col>7</xdr:col>
                    <xdr:colOff>581025</xdr:colOff>
                    <xdr:row>25</xdr:row>
                    <xdr:rowOff>219075</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495300</xdr:colOff>
                    <xdr:row>25</xdr:row>
                    <xdr:rowOff>19050</xdr:rowOff>
                  </from>
                  <to>
                    <xdr:col>3</xdr:col>
                    <xdr:colOff>0</xdr:colOff>
                    <xdr:row>25</xdr:row>
                    <xdr:rowOff>228600</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9525</xdr:rowOff>
                  </from>
                  <to>
                    <xdr:col>9</xdr:col>
                    <xdr:colOff>133350</xdr:colOff>
                    <xdr:row>25</xdr:row>
                    <xdr:rowOff>238125</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504825</xdr:colOff>
                    <xdr:row>25</xdr:row>
                    <xdr:rowOff>28575</xdr:rowOff>
                  </from>
                  <to>
                    <xdr:col>13</xdr:col>
                    <xdr:colOff>533400</xdr:colOff>
                    <xdr:row>25</xdr:row>
                    <xdr:rowOff>228600</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333375</xdr:colOff>
                    <xdr:row>25</xdr:row>
                    <xdr:rowOff>38100</xdr:rowOff>
                  </from>
                  <to>
                    <xdr:col>12</xdr:col>
                    <xdr:colOff>466725</xdr:colOff>
                    <xdr:row>25</xdr:row>
                    <xdr:rowOff>228600</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447675</xdr:colOff>
                    <xdr:row>27</xdr:row>
                    <xdr:rowOff>28575</xdr:rowOff>
                  </from>
                  <to>
                    <xdr:col>7</xdr:col>
                    <xdr:colOff>581025</xdr:colOff>
                    <xdr:row>27</xdr:row>
                    <xdr:rowOff>219075</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495300</xdr:colOff>
                    <xdr:row>27</xdr:row>
                    <xdr:rowOff>19050</xdr:rowOff>
                  </from>
                  <to>
                    <xdr:col>3</xdr:col>
                    <xdr:colOff>0</xdr:colOff>
                    <xdr:row>27</xdr:row>
                    <xdr:rowOff>228600</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9525</xdr:rowOff>
                  </from>
                  <to>
                    <xdr:col>9</xdr:col>
                    <xdr:colOff>133350</xdr:colOff>
                    <xdr:row>27</xdr:row>
                    <xdr:rowOff>238125</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504825</xdr:colOff>
                    <xdr:row>27</xdr:row>
                    <xdr:rowOff>28575</xdr:rowOff>
                  </from>
                  <to>
                    <xdr:col>13</xdr:col>
                    <xdr:colOff>533400</xdr:colOff>
                    <xdr:row>27</xdr:row>
                    <xdr:rowOff>228600</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333375</xdr:colOff>
                    <xdr:row>27</xdr:row>
                    <xdr:rowOff>38100</xdr:rowOff>
                  </from>
                  <to>
                    <xdr:col>12</xdr:col>
                    <xdr:colOff>466725</xdr:colOff>
                    <xdr:row>27</xdr:row>
                    <xdr:rowOff>228600</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447675</xdr:colOff>
                    <xdr:row>29</xdr:row>
                    <xdr:rowOff>28575</xdr:rowOff>
                  </from>
                  <to>
                    <xdr:col>7</xdr:col>
                    <xdr:colOff>581025</xdr:colOff>
                    <xdr:row>29</xdr:row>
                    <xdr:rowOff>219075</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495300</xdr:colOff>
                    <xdr:row>29</xdr:row>
                    <xdr:rowOff>19050</xdr:rowOff>
                  </from>
                  <to>
                    <xdr:col>3</xdr:col>
                    <xdr:colOff>0</xdr:colOff>
                    <xdr:row>29</xdr:row>
                    <xdr:rowOff>228600</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9525</xdr:rowOff>
                  </from>
                  <to>
                    <xdr:col>9</xdr:col>
                    <xdr:colOff>133350</xdr:colOff>
                    <xdr:row>29</xdr:row>
                    <xdr:rowOff>238125</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504825</xdr:colOff>
                    <xdr:row>29</xdr:row>
                    <xdr:rowOff>28575</xdr:rowOff>
                  </from>
                  <to>
                    <xdr:col>13</xdr:col>
                    <xdr:colOff>533400</xdr:colOff>
                    <xdr:row>29</xdr:row>
                    <xdr:rowOff>228600</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333375</xdr:colOff>
                    <xdr:row>29</xdr:row>
                    <xdr:rowOff>38100</xdr:rowOff>
                  </from>
                  <to>
                    <xdr:col>12</xdr:col>
                    <xdr:colOff>466725</xdr:colOff>
                    <xdr:row>29</xdr:row>
                    <xdr:rowOff>228600</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447675</xdr:colOff>
                    <xdr:row>31</xdr:row>
                    <xdr:rowOff>28575</xdr:rowOff>
                  </from>
                  <to>
                    <xdr:col>7</xdr:col>
                    <xdr:colOff>581025</xdr:colOff>
                    <xdr:row>31</xdr:row>
                    <xdr:rowOff>219075</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495300</xdr:colOff>
                    <xdr:row>31</xdr:row>
                    <xdr:rowOff>19050</xdr:rowOff>
                  </from>
                  <to>
                    <xdr:col>3</xdr:col>
                    <xdr:colOff>0</xdr:colOff>
                    <xdr:row>31</xdr:row>
                    <xdr:rowOff>228600</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9525</xdr:rowOff>
                  </from>
                  <to>
                    <xdr:col>9</xdr:col>
                    <xdr:colOff>133350</xdr:colOff>
                    <xdr:row>31</xdr:row>
                    <xdr:rowOff>238125</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504825</xdr:colOff>
                    <xdr:row>31</xdr:row>
                    <xdr:rowOff>28575</xdr:rowOff>
                  </from>
                  <to>
                    <xdr:col>13</xdr:col>
                    <xdr:colOff>533400</xdr:colOff>
                    <xdr:row>31</xdr:row>
                    <xdr:rowOff>228600</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333375</xdr:colOff>
                    <xdr:row>31</xdr:row>
                    <xdr:rowOff>38100</xdr:rowOff>
                  </from>
                  <to>
                    <xdr:col>12</xdr:col>
                    <xdr:colOff>466725</xdr:colOff>
                    <xdr:row>31</xdr:row>
                    <xdr:rowOff>228600</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447675</xdr:colOff>
                    <xdr:row>33</xdr:row>
                    <xdr:rowOff>28575</xdr:rowOff>
                  </from>
                  <to>
                    <xdr:col>7</xdr:col>
                    <xdr:colOff>581025</xdr:colOff>
                    <xdr:row>33</xdr:row>
                    <xdr:rowOff>219075</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495300</xdr:colOff>
                    <xdr:row>33</xdr:row>
                    <xdr:rowOff>19050</xdr:rowOff>
                  </from>
                  <to>
                    <xdr:col>3</xdr:col>
                    <xdr:colOff>0</xdr:colOff>
                    <xdr:row>33</xdr:row>
                    <xdr:rowOff>228600</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9525</xdr:rowOff>
                  </from>
                  <to>
                    <xdr:col>9</xdr:col>
                    <xdr:colOff>133350</xdr:colOff>
                    <xdr:row>33</xdr:row>
                    <xdr:rowOff>238125</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504825</xdr:colOff>
                    <xdr:row>33</xdr:row>
                    <xdr:rowOff>28575</xdr:rowOff>
                  </from>
                  <to>
                    <xdr:col>13</xdr:col>
                    <xdr:colOff>533400</xdr:colOff>
                    <xdr:row>33</xdr:row>
                    <xdr:rowOff>228600</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333375</xdr:colOff>
                    <xdr:row>33</xdr:row>
                    <xdr:rowOff>38100</xdr:rowOff>
                  </from>
                  <to>
                    <xdr:col>12</xdr:col>
                    <xdr:colOff>466725</xdr:colOff>
                    <xdr:row>33</xdr:row>
                    <xdr:rowOff>228600</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447675</xdr:colOff>
                    <xdr:row>35</xdr:row>
                    <xdr:rowOff>28575</xdr:rowOff>
                  </from>
                  <to>
                    <xdr:col>7</xdr:col>
                    <xdr:colOff>581025</xdr:colOff>
                    <xdr:row>35</xdr:row>
                    <xdr:rowOff>219075</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495300</xdr:colOff>
                    <xdr:row>35</xdr:row>
                    <xdr:rowOff>19050</xdr:rowOff>
                  </from>
                  <to>
                    <xdr:col>3</xdr:col>
                    <xdr:colOff>0</xdr:colOff>
                    <xdr:row>35</xdr:row>
                    <xdr:rowOff>228600</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9525</xdr:rowOff>
                  </from>
                  <to>
                    <xdr:col>9</xdr:col>
                    <xdr:colOff>133350</xdr:colOff>
                    <xdr:row>35</xdr:row>
                    <xdr:rowOff>238125</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504825</xdr:colOff>
                    <xdr:row>35</xdr:row>
                    <xdr:rowOff>28575</xdr:rowOff>
                  </from>
                  <to>
                    <xdr:col>13</xdr:col>
                    <xdr:colOff>533400</xdr:colOff>
                    <xdr:row>35</xdr:row>
                    <xdr:rowOff>228600</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333375</xdr:colOff>
                    <xdr:row>35</xdr:row>
                    <xdr:rowOff>38100</xdr:rowOff>
                  </from>
                  <to>
                    <xdr:col>12</xdr:col>
                    <xdr:colOff>466725</xdr:colOff>
                    <xdr:row>35</xdr:row>
                    <xdr:rowOff>228600</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447675</xdr:colOff>
                    <xdr:row>37</xdr:row>
                    <xdr:rowOff>28575</xdr:rowOff>
                  </from>
                  <to>
                    <xdr:col>7</xdr:col>
                    <xdr:colOff>581025</xdr:colOff>
                    <xdr:row>37</xdr:row>
                    <xdr:rowOff>219075</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495300</xdr:colOff>
                    <xdr:row>37</xdr:row>
                    <xdr:rowOff>19050</xdr:rowOff>
                  </from>
                  <to>
                    <xdr:col>3</xdr:col>
                    <xdr:colOff>0</xdr:colOff>
                    <xdr:row>37</xdr:row>
                    <xdr:rowOff>228600</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9525</xdr:rowOff>
                  </from>
                  <to>
                    <xdr:col>9</xdr:col>
                    <xdr:colOff>133350</xdr:colOff>
                    <xdr:row>37</xdr:row>
                    <xdr:rowOff>238125</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504825</xdr:colOff>
                    <xdr:row>37</xdr:row>
                    <xdr:rowOff>28575</xdr:rowOff>
                  </from>
                  <to>
                    <xdr:col>13</xdr:col>
                    <xdr:colOff>533400</xdr:colOff>
                    <xdr:row>37</xdr:row>
                    <xdr:rowOff>228600</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333375</xdr:colOff>
                    <xdr:row>37</xdr:row>
                    <xdr:rowOff>38100</xdr:rowOff>
                  </from>
                  <to>
                    <xdr:col>12</xdr:col>
                    <xdr:colOff>466725</xdr:colOff>
                    <xdr:row>37</xdr:row>
                    <xdr:rowOff>228600</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447675</xdr:colOff>
                    <xdr:row>39</xdr:row>
                    <xdr:rowOff>28575</xdr:rowOff>
                  </from>
                  <to>
                    <xdr:col>7</xdr:col>
                    <xdr:colOff>581025</xdr:colOff>
                    <xdr:row>39</xdr:row>
                    <xdr:rowOff>219075</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495300</xdr:colOff>
                    <xdr:row>39</xdr:row>
                    <xdr:rowOff>19050</xdr:rowOff>
                  </from>
                  <to>
                    <xdr:col>3</xdr:col>
                    <xdr:colOff>0</xdr:colOff>
                    <xdr:row>39</xdr:row>
                    <xdr:rowOff>228600</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9525</xdr:rowOff>
                  </from>
                  <to>
                    <xdr:col>9</xdr:col>
                    <xdr:colOff>133350</xdr:colOff>
                    <xdr:row>39</xdr:row>
                    <xdr:rowOff>238125</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504825</xdr:colOff>
                    <xdr:row>39</xdr:row>
                    <xdr:rowOff>28575</xdr:rowOff>
                  </from>
                  <to>
                    <xdr:col>13</xdr:col>
                    <xdr:colOff>533400</xdr:colOff>
                    <xdr:row>39</xdr:row>
                    <xdr:rowOff>228600</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333375</xdr:colOff>
                    <xdr:row>39</xdr:row>
                    <xdr:rowOff>38100</xdr:rowOff>
                  </from>
                  <to>
                    <xdr:col>12</xdr:col>
                    <xdr:colOff>466725</xdr:colOff>
                    <xdr:row>39</xdr:row>
                    <xdr:rowOff>228600</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447675</xdr:colOff>
                    <xdr:row>41</xdr:row>
                    <xdr:rowOff>28575</xdr:rowOff>
                  </from>
                  <to>
                    <xdr:col>7</xdr:col>
                    <xdr:colOff>581025</xdr:colOff>
                    <xdr:row>41</xdr:row>
                    <xdr:rowOff>219075</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495300</xdr:colOff>
                    <xdr:row>41</xdr:row>
                    <xdr:rowOff>19050</xdr:rowOff>
                  </from>
                  <to>
                    <xdr:col>3</xdr:col>
                    <xdr:colOff>0</xdr:colOff>
                    <xdr:row>41</xdr:row>
                    <xdr:rowOff>228600</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9525</xdr:rowOff>
                  </from>
                  <to>
                    <xdr:col>9</xdr:col>
                    <xdr:colOff>133350</xdr:colOff>
                    <xdr:row>41</xdr:row>
                    <xdr:rowOff>238125</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504825</xdr:colOff>
                    <xdr:row>41</xdr:row>
                    <xdr:rowOff>28575</xdr:rowOff>
                  </from>
                  <to>
                    <xdr:col>13</xdr:col>
                    <xdr:colOff>533400</xdr:colOff>
                    <xdr:row>41</xdr:row>
                    <xdr:rowOff>228600</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333375</xdr:colOff>
                    <xdr:row>41</xdr:row>
                    <xdr:rowOff>38100</xdr:rowOff>
                  </from>
                  <to>
                    <xdr:col>12</xdr:col>
                    <xdr:colOff>466725</xdr:colOff>
                    <xdr:row>41</xdr:row>
                    <xdr:rowOff>228600</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447675</xdr:colOff>
                    <xdr:row>43</xdr:row>
                    <xdr:rowOff>28575</xdr:rowOff>
                  </from>
                  <to>
                    <xdr:col>7</xdr:col>
                    <xdr:colOff>581025</xdr:colOff>
                    <xdr:row>43</xdr:row>
                    <xdr:rowOff>219075</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495300</xdr:colOff>
                    <xdr:row>43</xdr:row>
                    <xdr:rowOff>19050</xdr:rowOff>
                  </from>
                  <to>
                    <xdr:col>3</xdr:col>
                    <xdr:colOff>0</xdr:colOff>
                    <xdr:row>43</xdr:row>
                    <xdr:rowOff>228600</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9525</xdr:rowOff>
                  </from>
                  <to>
                    <xdr:col>9</xdr:col>
                    <xdr:colOff>133350</xdr:colOff>
                    <xdr:row>43</xdr:row>
                    <xdr:rowOff>238125</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504825</xdr:colOff>
                    <xdr:row>43</xdr:row>
                    <xdr:rowOff>28575</xdr:rowOff>
                  </from>
                  <to>
                    <xdr:col>13</xdr:col>
                    <xdr:colOff>533400</xdr:colOff>
                    <xdr:row>43</xdr:row>
                    <xdr:rowOff>228600</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333375</xdr:colOff>
                    <xdr:row>43</xdr:row>
                    <xdr:rowOff>38100</xdr:rowOff>
                  </from>
                  <to>
                    <xdr:col>12</xdr:col>
                    <xdr:colOff>466725</xdr:colOff>
                    <xdr:row>43</xdr:row>
                    <xdr:rowOff>228600</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447675</xdr:colOff>
                    <xdr:row>7</xdr:row>
                    <xdr:rowOff>28575</xdr:rowOff>
                  </from>
                  <to>
                    <xdr:col>7</xdr:col>
                    <xdr:colOff>581025</xdr:colOff>
                    <xdr:row>7</xdr:row>
                    <xdr:rowOff>219075</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47625</xdr:colOff>
                    <xdr:row>5</xdr:row>
                    <xdr:rowOff>38100</xdr:rowOff>
                  </from>
                  <to>
                    <xdr:col>15</xdr:col>
                    <xdr:colOff>180975</xdr:colOff>
                    <xdr:row>5</xdr:row>
                    <xdr:rowOff>228600</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47625</xdr:colOff>
                    <xdr:row>7</xdr:row>
                    <xdr:rowOff>38100</xdr:rowOff>
                  </from>
                  <to>
                    <xdr:col>15</xdr:col>
                    <xdr:colOff>180975</xdr:colOff>
                    <xdr:row>7</xdr:row>
                    <xdr:rowOff>228600</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47625</xdr:colOff>
                    <xdr:row>9</xdr:row>
                    <xdr:rowOff>38100</xdr:rowOff>
                  </from>
                  <to>
                    <xdr:col>15</xdr:col>
                    <xdr:colOff>180975</xdr:colOff>
                    <xdr:row>9</xdr:row>
                    <xdr:rowOff>228600</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47625</xdr:colOff>
                    <xdr:row>11</xdr:row>
                    <xdr:rowOff>38100</xdr:rowOff>
                  </from>
                  <to>
                    <xdr:col>15</xdr:col>
                    <xdr:colOff>180975</xdr:colOff>
                    <xdr:row>11</xdr:row>
                    <xdr:rowOff>228600</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47625</xdr:colOff>
                    <xdr:row>13</xdr:row>
                    <xdr:rowOff>38100</xdr:rowOff>
                  </from>
                  <to>
                    <xdr:col>15</xdr:col>
                    <xdr:colOff>180975</xdr:colOff>
                    <xdr:row>13</xdr:row>
                    <xdr:rowOff>228600</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47625</xdr:colOff>
                    <xdr:row>15</xdr:row>
                    <xdr:rowOff>38100</xdr:rowOff>
                  </from>
                  <to>
                    <xdr:col>15</xdr:col>
                    <xdr:colOff>180975</xdr:colOff>
                    <xdr:row>15</xdr:row>
                    <xdr:rowOff>228600</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47625</xdr:colOff>
                    <xdr:row>17</xdr:row>
                    <xdr:rowOff>38100</xdr:rowOff>
                  </from>
                  <to>
                    <xdr:col>15</xdr:col>
                    <xdr:colOff>180975</xdr:colOff>
                    <xdr:row>17</xdr:row>
                    <xdr:rowOff>228600</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47625</xdr:colOff>
                    <xdr:row>19</xdr:row>
                    <xdr:rowOff>38100</xdr:rowOff>
                  </from>
                  <to>
                    <xdr:col>15</xdr:col>
                    <xdr:colOff>180975</xdr:colOff>
                    <xdr:row>19</xdr:row>
                    <xdr:rowOff>228600</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47625</xdr:colOff>
                    <xdr:row>21</xdr:row>
                    <xdr:rowOff>38100</xdr:rowOff>
                  </from>
                  <to>
                    <xdr:col>15</xdr:col>
                    <xdr:colOff>180975</xdr:colOff>
                    <xdr:row>21</xdr:row>
                    <xdr:rowOff>228600</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47625</xdr:colOff>
                    <xdr:row>23</xdr:row>
                    <xdr:rowOff>38100</xdr:rowOff>
                  </from>
                  <to>
                    <xdr:col>15</xdr:col>
                    <xdr:colOff>180975</xdr:colOff>
                    <xdr:row>23</xdr:row>
                    <xdr:rowOff>228600</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47625</xdr:colOff>
                    <xdr:row>25</xdr:row>
                    <xdr:rowOff>38100</xdr:rowOff>
                  </from>
                  <to>
                    <xdr:col>15</xdr:col>
                    <xdr:colOff>180975</xdr:colOff>
                    <xdr:row>25</xdr:row>
                    <xdr:rowOff>228600</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47625</xdr:colOff>
                    <xdr:row>27</xdr:row>
                    <xdr:rowOff>38100</xdr:rowOff>
                  </from>
                  <to>
                    <xdr:col>15</xdr:col>
                    <xdr:colOff>180975</xdr:colOff>
                    <xdr:row>27</xdr:row>
                    <xdr:rowOff>228600</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47625</xdr:colOff>
                    <xdr:row>29</xdr:row>
                    <xdr:rowOff>38100</xdr:rowOff>
                  </from>
                  <to>
                    <xdr:col>15</xdr:col>
                    <xdr:colOff>180975</xdr:colOff>
                    <xdr:row>29</xdr:row>
                    <xdr:rowOff>228600</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47625</xdr:colOff>
                    <xdr:row>31</xdr:row>
                    <xdr:rowOff>38100</xdr:rowOff>
                  </from>
                  <to>
                    <xdr:col>15</xdr:col>
                    <xdr:colOff>180975</xdr:colOff>
                    <xdr:row>31</xdr:row>
                    <xdr:rowOff>228600</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47625</xdr:colOff>
                    <xdr:row>33</xdr:row>
                    <xdr:rowOff>38100</xdr:rowOff>
                  </from>
                  <to>
                    <xdr:col>15</xdr:col>
                    <xdr:colOff>180975</xdr:colOff>
                    <xdr:row>33</xdr:row>
                    <xdr:rowOff>228600</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47625</xdr:colOff>
                    <xdr:row>35</xdr:row>
                    <xdr:rowOff>38100</xdr:rowOff>
                  </from>
                  <to>
                    <xdr:col>15</xdr:col>
                    <xdr:colOff>180975</xdr:colOff>
                    <xdr:row>35</xdr:row>
                    <xdr:rowOff>228600</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47625</xdr:colOff>
                    <xdr:row>37</xdr:row>
                    <xdr:rowOff>38100</xdr:rowOff>
                  </from>
                  <to>
                    <xdr:col>15</xdr:col>
                    <xdr:colOff>180975</xdr:colOff>
                    <xdr:row>37</xdr:row>
                    <xdr:rowOff>228600</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47625</xdr:colOff>
                    <xdr:row>39</xdr:row>
                    <xdr:rowOff>38100</xdr:rowOff>
                  </from>
                  <to>
                    <xdr:col>15</xdr:col>
                    <xdr:colOff>180975</xdr:colOff>
                    <xdr:row>39</xdr:row>
                    <xdr:rowOff>228600</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47625</xdr:colOff>
                    <xdr:row>41</xdr:row>
                    <xdr:rowOff>38100</xdr:rowOff>
                  </from>
                  <to>
                    <xdr:col>15</xdr:col>
                    <xdr:colOff>180975</xdr:colOff>
                    <xdr:row>41</xdr:row>
                    <xdr:rowOff>228600</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47625</xdr:colOff>
                    <xdr:row>43</xdr:row>
                    <xdr:rowOff>38100</xdr:rowOff>
                  </from>
                  <to>
                    <xdr:col>15</xdr:col>
                    <xdr:colOff>180975</xdr:colOff>
                    <xdr:row>43</xdr:row>
                    <xdr:rowOff>228600</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47625</xdr:colOff>
                    <xdr:row>2</xdr:row>
                    <xdr:rowOff>28575</xdr:rowOff>
                  </from>
                  <to>
                    <xdr:col>12</xdr:col>
                    <xdr:colOff>209550</xdr:colOff>
                    <xdr:row>2</xdr:row>
                    <xdr:rowOff>200025</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352425</xdr:colOff>
                    <xdr:row>2</xdr:row>
                    <xdr:rowOff>28575</xdr:rowOff>
                  </from>
                  <to>
                    <xdr:col>14</xdr:col>
                    <xdr:colOff>514350</xdr:colOff>
                    <xdr:row>2</xdr:row>
                    <xdr:rowOff>200025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75" x14ac:dyDescent="0.2"/>
  <cols>
    <col min="2" max="2" width="10.28515625" customWidth="1"/>
    <col min="3" max="3" width="24.140625" customWidth="1"/>
    <col min="4" max="4" width="11.42578125" customWidth="1"/>
    <col min="5" max="5" width="10.42578125" customWidth="1"/>
    <col min="21" max="21" width="24.140625" customWidth="1"/>
    <col min="23" max="23" width="27.28515625" customWidth="1"/>
    <col min="24" max="24" width="9.28515625" bestFit="1" customWidth="1"/>
    <col min="25" max="25" width="17.140625" customWidth="1"/>
    <col min="26" max="26" width="9.5703125" customWidth="1"/>
    <col min="28" max="28" width="35.140625" customWidth="1"/>
  </cols>
  <sheetData>
    <row r="1" spans="1:30" x14ac:dyDescent="0.2">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2">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2">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2">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2">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2">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2">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2">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2">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2">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2">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2">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2">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2">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2">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2">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2">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2">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2">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2">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2">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2">
      <c r="O23">
        <f>SUM(O2:O21)</f>
        <v>0</v>
      </c>
      <c r="Q23">
        <f>SUM(Q2:Q21)</f>
        <v>0</v>
      </c>
      <c r="S23">
        <f>SUM(R2:S21)</f>
        <v>0</v>
      </c>
    </row>
    <row r="25" spans="1:30" x14ac:dyDescent="0.2">
      <c r="A25" t="s">
        <v>725</v>
      </c>
      <c r="B25">
        <v>210</v>
      </c>
      <c r="C25">
        <f>INDEX(dbForm!A2:A1013,ber_Med_disc!B25,1)</f>
        <v>210</v>
      </c>
      <c r="D25" t="e">
        <f>VLOOKUP(ber_Med_disc!C25,dbForm!V2:AE1015,2,FALSE)+1</f>
        <v>#N/A</v>
      </c>
      <c r="E25">
        <f>INDEX(tblRecNo,MedKeuze_0,1)</f>
        <v>210</v>
      </c>
    </row>
    <row r="26" spans="1:30" x14ac:dyDescent="0.2">
      <c r="A26" t="s">
        <v>3671</v>
      </c>
      <c r="B26" t="s">
        <v>3677</v>
      </c>
      <c r="D26" t="s">
        <v>3806</v>
      </c>
      <c r="E26" t="s">
        <v>3301</v>
      </c>
    </row>
    <row r="28" spans="1:30" x14ac:dyDescent="0.2">
      <c r="A28" t="s">
        <v>1002</v>
      </c>
      <c r="B28" t="s">
        <v>2768</v>
      </c>
      <c r="C28">
        <v>0</v>
      </c>
      <c r="D28" t="s">
        <v>4975</v>
      </c>
      <c r="E28" t="s">
        <v>1858</v>
      </c>
    </row>
    <row r="29" spans="1:30" x14ac:dyDescent="0.2">
      <c r="A29" t="s">
        <v>1001</v>
      </c>
      <c r="B29" t="s">
        <v>2769</v>
      </c>
      <c r="C29">
        <v>1</v>
      </c>
      <c r="D29" t="s">
        <v>3805</v>
      </c>
      <c r="E29" t="s">
        <v>1844</v>
      </c>
    </row>
    <row r="30" spans="1:30" x14ac:dyDescent="0.2">
      <c r="A30" t="s">
        <v>542</v>
      </c>
      <c r="B30" t="s">
        <v>2770</v>
      </c>
      <c r="C30">
        <v>1</v>
      </c>
      <c r="D30" t="s">
        <v>4090</v>
      </c>
      <c r="E30" t="s">
        <v>372</v>
      </c>
    </row>
    <row r="31" spans="1:30" x14ac:dyDescent="0.2">
      <c r="A31" t="s">
        <v>3022</v>
      </c>
      <c r="C31">
        <v>2</v>
      </c>
      <c r="D31" t="s">
        <v>4091</v>
      </c>
      <c r="E31" t="s">
        <v>821</v>
      </c>
    </row>
    <row r="32" spans="1:30" x14ac:dyDescent="0.2">
      <c r="A32" t="s">
        <v>546</v>
      </c>
      <c r="C32">
        <v>3</v>
      </c>
      <c r="D32" t="s">
        <v>4092</v>
      </c>
      <c r="E32" t="s">
        <v>1845</v>
      </c>
    </row>
    <row r="33" spans="1:4" x14ac:dyDescent="0.2">
      <c r="A33" t="s">
        <v>2124</v>
      </c>
      <c r="C33">
        <v>4</v>
      </c>
      <c r="D33" t="s">
        <v>4093</v>
      </c>
    </row>
    <row r="34" spans="1:4" x14ac:dyDescent="0.2">
      <c r="A34" t="s">
        <v>3672</v>
      </c>
      <c r="C34">
        <v>5</v>
      </c>
      <c r="D34" t="s">
        <v>4974</v>
      </c>
    </row>
    <row r="35" spans="1:4" x14ac:dyDescent="0.2">
      <c r="A35" t="s">
        <v>3673</v>
      </c>
      <c r="C35">
        <v>6</v>
      </c>
      <c r="D35" t="s">
        <v>1930</v>
      </c>
    </row>
    <row r="36" spans="1:4" x14ac:dyDescent="0.2">
      <c r="A36" t="s">
        <v>3674</v>
      </c>
      <c r="C36">
        <v>8</v>
      </c>
      <c r="D36" t="s">
        <v>1931</v>
      </c>
    </row>
    <row r="37" spans="1:4" x14ac:dyDescent="0.2">
      <c r="A37" t="s">
        <v>585</v>
      </c>
      <c r="C37">
        <v>12</v>
      </c>
      <c r="D37" t="s">
        <v>1932</v>
      </c>
    </row>
    <row r="38" spans="1:4" x14ac:dyDescent="0.2">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75" x14ac:dyDescent="0.2"/>
  <cols>
    <col min="2" max="24" width="4.7109375" customWidth="1"/>
  </cols>
  <sheetData>
    <row r="1" spans="1:24" x14ac:dyDescent="0.2">
      <c r="A1" t="s">
        <v>4089</v>
      </c>
    </row>
    <row r="2" spans="1:24" x14ac:dyDescent="0.2">
      <c r="A2" t="s">
        <v>3914</v>
      </c>
      <c r="B2">
        <v>20</v>
      </c>
    </row>
    <row r="3" spans="1:24" x14ac:dyDescent="0.2">
      <c r="A3" t="s">
        <v>4090</v>
      </c>
      <c r="B3">
        <v>10</v>
      </c>
    </row>
    <row r="4" spans="1:24" x14ac:dyDescent="0.2">
      <c r="A4" t="s">
        <v>4091</v>
      </c>
      <c r="B4">
        <v>10</v>
      </c>
      <c r="C4">
        <v>22</v>
      </c>
    </row>
    <row r="5" spans="1:24" x14ac:dyDescent="0.2">
      <c r="A5" t="s">
        <v>4092</v>
      </c>
      <c r="B5">
        <v>10</v>
      </c>
      <c r="C5">
        <v>18</v>
      </c>
      <c r="D5">
        <v>2</v>
      </c>
    </row>
    <row r="6" spans="1:24" x14ac:dyDescent="0.2">
      <c r="A6" t="s">
        <v>4093</v>
      </c>
      <c r="B6">
        <v>10</v>
      </c>
      <c r="C6">
        <v>18</v>
      </c>
      <c r="D6">
        <v>24</v>
      </c>
      <c r="E6">
        <v>6</v>
      </c>
    </row>
    <row r="7" spans="1:24" x14ac:dyDescent="0.2">
      <c r="A7" t="s">
        <v>1930</v>
      </c>
      <c r="B7">
        <v>10</v>
      </c>
      <c r="C7">
        <v>14</v>
      </c>
      <c r="D7">
        <v>18</v>
      </c>
      <c r="E7">
        <v>22</v>
      </c>
      <c r="F7">
        <v>2</v>
      </c>
      <c r="G7">
        <v>6</v>
      </c>
    </row>
    <row r="8" spans="1:24" x14ac:dyDescent="0.2">
      <c r="A8" t="s">
        <v>1931</v>
      </c>
      <c r="B8">
        <v>11</v>
      </c>
      <c r="C8">
        <v>14</v>
      </c>
      <c r="D8">
        <v>17</v>
      </c>
      <c r="E8">
        <v>20</v>
      </c>
      <c r="F8">
        <v>23</v>
      </c>
      <c r="G8">
        <v>2</v>
      </c>
      <c r="H8">
        <v>5</v>
      </c>
      <c r="I8">
        <v>8</v>
      </c>
    </row>
    <row r="9" spans="1:24" x14ac:dyDescent="0.2">
      <c r="A9" t="s">
        <v>1932</v>
      </c>
      <c r="B9">
        <v>10</v>
      </c>
      <c r="C9">
        <v>12</v>
      </c>
      <c r="D9">
        <v>14</v>
      </c>
      <c r="E9">
        <v>16</v>
      </c>
      <c r="F9">
        <v>18</v>
      </c>
      <c r="G9">
        <v>20</v>
      </c>
      <c r="H9">
        <v>22</v>
      </c>
      <c r="I9">
        <v>24</v>
      </c>
      <c r="J9">
        <v>2</v>
      </c>
      <c r="K9">
        <v>4</v>
      </c>
      <c r="L9">
        <v>6</v>
      </c>
      <c r="M9">
        <v>8</v>
      </c>
    </row>
    <row r="10" spans="1:24" x14ac:dyDescent="0.2">
      <c r="A10" t="s">
        <v>276</v>
      </c>
    </row>
    <row r="12" spans="1:24" x14ac:dyDescent="0.2">
      <c r="A12">
        <v>10</v>
      </c>
      <c r="B12" t="s">
        <v>4090</v>
      </c>
      <c r="C12" t="s">
        <v>4091</v>
      </c>
      <c r="D12" t="s">
        <v>4092</v>
      </c>
      <c r="E12" t="s">
        <v>4093</v>
      </c>
      <c r="F12" t="s">
        <v>1930</v>
      </c>
      <c r="G12" t="s">
        <v>1932</v>
      </c>
    </row>
    <row r="14" spans="1:24" x14ac:dyDescent="0.2">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2">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2">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2">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2">
      <c r="A18" t="s">
        <v>4090</v>
      </c>
      <c r="B18" s="17" t="s">
        <v>1933</v>
      </c>
      <c r="C18" s="17"/>
      <c r="D18" s="17"/>
      <c r="E18" s="17"/>
      <c r="F18" s="17"/>
      <c r="G18" s="17"/>
      <c r="H18" s="17"/>
      <c r="I18" s="17"/>
      <c r="J18" s="17"/>
      <c r="K18" s="17"/>
      <c r="L18" s="17"/>
      <c r="M18" s="17"/>
      <c r="N18" s="17"/>
      <c r="O18" s="17"/>
      <c r="P18" s="17"/>
      <c r="Q18" s="17"/>
    </row>
    <row r="19" spans="1:24" x14ac:dyDescent="0.2">
      <c r="A19" t="s">
        <v>4091</v>
      </c>
      <c r="B19" s="17" t="s">
        <v>1933</v>
      </c>
      <c r="C19" s="17"/>
      <c r="D19" s="17"/>
      <c r="E19" s="17"/>
      <c r="F19" s="17"/>
      <c r="G19" s="17"/>
      <c r="H19" s="17"/>
      <c r="I19" s="17"/>
      <c r="J19" s="17"/>
      <c r="K19" s="17"/>
      <c r="L19" s="17"/>
      <c r="M19" s="17"/>
      <c r="N19" s="17" t="s">
        <v>1933</v>
      </c>
      <c r="O19" s="17"/>
      <c r="P19" s="17"/>
      <c r="Q19" s="17"/>
    </row>
    <row r="20" spans="1:24" x14ac:dyDescent="0.2">
      <c r="A20" t="s">
        <v>4092</v>
      </c>
      <c r="B20" s="17" t="s">
        <v>1933</v>
      </c>
      <c r="C20" s="17"/>
      <c r="D20" s="17"/>
      <c r="E20" s="17"/>
      <c r="F20" s="17"/>
      <c r="G20" s="17"/>
      <c r="H20" s="17"/>
      <c r="I20" s="17"/>
      <c r="J20" s="17" t="s">
        <v>1933</v>
      </c>
      <c r="K20" s="17"/>
      <c r="L20" s="17"/>
      <c r="M20" s="17"/>
      <c r="N20" s="17"/>
      <c r="O20" s="17"/>
      <c r="P20" s="17"/>
      <c r="Q20" s="17"/>
      <c r="R20" t="s">
        <v>1933</v>
      </c>
    </row>
    <row r="21" spans="1:24" x14ac:dyDescent="0.2">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2">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2">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2">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2">
      <c r="A25" t="s">
        <v>276</v>
      </c>
      <c r="B25" s="17"/>
      <c r="C25" s="17"/>
      <c r="D25" s="17"/>
      <c r="E25" s="17"/>
      <c r="F25" s="17"/>
      <c r="G25" s="17"/>
      <c r="H25" s="17"/>
      <c r="I25" s="17"/>
      <c r="J25" s="17"/>
      <c r="K25" s="17"/>
      <c r="L25" s="17"/>
      <c r="M25" s="17"/>
      <c r="N25" s="17"/>
      <c r="O25" s="17"/>
      <c r="P25" s="17"/>
      <c r="Q25" s="17"/>
    </row>
    <row r="26" spans="1:24" x14ac:dyDescent="0.2">
      <c r="B26" s="17"/>
      <c r="C26" s="17"/>
      <c r="D26" s="17"/>
      <c r="E26" s="17"/>
      <c r="F26" s="17"/>
      <c r="G26" s="17"/>
      <c r="H26" s="17"/>
      <c r="I26" s="17"/>
      <c r="J26" s="17"/>
      <c r="K26" s="17"/>
      <c r="L26" s="17"/>
      <c r="M26" s="17"/>
      <c r="N26" s="17"/>
      <c r="O26" s="17"/>
      <c r="P26" s="17"/>
      <c r="Q26" s="17"/>
    </row>
    <row r="27" spans="1:24" x14ac:dyDescent="0.2">
      <c r="B27" s="17"/>
      <c r="C27" s="17"/>
      <c r="D27" s="17"/>
      <c r="E27" s="17"/>
      <c r="F27" s="17"/>
      <c r="G27" s="17"/>
      <c r="H27" s="17"/>
      <c r="I27" s="17"/>
      <c r="J27" s="17"/>
      <c r="K27" s="17"/>
      <c r="L27" s="17"/>
      <c r="M27" s="17"/>
      <c r="N27" s="17"/>
      <c r="O27" s="17"/>
      <c r="P27" s="17"/>
      <c r="Q27" s="17"/>
    </row>
    <row r="28" spans="1:24" x14ac:dyDescent="0.2">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75" x14ac:dyDescent="0.2"/>
  <cols>
    <col min="1" max="1" width="7.140625" customWidth="1"/>
    <col min="2" max="2" width="6" customWidth="1"/>
    <col min="3" max="3" width="26.42578125" customWidth="1"/>
    <col min="4" max="4" width="4.5703125" customWidth="1"/>
    <col min="6" max="6" width="4.28515625" customWidth="1"/>
    <col min="7" max="7" width="11.7109375" customWidth="1"/>
    <col min="8" max="23" width="2.7109375" style="18" customWidth="1"/>
    <col min="24" max="33" width="2.7109375" customWidth="1"/>
  </cols>
  <sheetData>
    <row r="1" spans="2:33" ht="19.5" customHeight="1" thickBot="1" x14ac:dyDescent="0.25">
      <c r="B1" t="str">
        <f>"Naam: "&amp;AchterNaam&amp;", "&amp;VoorNaam</f>
        <v>Naam: Achternaam, Voornaam</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42185</v>
      </c>
      <c r="AC1" s="432"/>
      <c r="AD1" s="432"/>
      <c r="AE1" s="432"/>
      <c r="AF1" s="432"/>
    </row>
    <row r="2" spans="2:33" ht="26.1" customHeight="1" x14ac:dyDescent="0.2">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2">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2">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2">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2">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2">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2">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2">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2">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2">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2">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2">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2">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2">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2">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2">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2">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2">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2">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2">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2">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RowHeight="12.75" x14ac:dyDescent="0.2"/>
  <cols>
    <col min="1" max="1" width="6.28515625" style="375" customWidth="1"/>
    <col min="2" max="2" width="30.7109375" style="375" customWidth="1"/>
    <col min="3" max="3" width="35.140625" style="375" customWidth="1"/>
    <col min="4" max="4" width="27" style="375" customWidth="1"/>
    <col min="5" max="5" width="10.85546875" style="375" customWidth="1"/>
    <col min="6" max="6" width="10.28515625" style="376" customWidth="1"/>
    <col min="7" max="7" width="5" style="375" customWidth="1"/>
    <col min="8" max="8" width="30.5703125" style="375" customWidth="1"/>
    <col min="9" max="9" width="39.140625" style="375" customWidth="1"/>
    <col min="10" max="10" width="7.42578125" style="375" customWidth="1"/>
    <col min="11" max="11" width="7.28515625" style="375" customWidth="1"/>
    <col min="12" max="12" width="7.85546875" style="375" customWidth="1"/>
    <col min="13" max="13" width="8.42578125" style="375" customWidth="1"/>
    <col min="14" max="14" width="8.5703125" style="375" customWidth="1"/>
    <col min="15" max="15" width="8" style="375" customWidth="1"/>
    <col min="16" max="16" width="9.140625" style="375"/>
    <col min="17" max="17" width="0" style="375" hidden="1" customWidth="1"/>
    <col min="18" max="18" width="19.42578125" style="375" customWidth="1"/>
    <col min="19" max="19" width="17.5703125" style="375" customWidth="1"/>
    <col min="20" max="21" width="10.5703125" style="375" customWidth="1"/>
    <col min="22" max="22" width="9.85546875" style="375" customWidth="1"/>
    <col min="23" max="23" width="9.140625" style="375"/>
    <col min="24" max="24" width="48.5703125" style="375" customWidth="1"/>
    <col min="25" max="25" width="53.140625" style="375" customWidth="1"/>
    <col min="26" max="26" width="10.85546875" style="375" customWidth="1"/>
    <col min="27" max="28" width="9.140625" style="375"/>
    <col min="29" max="29" width="8.28515625" style="375" customWidth="1"/>
    <col min="30" max="30" width="7.140625" style="375" customWidth="1"/>
    <col min="31" max="36" width="9.140625" style="377"/>
    <col min="37" max="16384" width="9.140625" style="375"/>
  </cols>
  <sheetData>
    <row r="1" spans="1:30" ht="22.5" x14ac:dyDescent="0.2">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5" hidden="1" x14ac:dyDescent="0.2">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5" hidden="1" x14ac:dyDescent="0.2">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5" hidden="1" x14ac:dyDescent="0.2">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 hidden="1" x14ac:dyDescent="0.2">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 hidden="1" x14ac:dyDescent="0.2">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4.75" hidden="1" x14ac:dyDescent="0.2">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4.75" hidden="1" x14ac:dyDescent="0.2">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25" hidden="1" x14ac:dyDescent="0.2">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25" hidden="1" x14ac:dyDescent="0.2">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25" hidden="1" x14ac:dyDescent="0.2">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5" hidden="1" x14ac:dyDescent="0.2">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204" hidden="1" x14ac:dyDescent="0.2">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5" hidden="1" x14ac:dyDescent="0.2">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5" hidden="1" x14ac:dyDescent="0.2">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5" hidden="1" x14ac:dyDescent="0.2">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14.75" hidden="1" x14ac:dyDescent="0.2">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4.75" hidden="1" x14ac:dyDescent="0.2">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4.75" hidden="1" x14ac:dyDescent="0.2">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3.75" hidden="1" x14ac:dyDescent="0.2">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4.75" hidden="1" x14ac:dyDescent="0.2">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3.75" hidden="1" x14ac:dyDescent="0.2">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4.75" hidden="1" x14ac:dyDescent="0.2">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3.75" hidden="1" x14ac:dyDescent="0.2">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14.75" hidden="1" x14ac:dyDescent="0.2">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5" hidden="1" x14ac:dyDescent="0.2">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25" hidden="1" x14ac:dyDescent="0.2">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25" hidden="1" x14ac:dyDescent="0.2">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25" hidden="1" x14ac:dyDescent="0.2">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25" hidden="1" x14ac:dyDescent="0.2">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25" hidden="1" x14ac:dyDescent="0.2">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16.75" hidden="1" x14ac:dyDescent="0.2">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25" hidden="1" x14ac:dyDescent="0.2">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25" hidden="1" x14ac:dyDescent="0.2">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25" hidden="1" x14ac:dyDescent="0.2">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25" hidden="1" x14ac:dyDescent="0.2">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16.75" hidden="1" x14ac:dyDescent="0.2">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25" hidden="1" x14ac:dyDescent="0.2">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25" hidden="1" x14ac:dyDescent="0.2">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 hidden="1" x14ac:dyDescent="0.2">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5" hidden="1" x14ac:dyDescent="0.2">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51" hidden="1" x14ac:dyDescent="0.2">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51" hidden="1" x14ac:dyDescent="0.2">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 hidden="1" x14ac:dyDescent="0.2">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 hidden="1" x14ac:dyDescent="0.2">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 hidden="1" x14ac:dyDescent="0.2">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25" hidden="1" x14ac:dyDescent="0.2">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25" hidden="1" x14ac:dyDescent="0.2">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5.75" hidden="1" x14ac:dyDescent="0.2">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5.75" hidden="1" x14ac:dyDescent="0.2">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25" hidden="1" x14ac:dyDescent="0.2">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25" hidden="1" x14ac:dyDescent="0.2">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1.25" hidden="1" x14ac:dyDescent="0.2">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1.25" hidden="1" x14ac:dyDescent="0.2">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44.25" hidden="1" x14ac:dyDescent="0.2">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44.25" hidden="1" x14ac:dyDescent="0.2">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76.5" hidden="1" x14ac:dyDescent="0.2">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76.5" hidden="1" x14ac:dyDescent="0.2">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25" hidden="1" x14ac:dyDescent="0.2">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25" hidden="1" x14ac:dyDescent="0.2">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25" hidden="1" x14ac:dyDescent="0.2">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40.25" hidden="1" x14ac:dyDescent="0.2">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40.25" hidden="1" x14ac:dyDescent="0.2">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25" hidden="1" x14ac:dyDescent="0.2">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25" hidden="1" x14ac:dyDescent="0.2">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25" hidden="1" x14ac:dyDescent="0.2">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25" hidden="1" x14ac:dyDescent="0.2">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3.75" hidden="1" x14ac:dyDescent="0.2">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5" hidden="1" x14ac:dyDescent="0.2">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5" hidden="1" x14ac:dyDescent="0.2">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5" hidden="1" x14ac:dyDescent="0.2">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25" hidden="1" x14ac:dyDescent="0.2">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25" hidden="1" x14ac:dyDescent="0.2">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 hidden="1" x14ac:dyDescent="0.2">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 hidden="1" x14ac:dyDescent="0.2">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 hidden="1" x14ac:dyDescent="0.2">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3.75" hidden="1" x14ac:dyDescent="0.2">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2">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76.5" hidden="1" x14ac:dyDescent="0.2">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76.5" hidden="1" x14ac:dyDescent="0.2">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0.25" hidden="1" x14ac:dyDescent="0.2">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0.25" hidden="1" x14ac:dyDescent="0.2">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76.5" hidden="1" x14ac:dyDescent="0.2">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76.5" hidden="1" x14ac:dyDescent="0.2">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0.25" hidden="1" x14ac:dyDescent="0.2">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0.25" hidden="1" x14ac:dyDescent="0.2">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78.5" hidden="1" x14ac:dyDescent="0.2">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 hidden="1" x14ac:dyDescent="0.2">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5" hidden="1" x14ac:dyDescent="0.2">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29.5" hidden="1" x14ac:dyDescent="0.2">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29.5" hidden="1" x14ac:dyDescent="0.2">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29.5" hidden="1" x14ac:dyDescent="0.2">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29.5" hidden="1" x14ac:dyDescent="0.2">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29.5" hidden="1" x14ac:dyDescent="0.2">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29.5" hidden="1" x14ac:dyDescent="0.2">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5" hidden="1" x14ac:dyDescent="0.2">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 hidden="1" x14ac:dyDescent="0.2">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 hidden="1" x14ac:dyDescent="0.2">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5" hidden="1" x14ac:dyDescent="0.2">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3.75" hidden="1" x14ac:dyDescent="0.2">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5.75" hidden="1" x14ac:dyDescent="0.2">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5.75" hidden="1" x14ac:dyDescent="0.2">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25" hidden="1" x14ac:dyDescent="0.2">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25" hidden="1" x14ac:dyDescent="0.2">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2">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 hidden="1" x14ac:dyDescent="0.2">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 hidden="1" x14ac:dyDescent="0.2">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 hidden="1" x14ac:dyDescent="0.2">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 hidden="1" x14ac:dyDescent="0.2">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 hidden="1" x14ac:dyDescent="0.2">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 hidden="1" x14ac:dyDescent="0.2">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 hidden="1" x14ac:dyDescent="0.2">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 hidden="1" x14ac:dyDescent="0.2">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 hidden="1" x14ac:dyDescent="0.2">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14.75" hidden="1" x14ac:dyDescent="0.2">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14.75" hidden="1" x14ac:dyDescent="0.2">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14.75" hidden="1" x14ac:dyDescent="0.2">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14.75" hidden="1" x14ac:dyDescent="0.2">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 hidden="1" x14ac:dyDescent="0.2">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 hidden="1" x14ac:dyDescent="0.2">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 hidden="1" x14ac:dyDescent="0.2">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 hidden="1" x14ac:dyDescent="0.2">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 hidden="1" x14ac:dyDescent="0.2">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25" hidden="1" x14ac:dyDescent="0.2">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5" hidden="1" x14ac:dyDescent="0.2">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5" hidden="1" x14ac:dyDescent="0.2">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2">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5" hidden="1" x14ac:dyDescent="0.2">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2.25" hidden="1" x14ac:dyDescent="0.2">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2.25" hidden="1" x14ac:dyDescent="0.2">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2.25" hidden="1" x14ac:dyDescent="0.2">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5" hidden="1" x14ac:dyDescent="0.2">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65.75" hidden="1" x14ac:dyDescent="0.2">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3.75" hidden="1" x14ac:dyDescent="0.2">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5" hidden="1" x14ac:dyDescent="0.2">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65.75" hidden="1" x14ac:dyDescent="0.2">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 hidden="1" x14ac:dyDescent="0.2">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 hidden="1" x14ac:dyDescent="0.2">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 hidden="1" x14ac:dyDescent="0.2">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4.75" hidden="1" x14ac:dyDescent="0.2">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4.75" hidden="1" x14ac:dyDescent="0.2">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4.75" hidden="1" x14ac:dyDescent="0.2">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4.75" hidden="1" x14ac:dyDescent="0.2">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4.75" hidden="1" x14ac:dyDescent="0.2">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5" hidden="1" x14ac:dyDescent="0.2">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51" hidden="1" x14ac:dyDescent="0.2">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51" hidden="1" x14ac:dyDescent="0.2">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5" hidden="1" x14ac:dyDescent="0.2">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3.75" hidden="1" x14ac:dyDescent="0.2">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25" hidden="1" x14ac:dyDescent="0.2">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25" hidden="1" x14ac:dyDescent="0.2">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25" hidden="1" x14ac:dyDescent="0.2">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114.75" hidden="1" x14ac:dyDescent="0.2">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7.5" hidden="1" x14ac:dyDescent="0.2">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5" hidden="1" x14ac:dyDescent="0.2">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5" hidden="1" x14ac:dyDescent="0.2">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5" hidden="1" x14ac:dyDescent="0.2">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5" hidden="1" x14ac:dyDescent="0.2">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4.75" hidden="1" x14ac:dyDescent="0.2">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57" hidden="1" x14ac:dyDescent="0.2">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5" hidden="1" x14ac:dyDescent="0.2">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5" hidden="1" x14ac:dyDescent="0.2">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4.75" hidden="1" x14ac:dyDescent="0.2">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57" hidden="1" x14ac:dyDescent="0.2">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 hidden="1" x14ac:dyDescent="0.2">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 hidden="1" x14ac:dyDescent="0.2">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0.25" hidden="1" x14ac:dyDescent="0.2">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0.25" hidden="1" x14ac:dyDescent="0.2">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5" hidden="1" x14ac:dyDescent="0.2">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14.75" hidden="1" x14ac:dyDescent="0.2">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14.75" hidden="1" x14ac:dyDescent="0.2">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14.75" hidden="1" x14ac:dyDescent="0.2">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14.75" hidden="1" x14ac:dyDescent="0.2">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 hidden="1" x14ac:dyDescent="0.2">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 hidden="1" x14ac:dyDescent="0.2">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 hidden="1" x14ac:dyDescent="0.2">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5" hidden="1" x14ac:dyDescent="0.2">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25" hidden="1" x14ac:dyDescent="0.2">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25" hidden="1" x14ac:dyDescent="0.2">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25" hidden="1" x14ac:dyDescent="0.2">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25" hidden="1" x14ac:dyDescent="0.2">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25" hidden="1" x14ac:dyDescent="0.2">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5" hidden="1" x14ac:dyDescent="0.2">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5" hidden="1" x14ac:dyDescent="0.2">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5" hidden="1" x14ac:dyDescent="0.2">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16.75" hidden="1" x14ac:dyDescent="0.2">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16.75" hidden="1" x14ac:dyDescent="0.2">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16.75" hidden="1" x14ac:dyDescent="0.2">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16.75" hidden="1" x14ac:dyDescent="0.2">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25" hidden="1" x14ac:dyDescent="0.2">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25" hidden="1" x14ac:dyDescent="0.2">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5" hidden="1" x14ac:dyDescent="0.2">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25" hidden="1" x14ac:dyDescent="0.2">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5" hidden="1" x14ac:dyDescent="0.2">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3.75" hidden="1" x14ac:dyDescent="0.2">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4.75" hidden="1" x14ac:dyDescent="0.2">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 hidden="1" x14ac:dyDescent="0.2">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 hidden="1" x14ac:dyDescent="0.2">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 hidden="1" x14ac:dyDescent="0.2">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3.75" hidden="1" x14ac:dyDescent="0.2">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3.75" hidden="1" x14ac:dyDescent="0.2">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3.75" hidden="1" x14ac:dyDescent="0.2">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3.75" hidden="1" x14ac:dyDescent="0.2">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3.75" hidden="1" x14ac:dyDescent="0.2">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3.75" hidden="1" x14ac:dyDescent="0.2">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 hidden="1" x14ac:dyDescent="0.2">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 hidden="1" x14ac:dyDescent="0.2">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 hidden="1" x14ac:dyDescent="0.2">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3.75" hidden="1" x14ac:dyDescent="0.2">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25" hidden="1" x14ac:dyDescent="0.2">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3.75" hidden="1" x14ac:dyDescent="0.2">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8.5" hidden="1" x14ac:dyDescent="0.2">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8.5" hidden="1" x14ac:dyDescent="0.2">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25" hidden="1" x14ac:dyDescent="0.2">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25" hidden="1" x14ac:dyDescent="0.2">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25" hidden="1" x14ac:dyDescent="0.2">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25" hidden="1" x14ac:dyDescent="0.2">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2">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2">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2">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2">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 hidden="1" x14ac:dyDescent="0.2">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 hidden="1" x14ac:dyDescent="0.2">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25" hidden="1" x14ac:dyDescent="0.2">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25" hidden="1" x14ac:dyDescent="0.2">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25" hidden="1" x14ac:dyDescent="0.2">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25" hidden="1" x14ac:dyDescent="0.2">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5" hidden="1" x14ac:dyDescent="0.2">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5" hidden="1" x14ac:dyDescent="0.2">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5" hidden="1" x14ac:dyDescent="0.2">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5" hidden="1" x14ac:dyDescent="0.2">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25" hidden="1" x14ac:dyDescent="0.2">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3.75" hidden="1" x14ac:dyDescent="0.2">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3.75" hidden="1" x14ac:dyDescent="0.2">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 hidden="1" x14ac:dyDescent="0.2">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 hidden="1" x14ac:dyDescent="0.2">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 hidden="1" x14ac:dyDescent="0.2">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5" hidden="1" x14ac:dyDescent="0.2">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5" hidden="1" x14ac:dyDescent="0.2">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38.25" hidden="1" x14ac:dyDescent="0.2">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38.25" hidden="1" x14ac:dyDescent="0.2">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 hidden="1" x14ac:dyDescent="0.2">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5" hidden="1" x14ac:dyDescent="0.2">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 hidden="1" x14ac:dyDescent="0.2">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 hidden="1" x14ac:dyDescent="0.2">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 hidden="1" x14ac:dyDescent="0.2">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 hidden="1" x14ac:dyDescent="0.2">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 hidden="1" x14ac:dyDescent="0.2">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 hidden="1" x14ac:dyDescent="0.2">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 hidden="1" x14ac:dyDescent="0.2">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 hidden="1" x14ac:dyDescent="0.2">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 hidden="1" x14ac:dyDescent="0.2">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 hidden="1" x14ac:dyDescent="0.2">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 hidden="1" x14ac:dyDescent="0.2">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 hidden="1" x14ac:dyDescent="0.2">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25" hidden="1" x14ac:dyDescent="0.2">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 hidden="1" x14ac:dyDescent="0.2">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25" hidden="1" x14ac:dyDescent="0.2">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25" hidden="1" x14ac:dyDescent="0.2">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 hidden="1" x14ac:dyDescent="0.2">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3.75" hidden="1" x14ac:dyDescent="0.2">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3.75" hidden="1" x14ac:dyDescent="0.2">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 hidden="1" x14ac:dyDescent="0.2">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 hidden="1" x14ac:dyDescent="0.2">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 hidden="1" x14ac:dyDescent="0.2">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2">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 hidden="1" x14ac:dyDescent="0.2">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5" hidden="1" x14ac:dyDescent="0.2">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 hidden="1" x14ac:dyDescent="0.2">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3.75" hidden="1" x14ac:dyDescent="0.2">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 hidden="1" x14ac:dyDescent="0.2">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 hidden="1" x14ac:dyDescent="0.2">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3.75" hidden="1" x14ac:dyDescent="0.2">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3.75" hidden="1" x14ac:dyDescent="0.2">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5" hidden="1" x14ac:dyDescent="0.2">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 hidden="1" x14ac:dyDescent="0.2">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 hidden="1" x14ac:dyDescent="0.2">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 hidden="1" x14ac:dyDescent="0.2">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 hidden="1" x14ac:dyDescent="0.2">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3.75" hidden="1" x14ac:dyDescent="0.2">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 hidden="1" x14ac:dyDescent="0.2">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3.75" hidden="1" x14ac:dyDescent="0.2">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93.25" hidden="1" x14ac:dyDescent="0.2">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93.25" hidden="1" x14ac:dyDescent="0.2">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93.25" hidden="1" x14ac:dyDescent="0.2">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25" hidden="1" x14ac:dyDescent="0.2">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 hidden="1" x14ac:dyDescent="0.2">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 hidden="1" x14ac:dyDescent="0.2">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76.5" hidden="1" x14ac:dyDescent="0.2">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76.5" hidden="1" x14ac:dyDescent="0.2">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5" hidden="1" x14ac:dyDescent="0.2">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8.5" hidden="1" x14ac:dyDescent="0.2">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8.5" hidden="1" x14ac:dyDescent="0.2">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8.5" hidden="1" x14ac:dyDescent="0.2">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8.5" hidden="1" x14ac:dyDescent="0.2">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8.5" hidden="1" x14ac:dyDescent="0.2">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25" hidden="1" x14ac:dyDescent="0.2">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25" hidden="1" x14ac:dyDescent="0.2">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8.5" hidden="1" x14ac:dyDescent="0.2">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8.5" hidden="1" x14ac:dyDescent="0.2">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8.5" hidden="1" x14ac:dyDescent="0.2">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8.5" hidden="1" x14ac:dyDescent="0.2">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8.5" hidden="1" x14ac:dyDescent="0.2">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5" hidden="1" x14ac:dyDescent="0.2">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5" hidden="1" x14ac:dyDescent="0.2">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5" hidden="1" x14ac:dyDescent="0.2">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7.5" hidden="1" x14ac:dyDescent="0.2">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7.5" hidden="1" x14ac:dyDescent="0.2">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7.5" hidden="1" x14ac:dyDescent="0.2">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 hidden="1" x14ac:dyDescent="0.2">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 hidden="1" x14ac:dyDescent="0.2">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 hidden="1" x14ac:dyDescent="0.2">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4.75" hidden="1" x14ac:dyDescent="0.2">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4.75" hidden="1" x14ac:dyDescent="0.2">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4.75" hidden="1" x14ac:dyDescent="0.2">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4.75" hidden="1" x14ac:dyDescent="0.2">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4.75" hidden="1" x14ac:dyDescent="0.2">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5" hidden="1" x14ac:dyDescent="0.2">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 hidden="1" x14ac:dyDescent="0.2">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5" hidden="1" x14ac:dyDescent="0.2">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0.25" hidden="1" x14ac:dyDescent="0.2">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0.25" hidden="1" x14ac:dyDescent="0.2">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 hidden="1" x14ac:dyDescent="0.2">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3.75" hidden="1" x14ac:dyDescent="0.2">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25" hidden="1" x14ac:dyDescent="0.2">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25" hidden="1" x14ac:dyDescent="0.2">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204" hidden="1" x14ac:dyDescent="0.2">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5" hidden="1" x14ac:dyDescent="0.2">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204" hidden="1" x14ac:dyDescent="0.2">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 hidden="1" x14ac:dyDescent="0.2">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1.25" hidden="1" x14ac:dyDescent="0.2">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42.25" hidden="1" x14ac:dyDescent="0.2">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42.25" hidden="1" x14ac:dyDescent="0.2">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42.25" hidden="1" x14ac:dyDescent="0.2">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8.5" hidden="1" x14ac:dyDescent="0.2">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8.5" hidden="1" x14ac:dyDescent="0.2">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8.5" hidden="1" x14ac:dyDescent="0.2">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5" hidden="1" x14ac:dyDescent="0.2">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5" hidden="1" x14ac:dyDescent="0.2">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5" hidden="1" x14ac:dyDescent="0.2">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5" hidden="1" x14ac:dyDescent="0.2">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5" hidden="1" x14ac:dyDescent="0.2">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5" hidden="1" x14ac:dyDescent="0.2">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5" hidden="1" x14ac:dyDescent="0.2">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5" hidden="1" x14ac:dyDescent="0.2">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25" hidden="1" x14ac:dyDescent="0.2">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102" hidden="1" x14ac:dyDescent="0.2">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102" hidden="1" x14ac:dyDescent="0.2">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102" hidden="1" x14ac:dyDescent="0.2">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76.5" hidden="1" x14ac:dyDescent="0.2">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63.75" hidden="1" x14ac:dyDescent="0.2">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63.75" hidden="1" x14ac:dyDescent="0.2">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25" hidden="1" x14ac:dyDescent="0.2">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5" hidden="1" x14ac:dyDescent="0.2">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25" hidden="1" x14ac:dyDescent="0.2">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2">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5" hidden="1" x14ac:dyDescent="0.2">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3.75" hidden="1" x14ac:dyDescent="0.2">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2">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2">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5" hidden="1" x14ac:dyDescent="0.2">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t="25.5" hidden="1" x14ac:dyDescent="0.2">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102" hidden="1" x14ac:dyDescent="0.2">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102" hidden="1" x14ac:dyDescent="0.2">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38.25" hidden="1" x14ac:dyDescent="0.2">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25" hidden="1" x14ac:dyDescent="0.2">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25" hidden="1" x14ac:dyDescent="0.2">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t="25.5" hidden="1" x14ac:dyDescent="0.2">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38.25" hidden="1" x14ac:dyDescent="0.2">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 hidden="1" x14ac:dyDescent="0.2">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5" hidden="1" x14ac:dyDescent="0.2">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5" hidden="1" x14ac:dyDescent="0.2">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5" hidden="1" x14ac:dyDescent="0.2">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5" hidden="1" x14ac:dyDescent="0.2">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5" hidden="1" x14ac:dyDescent="0.2">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5" hidden="1" x14ac:dyDescent="0.2">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5" hidden="1" x14ac:dyDescent="0.2">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5" hidden="1" x14ac:dyDescent="0.2">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25" hidden="1" x14ac:dyDescent="0.2">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25" hidden="1" x14ac:dyDescent="0.2">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 hidden="1" x14ac:dyDescent="0.2">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 hidden="1" x14ac:dyDescent="0.2">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27.5" hidden="1" x14ac:dyDescent="0.2">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27.5" hidden="1" x14ac:dyDescent="0.2">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27.5" hidden="1" x14ac:dyDescent="0.2">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5.75" hidden="1" x14ac:dyDescent="0.2">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25" hidden="1" x14ac:dyDescent="0.2">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25" hidden="1" x14ac:dyDescent="0.2">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5" hidden="1" x14ac:dyDescent="0.2">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5" hidden="1" x14ac:dyDescent="0.2">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5" hidden="1" x14ac:dyDescent="0.2">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5" hidden="1" x14ac:dyDescent="0.2">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5" hidden="1" x14ac:dyDescent="0.2">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5" hidden="1" x14ac:dyDescent="0.2">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5" hidden="1" x14ac:dyDescent="0.2">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5" hidden="1" x14ac:dyDescent="0.2">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5" hidden="1" x14ac:dyDescent="0.2">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5" hidden="1" x14ac:dyDescent="0.2">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5" hidden="1" x14ac:dyDescent="0.2">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5" hidden="1" x14ac:dyDescent="0.2">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5" hidden="1" x14ac:dyDescent="0.2">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5" hidden="1" x14ac:dyDescent="0.2">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5" hidden="1" x14ac:dyDescent="0.2">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1.25" hidden="1" x14ac:dyDescent="0.2">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 hidden="1" x14ac:dyDescent="0.2">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 hidden="1" x14ac:dyDescent="0.2">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 hidden="1" x14ac:dyDescent="0.2">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 hidden="1" x14ac:dyDescent="0.2">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 hidden="1" x14ac:dyDescent="0.2">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 hidden="1" x14ac:dyDescent="0.2">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 hidden="1" x14ac:dyDescent="0.2">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 hidden="1" x14ac:dyDescent="0.2">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 hidden="1" x14ac:dyDescent="0.2">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38.25" hidden="1" x14ac:dyDescent="0.2">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 hidden="1" x14ac:dyDescent="0.2">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 hidden="1" x14ac:dyDescent="0.2">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 hidden="1" x14ac:dyDescent="0.2">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 hidden="1" x14ac:dyDescent="0.2">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3.75" hidden="1" x14ac:dyDescent="0.2">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3.75" hidden="1" x14ac:dyDescent="0.2">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3.75" hidden="1" x14ac:dyDescent="0.2">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 hidden="1" x14ac:dyDescent="0.2">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 hidden="1" x14ac:dyDescent="0.2">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16.75" hidden="1" x14ac:dyDescent="0.2">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16.75" hidden="1" x14ac:dyDescent="0.2">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16.75" hidden="1" x14ac:dyDescent="0.2">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25" hidden="1" x14ac:dyDescent="0.2">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8.5" hidden="1" x14ac:dyDescent="0.2">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25" hidden="1" x14ac:dyDescent="0.2">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3.75" hidden="1" x14ac:dyDescent="0.2">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3.75" hidden="1" x14ac:dyDescent="0.2">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3.75" hidden="1" x14ac:dyDescent="0.2">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 hidden="1" x14ac:dyDescent="0.2">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 hidden="1" x14ac:dyDescent="0.2">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 hidden="1" x14ac:dyDescent="0.2">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 hidden="1" x14ac:dyDescent="0.2">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3.75" hidden="1" x14ac:dyDescent="0.2">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3.75" hidden="1" x14ac:dyDescent="0.2">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3.75" hidden="1" x14ac:dyDescent="0.2">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3.75" hidden="1" x14ac:dyDescent="0.2">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4.75" hidden="1" x14ac:dyDescent="0.2">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4.75" hidden="1" x14ac:dyDescent="0.2">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216.75" hidden="1" x14ac:dyDescent="0.2">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216.75" hidden="1" x14ac:dyDescent="0.2">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4.75" hidden="1" x14ac:dyDescent="0.2">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51" hidden="1" x14ac:dyDescent="0.2">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7.5" hidden="1" x14ac:dyDescent="0.2">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 hidden="1" x14ac:dyDescent="0.2">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5" hidden="1" x14ac:dyDescent="0.2">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5" hidden="1" x14ac:dyDescent="0.2">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38.25" hidden="1" x14ac:dyDescent="0.2">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38.25" hidden="1" x14ac:dyDescent="0.2">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38.25" hidden="1" x14ac:dyDescent="0.2">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38.25" hidden="1" x14ac:dyDescent="0.2">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38.25" hidden="1" x14ac:dyDescent="0.2">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38.25" hidden="1" x14ac:dyDescent="0.2">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38.25" hidden="1" x14ac:dyDescent="0.2">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38.25" hidden="1" x14ac:dyDescent="0.2">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38.25" hidden="1" x14ac:dyDescent="0.2">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38.25" hidden="1" x14ac:dyDescent="0.2">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5.75" hidden="1" x14ac:dyDescent="0.2">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5.75" hidden="1" x14ac:dyDescent="0.2">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3.75" hidden="1" x14ac:dyDescent="0.2">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16.75" hidden="1" x14ac:dyDescent="0.2">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16.75" hidden="1" x14ac:dyDescent="0.2">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16.75" hidden="1" x14ac:dyDescent="0.2">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16.75" hidden="1" x14ac:dyDescent="0.2">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25" hidden="1" x14ac:dyDescent="0.2">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5" hidden="1" x14ac:dyDescent="0.2">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5" hidden="1" x14ac:dyDescent="0.2">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5" hidden="1" x14ac:dyDescent="0.2">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5" hidden="1" x14ac:dyDescent="0.2">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5" hidden="1" x14ac:dyDescent="0.2">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5" hidden="1" x14ac:dyDescent="0.2">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25" hidden="1" x14ac:dyDescent="0.2">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 hidden="1" x14ac:dyDescent="0.2">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 hidden="1" x14ac:dyDescent="0.2">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3.75" hidden="1" x14ac:dyDescent="0.2">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3.75" hidden="1" x14ac:dyDescent="0.2">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3.75" hidden="1" x14ac:dyDescent="0.2">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3.75" hidden="1" x14ac:dyDescent="0.2">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3.75" hidden="1" x14ac:dyDescent="0.2">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3.75" hidden="1" x14ac:dyDescent="0.2">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3.75" hidden="1" x14ac:dyDescent="0.2">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25" hidden="1" x14ac:dyDescent="0.2">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25" hidden="1" x14ac:dyDescent="0.2">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 hidden="1" x14ac:dyDescent="0.2">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 hidden="1" x14ac:dyDescent="0.2">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 hidden="1" x14ac:dyDescent="0.2">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 hidden="1" x14ac:dyDescent="0.2">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 hidden="1" x14ac:dyDescent="0.2">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 hidden="1" x14ac:dyDescent="0.2">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2">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2">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 hidden="1" x14ac:dyDescent="0.2">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 hidden="1" x14ac:dyDescent="0.2">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5" hidden="1" x14ac:dyDescent="0.2">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5" hidden="1" x14ac:dyDescent="0.2">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5" hidden="1" x14ac:dyDescent="0.2">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5" hidden="1" x14ac:dyDescent="0.2">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5" hidden="1" x14ac:dyDescent="0.2">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5" hidden="1" x14ac:dyDescent="0.2">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 hidden="1" x14ac:dyDescent="0.2">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 hidden="1" x14ac:dyDescent="0.2">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3.75" hidden="1" x14ac:dyDescent="0.2">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3.75" hidden="1" x14ac:dyDescent="0.2">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 hidden="1" x14ac:dyDescent="0.2">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2">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2">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25" hidden="1" x14ac:dyDescent="0.2">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5" hidden="1" x14ac:dyDescent="0.2">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3.75" hidden="1" x14ac:dyDescent="0.2">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3.75" hidden="1" x14ac:dyDescent="0.2">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3.75" hidden="1" x14ac:dyDescent="0.2">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7.5" hidden="1" x14ac:dyDescent="0.2">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7.5" hidden="1" x14ac:dyDescent="0.2">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7.5" hidden="1" x14ac:dyDescent="0.2">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0.25" hidden="1" x14ac:dyDescent="0.2">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0.25" hidden="1" x14ac:dyDescent="0.2">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0.25" hidden="1" x14ac:dyDescent="0.2">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0.25" hidden="1" x14ac:dyDescent="0.2">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3.75" hidden="1" x14ac:dyDescent="0.2">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2.25" hidden="1" x14ac:dyDescent="0.2">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2.25" hidden="1" x14ac:dyDescent="0.2">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2.25" hidden="1" x14ac:dyDescent="0.2">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76.5" hidden="1" x14ac:dyDescent="0.2">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25" hidden="1" x14ac:dyDescent="0.2">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25" hidden="1" x14ac:dyDescent="0.2">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216.75" hidden="1" x14ac:dyDescent="0.2">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216.75" hidden="1" x14ac:dyDescent="0.2">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14.75" hidden="1" x14ac:dyDescent="0.2">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76.5" hidden="1" x14ac:dyDescent="0.2">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2">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7.5" hidden="1" x14ac:dyDescent="0.2">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4" hidden="1" x14ac:dyDescent="0.2">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4" hidden="1" x14ac:dyDescent="0.2">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4" hidden="1" x14ac:dyDescent="0.2">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4" hidden="1" x14ac:dyDescent="0.2">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4" hidden="1" x14ac:dyDescent="0.2">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4" hidden="1" x14ac:dyDescent="0.2">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4" hidden="1" x14ac:dyDescent="0.2">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4" hidden="1" x14ac:dyDescent="0.2">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4" hidden="1" x14ac:dyDescent="0.2">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4" hidden="1" x14ac:dyDescent="0.2">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7.5" hidden="1" x14ac:dyDescent="0.2">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5" hidden="1" x14ac:dyDescent="0.2">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5" hidden="1" x14ac:dyDescent="0.2">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5" hidden="1" x14ac:dyDescent="0.2">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 hidden="1" x14ac:dyDescent="0.2">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51" hidden="1" x14ac:dyDescent="0.2">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51" hidden="1" x14ac:dyDescent="0.2">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76.5" hidden="1" x14ac:dyDescent="0.2">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5" hidden="1" x14ac:dyDescent="0.2">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5" hidden="1" x14ac:dyDescent="0.2">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4.75" hidden="1" x14ac:dyDescent="0.2">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5" hidden="1" x14ac:dyDescent="0.2">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5" hidden="1" x14ac:dyDescent="0.2">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2">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204" hidden="1" x14ac:dyDescent="0.2">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204" hidden="1" x14ac:dyDescent="0.2">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204" hidden="1" x14ac:dyDescent="0.2">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5" hidden="1" x14ac:dyDescent="0.2">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5" hidden="1" x14ac:dyDescent="0.2">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204" hidden="1" x14ac:dyDescent="0.2">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204" hidden="1" x14ac:dyDescent="0.2">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204" hidden="1" x14ac:dyDescent="0.2">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25" hidden="1" x14ac:dyDescent="0.2">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 hidden="1" x14ac:dyDescent="0.2">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25" hidden="1" x14ac:dyDescent="0.2">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25" hidden="1" x14ac:dyDescent="0.2">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8.5" hidden="1" x14ac:dyDescent="0.2">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5" hidden="1" x14ac:dyDescent="0.2">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5" hidden="1" x14ac:dyDescent="0.2">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 hidden="1" x14ac:dyDescent="0.2">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5" hidden="1" x14ac:dyDescent="0.2">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 hidden="1" x14ac:dyDescent="0.2">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5.75" hidden="1" x14ac:dyDescent="0.2">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5" hidden="1" x14ac:dyDescent="0.2">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40.25" hidden="1" x14ac:dyDescent="0.2">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40.25" hidden="1" x14ac:dyDescent="0.2">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40.25" hidden="1" x14ac:dyDescent="0.2">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40.25" hidden="1" x14ac:dyDescent="0.2">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3.75" hidden="1" x14ac:dyDescent="0.2">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3.75" hidden="1" x14ac:dyDescent="0.2">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5.75" hidden="1" x14ac:dyDescent="0.2">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14.75" hidden="1" x14ac:dyDescent="0.2">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 hidden="1" x14ac:dyDescent="0.2">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4.75" hidden="1" x14ac:dyDescent="0.2">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25" hidden="1" x14ac:dyDescent="0.2">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25" hidden="1" x14ac:dyDescent="0.2">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25" hidden="1" x14ac:dyDescent="0.2">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25" hidden="1" x14ac:dyDescent="0.2">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25" hidden="1" x14ac:dyDescent="0.2">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25" hidden="1" x14ac:dyDescent="0.2">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25" hidden="1" x14ac:dyDescent="0.2">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25" hidden="1" x14ac:dyDescent="0.2">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25" hidden="1" x14ac:dyDescent="0.2">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25" hidden="1" x14ac:dyDescent="0.2">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25" hidden="1" x14ac:dyDescent="0.2">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5" hidden="1" x14ac:dyDescent="0.2">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102" hidden="1" x14ac:dyDescent="0.2">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25" hidden="1" x14ac:dyDescent="0.2">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25" hidden="1" x14ac:dyDescent="0.2">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25" hidden="1" x14ac:dyDescent="0.2">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25" hidden="1" x14ac:dyDescent="0.2">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14.75" hidden="1" x14ac:dyDescent="0.2">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25" hidden="1" x14ac:dyDescent="0.2">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7.5" hidden="1" x14ac:dyDescent="0.2">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80.5" hidden="1" x14ac:dyDescent="0.2">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80.5" hidden="1" x14ac:dyDescent="0.2">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80.5" hidden="1" x14ac:dyDescent="0.2">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80.5" hidden="1" x14ac:dyDescent="0.2">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80.5" hidden="1" x14ac:dyDescent="0.2">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80.5" hidden="1" x14ac:dyDescent="0.2">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80.5" hidden="1" x14ac:dyDescent="0.2">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80.5" hidden="1" x14ac:dyDescent="0.2">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80.5" hidden="1" x14ac:dyDescent="0.2">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80.5" hidden="1" x14ac:dyDescent="0.2">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7.5" hidden="1" x14ac:dyDescent="0.2">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7.5" hidden="1" x14ac:dyDescent="0.2">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2">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25" hidden="1" x14ac:dyDescent="0.2">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25" hidden="1" x14ac:dyDescent="0.2">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1.25" hidden="1" x14ac:dyDescent="0.2">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53" hidden="1" x14ac:dyDescent="0.2">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1.25" hidden="1" x14ac:dyDescent="0.2">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1.25" hidden="1" x14ac:dyDescent="0.2">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1.25" hidden="1" x14ac:dyDescent="0.2">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1.25" hidden="1" x14ac:dyDescent="0.2">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53" hidden="1" x14ac:dyDescent="0.2">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53" hidden="1" x14ac:dyDescent="0.2">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53" hidden="1" x14ac:dyDescent="0.2">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53" hidden="1" x14ac:dyDescent="0.2">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 hidden="1" x14ac:dyDescent="0.2">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 hidden="1" x14ac:dyDescent="0.2">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25" hidden="1" x14ac:dyDescent="0.2">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25" hidden="1" x14ac:dyDescent="0.2">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25" hidden="1" x14ac:dyDescent="0.2">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14.75" hidden="1" x14ac:dyDescent="0.2">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2">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7.5" hidden="1" x14ac:dyDescent="0.2">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7.5" hidden="1" x14ac:dyDescent="0.2">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3.75" hidden="1" x14ac:dyDescent="0.2">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 hidden="1" x14ac:dyDescent="0.2">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 hidden="1" x14ac:dyDescent="0.2">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 hidden="1" x14ac:dyDescent="0.2">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 hidden="1" x14ac:dyDescent="0.2">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 hidden="1" x14ac:dyDescent="0.2">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5.75" hidden="1" x14ac:dyDescent="0.2">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5.75" hidden="1" x14ac:dyDescent="0.2">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 hidden="1" x14ac:dyDescent="0.2">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 hidden="1" x14ac:dyDescent="0.2">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93.25" hidden="1" x14ac:dyDescent="0.2">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4.75" hidden="1" x14ac:dyDescent="0.2">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93.25" hidden="1" x14ac:dyDescent="0.2">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4.75" hidden="1" x14ac:dyDescent="0.2">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16.75" hidden="1" x14ac:dyDescent="0.2">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63.75" hidden="1" x14ac:dyDescent="0.2">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 hidden="1" x14ac:dyDescent="0.2">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 hidden="1" x14ac:dyDescent="0.2">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76.5" hidden="1" x14ac:dyDescent="0.2">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76.5" hidden="1" x14ac:dyDescent="0.2">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40.25" hidden="1" x14ac:dyDescent="0.2">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25" hidden="1" x14ac:dyDescent="0.2">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25" hidden="1" x14ac:dyDescent="0.2">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25" hidden="1" x14ac:dyDescent="0.2">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25" hidden="1" x14ac:dyDescent="0.2">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3.75" hidden="1" x14ac:dyDescent="0.2">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3.75" hidden="1" x14ac:dyDescent="0.2">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40.25" hidden="1" x14ac:dyDescent="0.2">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5" hidden="1" x14ac:dyDescent="0.2">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5" hidden="1" x14ac:dyDescent="0.2">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3.75" hidden="1" x14ac:dyDescent="0.2">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 hidden="1" x14ac:dyDescent="0.2">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25" hidden="1" x14ac:dyDescent="0.2">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78.5" hidden="1" x14ac:dyDescent="0.2">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78.5" hidden="1" x14ac:dyDescent="0.2">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25" hidden="1" x14ac:dyDescent="0.2">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25" hidden="1" x14ac:dyDescent="0.2">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3.75" hidden="1" x14ac:dyDescent="0.2">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3.75" hidden="1" x14ac:dyDescent="0.2">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3.75" hidden="1" x14ac:dyDescent="0.2">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3.75" hidden="1" x14ac:dyDescent="0.2">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25" hidden="1" x14ac:dyDescent="0.2">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 hidden="1" x14ac:dyDescent="0.2">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 hidden="1" x14ac:dyDescent="0.2">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44.25" hidden="1" x14ac:dyDescent="0.2">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44.25" hidden="1" x14ac:dyDescent="0.2">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25" hidden="1" x14ac:dyDescent="0.2">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25" hidden="1" x14ac:dyDescent="0.2">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3.75" hidden="1" x14ac:dyDescent="0.2">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5" hidden="1" x14ac:dyDescent="0.2">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40.25" hidden="1" x14ac:dyDescent="0.2">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25" hidden="1" x14ac:dyDescent="0.2">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40.25" hidden="1" x14ac:dyDescent="0.2">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3.75" hidden="1" x14ac:dyDescent="0.2">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25" hidden="1" x14ac:dyDescent="0.2">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306" hidden="1" x14ac:dyDescent="0.2">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25" hidden="1" x14ac:dyDescent="0.2">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25" hidden="1" x14ac:dyDescent="0.2">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5" hidden="1" x14ac:dyDescent="0.2">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 hidden="1" x14ac:dyDescent="0.2">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 hidden="1" x14ac:dyDescent="0.2">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 hidden="1" x14ac:dyDescent="0.2">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 hidden="1" x14ac:dyDescent="0.2">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 hidden="1" x14ac:dyDescent="0.2">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76.5" hidden="1" x14ac:dyDescent="0.2">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76.5" hidden="1" x14ac:dyDescent="0.2">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76.5" hidden="1" x14ac:dyDescent="0.2">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76.5" hidden="1" x14ac:dyDescent="0.2">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5" hidden="1" x14ac:dyDescent="0.2">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5" hidden="1" x14ac:dyDescent="0.2">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5" hidden="1" x14ac:dyDescent="0.2">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 hidden="1" x14ac:dyDescent="0.2">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76.5" hidden="1" x14ac:dyDescent="0.2">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76.5" hidden="1" x14ac:dyDescent="0.2">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76.5" hidden="1" x14ac:dyDescent="0.2">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t="25.5" hidden="1" x14ac:dyDescent="0.2">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76.5" hidden="1" x14ac:dyDescent="0.2">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76.5" hidden="1" x14ac:dyDescent="0.2">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76.5" hidden="1" x14ac:dyDescent="0.2">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89.25" hidden="1" x14ac:dyDescent="0.2">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89.25" hidden="1" x14ac:dyDescent="0.2">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25" hidden="1" x14ac:dyDescent="0.2">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5" hidden="1" x14ac:dyDescent="0.2">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5" hidden="1" x14ac:dyDescent="0.2">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 hidden="1" x14ac:dyDescent="0.2">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2.25" hidden="1" x14ac:dyDescent="0.2">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2.25" hidden="1" x14ac:dyDescent="0.2">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2.25" hidden="1" x14ac:dyDescent="0.2">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5" hidden="1" x14ac:dyDescent="0.2">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25" hidden="1" x14ac:dyDescent="0.2">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4" hidden="1" x14ac:dyDescent="0.2">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4" hidden="1" x14ac:dyDescent="0.2">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1.25" hidden="1" x14ac:dyDescent="0.2">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1.25" hidden="1" x14ac:dyDescent="0.2">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1.25" hidden="1" x14ac:dyDescent="0.2">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5" hidden="1" x14ac:dyDescent="0.2">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5" hidden="1" x14ac:dyDescent="0.2">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25" hidden="1" x14ac:dyDescent="0.2">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25" hidden="1" x14ac:dyDescent="0.2">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3.75" hidden="1" x14ac:dyDescent="0.2">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3.75" hidden="1" x14ac:dyDescent="0.2">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3.75" hidden="1" x14ac:dyDescent="0.2">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3.75" hidden="1" x14ac:dyDescent="0.2">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 hidden="1" x14ac:dyDescent="0.2">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5" hidden="1" x14ac:dyDescent="0.2">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3.75" hidden="1" x14ac:dyDescent="0.2">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5" hidden="1" x14ac:dyDescent="0.2">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3.75" hidden="1" x14ac:dyDescent="0.2">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2.25" hidden="1" x14ac:dyDescent="0.2">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 hidden="1" x14ac:dyDescent="0.2">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1.25" hidden="1" x14ac:dyDescent="0.2">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53" hidden="1" x14ac:dyDescent="0.2">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1.25" hidden="1" x14ac:dyDescent="0.2">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1.25" hidden="1" x14ac:dyDescent="0.2">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1.25" hidden="1" x14ac:dyDescent="0.2">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1.25" hidden="1" x14ac:dyDescent="0.2">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53" hidden="1" x14ac:dyDescent="0.2">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53" hidden="1" x14ac:dyDescent="0.2">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53" hidden="1" x14ac:dyDescent="0.2">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53" hidden="1" x14ac:dyDescent="0.2">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2.25" hidden="1" x14ac:dyDescent="0.2">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 hidden="1" x14ac:dyDescent="0.2">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 hidden="1" x14ac:dyDescent="0.2">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 hidden="1" x14ac:dyDescent="0.2">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 hidden="1" x14ac:dyDescent="0.2">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 hidden="1" x14ac:dyDescent="0.2">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 hidden="1" x14ac:dyDescent="0.2">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 hidden="1" x14ac:dyDescent="0.2">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25" hidden="1" x14ac:dyDescent="0.2">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25" hidden="1" x14ac:dyDescent="0.2">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3.75" hidden="1" x14ac:dyDescent="0.2">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 hidden="1" x14ac:dyDescent="0.2">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27.5" hidden="1" x14ac:dyDescent="0.2">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5" hidden="1" x14ac:dyDescent="0.2">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 hidden="1" x14ac:dyDescent="0.2">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5" hidden="1" x14ac:dyDescent="0.2">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5" hidden="1" x14ac:dyDescent="0.2">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 hidden="1" x14ac:dyDescent="0.2">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 hidden="1" x14ac:dyDescent="0.2">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 hidden="1" x14ac:dyDescent="0.2">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4.75" hidden="1" x14ac:dyDescent="0.2">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4.75" hidden="1" x14ac:dyDescent="0.2">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25" hidden="1" x14ac:dyDescent="0.2">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5" hidden="1" x14ac:dyDescent="0.2">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5" hidden="1" x14ac:dyDescent="0.2">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3.75" hidden="1" x14ac:dyDescent="0.2">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5" hidden="1" x14ac:dyDescent="0.2">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3.75" hidden="1" x14ac:dyDescent="0.2">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3.75" hidden="1" x14ac:dyDescent="0.2">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5" hidden="1" x14ac:dyDescent="0.2">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25" hidden="1" x14ac:dyDescent="0.2">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25" hidden="1" x14ac:dyDescent="0.2">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25" hidden="1" x14ac:dyDescent="0.2">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25" hidden="1" x14ac:dyDescent="0.2">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25" hidden="1" x14ac:dyDescent="0.2">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3.75" hidden="1" x14ac:dyDescent="0.2">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78.5" hidden="1" x14ac:dyDescent="0.2">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78.5" hidden="1" x14ac:dyDescent="0.2">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78.5" hidden="1" x14ac:dyDescent="0.2">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3.75" hidden="1" x14ac:dyDescent="0.2">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3.75" hidden="1" x14ac:dyDescent="0.2">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3.75" hidden="1" x14ac:dyDescent="0.2">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78.5" hidden="1" x14ac:dyDescent="0.2">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78.5" hidden="1" x14ac:dyDescent="0.2">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78.5" hidden="1" x14ac:dyDescent="0.2">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3.75" hidden="1" x14ac:dyDescent="0.2">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3.75" hidden="1" x14ac:dyDescent="0.2">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3.75" hidden="1" x14ac:dyDescent="0.2">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102" hidden="1" x14ac:dyDescent="0.2">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25" hidden="1" x14ac:dyDescent="0.2">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25" hidden="1" x14ac:dyDescent="0.2">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25" hidden="1" x14ac:dyDescent="0.2">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25" hidden="1" x14ac:dyDescent="0.2">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 hidden="1" x14ac:dyDescent="0.2">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5" hidden="1" x14ac:dyDescent="0.2">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5" hidden="1" x14ac:dyDescent="0.2">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 hidden="1" x14ac:dyDescent="0.2">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 hidden="1" x14ac:dyDescent="0.2">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4.75" hidden="1" x14ac:dyDescent="0.2">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4.75" hidden="1" x14ac:dyDescent="0.2">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3.75" hidden="1" x14ac:dyDescent="0.2">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4.75" hidden="1" x14ac:dyDescent="0.2">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3.75" hidden="1" x14ac:dyDescent="0.2">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4.75" hidden="1" x14ac:dyDescent="0.2">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3.75" hidden="1" x14ac:dyDescent="0.2">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5" hidden="1" x14ac:dyDescent="0.2">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2">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25" hidden="1" x14ac:dyDescent="0.2">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25" hidden="1" x14ac:dyDescent="0.2">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25" hidden="1" x14ac:dyDescent="0.2">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25" hidden="1" x14ac:dyDescent="0.2">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25" hidden="1" x14ac:dyDescent="0.2">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5" hidden="1" x14ac:dyDescent="0.2">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3.75" hidden="1" x14ac:dyDescent="0.2">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5" hidden="1" x14ac:dyDescent="0.2">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3.75" hidden="1" x14ac:dyDescent="0.2">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3.75" hidden="1" x14ac:dyDescent="0.2">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5" hidden="1" x14ac:dyDescent="0.2">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3.75" hidden="1" x14ac:dyDescent="0.2">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25" hidden="1" x14ac:dyDescent="0.2">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5" hidden="1" x14ac:dyDescent="0.2">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3.75" hidden="1" x14ac:dyDescent="0.2">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2">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 hidden="1" x14ac:dyDescent="0.2">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 hidden="1" x14ac:dyDescent="0.2">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 hidden="1" x14ac:dyDescent="0.2">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3.75" hidden="1" x14ac:dyDescent="0.2">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42.25" hidden="1" x14ac:dyDescent="0.2">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42.25" hidden="1" x14ac:dyDescent="0.2">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42.25" hidden="1" x14ac:dyDescent="0.2">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3.75" hidden="1" x14ac:dyDescent="0.2">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25" hidden="1" x14ac:dyDescent="0.2">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25" hidden="1" x14ac:dyDescent="0.2">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51" hidden="1" x14ac:dyDescent="0.2">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51" hidden="1" x14ac:dyDescent="0.2">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51" hidden="1" x14ac:dyDescent="0.2">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51" hidden="1" x14ac:dyDescent="0.2">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4.75" hidden="1" x14ac:dyDescent="0.2">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4.75" hidden="1" x14ac:dyDescent="0.2">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5" hidden="1" x14ac:dyDescent="0.2">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5" hidden="1" x14ac:dyDescent="0.2">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7.5" hidden="1" x14ac:dyDescent="0.2">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7.5" hidden="1" x14ac:dyDescent="0.2">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7.5" hidden="1" x14ac:dyDescent="0.2">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25" hidden="1" x14ac:dyDescent="0.2">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 hidden="1" x14ac:dyDescent="0.2">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2">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2">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2">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 hidden="1" x14ac:dyDescent="0.2">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29.5" hidden="1" x14ac:dyDescent="0.2">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29.5" hidden="1" x14ac:dyDescent="0.2">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29.5" hidden="1" x14ac:dyDescent="0.2">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29.5" hidden="1" x14ac:dyDescent="0.2">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 hidden="1" x14ac:dyDescent="0.2">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 hidden="1" x14ac:dyDescent="0.2">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53" hidden="1" x14ac:dyDescent="0.2">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53" hidden="1" x14ac:dyDescent="0.2">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4.75" hidden="1" x14ac:dyDescent="0.2">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4.75" hidden="1" x14ac:dyDescent="0.2">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4.75" hidden="1" x14ac:dyDescent="0.2">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4.75" hidden="1" x14ac:dyDescent="0.2">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4.75" hidden="1" x14ac:dyDescent="0.2">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4.75" hidden="1" x14ac:dyDescent="0.2">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4.75" hidden="1" x14ac:dyDescent="0.2">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4.75" hidden="1" x14ac:dyDescent="0.2">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4.75" hidden="1" x14ac:dyDescent="0.2">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4.75" hidden="1" x14ac:dyDescent="0.2">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4.75" hidden="1" x14ac:dyDescent="0.2">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4.75" hidden="1" x14ac:dyDescent="0.2">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2">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2">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 hidden="1" x14ac:dyDescent="0.2">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2">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25" hidden="1" x14ac:dyDescent="0.2">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25" hidden="1" x14ac:dyDescent="0.2">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 hidden="1" x14ac:dyDescent="0.2">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 hidden="1" x14ac:dyDescent="0.2">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1.25" hidden="1" x14ac:dyDescent="0.2">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1.25" hidden="1" x14ac:dyDescent="0.2">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76.5" hidden="1" x14ac:dyDescent="0.2">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4" hidden="1" x14ac:dyDescent="0.2">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2">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2">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 hidden="1" x14ac:dyDescent="0.2">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 hidden="1" x14ac:dyDescent="0.2">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 hidden="1" x14ac:dyDescent="0.2">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3.75" hidden="1" x14ac:dyDescent="0.2">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3.75" hidden="1" x14ac:dyDescent="0.2">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3.75" hidden="1" x14ac:dyDescent="0.2">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3.75" hidden="1" x14ac:dyDescent="0.2">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5" hidden="1" x14ac:dyDescent="0.2">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5" hidden="1" x14ac:dyDescent="0.2">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25" hidden="1" x14ac:dyDescent="0.2">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25" hidden="1" x14ac:dyDescent="0.2">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 hidden="1" x14ac:dyDescent="0.2">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29.5" hidden="1" x14ac:dyDescent="0.2">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29.5" hidden="1" x14ac:dyDescent="0.2">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89.25" hidden="1" x14ac:dyDescent="0.2">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29.5" hidden="1" x14ac:dyDescent="0.2">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29.5" hidden="1" x14ac:dyDescent="0.2">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 hidden="1" x14ac:dyDescent="0.2">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89.25" hidden="1" x14ac:dyDescent="0.2">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40.25" hidden="1" x14ac:dyDescent="0.2">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102" hidden="1" x14ac:dyDescent="0.2">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102" hidden="1" x14ac:dyDescent="0.2">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65.75" hidden="1" x14ac:dyDescent="0.2">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25" hidden="1" x14ac:dyDescent="0.2">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65.75" hidden="1" x14ac:dyDescent="0.2">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25" hidden="1" x14ac:dyDescent="0.2">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4.75" hidden="1" x14ac:dyDescent="0.2">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4.75" hidden="1" x14ac:dyDescent="0.2">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4.75" hidden="1" x14ac:dyDescent="0.2">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4.75" hidden="1" x14ac:dyDescent="0.2">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4.75" hidden="1" x14ac:dyDescent="0.2">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89.25" hidden="1" x14ac:dyDescent="0.2">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4.75" hidden="1" x14ac:dyDescent="0.2">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4.75" hidden="1" x14ac:dyDescent="0.2">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4.75" hidden="1" x14ac:dyDescent="0.2">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4.75" hidden="1" x14ac:dyDescent="0.2">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4.75" hidden="1" x14ac:dyDescent="0.2">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89.25" hidden="1" x14ac:dyDescent="0.2">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5" hidden="1" x14ac:dyDescent="0.2">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 hidden="1" x14ac:dyDescent="0.2">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 hidden="1" x14ac:dyDescent="0.2">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5" hidden="1" x14ac:dyDescent="0.2">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5" hidden="1" x14ac:dyDescent="0.2">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2">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 hidden="1" x14ac:dyDescent="0.2">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5" hidden="1" x14ac:dyDescent="0.2">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2">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 hidden="1" x14ac:dyDescent="0.2">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5" hidden="1" x14ac:dyDescent="0.2">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3.75" hidden="1" x14ac:dyDescent="0.2">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55" hidden="1" x14ac:dyDescent="0.2">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5" hidden="1" x14ac:dyDescent="0.2">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5" hidden="1" x14ac:dyDescent="0.2">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5" hidden="1" x14ac:dyDescent="0.2">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5" hidden="1" x14ac:dyDescent="0.2">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5" hidden="1" x14ac:dyDescent="0.2">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5" hidden="1" x14ac:dyDescent="0.2">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3.75" hidden="1" x14ac:dyDescent="0.2">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 hidden="1" x14ac:dyDescent="0.2">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63.75" hidden="1" x14ac:dyDescent="0.2">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91.25" hidden="1" x14ac:dyDescent="0.2">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91.25" hidden="1" x14ac:dyDescent="0.2">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91.25" hidden="1" x14ac:dyDescent="0.2">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4.75" hidden="1" x14ac:dyDescent="0.2">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91.25" hidden="1" x14ac:dyDescent="0.2">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91.25" hidden="1" x14ac:dyDescent="0.2">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4.75" hidden="1" x14ac:dyDescent="0.2">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91.25" hidden="1" x14ac:dyDescent="0.2">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4.75" hidden="1" x14ac:dyDescent="0.2">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63.75" hidden="1" x14ac:dyDescent="0.2">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4.75" hidden="1" x14ac:dyDescent="0.2">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4.75" hidden="1" x14ac:dyDescent="0.2">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4.75" hidden="1" x14ac:dyDescent="0.2">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3.75" hidden="1" x14ac:dyDescent="0.2">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7.5" hidden="1" x14ac:dyDescent="0.2">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7.5" hidden="1" x14ac:dyDescent="0.2">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7.5" hidden="1" x14ac:dyDescent="0.2">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7.5" hidden="1" x14ac:dyDescent="0.2">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25" hidden="1" x14ac:dyDescent="0.2">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 hidden="1" x14ac:dyDescent="0.2">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55" hidden="1" x14ac:dyDescent="0.2">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25" hidden="1" x14ac:dyDescent="0.2">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25" hidden="1" x14ac:dyDescent="0.2">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t="25.5" hidden="1" x14ac:dyDescent="0.2">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 hidden="1" x14ac:dyDescent="0.2">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 hidden="1" x14ac:dyDescent="0.2">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 hidden="1" x14ac:dyDescent="0.2">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5" hidden="1" x14ac:dyDescent="0.2">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25" hidden="1" x14ac:dyDescent="0.2">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25" hidden="1" x14ac:dyDescent="0.2">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25" hidden="1" x14ac:dyDescent="0.2">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4.75" hidden="1" x14ac:dyDescent="0.2">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25" hidden="1" x14ac:dyDescent="0.2">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5" hidden="1" x14ac:dyDescent="0.2">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4.75" hidden="1" x14ac:dyDescent="0.2">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2">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5" hidden="1" x14ac:dyDescent="0.2">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2">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5" hidden="1" x14ac:dyDescent="0.2">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1.25" hidden="1" x14ac:dyDescent="0.2">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1.25" hidden="1" x14ac:dyDescent="0.2">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1.25" hidden="1" x14ac:dyDescent="0.2">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1.25" hidden="1" x14ac:dyDescent="0.2">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25" hidden="1" x14ac:dyDescent="0.2">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25" hidden="1" x14ac:dyDescent="0.2">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5" hidden="1" x14ac:dyDescent="0.2">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5" hidden="1" x14ac:dyDescent="0.2">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5" hidden="1" x14ac:dyDescent="0.2">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 hidden="1" x14ac:dyDescent="0.2">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14.75" hidden="1" x14ac:dyDescent="0.2">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5" hidden="1" x14ac:dyDescent="0.2">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25" hidden="1" x14ac:dyDescent="0.2">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1.25" hidden="1" x14ac:dyDescent="0.2">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1.25" hidden="1" x14ac:dyDescent="0.2">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1.25" hidden="1" x14ac:dyDescent="0.2">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1.25" hidden="1" x14ac:dyDescent="0.2">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25" hidden="1" x14ac:dyDescent="0.2">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25" hidden="1" x14ac:dyDescent="0.2">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5" hidden="1" x14ac:dyDescent="0.2">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89.25" hidden="1" x14ac:dyDescent="0.2">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14.75" hidden="1" x14ac:dyDescent="0.2">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 hidden="1" x14ac:dyDescent="0.2">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 hidden="1" x14ac:dyDescent="0.2">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63.75" hidden="1" x14ac:dyDescent="0.2">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5" hidden="1" x14ac:dyDescent="0.2">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5" hidden="1" x14ac:dyDescent="0.2">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5" hidden="1" x14ac:dyDescent="0.2">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5" hidden="1" x14ac:dyDescent="0.2">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5" hidden="1" x14ac:dyDescent="0.2">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5" hidden="1" x14ac:dyDescent="0.2">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76.5" hidden="1" x14ac:dyDescent="0.2">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76.5" hidden="1" x14ac:dyDescent="0.2">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 hidden="1" x14ac:dyDescent="0.2">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 hidden="1" x14ac:dyDescent="0.2">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 hidden="1" x14ac:dyDescent="0.2">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102" hidden="1" x14ac:dyDescent="0.2">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3.75" hidden="1" x14ac:dyDescent="0.2">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 hidden="1" x14ac:dyDescent="0.2">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 hidden="1" x14ac:dyDescent="0.2">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204" hidden="1" x14ac:dyDescent="0.2">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204" hidden="1" x14ac:dyDescent="0.2">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 hidden="1" x14ac:dyDescent="0.2">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 hidden="1" x14ac:dyDescent="0.2">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204" hidden="1" x14ac:dyDescent="0.2">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204" hidden="1" x14ac:dyDescent="0.2">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25" hidden="1" x14ac:dyDescent="0.2">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25" hidden="1" x14ac:dyDescent="0.2">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89.25" hidden="1" x14ac:dyDescent="0.2">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 hidden="1" x14ac:dyDescent="0.2">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 hidden="1" x14ac:dyDescent="0.2">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 hidden="1" x14ac:dyDescent="0.2">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1.25" hidden="1" x14ac:dyDescent="0.2">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216.75" hidden="1" x14ac:dyDescent="0.2">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216.75" hidden="1" x14ac:dyDescent="0.2">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5" hidden="1" x14ac:dyDescent="0.2">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5" hidden="1" x14ac:dyDescent="0.2">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53" hidden="1" x14ac:dyDescent="0.2">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53" hidden="1" x14ac:dyDescent="0.2">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53" hidden="1" x14ac:dyDescent="0.2">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4.75" hidden="1" x14ac:dyDescent="0.2">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4.75" hidden="1" x14ac:dyDescent="0.2">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53" hidden="1" x14ac:dyDescent="0.2">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53" hidden="1" x14ac:dyDescent="0.2">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53" hidden="1" x14ac:dyDescent="0.2">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5" hidden="1" x14ac:dyDescent="0.2">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 hidden="1" x14ac:dyDescent="0.2">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 hidden="1" x14ac:dyDescent="0.2">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63.75" hidden="1" x14ac:dyDescent="0.2">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5" hidden="1" x14ac:dyDescent="0.2">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25" hidden="1" x14ac:dyDescent="0.2">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5" hidden="1" x14ac:dyDescent="0.2">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25" hidden="1" x14ac:dyDescent="0.2">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76.5" hidden="1" x14ac:dyDescent="0.2">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2">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2">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2">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5.75" hidden="1" x14ac:dyDescent="0.2">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5.75" hidden="1" x14ac:dyDescent="0.2">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5" hidden="1" x14ac:dyDescent="0.2">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25" hidden="1" x14ac:dyDescent="0.2">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 hidden="1" x14ac:dyDescent="0.2">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 hidden="1" x14ac:dyDescent="0.2">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 hidden="1" x14ac:dyDescent="0.2">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25" hidden="1" x14ac:dyDescent="0.2">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5" hidden="1" x14ac:dyDescent="0.2">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25" hidden="1" x14ac:dyDescent="0.2">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5" hidden="1" x14ac:dyDescent="0.2">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 hidden="1" x14ac:dyDescent="0.2">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 hidden="1" x14ac:dyDescent="0.2">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0.25" hidden="1" x14ac:dyDescent="0.2">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0.25" hidden="1" x14ac:dyDescent="0.2">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3.75" hidden="1" x14ac:dyDescent="0.2">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76.5" hidden="1" x14ac:dyDescent="0.2">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76.5" hidden="1" x14ac:dyDescent="0.2">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76.5" hidden="1" x14ac:dyDescent="0.2">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76.5" hidden="1" x14ac:dyDescent="0.2">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51" hidden="1" x14ac:dyDescent="0.2">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51" hidden="1" x14ac:dyDescent="0.2">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7.5" hidden="1" x14ac:dyDescent="0.2">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7.5" hidden="1" x14ac:dyDescent="0.2">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25" hidden="1" x14ac:dyDescent="0.2">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25" hidden="1" x14ac:dyDescent="0.2">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25" hidden="1" x14ac:dyDescent="0.2">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0.25" hidden="1" x14ac:dyDescent="0.2">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0.25" hidden="1" x14ac:dyDescent="0.2">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0.25" hidden="1" x14ac:dyDescent="0.2">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5" hidden="1" x14ac:dyDescent="0.2">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5" hidden="1" x14ac:dyDescent="0.2">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0.25" hidden="1" x14ac:dyDescent="0.2">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0.25" hidden="1" x14ac:dyDescent="0.2">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0.25" hidden="1" x14ac:dyDescent="0.2">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5" hidden="1" x14ac:dyDescent="0.2">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5" hidden="1" x14ac:dyDescent="0.2">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89.25" hidden="1" x14ac:dyDescent="0.2">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29.5" hidden="1" x14ac:dyDescent="0.2">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29.5" hidden="1" x14ac:dyDescent="0.2">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29.5" hidden="1" x14ac:dyDescent="0.2">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29.5" hidden="1" x14ac:dyDescent="0.2">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 hidden="1" x14ac:dyDescent="0.2">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5" hidden="1" x14ac:dyDescent="0.2">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114.75" hidden="1" x14ac:dyDescent="0.2">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25" hidden="1" x14ac:dyDescent="0.2">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25" hidden="1" x14ac:dyDescent="0.2">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114.75" hidden="1" x14ac:dyDescent="0.2">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25" hidden="1" x14ac:dyDescent="0.2">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5" hidden="1" x14ac:dyDescent="0.2">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5" hidden="1" x14ac:dyDescent="0.2">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5" hidden="1" x14ac:dyDescent="0.2">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5" hidden="1" x14ac:dyDescent="0.2">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63.75" hidden="1" x14ac:dyDescent="0.2">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63.75" hidden="1" x14ac:dyDescent="0.2">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 hidden="1" x14ac:dyDescent="0.2">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 hidden="1" x14ac:dyDescent="0.2">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89.25" hidden="1" x14ac:dyDescent="0.2">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 hidden="1" x14ac:dyDescent="0.2">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 hidden="1" x14ac:dyDescent="0.2">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5" hidden="1" x14ac:dyDescent="0.2">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5" hidden="1" x14ac:dyDescent="0.2">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5" hidden="1" x14ac:dyDescent="0.2">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25" hidden="1" x14ac:dyDescent="0.2">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25" hidden="1" x14ac:dyDescent="0.2">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25" hidden="1" x14ac:dyDescent="0.2">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63.75" hidden="1" x14ac:dyDescent="0.2">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63.75" hidden="1" x14ac:dyDescent="0.2">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63.75" hidden="1" x14ac:dyDescent="0.2">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63.75" hidden="1" x14ac:dyDescent="0.2">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5" hidden="1" x14ac:dyDescent="0.2">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25" hidden="1" x14ac:dyDescent="0.2">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5" hidden="1" x14ac:dyDescent="0.2">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 hidden="1" x14ac:dyDescent="0.2">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 hidden="1" x14ac:dyDescent="0.2">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4.75" hidden="1" x14ac:dyDescent="0.2">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4.75" hidden="1" x14ac:dyDescent="0.2">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3.75" hidden="1" x14ac:dyDescent="0.2">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1.25" hidden="1" x14ac:dyDescent="0.2">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1.25" hidden="1" x14ac:dyDescent="0.2">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5" hidden="1" x14ac:dyDescent="0.2">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4.75" hidden="1" x14ac:dyDescent="0.2">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4.75" hidden="1" x14ac:dyDescent="0.2">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4.75" hidden="1" x14ac:dyDescent="0.2">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89.25" hidden="1" x14ac:dyDescent="0.2">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25" hidden="1" x14ac:dyDescent="0.2">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40.25" hidden="1" x14ac:dyDescent="0.2">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25" hidden="1" x14ac:dyDescent="0.2">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25" hidden="1" x14ac:dyDescent="0.2">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5" hidden="1" x14ac:dyDescent="0.2">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5" hidden="1" x14ac:dyDescent="0.2">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5" hidden="1" x14ac:dyDescent="0.2">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5" hidden="1" x14ac:dyDescent="0.2">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5" hidden="1" x14ac:dyDescent="0.2">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 hidden="1" x14ac:dyDescent="0.2">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25" hidden="1" x14ac:dyDescent="0.2">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25" hidden="1" x14ac:dyDescent="0.2">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5" hidden="1" x14ac:dyDescent="0.2">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5" hidden="1" x14ac:dyDescent="0.2">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5" hidden="1" x14ac:dyDescent="0.2">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5" hidden="1" x14ac:dyDescent="0.2">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5" hidden="1" x14ac:dyDescent="0.2">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38.25" hidden="1" x14ac:dyDescent="0.2">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3.75" hidden="1" x14ac:dyDescent="0.2">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38.25" hidden="1" x14ac:dyDescent="0.2">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3.75" hidden="1" x14ac:dyDescent="0.2">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2">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3.75" hidden="1" x14ac:dyDescent="0.2">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53" hidden="1" x14ac:dyDescent="0.2">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53" hidden="1" x14ac:dyDescent="0.2">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5" hidden="1" x14ac:dyDescent="0.2">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0.25" hidden="1" x14ac:dyDescent="0.2">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0.25" hidden="1" x14ac:dyDescent="0.2">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 hidden="1" x14ac:dyDescent="0.2">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25" hidden="1" x14ac:dyDescent="0.2">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63.75" hidden="1" x14ac:dyDescent="0.2">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 hidden="1" x14ac:dyDescent="0.2">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25" hidden="1" x14ac:dyDescent="0.2">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63.75" hidden="1" x14ac:dyDescent="0.2">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25" hidden="1" x14ac:dyDescent="0.2">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63.75" hidden="1" x14ac:dyDescent="0.2">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25" hidden="1" x14ac:dyDescent="0.2">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25" hidden="1" x14ac:dyDescent="0.2">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 hidden="1" x14ac:dyDescent="0.2">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 hidden="1" x14ac:dyDescent="0.2">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 hidden="1" x14ac:dyDescent="0.2">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2.25" hidden="1" x14ac:dyDescent="0.2">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2.25" hidden="1" x14ac:dyDescent="0.2">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2.25" hidden="1" x14ac:dyDescent="0.2">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 hidden="1" x14ac:dyDescent="0.2">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2">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3.75" hidden="1" x14ac:dyDescent="0.2">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2">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40.25" hidden="1" x14ac:dyDescent="0.2">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 hidden="1" x14ac:dyDescent="0.2">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5" hidden="1" x14ac:dyDescent="0.2">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78.5" hidden="1" x14ac:dyDescent="0.2">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25" hidden="1" x14ac:dyDescent="0.2">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 hidden="1" x14ac:dyDescent="0.2">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25" hidden="1" x14ac:dyDescent="0.2">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38.25" hidden="1" x14ac:dyDescent="0.2">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78.5" hidden="1" x14ac:dyDescent="0.2">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5" hidden="1" x14ac:dyDescent="0.2">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63.75" hidden="1" x14ac:dyDescent="0.2">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63.75" hidden="1" x14ac:dyDescent="0.2">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51" hidden="1" x14ac:dyDescent="0.2">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51" hidden="1" x14ac:dyDescent="0.2">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25" hidden="1" x14ac:dyDescent="0.2">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40.25" hidden="1" x14ac:dyDescent="0.2">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 hidden="1" x14ac:dyDescent="0.2">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5" hidden="1" x14ac:dyDescent="0.2">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51" hidden="1" x14ac:dyDescent="0.2">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51" hidden="1" x14ac:dyDescent="0.2">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 hidden="1" x14ac:dyDescent="0.2">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63.75" hidden="1" x14ac:dyDescent="0.2">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63.75" hidden="1" x14ac:dyDescent="0.2">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5" hidden="1" x14ac:dyDescent="0.2">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5" hidden="1" x14ac:dyDescent="0.2">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5" hidden="1" x14ac:dyDescent="0.2">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3.75" hidden="1" x14ac:dyDescent="0.2">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25" hidden="1" x14ac:dyDescent="0.2">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 hidden="1" x14ac:dyDescent="0.2">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 hidden="1" x14ac:dyDescent="0.2">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25" hidden="1" x14ac:dyDescent="0.2">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89.25" hidden="1" x14ac:dyDescent="0.2">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89.25" hidden="1" x14ac:dyDescent="0.2">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25" hidden="1" x14ac:dyDescent="0.2">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25" hidden="1" x14ac:dyDescent="0.2">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5" hidden="1" x14ac:dyDescent="0.2">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38.25" hidden="1" x14ac:dyDescent="0.2">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3.75" hidden="1" x14ac:dyDescent="0.2">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 hidden="1" x14ac:dyDescent="0.2">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3.75" hidden="1" x14ac:dyDescent="0.2">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 hidden="1" x14ac:dyDescent="0.2">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3.75" hidden="1" x14ac:dyDescent="0.2">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3.75" hidden="1" x14ac:dyDescent="0.2">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25" hidden="1" x14ac:dyDescent="0.2">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0.25" hidden="1" x14ac:dyDescent="0.2">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0.25" hidden="1" x14ac:dyDescent="0.2">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102" hidden="1" x14ac:dyDescent="0.2">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63.75" hidden="1" x14ac:dyDescent="0.2">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63.75" hidden="1" x14ac:dyDescent="0.2">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 hidden="1" x14ac:dyDescent="0.2">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 hidden="1" x14ac:dyDescent="0.2">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2">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2">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25" hidden="1" x14ac:dyDescent="0.2">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 hidden="1" x14ac:dyDescent="0.2">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 hidden="1" x14ac:dyDescent="0.2">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7.5" hidden="1" x14ac:dyDescent="0.2">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7.5" hidden="1" x14ac:dyDescent="0.2">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51" hidden="1" x14ac:dyDescent="0.2">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51" hidden="1" x14ac:dyDescent="0.2">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25" hidden="1" x14ac:dyDescent="0.2">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25" hidden="1" x14ac:dyDescent="0.2">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27.5" hidden="1" x14ac:dyDescent="0.2">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 hidden="1" x14ac:dyDescent="0.2">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27.5" hidden="1" x14ac:dyDescent="0.2">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 hidden="1" x14ac:dyDescent="0.2">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7.5" hidden="1" x14ac:dyDescent="0.2">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5" hidden="1" x14ac:dyDescent="0.2">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204" hidden="1" x14ac:dyDescent="0.2">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204" hidden="1" x14ac:dyDescent="0.2">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204" hidden="1" x14ac:dyDescent="0.2">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204" hidden="1" x14ac:dyDescent="0.2">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 hidden="1" x14ac:dyDescent="0.2">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 hidden="1" x14ac:dyDescent="0.2">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2">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3.75" hidden="1" x14ac:dyDescent="0.2">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5" hidden="1" x14ac:dyDescent="0.2">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 hidden="1" x14ac:dyDescent="0.2">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 hidden="1" x14ac:dyDescent="0.2">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5" hidden="1" x14ac:dyDescent="0.2">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63.75" hidden="1" x14ac:dyDescent="0.2">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25" hidden="1" x14ac:dyDescent="0.2">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 hidden="1" x14ac:dyDescent="0.2">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5" hidden="1" x14ac:dyDescent="0.2">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78.5" hidden="1" x14ac:dyDescent="0.2">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78.5" hidden="1" x14ac:dyDescent="0.2">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78.5" hidden="1" x14ac:dyDescent="0.2">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78.5" hidden="1" x14ac:dyDescent="0.2">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25" hidden="1" x14ac:dyDescent="0.2">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25" hidden="1" x14ac:dyDescent="0.2">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25" hidden="1" x14ac:dyDescent="0.2">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25" hidden="1" x14ac:dyDescent="0.2">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25" hidden="1" x14ac:dyDescent="0.2">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25" hidden="1" x14ac:dyDescent="0.2">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25" hidden="1" x14ac:dyDescent="0.2">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25" hidden="1" x14ac:dyDescent="0.2">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63.75" hidden="1" x14ac:dyDescent="0.2">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 hidden="1" x14ac:dyDescent="0.2">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 hidden="1" x14ac:dyDescent="0.2">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7.5" hidden="1" x14ac:dyDescent="0.2">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7.5" hidden="1" x14ac:dyDescent="0.2">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7.5" hidden="1" x14ac:dyDescent="0.2">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7.5" hidden="1" x14ac:dyDescent="0.2">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7.5" hidden="1" x14ac:dyDescent="0.2">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7.5" hidden="1" x14ac:dyDescent="0.2">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7.5" hidden="1" x14ac:dyDescent="0.2">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8.5" hidden="1" x14ac:dyDescent="0.2">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7.5" hidden="1" x14ac:dyDescent="0.2">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8.5" hidden="1" x14ac:dyDescent="0.2">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7.5" hidden="1" x14ac:dyDescent="0.2">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7.5" hidden="1" x14ac:dyDescent="0.2">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7.5" hidden="1" x14ac:dyDescent="0.2">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7.5" hidden="1" x14ac:dyDescent="0.2">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7.5" hidden="1" x14ac:dyDescent="0.2">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7.5" hidden="1" x14ac:dyDescent="0.2">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7.5" hidden="1" x14ac:dyDescent="0.2">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8.5" hidden="1" x14ac:dyDescent="0.2">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7.5" hidden="1" x14ac:dyDescent="0.2">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8.5" hidden="1" x14ac:dyDescent="0.2">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5" hidden="1" x14ac:dyDescent="0.2">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5" hidden="1" x14ac:dyDescent="0.2">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5" hidden="1" x14ac:dyDescent="0.2">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5" hidden="1" x14ac:dyDescent="0.2">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5" hidden="1" x14ac:dyDescent="0.2">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 hidden="1" x14ac:dyDescent="0.2">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14.75" hidden="1" x14ac:dyDescent="0.2">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25" hidden="1" x14ac:dyDescent="0.2">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25" hidden="1" x14ac:dyDescent="0.2">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25" hidden="1" x14ac:dyDescent="0.2">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25" hidden="1" x14ac:dyDescent="0.2">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0.25" hidden="1" x14ac:dyDescent="0.2">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8.5" hidden="1" x14ac:dyDescent="0.2">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8.5" hidden="1" x14ac:dyDescent="0.2">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8.5" hidden="1" x14ac:dyDescent="0.2">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8.5" hidden="1" x14ac:dyDescent="0.2">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27.5" hidden="1" x14ac:dyDescent="0.2">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5" hidden="1" x14ac:dyDescent="0.2">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 hidden="1" x14ac:dyDescent="0.2">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5" hidden="1" x14ac:dyDescent="0.2">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5" hidden="1" x14ac:dyDescent="0.2">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 hidden="1" x14ac:dyDescent="0.2">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25" hidden="1" x14ac:dyDescent="0.2">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5" hidden="1" x14ac:dyDescent="0.2">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5" hidden="1" x14ac:dyDescent="0.2">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5" hidden="1" x14ac:dyDescent="0.2">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5" hidden="1" x14ac:dyDescent="0.2">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5" hidden="1" x14ac:dyDescent="0.2">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7.5" hidden="1" x14ac:dyDescent="0.2">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7.5" hidden="1" x14ac:dyDescent="0.2">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3.75" hidden="1" x14ac:dyDescent="0.2">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93.25" hidden="1" x14ac:dyDescent="0.2">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4.75" hidden="1" x14ac:dyDescent="0.2">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93.25" hidden="1" x14ac:dyDescent="0.2">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4.75" hidden="1" x14ac:dyDescent="0.2">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16.75" hidden="1" x14ac:dyDescent="0.2">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3.75" hidden="1" x14ac:dyDescent="0.2">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89.25" hidden="1" x14ac:dyDescent="0.2">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89.25" hidden="1" x14ac:dyDescent="0.2">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76.5" hidden="1" x14ac:dyDescent="0.2">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5" hidden="1" x14ac:dyDescent="0.2">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5" hidden="1" x14ac:dyDescent="0.2">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5" hidden="1" x14ac:dyDescent="0.2">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 hidden="1" x14ac:dyDescent="0.2">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51" hidden="1" x14ac:dyDescent="0.2">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51" hidden="1" x14ac:dyDescent="0.2">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63.75" hidden="1" x14ac:dyDescent="0.2">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 hidden="1" x14ac:dyDescent="0.2">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 hidden="1" x14ac:dyDescent="0.2">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25" hidden="1" x14ac:dyDescent="0.2">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25" hidden="1" x14ac:dyDescent="0.2">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76.5" hidden="1" x14ac:dyDescent="0.2">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2">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2">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2">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63.75" hidden="1" x14ac:dyDescent="0.2">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25" hidden="1" x14ac:dyDescent="0.2">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 hidden="1" x14ac:dyDescent="0.2">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 hidden="1" x14ac:dyDescent="0.2">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4.75" hidden="1" x14ac:dyDescent="0.2">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8.5" hidden="1" x14ac:dyDescent="0.2">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8.5" hidden="1" x14ac:dyDescent="0.2">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14.75" hidden="1" x14ac:dyDescent="0.2">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14.75" hidden="1" x14ac:dyDescent="0.2">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8.5" hidden="1" x14ac:dyDescent="0.2">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8.5" hidden="1" x14ac:dyDescent="0.2">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4.75" hidden="1" x14ac:dyDescent="0.2">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8.5" hidden="1" x14ac:dyDescent="0.2">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8.5" hidden="1" x14ac:dyDescent="0.2">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 hidden="1" x14ac:dyDescent="0.2">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 hidden="1" x14ac:dyDescent="0.2">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 hidden="1" x14ac:dyDescent="0.2">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 hidden="1" x14ac:dyDescent="0.2">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 hidden="1" x14ac:dyDescent="0.2">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14.75" hidden="1" x14ac:dyDescent="0.2">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14.75" hidden="1" x14ac:dyDescent="0.2">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 hidden="1" x14ac:dyDescent="0.2">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 hidden="1" x14ac:dyDescent="0.2">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25" hidden="1" x14ac:dyDescent="0.2">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25" hidden="1" x14ac:dyDescent="0.2">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5" hidden="1" x14ac:dyDescent="0.2">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25" hidden="1" x14ac:dyDescent="0.2">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5" hidden="1" x14ac:dyDescent="0.2">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 hidden="1" x14ac:dyDescent="0.2">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 hidden="1" x14ac:dyDescent="0.2">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25" hidden="1" x14ac:dyDescent="0.2">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25" hidden="1" x14ac:dyDescent="0.2">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102" hidden="1" x14ac:dyDescent="0.2">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102" hidden="1" x14ac:dyDescent="0.2">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102" hidden="1" x14ac:dyDescent="0.2">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5" hidden="1" x14ac:dyDescent="0.2">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0.25" hidden="1" x14ac:dyDescent="0.2">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0.25" hidden="1" x14ac:dyDescent="0.2">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0.25" hidden="1" x14ac:dyDescent="0.2">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0.25" hidden="1" x14ac:dyDescent="0.2">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 hidden="1" x14ac:dyDescent="0.2">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 hidden="1" x14ac:dyDescent="0.2">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 hidden="1" x14ac:dyDescent="0.2">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 hidden="1" x14ac:dyDescent="0.2">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51" hidden="1" x14ac:dyDescent="0.2">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5" hidden="1" x14ac:dyDescent="0.2">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5" hidden="1" x14ac:dyDescent="0.2">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3.75" hidden="1" x14ac:dyDescent="0.2">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3.75" hidden="1" x14ac:dyDescent="0.2">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7.5" hidden="1" x14ac:dyDescent="0.2">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7.5" hidden="1" x14ac:dyDescent="0.2">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3.75" hidden="1" x14ac:dyDescent="0.2">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3.75" hidden="1" x14ac:dyDescent="0.2">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3.75" hidden="1" x14ac:dyDescent="0.2">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3.75" hidden="1" x14ac:dyDescent="0.2">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3.75" hidden="1" x14ac:dyDescent="0.2">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5" hidden="1" x14ac:dyDescent="0.2">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5" hidden="1" x14ac:dyDescent="0.2">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25" hidden="1" x14ac:dyDescent="0.2">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89.25" hidden="1" x14ac:dyDescent="0.2">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89.25" hidden="1" x14ac:dyDescent="0.2">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5" hidden="1" x14ac:dyDescent="0.2">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89.25" hidden="1" x14ac:dyDescent="0.2">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89.25" hidden="1" x14ac:dyDescent="0.2">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89.25" hidden="1" x14ac:dyDescent="0.2">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89.25" hidden="1" x14ac:dyDescent="0.2">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25" hidden="1" x14ac:dyDescent="0.2">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5" hidden="1" x14ac:dyDescent="0.2">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2">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2">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3.75" hidden="1" x14ac:dyDescent="0.2">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3.75" hidden="1" x14ac:dyDescent="0.2">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25" hidden="1" x14ac:dyDescent="0.2">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4.75" hidden="1" x14ac:dyDescent="0.2">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4.75" hidden="1" x14ac:dyDescent="0.2">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25" hidden="1" x14ac:dyDescent="0.2">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5" hidden="1" x14ac:dyDescent="0.2">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3.75" hidden="1" x14ac:dyDescent="0.2">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3.75" hidden="1" x14ac:dyDescent="0.2">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3.75" hidden="1" x14ac:dyDescent="0.2">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3.75" hidden="1" x14ac:dyDescent="0.2">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3.75" hidden="1" x14ac:dyDescent="0.2">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3.75" hidden="1" x14ac:dyDescent="0.2">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3.75" hidden="1" x14ac:dyDescent="0.2">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 hidden="1" x14ac:dyDescent="0.2">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5" hidden="1" x14ac:dyDescent="0.2">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63.75" hidden="1" x14ac:dyDescent="0.2">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63.75" hidden="1" x14ac:dyDescent="0.2">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63.75" hidden="1" x14ac:dyDescent="0.2">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 hidden="1" x14ac:dyDescent="0.2">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 hidden="1" x14ac:dyDescent="0.2">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27.5" hidden="1" x14ac:dyDescent="0.2">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27.5" hidden="1" x14ac:dyDescent="0.2">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27.5" hidden="1" x14ac:dyDescent="0.2">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306" hidden="1" x14ac:dyDescent="0.2">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7.5" hidden="1" x14ac:dyDescent="0.2">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3.75" hidden="1" x14ac:dyDescent="0.2">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27.5" hidden="1" x14ac:dyDescent="0.2">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27.5" hidden="1" x14ac:dyDescent="0.2">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 hidden="1" x14ac:dyDescent="0.2">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5" hidden="1" x14ac:dyDescent="0.2">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25" hidden="1" x14ac:dyDescent="0.2">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25" hidden="1" x14ac:dyDescent="0.2">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2">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25" hidden="1" x14ac:dyDescent="0.2">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25" hidden="1" x14ac:dyDescent="0.2">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 hidden="1" x14ac:dyDescent="0.2">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 hidden="1" x14ac:dyDescent="0.2">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 hidden="1" x14ac:dyDescent="0.2">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 hidden="1" x14ac:dyDescent="0.2">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53" hidden="1" x14ac:dyDescent="0.2">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53" hidden="1" x14ac:dyDescent="0.2">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5" hidden="1" x14ac:dyDescent="0.2">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5" hidden="1" x14ac:dyDescent="0.2">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4.75" hidden="1" x14ac:dyDescent="0.2">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5" hidden="1" x14ac:dyDescent="0.2">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3.75" hidden="1" x14ac:dyDescent="0.2">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76.5" hidden="1" x14ac:dyDescent="0.2">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5" hidden="1" x14ac:dyDescent="0.2">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5" hidden="1" x14ac:dyDescent="0.2">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76.5" hidden="1" x14ac:dyDescent="0.2">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25" hidden="1" x14ac:dyDescent="0.2">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25" hidden="1" x14ac:dyDescent="0.2">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25" hidden="1" x14ac:dyDescent="0.2">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25" hidden="1" x14ac:dyDescent="0.2">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 hidden="1" x14ac:dyDescent="0.2">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 hidden="1" x14ac:dyDescent="0.2">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5" hidden="1" x14ac:dyDescent="0.2">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2">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102" hidden="1" x14ac:dyDescent="0.2">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40.25" hidden="1" x14ac:dyDescent="0.2">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40.25" hidden="1" x14ac:dyDescent="0.2">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102" hidden="1" x14ac:dyDescent="0.2">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40.25" hidden="1" x14ac:dyDescent="0.2">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40.25" hidden="1" x14ac:dyDescent="0.2">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25" hidden="1" x14ac:dyDescent="0.2">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25" hidden="1" x14ac:dyDescent="0.2">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53" hidden="1" x14ac:dyDescent="0.2">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 hidden="1" x14ac:dyDescent="0.2">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3.75" hidden="1" x14ac:dyDescent="0.2">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25" hidden="1" x14ac:dyDescent="0.2">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5" hidden="1" x14ac:dyDescent="0.2">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5" hidden="1" x14ac:dyDescent="0.2">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102" hidden="1" x14ac:dyDescent="0.2">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0.25" hidden="1" x14ac:dyDescent="0.2">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0.25" hidden="1" x14ac:dyDescent="0.2">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0.25" hidden="1" x14ac:dyDescent="0.2">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0.25" hidden="1" x14ac:dyDescent="0.2">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0.25" hidden="1" x14ac:dyDescent="0.2">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25" hidden="1" x14ac:dyDescent="0.2">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25" hidden="1" x14ac:dyDescent="0.2">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89.25" hidden="1" x14ac:dyDescent="0.2">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89.25" hidden="1" x14ac:dyDescent="0.2">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89.25" hidden="1" x14ac:dyDescent="0.2">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89.25" hidden="1" x14ac:dyDescent="0.2">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25" hidden="1" x14ac:dyDescent="0.2">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7.5" hidden="1" x14ac:dyDescent="0.2">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 hidden="1" x14ac:dyDescent="0.2">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 hidden="1" x14ac:dyDescent="0.2">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7.5" hidden="1" x14ac:dyDescent="0.2">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 hidden="1" x14ac:dyDescent="0.2">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25" hidden="1" x14ac:dyDescent="0.2">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 hidden="1" x14ac:dyDescent="0.2">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27.5" hidden="1" x14ac:dyDescent="0.2">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27.5" hidden="1" x14ac:dyDescent="0.2">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5" hidden="1" x14ac:dyDescent="0.2">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2">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2">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5" hidden="1" x14ac:dyDescent="0.2">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25" hidden="1" x14ac:dyDescent="0.2">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25" hidden="1" x14ac:dyDescent="0.2">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25" hidden="1" x14ac:dyDescent="0.2">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5" hidden="1" x14ac:dyDescent="0.2">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5" hidden="1" x14ac:dyDescent="0.2">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5" hidden="1" x14ac:dyDescent="0.2">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5" hidden="1" x14ac:dyDescent="0.2">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5" hidden="1" x14ac:dyDescent="0.2">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5" hidden="1" x14ac:dyDescent="0.2">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5" hidden="1" x14ac:dyDescent="0.2">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5" hidden="1" x14ac:dyDescent="0.2">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25" hidden="1" x14ac:dyDescent="0.2">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25" hidden="1" x14ac:dyDescent="0.2">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0.25" hidden="1" x14ac:dyDescent="0.2">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0.25" hidden="1" x14ac:dyDescent="0.2">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0.25" hidden="1" x14ac:dyDescent="0.2">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0.25" hidden="1" x14ac:dyDescent="0.2">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0.25" hidden="1" x14ac:dyDescent="0.2">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0.25" hidden="1" x14ac:dyDescent="0.2">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0.25" hidden="1" x14ac:dyDescent="0.2">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0.25" hidden="1" x14ac:dyDescent="0.2">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25" hidden="1" x14ac:dyDescent="0.2">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25" hidden="1" x14ac:dyDescent="0.2">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25" hidden="1" x14ac:dyDescent="0.2">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2.25" hidden="1" x14ac:dyDescent="0.2">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2.25" hidden="1" x14ac:dyDescent="0.2">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2.25" hidden="1" x14ac:dyDescent="0.2">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69.75" x14ac:dyDescent="0.2">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2.25" hidden="1" x14ac:dyDescent="0.2">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69.75" x14ac:dyDescent="0.2">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2.25" hidden="1" x14ac:dyDescent="0.2">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2.25" hidden="1" x14ac:dyDescent="0.2">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2.25" hidden="1" x14ac:dyDescent="0.2">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2.25" hidden="1" x14ac:dyDescent="0.2">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2.25" hidden="1" x14ac:dyDescent="0.2">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2.25" hidden="1" x14ac:dyDescent="0.2">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2.25" hidden="1" x14ac:dyDescent="0.2">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2.25" hidden="1" x14ac:dyDescent="0.2">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2.25" hidden="1" x14ac:dyDescent="0.2">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2.25" hidden="1" x14ac:dyDescent="0.2">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2.25" hidden="1" x14ac:dyDescent="0.2">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2.25" hidden="1" x14ac:dyDescent="0.2">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2.25" hidden="1" x14ac:dyDescent="0.2">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2.25" hidden="1" x14ac:dyDescent="0.2">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2.25" hidden="1" x14ac:dyDescent="0.2">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2.25" hidden="1" x14ac:dyDescent="0.2">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2.25" hidden="1" x14ac:dyDescent="0.2">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2.25" hidden="1" x14ac:dyDescent="0.2">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2.25" hidden="1" x14ac:dyDescent="0.2">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2.25" hidden="1" x14ac:dyDescent="0.2">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2.25" hidden="1" x14ac:dyDescent="0.2">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2.25" hidden="1" x14ac:dyDescent="0.2">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2.25" hidden="1" x14ac:dyDescent="0.2">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2.25" hidden="1" x14ac:dyDescent="0.2">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2.25" hidden="1" x14ac:dyDescent="0.2">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2.25" hidden="1" x14ac:dyDescent="0.2">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2.25" hidden="1" x14ac:dyDescent="0.2">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2.25" hidden="1" x14ac:dyDescent="0.2">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2.25" hidden="1" x14ac:dyDescent="0.2">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2.25" hidden="1" x14ac:dyDescent="0.2">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2.25" hidden="1" x14ac:dyDescent="0.2">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2.25" hidden="1" x14ac:dyDescent="0.2">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2.25" hidden="1" x14ac:dyDescent="0.2">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2.25" hidden="1" x14ac:dyDescent="0.2">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2.25" hidden="1" x14ac:dyDescent="0.2">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2.25" hidden="1" x14ac:dyDescent="0.2">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2.25" hidden="1" x14ac:dyDescent="0.2">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2.25" hidden="1" x14ac:dyDescent="0.2">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2.25" hidden="1" x14ac:dyDescent="0.2">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2.25" hidden="1" x14ac:dyDescent="0.2">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2.25" hidden="1" x14ac:dyDescent="0.2">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2.25" hidden="1" x14ac:dyDescent="0.2">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2.25" hidden="1" x14ac:dyDescent="0.2">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2.25" hidden="1" x14ac:dyDescent="0.2">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2.25" hidden="1" x14ac:dyDescent="0.2">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2.25" hidden="1" x14ac:dyDescent="0.2">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2.25" hidden="1" x14ac:dyDescent="0.2">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2.25" hidden="1" x14ac:dyDescent="0.2">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2">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2">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2">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2">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38.25" hidden="1" x14ac:dyDescent="0.2">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7.5" hidden="1" x14ac:dyDescent="0.2">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38.25" hidden="1" x14ac:dyDescent="0.2">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5" hidden="1" x14ac:dyDescent="0.2">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5" hidden="1" x14ac:dyDescent="0.2">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7.5" hidden="1" x14ac:dyDescent="0.2">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25" hidden="1" x14ac:dyDescent="0.2">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3.75" hidden="1" x14ac:dyDescent="0.2">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25" hidden="1" x14ac:dyDescent="0.2">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25" hidden="1" x14ac:dyDescent="0.2">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25" hidden="1" x14ac:dyDescent="0.2">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8.5" hidden="1" x14ac:dyDescent="0.2">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8.5" hidden="1" x14ac:dyDescent="0.2">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25" hidden="1" x14ac:dyDescent="0.2">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65.75" hidden="1" x14ac:dyDescent="0.2">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65.75" hidden="1" x14ac:dyDescent="0.2">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25" hidden="1" x14ac:dyDescent="0.2">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25" hidden="1" x14ac:dyDescent="0.2">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25" hidden="1" x14ac:dyDescent="0.2">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25" hidden="1" x14ac:dyDescent="0.2">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1.25" hidden="1" x14ac:dyDescent="0.2">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63.75" hidden="1" x14ac:dyDescent="0.2">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63.75" hidden="1" x14ac:dyDescent="0.2">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76.5" hidden="1" x14ac:dyDescent="0.2">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76.5" hidden="1" x14ac:dyDescent="0.2">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3.75" hidden="1" x14ac:dyDescent="0.2">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3.75" hidden="1" x14ac:dyDescent="0.2">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4" hidden="1" x14ac:dyDescent="0.2">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4" hidden="1" x14ac:dyDescent="0.2">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1.25" hidden="1" x14ac:dyDescent="0.2">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1.25" hidden="1" x14ac:dyDescent="0.2">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1.25" hidden="1" x14ac:dyDescent="0.2">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2">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 hidden="1" x14ac:dyDescent="0.2">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 hidden="1" x14ac:dyDescent="0.2">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 hidden="1" x14ac:dyDescent="0.2">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 hidden="1" x14ac:dyDescent="0.2">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 hidden="1" x14ac:dyDescent="0.2">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7.5" hidden="1" x14ac:dyDescent="0.2">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7.5" hidden="1" x14ac:dyDescent="0.2">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5" hidden="1" x14ac:dyDescent="0.2">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 hidden="1" x14ac:dyDescent="0.2">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3.75" hidden="1" x14ac:dyDescent="0.2">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63.75" hidden="1" x14ac:dyDescent="0.2">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89.25" hidden="1" x14ac:dyDescent="0.2">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2">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2">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25" hidden="1" x14ac:dyDescent="0.2">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25" hidden="1" x14ac:dyDescent="0.2">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2">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25" hidden="1" x14ac:dyDescent="0.2">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25" hidden="1" x14ac:dyDescent="0.2">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5" hidden="1" x14ac:dyDescent="0.2">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3.75" hidden="1" x14ac:dyDescent="0.2">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25" hidden="1" x14ac:dyDescent="0.2">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5" hidden="1" x14ac:dyDescent="0.2">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25" hidden="1" x14ac:dyDescent="0.2">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5" hidden="1" x14ac:dyDescent="0.2">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25" hidden="1" x14ac:dyDescent="0.2">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3.75" hidden="1" x14ac:dyDescent="0.2">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25" hidden="1" x14ac:dyDescent="0.2">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2">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25" hidden="1" x14ac:dyDescent="0.2">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25" hidden="1" x14ac:dyDescent="0.2">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25" hidden="1" x14ac:dyDescent="0.2">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25" hidden="1" x14ac:dyDescent="0.2">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25" hidden="1" x14ac:dyDescent="0.2">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2">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2">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2">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2">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25" hidden="1" x14ac:dyDescent="0.2">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8.5" hidden="1" x14ac:dyDescent="0.2">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5" hidden="1" x14ac:dyDescent="0.2">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2">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5" hidden="1" x14ac:dyDescent="0.2">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7.5" hidden="1" x14ac:dyDescent="0.2">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7.5" hidden="1" x14ac:dyDescent="0.2">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7.5" hidden="1" x14ac:dyDescent="0.2">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7.5" hidden="1" x14ac:dyDescent="0.2">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7.5" hidden="1" x14ac:dyDescent="0.2">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7.5" hidden="1" x14ac:dyDescent="0.2">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2">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5" hidden="1" x14ac:dyDescent="0.2">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25" hidden="1" x14ac:dyDescent="0.2">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 hidden="1" x14ac:dyDescent="0.2">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5" hidden="1" x14ac:dyDescent="0.2">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5" hidden="1" x14ac:dyDescent="0.2">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5" hidden="1" x14ac:dyDescent="0.2">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2">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25" hidden="1" x14ac:dyDescent="0.2">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3.75" hidden="1" x14ac:dyDescent="0.2">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14.75" hidden="1" x14ac:dyDescent="0.2">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25" hidden="1" x14ac:dyDescent="0.2">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25" hidden="1" x14ac:dyDescent="0.2">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25" hidden="1" x14ac:dyDescent="0.2">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25" hidden="1" x14ac:dyDescent="0.2">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5" hidden="1" x14ac:dyDescent="0.2">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 hidden="1" x14ac:dyDescent="0.2">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 hidden="1" x14ac:dyDescent="0.2">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25" hidden="1" x14ac:dyDescent="0.2">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25" hidden="1" x14ac:dyDescent="0.2">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25" hidden="1" x14ac:dyDescent="0.2">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25" hidden="1" x14ac:dyDescent="0.2">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25" hidden="1" x14ac:dyDescent="0.2">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25" hidden="1" x14ac:dyDescent="0.2">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25" hidden="1" x14ac:dyDescent="0.2">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25" hidden="1" x14ac:dyDescent="0.2">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25" hidden="1" x14ac:dyDescent="0.2">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25" hidden="1" x14ac:dyDescent="0.2">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25" hidden="1" x14ac:dyDescent="0.2">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25" hidden="1" x14ac:dyDescent="0.2">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25" hidden="1" x14ac:dyDescent="0.2">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25" hidden="1" x14ac:dyDescent="0.2">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5" hidden="1" x14ac:dyDescent="0.2">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4.75" hidden="1" x14ac:dyDescent="0.2">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4.75" hidden="1" x14ac:dyDescent="0.2">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5" hidden="1" x14ac:dyDescent="0.2">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2">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25" hidden="1" x14ac:dyDescent="0.2">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25" hidden="1" x14ac:dyDescent="0.2">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1.25" hidden="1" x14ac:dyDescent="0.2">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216.75" hidden="1" x14ac:dyDescent="0.2">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216.75" hidden="1" x14ac:dyDescent="0.2">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 hidden="1" x14ac:dyDescent="0.2">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 hidden="1" x14ac:dyDescent="0.2">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78.5" hidden="1" x14ac:dyDescent="0.2">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2">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102" hidden="1" x14ac:dyDescent="0.2">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102" hidden="1" x14ac:dyDescent="0.2">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102" hidden="1" x14ac:dyDescent="0.2">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102" hidden="1" x14ac:dyDescent="0.2">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3.75" hidden="1" x14ac:dyDescent="0.2">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3.75" hidden="1" x14ac:dyDescent="0.2">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 hidden="1" x14ac:dyDescent="0.2">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 hidden="1" x14ac:dyDescent="0.2">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 hidden="1" x14ac:dyDescent="0.2">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 hidden="1" x14ac:dyDescent="0.2">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 hidden="1" x14ac:dyDescent="0.2">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25" hidden="1" x14ac:dyDescent="0.2">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 hidden="1" x14ac:dyDescent="0.2">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25" hidden="1" x14ac:dyDescent="0.2">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25" hidden="1" x14ac:dyDescent="0.2">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 hidden="1" x14ac:dyDescent="0.2">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63.75" hidden="1" x14ac:dyDescent="0.2">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5" hidden="1" x14ac:dyDescent="0.2">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25" hidden="1" x14ac:dyDescent="0.2">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25" hidden="1" x14ac:dyDescent="0.2">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5" hidden="1" x14ac:dyDescent="0.2">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5" hidden="1" x14ac:dyDescent="0.2">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5" hidden="1" x14ac:dyDescent="0.2">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 hidden="1" x14ac:dyDescent="0.2">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 hidden="1" x14ac:dyDescent="0.2">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29.5" hidden="1" x14ac:dyDescent="0.2">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29.5" hidden="1" x14ac:dyDescent="0.2">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5" hidden="1" x14ac:dyDescent="0.2">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5" hidden="1" x14ac:dyDescent="0.2">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5" hidden="1" x14ac:dyDescent="0.2">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29.5" hidden="1" x14ac:dyDescent="0.2">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29.5" hidden="1" x14ac:dyDescent="0.2">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3.75" hidden="1" x14ac:dyDescent="0.2">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51" hidden="1" x14ac:dyDescent="0.2">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7.5" hidden="1" x14ac:dyDescent="0.2">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3.75" hidden="1" x14ac:dyDescent="0.2">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3.75" hidden="1" x14ac:dyDescent="0.2">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3.75" hidden="1" x14ac:dyDescent="0.2">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25" hidden="1" x14ac:dyDescent="0.2">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25" hidden="1" x14ac:dyDescent="0.2">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 hidden="1" x14ac:dyDescent="0.2">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3.75" hidden="1" x14ac:dyDescent="0.2">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102" hidden="1" x14ac:dyDescent="0.2">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102" hidden="1" x14ac:dyDescent="0.2">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5" hidden="1" x14ac:dyDescent="0.2">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25" hidden="1" x14ac:dyDescent="0.2">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25" hidden="1" x14ac:dyDescent="0.2">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25" hidden="1" x14ac:dyDescent="0.2">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93.25" hidden="1" x14ac:dyDescent="0.2">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93.25" hidden="1" x14ac:dyDescent="0.2">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93.25" hidden="1" x14ac:dyDescent="0.2">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25" hidden="1" x14ac:dyDescent="0.2">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5" hidden="1" x14ac:dyDescent="0.2">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5" hidden="1" x14ac:dyDescent="0.2">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3.75" hidden="1" x14ac:dyDescent="0.2">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3.75" hidden="1" x14ac:dyDescent="0.2">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3.75" hidden="1" x14ac:dyDescent="0.2">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3.75" hidden="1" x14ac:dyDescent="0.2">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0.5" hidden="1" x14ac:dyDescent="0.2">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 hidden="1" x14ac:dyDescent="0.2">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 hidden="1" x14ac:dyDescent="0.2">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5" hidden="1" x14ac:dyDescent="0.2">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5" hidden="1" x14ac:dyDescent="0.2">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5" hidden="1" x14ac:dyDescent="0.2">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 hidden="1" x14ac:dyDescent="0.2">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51" hidden="1" x14ac:dyDescent="0.2">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25" hidden="1" x14ac:dyDescent="0.2">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4" hidden="1" x14ac:dyDescent="0.2">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4" hidden="1" x14ac:dyDescent="0.2">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4" hidden="1" x14ac:dyDescent="0.2">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4" hidden="1" x14ac:dyDescent="0.2">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4" hidden="1" x14ac:dyDescent="0.2">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4" hidden="1" x14ac:dyDescent="0.2">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4" hidden="1" x14ac:dyDescent="0.2">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4" hidden="1" x14ac:dyDescent="0.2">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5" hidden="1" x14ac:dyDescent="0.2">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25" hidden="1" x14ac:dyDescent="0.2">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25" hidden="1" x14ac:dyDescent="0.2">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 hidden="1" x14ac:dyDescent="0.2">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 hidden="1" x14ac:dyDescent="0.2">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 hidden="1" x14ac:dyDescent="0.2">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16.75" hidden="1" x14ac:dyDescent="0.2">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16.75" hidden="1" x14ac:dyDescent="0.2">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16.75" hidden="1" x14ac:dyDescent="0.2">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8.5" hidden="1" x14ac:dyDescent="0.2">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8.5" hidden="1" x14ac:dyDescent="0.2">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8.5" hidden="1" x14ac:dyDescent="0.2">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5" hidden="1" x14ac:dyDescent="0.2">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51" hidden="1" x14ac:dyDescent="0.2">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4.75" hidden="1" x14ac:dyDescent="0.2">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4.75" hidden="1" x14ac:dyDescent="0.2">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 hidden="1" x14ac:dyDescent="0.2">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 hidden="1" x14ac:dyDescent="0.2">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4.75" hidden="1" x14ac:dyDescent="0.2">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3.75" hidden="1" x14ac:dyDescent="0.2">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5" hidden="1" x14ac:dyDescent="0.2">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5" hidden="1" x14ac:dyDescent="0.2">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5" hidden="1" x14ac:dyDescent="0.2">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53" hidden="1" x14ac:dyDescent="0.2">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67.75" hidden="1" x14ac:dyDescent="0.2">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 hidden="1" x14ac:dyDescent="0.2">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27.5" hidden="1" x14ac:dyDescent="0.2">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5" hidden="1" x14ac:dyDescent="0.2">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5" hidden="1" x14ac:dyDescent="0.2">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5" hidden="1" x14ac:dyDescent="0.2">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5" hidden="1" x14ac:dyDescent="0.2">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5" hidden="1" x14ac:dyDescent="0.2">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76.5" hidden="1" x14ac:dyDescent="0.2">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76.5" hidden="1" x14ac:dyDescent="0.2">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76.5" hidden="1" x14ac:dyDescent="0.2">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89.25" hidden="1" x14ac:dyDescent="0.2">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89.25" hidden="1" x14ac:dyDescent="0.2">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25" hidden="1" x14ac:dyDescent="0.2">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25" hidden="1" x14ac:dyDescent="0.2">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25" hidden="1" x14ac:dyDescent="0.2">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25" hidden="1" x14ac:dyDescent="0.2">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 hidden="1" x14ac:dyDescent="0.2">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25" hidden="1" x14ac:dyDescent="0.2">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53" hidden="1" x14ac:dyDescent="0.2">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5" hidden="1" x14ac:dyDescent="0.2">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3.75" hidden="1" x14ac:dyDescent="0.2">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0.25" hidden="1" x14ac:dyDescent="0.2">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8.5" hidden="1" x14ac:dyDescent="0.2">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8.5" hidden="1" x14ac:dyDescent="0.2">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8.5" hidden="1" x14ac:dyDescent="0.2">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8.5" hidden="1" x14ac:dyDescent="0.2">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3.75" hidden="1" x14ac:dyDescent="0.2">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3.75" hidden="1" x14ac:dyDescent="0.2">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25" hidden="1" x14ac:dyDescent="0.2">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25" hidden="1" x14ac:dyDescent="0.2">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 hidden="1" x14ac:dyDescent="0.2">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89.25" hidden="1" x14ac:dyDescent="0.2">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89.25" hidden="1" x14ac:dyDescent="0.2">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76.5" hidden="1" x14ac:dyDescent="0.2">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76.5" hidden="1" x14ac:dyDescent="0.2">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76.5" hidden="1" x14ac:dyDescent="0.2">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3.75" hidden="1" x14ac:dyDescent="0.2">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3.75" hidden="1" x14ac:dyDescent="0.2">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4.75" hidden="1" x14ac:dyDescent="0.2">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25" hidden="1" x14ac:dyDescent="0.2">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204" hidden="1" x14ac:dyDescent="0.2">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25" hidden="1" x14ac:dyDescent="0.2">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25" hidden="1" x14ac:dyDescent="0.2">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25" hidden="1" x14ac:dyDescent="0.2">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 hidden="1" x14ac:dyDescent="0.2">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 hidden="1" x14ac:dyDescent="0.2">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 hidden="1" x14ac:dyDescent="0.2">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4.75" hidden="1" x14ac:dyDescent="0.2">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 hidden="1" x14ac:dyDescent="0.2">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5" hidden="1" x14ac:dyDescent="0.2">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5" hidden="1" x14ac:dyDescent="0.2">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5" hidden="1" x14ac:dyDescent="0.2">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25" hidden="1" x14ac:dyDescent="0.2">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25" hidden="1" x14ac:dyDescent="0.2">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4.75" hidden="1" x14ac:dyDescent="0.2">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4.75" hidden="1" x14ac:dyDescent="0.2">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4.75" hidden="1" x14ac:dyDescent="0.2">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4.75" hidden="1" x14ac:dyDescent="0.2">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5" hidden="1" x14ac:dyDescent="0.2">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7.5" hidden="1" x14ac:dyDescent="0.2">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7.5" hidden="1" x14ac:dyDescent="0.2">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7.5" hidden="1" x14ac:dyDescent="0.2">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7.5" hidden="1" x14ac:dyDescent="0.2">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7.5" hidden="1" x14ac:dyDescent="0.2">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7.5" hidden="1" x14ac:dyDescent="0.2">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7.5" hidden="1" x14ac:dyDescent="0.2">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7.5" hidden="1" x14ac:dyDescent="0.2">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7.5" hidden="1" x14ac:dyDescent="0.2">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7.5" hidden="1" x14ac:dyDescent="0.2">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 hidden="1" x14ac:dyDescent="0.2">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 hidden="1" x14ac:dyDescent="0.2">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 hidden="1" x14ac:dyDescent="0.2">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5" hidden="1" x14ac:dyDescent="0.2">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2">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3.75" hidden="1" x14ac:dyDescent="0.2">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3.75" hidden="1" x14ac:dyDescent="0.2">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3.75" hidden="1" x14ac:dyDescent="0.2">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 hidden="1" x14ac:dyDescent="0.2">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 hidden="1" x14ac:dyDescent="0.2">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 hidden="1" x14ac:dyDescent="0.2">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 hidden="1" x14ac:dyDescent="0.2">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 hidden="1" x14ac:dyDescent="0.2">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5" hidden="1" x14ac:dyDescent="0.2">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5" hidden="1" x14ac:dyDescent="0.2">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5" hidden="1" x14ac:dyDescent="0.2">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5" hidden="1" x14ac:dyDescent="0.2">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5" hidden="1" x14ac:dyDescent="0.2">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5" hidden="1" x14ac:dyDescent="0.2">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5" hidden="1" x14ac:dyDescent="0.2">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5" hidden="1" x14ac:dyDescent="0.2">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3.75" hidden="1" x14ac:dyDescent="0.2">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3.75" hidden="1" x14ac:dyDescent="0.2">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4.75" hidden="1" x14ac:dyDescent="0.2">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3.75" hidden="1" x14ac:dyDescent="0.2">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 hidden="1" x14ac:dyDescent="0.2">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 hidden="1" x14ac:dyDescent="0.2">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4.75" hidden="1" x14ac:dyDescent="0.2">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3.75" hidden="1" x14ac:dyDescent="0.2">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114.75" hidden="1" x14ac:dyDescent="0.2">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51" hidden="1" x14ac:dyDescent="0.2">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4.75" hidden="1" x14ac:dyDescent="0.2">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4.75" hidden="1" x14ac:dyDescent="0.2">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 hidden="1" x14ac:dyDescent="0.2">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 hidden="1" x14ac:dyDescent="0.2">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 hidden="1" x14ac:dyDescent="0.2">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5" hidden="1" x14ac:dyDescent="0.2">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5" hidden="1" x14ac:dyDescent="0.2">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5" hidden="1" x14ac:dyDescent="0.2">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5" hidden="1" x14ac:dyDescent="0.2">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7.5" hidden="1" x14ac:dyDescent="0.2">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7.5" hidden="1" x14ac:dyDescent="0.2">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7.5" hidden="1" x14ac:dyDescent="0.2">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 hidden="1" x14ac:dyDescent="0.2">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 hidden="1" x14ac:dyDescent="0.2">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5" hidden="1" x14ac:dyDescent="0.2">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 hidden="1" x14ac:dyDescent="0.2">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 hidden="1" x14ac:dyDescent="0.2">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5" hidden="1" x14ac:dyDescent="0.2">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25" hidden="1" x14ac:dyDescent="0.2">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 hidden="1" x14ac:dyDescent="0.2">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5" hidden="1" x14ac:dyDescent="0.2">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 hidden="1" x14ac:dyDescent="0.2">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 hidden="1" x14ac:dyDescent="0.2">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 hidden="1" x14ac:dyDescent="0.2">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 hidden="1" x14ac:dyDescent="0.2">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 hidden="1" x14ac:dyDescent="0.2">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14.75" hidden="1" x14ac:dyDescent="0.2">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 hidden="1" x14ac:dyDescent="0.2">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 hidden="1" x14ac:dyDescent="0.2">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4.75" hidden="1" x14ac:dyDescent="0.2">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25" hidden="1" x14ac:dyDescent="0.2">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27.5" hidden="1" x14ac:dyDescent="0.2">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27.5" hidden="1" x14ac:dyDescent="0.2">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2">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2">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25" hidden="1" x14ac:dyDescent="0.2">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25" hidden="1" x14ac:dyDescent="0.2">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114.75" hidden="1" x14ac:dyDescent="0.2">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51" hidden="1" x14ac:dyDescent="0.2">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5" hidden="1" x14ac:dyDescent="0.2">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5" hidden="1" x14ac:dyDescent="0.2">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1.25" hidden="1" x14ac:dyDescent="0.2">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2">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1.25" hidden="1" x14ac:dyDescent="0.2">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2">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 hidden="1" x14ac:dyDescent="0.2">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 hidden="1" x14ac:dyDescent="0.2">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 hidden="1" x14ac:dyDescent="0.2">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25" hidden="1" x14ac:dyDescent="0.2">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25" hidden="1" x14ac:dyDescent="0.2">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25" hidden="1" x14ac:dyDescent="0.2">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25" hidden="1" x14ac:dyDescent="0.2">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25" hidden="1" x14ac:dyDescent="0.2">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25" hidden="1" x14ac:dyDescent="0.2">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1.25" hidden="1" x14ac:dyDescent="0.2">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102" hidden="1" x14ac:dyDescent="0.2">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25" hidden="1" x14ac:dyDescent="0.2">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2">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2">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102" hidden="1" x14ac:dyDescent="0.2">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3.75" hidden="1" x14ac:dyDescent="0.2">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5" hidden="1" x14ac:dyDescent="0.2">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5" hidden="1" x14ac:dyDescent="0.2">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25" hidden="1" x14ac:dyDescent="0.2">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25" hidden="1" x14ac:dyDescent="0.2">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25" hidden="1" x14ac:dyDescent="0.2">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25" hidden="1" x14ac:dyDescent="0.2">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25" hidden="1" x14ac:dyDescent="0.2">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5" hidden="1" x14ac:dyDescent="0.2">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2">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25" hidden="1" x14ac:dyDescent="0.2">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25" hidden="1" x14ac:dyDescent="0.2">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25" hidden="1" x14ac:dyDescent="0.2">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25" hidden="1" x14ac:dyDescent="0.2">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3.75" hidden="1" x14ac:dyDescent="0.2">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3.75" hidden="1" x14ac:dyDescent="0.2">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4" hidden="1" x14ac:dyDescent="0.2">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4" hidden="1" x14ac:dyDescent="0.2">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5" hidden="1" x14ac:dyDescent="0.2">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5" hidden="1" x14ac:dyDescent="0.2">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4" hidden="1" x14ac:dyDescent="0.2">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4" hidden="1" x14ac:dyDescent="0.2">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5" hidden="1" x14ac:dyDescent="0.2">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5" hidden="1" x14ac:dyDescent="0.2">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 hidden="1" x14ac:dyDescent="0.2">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14.75" hidden="1" x14ac:dyDescent="0.2">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5" hidden="1" x14ac:dyDescent="0.2">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2.25" hidden="1" x14ac:dyDescent="0.2">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2.25" hidden="1" x14ac:dyDescent="0.2">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2.25" hidden="1" x14ac:dyDescent="0.2">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2.25" hidden="1" x14ac:dyDescent="0.2">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5" hidden="1" x14ac:dyDescent="0.2">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2.25" hidden="1" x14ac:dyDescent="0.2">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2.25" hidden="1" x14ac:dyDescent="0.2">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2.25" hidden="1" x14ac:dyDescent="0.2">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2.25" hidden="1" x14ac:dyDescent="0.2">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25" hidden="1" x14ac:dyDescent="0.2">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3.75" hidden="1" x14ac:dyDescent="0.2">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25" hidden="1" x14ac:dyDescent="0.2">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5" hidden="1" x14ac:dyDescent="0.2">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5" hidden="1" x14ac:dyDescent="0.2">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3.75" hidden="1" x14ac:dyDescent="0.2">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25" hidden="1" x14ac:dyDescent="0.2">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3.75" hidden="1" x14ac:dyDescent="0.2">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3.75" hidden="1" x14ac:dyDescent="0.2">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3.75" hidden="1" x14ac:dyDescent="0.2">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3.75" hidden="1" x14ac:dyDescent="0.2">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3.75" hidden="1" x14ac:dyDescent="0.2">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3.75" hidden="1" x14ac:dyDescent="0.2">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3.75" hidden="1" x14ac:dyDescent="0.2">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3.75" hidden="1" x14ac:dyDescent="0.2">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4.75" hidden="1" x14ac:dyDescent="0.2">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4.75" hidden="1" x14ac:dyDescent="0.2">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4.75" hidden="1" x14ac:dyDescent="0.2">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 hidden="1" x14ac:dyDescent="0.2">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 hidden="1" x14ac:dyDescent="0.2">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25" hidden="1" x14ac:dyDescent="0.2">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25" hidden="1" x14ac:dyDescent="0.2">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3.75" hidden="1" x14ac:dyDescent="0.2">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 hidden="1" x14ac:dyDescent="0.2">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5" hidden="1" x14ac:dyDescent="0.2">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5" hidden="1" x14ac:dyDescent="0.2">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5" hidden="1" x14ac:dyDescent="0.2">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2">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5" hidden="1" x14ac:dyDescent="0.2">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5" hidden="1" x14ac:dyDescent="0.2">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2">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5" hidden="1" x14ac:dyDescent="0.2">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5" hidden="1" x14ac:dyDescent="0.2">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2">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2">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3.75" hidden="1" x14ac:dyDescent="0.2">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27.5" hidden="1" x14ac:dyDescent="0.2">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27.5" hidden="1" x14ac:dyDescent="0.2">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 hidden="1" x14ac:dyDescent="0.2">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 hidden="1" x14ac:dyDescent="0.2">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0.25" hidden="1" x14ac:dyDescent="0.2">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0.25" hidden="1" x14ac:dyDescent="0.2">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0.25" hidden="1" x14ac:dyDescent="0.2">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38.25" hidden="1" x14ac:dyDescent="0.2">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38.25" hidden="1" x14ac:dyDescent="0.2">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25" hidden="1" x14ac:dyDescent="0.2">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25" hidden="1" x14ac:dyDescent="0.2">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2">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2">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 hidden="1" x14ac:dyDescent="0.2">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 hidden="1" x14ac:dyDescent="0.2">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 hidden="1" x14ac:dyDescent="0.2">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25" hidden="1" x14ac:dyDescent="0.2">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5" hidden="1" x14ac:dyDescent="0.2">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29.5" hidden="1" x14ac:dyDescent="0.2">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29.5" hidden="1" x14ac:dyDescent="0.2">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29.5" hidden="1" x14ac:dyDescent="0.2">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29.5" hidden="1" x14ac:dyDescent="0.2">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5" hidden="1" x14ac:dyDescent="0.2">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8.5" hidden="1" x14ac:dyDescent="0.2">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8.5" hidden="1" x14ac:dyDescent="0.2">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8.5" hidden="1" x14ac:dyDescent="0.2">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8.5" hidden="1" x14ac:dyDescent="0.2">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 hidden="1" x14ac:dyDescent="0.2">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2">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2">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2">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2">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0.25" hidden="1" x14ac:dyDescent="0.2">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0.25" hidden="1" x14ac:dyDescent="0.2">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0.25" hidden="1" x14ac:dyDescent="0.2">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0.25" hidden="1" x14ac:dyDescent="0.2">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4.75" hidden="1" x14ac:dyDescent="0.2">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4.75" hidden="1" x14ac:dyDescent="0.2">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40.25" hidden="1" x14ac:dyDescent="0.2">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40.25" hidden="1" x14ac:dyDescent="0.2">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40.25" hidden="1" x14ac:dyDescent="0.2">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40.25" hidden="1" x14ac:dyDescent="0.2">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4" hidden="1" x14ac:dyDescent="0.2">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4" hidden="1" x14ac:dyDescent="0.2">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4" hidden="1" x14ac:dyDescent="0.2">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4" hidden="1" x14ac:dyDescent="0.2">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4" hidden="1" x14ac:dyDescent="0.2">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4" hidden="1" x14ac:dyDescent="0.2">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4" hidden="1" x14ac:dyDescent="0.2">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4" hidden="1" x14ac:dyDescent="0.2">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4" hidden="1" x14ac:dyDescent="0.2">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4" hidden="1" x14ac:dyDescent="0.2">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40.25" hidden="1" x14ac:dyDescent="0.2">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40.25" hidden="1" x14ac:dyDescent="0.2">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40.25" hidden="1" x14ac:dyDescent="0.2">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40.25" hidden="1" x14ac:dyDescent="0.2">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2">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3.75" hidden="1" x14ac:dyDescent="0.2">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2">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3.75" hidden="1" x14ac:dyDescent="0.2">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5" hidden="1" x14ac:dyDescent="0.2">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25" hidden="1" x14ac:dyDescent="0.2">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5" hidden="1" x14ac:dyDescent="0.2">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25" hidden="1" x14ac:dyDescent="0.2">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2">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4.75" hidden="1" x14ac:dyDescent="0.2">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 hidden="1" x14ac:dyDescent="0.2">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102" hidden="1" x14ac:dyDescent="0.2">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 hidden="1" x14ac:dyDescent="0.2">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5" hidden="1" x14ac:dyDescent="0.2">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5" hidden="1" x14ac:dyDescent="0.2">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67.75" hidden="1" x14ac:dyDescent="0.2">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53" hidden="1" x14ac:dyDescent="0.2">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27.5" hidden="1" x14ac:dyDescent="0.2">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5" hidden="1" x14ac:dyDescent="0.2">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5" hidden="1" x14ac:dyDescent="0.2">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25" hidden="1" x14ac:dyDescent="0.2">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7.5" hidden="1" x14ac:dyDescent="0.2">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7.5" hidden="1" x14ac:dyDescent="0.2">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3.75" hidden="1" x14ac:dyDescent="0.2">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25" hidden="1" x14ac:dyDescent="0.2">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4.75" hidden="1" x14ac:dyDescent="0.2">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4.75" hidden="1" x14ac:dyDescent="0.2">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5" hidden="1" x14ac:dyDescent="0.2">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5" hidden="1" x14ac:dyDescent="0.2">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 hidden="1" x14ac:dyDescent="0.2">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 hidden="1" x14ac:dyDescent="0.2">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 hidden="1" x14ac:dyDescent="0.2">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 hidden="1" x14ac:dyDescent="0.2">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 hidden="1" x14ac:dyDescent="0.2">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 hidden="1" x14ac:dyDescent="0.2">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 hidden="1" x14ac:dyDescent="0.2">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63.75" hidden="1" x14ac:dyDescent="0.2">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27.5" hidden="1" x14ac:dyDescent="0.2">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27.5" hidden="1" x14ac:dyDescent="0.2">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 hidden="1" x14ac:dyDescent="0.2">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5.75" hidden="1" x14ac:dyDescent="0.2">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51" hidden="1" x14ac:dyDescent="0.2">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5" hidden="1" x14ac:dyDescent="0.2">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 hidden="1" x14ac:dyDescent="0.2">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 hidden="1" x14ac:dyDescent="0.2">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0.5" hidden="1" x14ac:dyDescent="0.2">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25" hidden="1" x14ac:dyDescent="0.2">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25" hidden="1" x14ac:dyDescent="0.2">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3.75" hidden="1" x14ac:dyDescent="0.2">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 hidden="1" x14ac:dyDescent="0.2">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5" hidden="1" x14ac:dyDescent="0.2">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 hidden="1" x14ac:dyDescent="0.2">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 hidden="1" x14ac:dyDescent="0.2">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4" hidden="1" x14ac:dyDescent="0.2">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3.75" hidden="1" x14ac:dyDescent="0.2">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3.75" hidden="1" x14ac:dyDescent="0.2">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25" hidden="1" x14ac:dyDescent="0.2">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25" hidden="1" x14ac:dyDescent="0.2">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4.75" hidden="1" x14ac:dyDescent="0.2">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4.75" hidden="1" x14ac:dyDescent="0.2">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5" hidden="1" x14ac:dyDescent="0.2">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114.75" hidden="1" x14ac:dyDescent="0.2">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3.75" hidden="1" x14ac:dyDescent="0.2">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2">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38.25" hidden="1" x14ac:dyDescent="0.2">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25" hidden="1" x14ac:dyDescent="0.2">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25" hidden="1" x14ac:dyDescent="0.2">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3.75" hidden="1" x14ac:dyDescent="0.2">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2">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5" hidden="1" x14ac:dyDescent="0.2">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2">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5" hidden="1" x14ac:dyDescent="0.2">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2">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25" hidden="1" x14ac:dyDescent="0.2">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3.75" hidden="1" x14ac:dyDescent="0.2">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3.75" hidden="1" x14ac:dyDescent="0.2">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3.75" hidden="1" x14ac:dyDescent="0.2">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76.5" hidden="1" x14ac:dyDescent="0.2">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76.5" hidden="1" x14ac:dyDescent="0.2">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4.75" hidden="1" x14ac:dyDescent="0.2">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4.75" hidden="1" x14ac:dyDescent="0.2">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 hidden="1" x14ac:dyDescent="0.2">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 hidden="1" x14ac:dyDescent="0.2">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 hidden="1" x14ac:dyDescent="0.2">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25" hidden="1" x14ac:dyDescent="0.2">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25" hidden="1" x14ac:dyDescent="0.2">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 hidden="1" x14ac:dyDescent="0.2">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 hidden="1" x14ac:dyDescent="0.2">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5" hidden="1" x14ac:dyDescent="0.2">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5" hidden="1" x14ac:dyDescent="0.2">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5" hidden="1" x14ac:dyDescent="0.2">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 hidden="1" x14ac:dyDescent="0.2">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 hidden="1" x14ac:dyDescent="0.2">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5" hidden="1" x14ac:dyDescent="0.2">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2">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2">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5" hidden="1" x14ac:dyDescent="0.2">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2">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102" hidden="1" x14ac:dyDescent="0.2">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5" hidden="1" x14ac:dyDescent="0.2">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25" hidden="1" x14ac:dyDescent="0.2">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5" hidden="1" x14ac:dyDescent="0.2">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102" hidden="1" x14ac:dyDescent="0.2">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25" hidden="1" x14ac:dyDescent="0.2">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2">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5" hidden="1" x14ac:dyDescent="0.2">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5" hidden="1" x14ac:dyDescent="0.2">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25" hidden="1" x14ac:dyDescent="0.2">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25" hidden="1" x14ac:dyDescent="0.2">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25" hidden="1" x14ac:dyDescent="0.2">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25" hidden="1" x14ac:dyDescent="0.2">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25" hidden="1" x14ac:dyDescent="0.2">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89.25" hidden="1" x14ac:dyDescent="0.2">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89.25" hidden="1" x14ac:dyDescent="0.2">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89.25" hidden="1" x14ac:dyDescent="0.2">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89.25" hidden="1" x14ac:dyDescent="0.2">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25" hidden="1" x14ac:dyDescent="0.2">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25" hidden="1" x14ac:dyDescent="0.2">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25" hidden="1" x14ac:dyDescent="0.2">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25" hidden="1" x14ac:dyDescent="0.2">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25" hidden="1" x14ac:dyDescent="0.2">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25" hidden="1" x14ac:dyDescent="0.2">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5" hidden="1" x14ac:dyDescent="0.2">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3.75" hidden="1" x14ac:dyDescent="0.2">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3.75" hidden="1" x14ac:dyDescent="0.2">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63.75" hidden="1" x14ac:dyDescent="0.2">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63.75" hidden="1" x14ac:dyDescent="0.2">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RowHeight="12.75" x14ac:dyDescent="0.2"/>
  <cols>
    <col min="1" max="1" width="5.5703125" style="26" customWidth="1"/>
    <col min="2" max="2" width="16.5703125" style="26" customWidth="1"/>
    <col min="3" max="3" width="17.28515625" style="26" customWidth="1"/>
    <col min="4" max="4" width="17.5703125" style="26" customWidth="1"/>
    <col min="5" max="5" width="18.5703125" style="26" customWidth="1"/>
    <col min="6" max="6" width="18.28515625" style="26" customWidth="1"/>
    <col min="7" max="7" width="14.7109375" style="26" customWidth="1"/>
    <col min="8" max="8" width="9.140625" style="26"/>
    <col min="9" max="9" width="9.42578125" style="26" bestFit="1" customWidth="1"/>
    <col min="10" max="10" width="9.28515625" style="26" bestFit="1" customWidth="1"/>
    <col min="11" max="16384" width="9.140625" style="26"/>
  </cols>
  <sheetData>
    <row r="1" spans="1:10" s="216" customFormat="1" x14ac:dyDescent="0.2"/>
    <row r="2" spans="1:10" s="216" customFormat="1" ht="17.25" customHeight="1" x14ac:dyDescent="0.2">
      <c r="B2" s="217" t="s">
        <v>3000</v>
      </c>
      <c r="C2" s="218">
        <f ca="1">AfspraakDatum</f>
        <v>42185</v>
      </c>
      <c r="D2" s="219"/>
      <c r="E2" s="217" t="s">
        <v>3001</v>
      </c>
      <c r="F2" s="220">
        <f>OpnDatum</f>
        <v>41363</v>
      </c>
      <c r="G2" s="217" t="str">
        <f ca="1">"ICU-dag: "&amp;AfspraakDatum-OpnDatum+1</f>
        <v>ICU-dag: 823</v>
      </c>
      <c r="H2" s="217"/>
      <c r="I2" s="217"/>
      <c r="J2" s="217"/>
    </row>
    <row r="3" spans="1:10" s="216" customFormat="1" ht="17.25" customHeight="1" x14ac:dyDescent="0.2">
      <c r="B3" s="217" t="s">
        <v>288</v>
      </c>
      <c r="C3" s="221" t="str">
        <f>AchterNaam&amp;", "&amp;VoorNaam</f>
        <v>Achternaam, Voornaam</v>
      </c>
      <c r="D3" s="221"/>
      <c r="E3" s="217" t="s">
        <v>3097</v>
      </c>
      <c r="F3" s="220">
        <f>GebDatum</f>
        <v>40909</v>
      </c>
      <c r="G3" s="222" t="str">
        <f>"Gewicht: "&amp;Gewicht/10&amp;" kg"</f>
        <v>Gewicht: 10 kg</v>
      </c>
      <c r="H3" s="217"/>
      <c r="I3" s="222" t="str">
        <f>"Lengte: "&amp;Lengte&amp;" cm"</f>
        <v>Lengte: 80 cm</v>
      </c>
      <c r="J3" s="217"/>
    </row>
    <row r="4" spans="1:10" s="216" customFormat="1" ht="17.25" customHeight="1" x14ac:dyDescent="0.2">
      <c r="A4" s="252"/>
      <c r="B4" s="217" t="s">
        <v>3468</v>
      </c>
      <c r="C4" s="222">
        <f>PatNummer</f>
        <v>0</v>
      </c>
      <c r="D4" s="219"/>
      <c r="E4" s="217" t="s">
        <v>2763</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2"/>
    <row r="6" spans="1:10" ht="17.25" customHeight="1" x14ac:dyDescent="0.2">
      <c r="B6" s="310" t="s">
        <v>212</v>
      </c>
    </row>
    <row r="7" spans="1:10" ht="9" customHeight="1" x14ac:dyDescent="0.2">
      <c r="I7" s="123" t="s">
        <v>1299</v>
      </c>
      <c r="J7" s="123" t="s">
        <v>3378</v>
      </c>
    </row>
    <row r="8" spans="1:10" ht="17.25" customHeight="1" x14ac:dyDescent="0.2">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2">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2">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2">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2">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2">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2">
      <c r="I14" s="123" t="b">
        <f>IF(INDEX(ber_Infusen!$A$1:$C$34,ber_Infusen!E8,2)&lt;&gt;0,INDEX(ber_Infusen!$A$1:$C$34,ber_Infusen!E8,3))</f>
        <v>0</v>
      </c>
      <c r="J14" s="123">
        <f>IF(INDEX(ber_Infusen!$A$1:$C$34,ber_Infusen!E8,2)&lt;&gt;0,INDEX(ber_Infusen!$A$1:$C$34,ber_Infusen!E8,2),0)</f>
        <v>0</v>
      </c>
    </row>
    <row r="15" spans="1:10" ht="17.25" customHeight="1" x14ac:dyDescent="0.2">
      <c r="B15" s="332" t="s">
        <v>2881</v>
      </c>
      <c r="C15" s="341">
        <f>ber_Opm!C3</f>
        <v>0</v>
      </c>
      <c r="D15" s="342"/>
      <c r="E15" s="342"/>
      <c r="F15" s="342"/>
      <c r="G15" s="342"/>
      <c r="H15" s="342"/>
      <c r="I15" s="343">
        <f>SUM(I8:I14)</f>
        <v>0</v>
      </c>
      <c r="J15" s="343">
        <f>SUM(J8:J14)</f>
        <v>0</v>
      </c>
    </row>
    <row r="16" spans="1:10" ht="17.25" customHeight="1" x14ac:dyDescent="0.2"/>
    <row r="17" spans="1:10" ht="17.25" customHeight="1" x14ac:dyDescent="0.2">
      <c r="A17" s="29"/>
      <c r="B17" s="310" t="s">
        <v>838</v>
      </c>
    </row>
    <row r="18" spans="1:10" ht="8.25" customHeight="1" x14ac:dyDescent="0.2">
      <c r="A18" s="29"/>
    </row>
    <row r="19" spans="1:10" ht="17.25" customHeight="1" x14ac:dyDescent="0.2">
      <c r="A19" s="26">
        <v>1</v>
      </c>
      <c r="C19" s="303"/>
      <c r="E19" s="29"/>
      <c r="H19" s="248" t="s">
        <v>343</v>
      </c>
      <c r="I19" s="216"/>
      <c r="J19" s="216"/>
    </row>
    <row r="20" spans="1:10" ht="17.25" customHeight="1" x14ac:dyDescent="0.2">
      <c r="A20" s="26">
        <v>2</v>
      </c>
      <c r="E20" s="29"/>
      <c r="H20" s="252" t="s">
        <v>2695</v>
      </c>
      <c r="I20" s="216"/>
      <c r="J20" s="216"/>
    </row>
    <row r="21" spans="1:10" ht="17.25" customHeight="1" x14ac:dyDescent="0.2">
      <c r="A21" s="26">
        <v>3</v>
      </c>
      <c r="E21" s="29"/>
      <c r="H21" s="309" t="str">
        <f>IF(Comfort,"Ja","Nee")</f>
        <v>Ja</v>
      </c>
    </row>
    <row r="22" spans="1:10" ht="17.25" customHeight="1" x14ac:dyDescent="0.2">
      <c r="A22" s="26">
        <v>4</v>
      </c>
      <c r="E22" s="29"/>
    </row>
    <row r="23" spans="1:10" ht="17.25" customHeight="1" x14ac:dyDescent="0.2">
      <c r="B23" s="216" t="s">
        <v>4115</v>
      </c>
      <c r="C23" s="26" t="str">
        <f>IF(Controle_3&gt;0,"om de "&amp;Controle_3&amp;" uur","")</f>
        <v/>
      </c>
      <c r="E23" s="252" t="s">
        <v>4117</v>
      </c>
      <c r="F23" s="26" t="str">
        <f>IF(Controle_2&gt;0,"om de "&amp;Controle_2&amp;" uur","")</f>
        <v/>
      </c>
    </row>
    <row r="24" spans="1:10" ht="17.25" customHeight="1" x14ac:dyDescent="0.2">
      <c r="B24" s="216" t="s">
        <v>4118</v>
      </c>
      <c r="C24" s="26" t="str">
        <f>IF(Controle_6&gt;0,"om de "&amp;Controle_6&amp;" uur","")</f>
        <v/>
      </c>
      <c r="E24" s="252" t="s">
        <v>4116</v>
      </c>
      <c r="F24" s="26" t="str">
        <f>IF(Controle_8&gt;0,"om de "&amp;Controle_8&amp;" uur","")</f>
        <v/>
      </c>
    </row>
    <row r="25" spans="1:10" ht="18" customHeight="1" x14ac:dyDescent="0.2">
      <c r="A25" s="299">
        <v>6</v>
      </c>
      <c r="B25" s="434">
        <f>ber_Opm!C11</f>
        <v>0</v>
      </c>
      <c r="C25" s="429"/>
      <c r="D25" s="429"/>
      <c r="E25" s="429"/>
      <c r="F25" s="429"/>
      <c r="G25" s="302"/>
      <c r="H25" s="29"/>
    </row>
    <row r="26" spans="1:10" ht="17.25" customHeight="1" x14ac:dyDescent="0.2">
      <c r="B26" s="429"/>
      <c r="C26" s="429"/>
      <c r="D26" s="429"/>
      <c r="E26" s="429"/>
      <c r="F26" s="429"/>
      <c r="G26" s="302"/>
      <c r="H26" s="302"/>
      <c r="I26" s="302"/>
      <c r="J26" s="306"/>
    </row>
    <row r="27" spans="1:10" ht="17.25" customHeight="1" x14ac:dyDescent="0.2">
      <c r="B27" s="429"/>
      <c r="C27" s="429"/>
      <c r="D27" s="429"/>
      <c r="E27" s="429"/>
      <c r="F27" s="429"/>
      <c r="G27" s="302"/>
      <c r="H27" s="302"/>
      <c r="I27" s="302"/>
      <c r="J27" s="307"/>
    </row>
    <row r="28" spans="1:10" ht="20.100000000000001" customHeight="1" x14ac:dyDescent="0.2">
      <c r="B28" s="338"/>
      <c r="C28" s="339"/>
      <c r="D28" s="339"/>
      <c r="E28" s="339"/>
      <c r="F28" s="339"/>
      <c r="G28" s="339"/>
      <c r="H28" s="340"/>
      <c r="I28" s="340"/>
      <c r="J28" s="339"/>
    </row>
    <row r="29" spans="1:10" ht="20.100000000000001" customHeight="1" x14ac:dyDescent="0.2">
      <c r="B29" s="310" t="s">
        <v>132</v>
      </c>
      <c r="H29" s="306"/>
      <c r="I29" s="306"/>
      <c r="J29" s="306"/>
    </row>
    <row r="30" spans="1:10" ht="20.100000000000001" customHeight="1" x14ac:dyDescent="0.2"/>
    <row r="31" spans="1:10" ht="20.100000000000001" customHeight="1" x14ac:dyDescent="0.2">
      <c r="B31" s="216" t="s">
        <v>2545</v>
      </c>
      <c r="E31" s="216" t="s">
        <v>663</v>
      </c>
    </row>
    <row r="32" spans="1:10" ht="20.100000000000001" customHeight="1" x14ac:dyDescent="0.2"/>
    <row r="33" spans="2:3" x14ac:dyDescent="0.2">
      <c r="B33" s="216" t="s">
        <v>2893</v>
      </c>
      <c r="C33" s="308" t="str">
        <f>IF(ber_Infusen!O1&gt;1,ber_Infusen!R1&amp;" /min","")</f>
        <v/>
      </c>
    </row>
    <row r="34" spans="2:3" ht="17.25" customHeight="1" x14ac:dyDescent="0.2">
      <c r="C34" s="308"/>
    </row>
    <row r="35" spans="2:3" ht="17.25" customHeight="1" x14ac:dyDescent="0.2">
      <c r="B35" s="216" t="s">
        <v>664</v>
      </c>
      <c r="C35" s="308" t="str">
        <f>IF(ber_Infusen!O1&gt;1,ber_Infusen!R2&amp;" mA","")</f>
        <v/>
      </c>
    </row>
    <row r="36" spans="2:3" ht="17.25" customHeight="1" x14ac:dyDescent="0.2">
      <c r="B36" s="216" t="s">
        <v>665</v>
      </c>
      <c r="C36" s="308" t="str">
        <f>IF(ber_Infusen!O1&gt;1,ber_Infusen!R3&amp;" mA","")</f>
        <v/>
      </c>
    </row>
    <row r="37" spans="2:3" ht="17.25" customHeight="1" x14ac:dyDescent="0.2">
      <c r="C37" s="308"/>
    </row>
    <row r="38" spans="2:3" ht="17.25" customHeight="1" x14ac:dyDescent="0.2">
      <c r="B38" s="216" t="s">
        <v>666</v>
      </c>
      <c r="C38" s="308" t="str">
        <f>IF(ber_Infusen!O1&gt;1,ber_Infusen!R4&amp;" msec","")</f>
        <v/>
      </c>
    </row>
    <row r="39" spans="2:3" ht="17.25" customHeight="1" x14ac:dyDescent="0.2">
      <c r="C39" s="308"/>
    </row>
    <row r="40" spans="2:3" ht="17.25" customHeight="1" x14ac:dyDescent="0.2">
      <c r="B40" s="216" t="s">
        <v>667</v>
      </c>
      <c r="C40" s="308" t="str">
        <f>IF(ber_Infusen!O1&gt;1,ber_Infusen!R5/10&amp;" mV","")</f>
        <v/>
      </c>
    </row>
    <row r="41" spans="2:3" ht="17.25" customHeight="1" x14ac:dyDescent="0.2">
      <c r="B41" s="216" t="s">
        <v>668</v>
      </c>
      <c r="C41" s="308" t="str">
        <f>IF(ber_Infusen!O1&gt;1,ber_Infusen!R6/10&amp;" mV","")</f>
        <v/>
      </c>
    </row>
    <row r="42" spans="2:3" ht="17.25" customHeight="1" x14ac:dyDescent="0.2"/>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9525</xdr:colOff>
                    <xdr:row>7</xdr:row>
                    <xdr:rowOff>19050</xdr:rowOff>
                  </from>
                  <to>
                    <xdr:col>4</xdr:col>
                    <xdr:colOff>904875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9525</xdr:colOff>
                    <xdr:row>8</xdr:row>
                    <xdr:rowOff>19050</xdr:rowOff>
                  </from>
                  <to>
                    <xdr:col>4</xdr:col>
                    <xdr:colOff>904875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9525</xdr:colOff>
                    <xdr:row>9</xdr:row>
                    <xdr:rowOff>19050</xdr:rowOff>
                  </from>
                  <to>
                    <xdr:col>4</xdr:col>
                    <xdr:colOff>904875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9525</xdr:colOff>
                    <xdr:row>10</xdr:row>
                    <xdr:rowOff>19050</xdr:rowOff>
                  </from>
                  <to>
                    <xdr:col>4</xdr:col>
                    <xdr:colOff>904875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9525</xdr:colOff>
                    <xdr:row>11</xdr:row>
                    <xdr:rowOff>19050</xdr:rowOff>
                  </from>
                  <to>
                    <xdr:col>4</xdr:col>
                    <xdr:colOff>904875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9525</xdr:colOff>
                    <xdr:row>12</xdr:row>
                    <xdr:rowOff>19050</xdr:rowOff>
                  </from>
                  <to>
                    <xdr:col>4</xdr:col>
                    <xdr:colOff>904875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9525</xdr:colOff>
                    <xdr:row>18</xdr:row>
                    <xdr:rowOff>19050</xdr:rowOff>
                  </from>
                  <to>
                    <xdr:col>5</xdr:col>
                    <xdr:colOff>1200150</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9525</xdr:colOff>
                    <xdr:row>19</xdr:row>
                    <xdr:rowOff>19050</xdr:rowOff>
                  </from>
                  <to>
                    <xdr:col>5</xdr:col>
                    <xdr:colOff>1200150</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9525</xdr:colOff>
                    <xdr:row>20</xdr:row>
                    <xdr:rowOff>19050</xdr:rowOff>
                  </from>
                  <to>
                    <xdr:col>5</xdr:col>
                    <xdr:colOff>1200150</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9525</xdr:colOff>
                    <xdr:row>21</xdr:row>
                    <xdr:rowOff>19050</xdr:rowOff>
                  </from>
                  <to>
                    <xdr:col>5</xdr:col>
                    <xdr:colOff>1200150</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123825</xdr:colOff>
                    <xdr:row>2</xdr:row>
                    <xdr:rowOff>9525</xdr:rowOff>
                  </from>
                  <to>
                    <xdr:col>7</xdr:col>
                    <xdr:colOff>285750</xdr:colOff>
                    <xdr:row>2</xdr:row>
                    <xdr:rowOff>180975</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409575</xdr:colOff>
                    <xdr:row>2</xdr:row>
                    <xdr:rowOff>0</xdr:rowOff>
                  </from>
                  <to>
                    <xdr:col>9</xdr:col>
                    <xdr:colOff>571500</xdr:colOff>
                    <xdr:row>2</xdr:row>
                    <xdr:rowOff>171450</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9525</xdr:colOff>
                    <xdr:row>30</xdr:row>
                    <xdr:rowOff>19050</xdr:rowOff>
                  </from>
                  <to>
                    <xdr:col>3</xdr:col>
                    <xdr:colOff>476250</xdr:colOff>
                    <xdr:row>30</xdr:row>
                    <xdr:rowOff>219075</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9525</xdr:colOff>
                    <xdr:row>30</xdr:row>
                    <xdr:rowOff>19050</xdr:rowOff>
                  </from>
                  <to>
                    <xdr:col>6</xdr:col>
                    <xdr:colOff>409575</xdr:colOff>
                    <xdr:row>30</xdr:row>
                    <xdr:rowOff>219075</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990600</xdr:colOff>
                    <xdr:row>32</xdr:row>
                    <xdr:rowOff>28575</xdr:rowOff>
                  </from>
                  <to>
                    <xdr:col>3</xdr:col>
                    <xdr:colOff>0</xdr:colOff>
                    <xdr:row>33</xdr:row>
                    <xdr:rowOff>38100</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990600</xdr:colOff>
                    <xdr:row>34</xdr:row>
                    <xdr:rowOff>28575</xdr:rowOff>
                  </from>
                  <to>
                    <xdr:col>3</xdr:col>
                    <xdr:colOff>0</xdr:colOff>
                    <xdr:row>34</xdr:row>
                    <xdr:rowOff>200025</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990600</xdr:colOff>
                    <xdr:row>35</xdr:row>
                    <xdr:rowOff>28575</xdr:rowOff>
                  </from>
                  <to>
                    <xdr:col>3</xdr:col>
                    <xdr:colOff>0</xdr:colOff>
                    <xdr:row>35</xdr:row>
                    <xdr:rowOff>200025</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990600</xdr:colOff>
                    <xdr:row>37</xdr:row>
                    <xdr:rowOff>28575</xdr:rowOff>
                  </from>
                  <to>
                    <xdr:col>3</xdr:col>
                    <xdr:colOff>0</xdr:colOff>
                    <xdr:row>37</xdr:row>
                    <xdr:rowOff>200025</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990600</xdr:colOff>
                    <xdr:row>39</xdr:row>
                    <xdr:rowOff>28575</xdr:rowOff>
                  </from>
                  <to>
                    <xdr:col>3</xdr:col>
                    <xdr:colOff>0</xdr:colOff>
                    <xdr:row>39</xdr:row>
                    <xdr:rowOff>200025</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990600</xdr:colOff>
                    <xdr:row>40</xdr:row>
                    <xdr:rowOff>28575</xdr:rowOff>
                  </from>
                  <to>
                    <xdr:col>3</xdr:col>
                    <xdr:colOff>0</xdr:colOff>
                    <xdr:row>40</xdr:row>
                    <xdr:rowOff>200025</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66675</xdr:colOff>
                    <xdr:row>28</xdr:row>
                    <xdr:rowOff>104775</xdr:rowOff>
                  </from>
                  <to>
                    <xdr:col>2</xdr:col>
                    <xdr:colOff>742950</xdr:colOff>
                    <xdr:row>29</xdr:row>
                    <xdr:rowOff>47625</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990600</xdr:colOff>
                    <xdr:row>22</xdr:row>
                    <xdr:rowOff>28575</xdr:rowOff>
                  </from>
                  <to>
                    <xdr:col>3</xdr:col>
                    <xdr:colOff>0</xdr:colOff>
                    <xdr:row>22</xdr:row>
                    <xdr:rowOff>200025</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990600</xdr:colOff>
                    <xdr:row>23</xdr:row>
                    <xdr:rowOff>28575</xdr:rowOff>
                  </from>
                  <to>
                    <xdr:col>3</xdr:col>
                    <xdr:colOff>0</xdr:colOff>
                    <xdr:row>23</xdr:row>
                    <xdr:rowOff>200025</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990600</xdr:colOff>
                    <xdr:row>22</xdr:row>
                    <xdr:rowOff>28575</xdr:rowOff>
                  </from>
                  <to>
                    <xdr:col>5</xdr:col>
                    <xdr:colOff>1152525</xdr:colOff>
                    <xdr:row>22</xdr:row>
                    <xdr:rowOff>200025</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990600</xdr:colOff>
                    <xdr:row>23</xdr:row>
                    <xdr:rowOff>28575</xdr:rowOff>
                  </from>
                  <to>
                    <xdr:col>5</xdr:col>
                    <xdr:colOff>1152525</xdr:colOff>
                    <xdr:row>23</xdr:row>
                    <xdr:rowOff>200025</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381000</xdr:colOff>
                    <xdr:row>20</xdr:row>
                    <xdr:rowOff>28575</xdr:rowOff>
                  </from>
                  <to>
                    <xdr:col>8</xdr:col>
                    <xdr:colOff>76200</xdr:colOff>
                    <xdr:row>21</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75" x14ac:dyDescent="0.2"/>
  <cols>
    <col min="1" max="1" width="76.140625" customWidth="1"/>
    <col min="7" max="7" width="20" customWidth="1"/>
  </cols>
  <sheetData>
    <row r="1" spans="1:19" x14ac:dyDescent="0.2">
      <c r="A1" s="3"/>
      <c r="G1" s="8" t="s">
        <v>1300</v>
      </c>
      <c r="L1">
        <v>1</v>
      </c>
      <c r="M1">
        <v>1</v>
      </c>
      <c r="Q1" t="s">
        <v>2544</v>
      </c>
      <c r="S1">
        <v>70</v>
      </c>
    </row>
    <row r="2" spans="1:19" x14ac:dyDescent="0.2">
      <c r="A2" s="11" t="s">
        <v>1776</v>
      </c>
      <c r="D2">
        <v>1</v>
      </c>
      <c r="E2">
        <v>1</v>
      </c>
      <c r="G2" s="8" t="s">
        <v>1301</v>
      </c>
      <c r="J2" t="s">
        <v>4121</v>
      </c>
      <c r="L2">
        <v>2</v>
      </c>
      <c r="M2">
        <v>1</v>
      </c>
      <c r="Q2" t="s">
        <v>2540</v>
      </c>
      <c r="S2">
        <v>10</v>
      </c>
    </row>
    <row r="3" spans="1:19" x14ac:dyDescent="0.2">
      <c r="A3" s="11" t="s">
        <v>2106</v>
      </c>
      <c r="B3">
        <v>12</v>
      </c>
      <c r="C3">
        <f>B3*0.155</f>
        <v>1.8599999999999999</v>
      </c>
      <c r="D3">
        <v>2</v>
      </c>
      <c r="E3">
        <v>1</v>
      </c>
      <c r="G3" s="9" t="s">
        <v>2829</v>
      </c>
      <c r="J3" t="s">
        <v>4122</v>
      </c>
      <c r="L3">
        <v>3</v>
      </c>
      <c r="M3">
        <v>1</v>
      </c>
      <c r="O3" t="s">
        <v>3649</v>
      </c>
      <c r="P3" t="s">
        <v>2537</v>
      </c>
      <c r="Q3" t="s">
        <v>2541</v>
      </c>
      <c r="S3">
        <v>10</v>
      </c>
    </row>
    <row r="4" spans="1:19" x14ac:dyDescent="0.2">
      <c r="A4" s="11" t="s">
        <v>3560</v>
      </c>
      <c r="B4">
        <v>72</v>
      </c>
      <c r="C4">
        <f>B4*0.155</f>
        <v>11.16</v>
      </c>
      <c r="D4">
        <v>3</v>
      </c>
      <c r="E4">
        <v>1</v>
      </c>
      <c r="G4" s="8" t="s">
        <v>2830</v>
      </c>
      <c r="J4" t="s">
        <v>4108</v>
      </c>
      <c r="L4">
        <v>4</v>
      </c>
      <c r="M4">
        <v>1</v>
      </c>
      <c r="O4" t="s">
        <v>2535</v>
      </c>
      <c r="P4" t="s">
        <v>2538</v>
      </c>
      <c r="Q4" t="s">
        <v>2542</v>
      </c>
      <c r="S4">
        <v>170</v>
      </c>
    </row>
    <row r="5" spans="1:19" x14ac:dyDescent="0.2">
      <c r="A5" s="11" t="s">
        <v>3561</v>
      </c>
      <c r="B5">
        <v>12</v>
      </c>
      <c r="C5">
        <f>B5*0.155</f>
        <v>1.8599999999999999</v>
      </c>
      <c r="D5">
        <v>4</v>
      </c>
      <c r="E5">
        <v>1</v>
      </c>
      <c r="G5" s="8" t="s">
        <v>2831</v>
      </c>
      <c r="J5" t="s">
        <v>4105</v>
      </c>
      <c r="L5">
        <v>5</v>
      </c>
      <c r="M5">
        <v>1</v>
      </c>
      <c r="O5" t="s">
        <v>2536</v>
      </c>
      <c r="P5" t="s">
        <v>2539</v>
      </c>
      <c r="Q5" t="s">
        <v>2543</v>
      </c>
      <c r="S5">
        <v>20</v>
      </c>
    </row>
    <row r="6" spans="1:19" x14ac:dyDescent="0.2">
      <c r="A6" s="11" t="s">
        <v>1296</v>
      </c>
      <c r="B6">
        <v>72</v>
      </c>
      <c r="C6">
        <f>B6*0.155</f>
        <v>11.16</v>
      </c>
      <c r="D6">
        <v>5</v>
      </c>
      <c r="E6">
        <v>1</v>
      </c>
      <c r="G6" s="9" t="s">
        <v>2832</v>
      </c>
      <c r="J6" t="s">
        <v>376</v>
      </c>
      <c r="L6">
        <v>6</v>
      </c>
      <c r="M6">
        <v>1</v>
      </c>
      <c r="Q6" t="s">
        <v>2982</v>
      </c>
      <c r="S6">
        <v>20</v>
      </c>
    </row>
    <row r="7" spans="1:19" x14ac:dyDescent="0.2">
      <c r="A7" s="11" t="s">
        <v>1297</v>
      </c>
      <c r="D7">
        <v>6</v>
      </c>
      <c r="E7">
        <v>1</v>
      </c>
      <c r="G7" s="8" t="s">
        <v>2833</v>
      </c>
      <c r="J7" t="s">
        <v>4101</v>
      </c>
    </row>
    <row r="8" spans="1:19" x14ac:dyDescent="0.2">
      <c r="A8" s="11" t="s">
        <v>425</v>
      </c>
      <c r="B8">
        <v>12</v>
      </c>
      <c r="C8">
        <f>B8*0.155</f>
        <v>1.8599999999999999</v>
      </c>
      <c r="G8" s="9" t="s">
        <v>2834</v>
      </c>
      <c r="J8" t="s">
        <v>4102</v>
      </c>
      <c r="O8" t="s">
        <v>2696</v>
      </c>
      <c r="P8" t="b">
        <v>1</v>
      </c>
    </row>
    <row r="9" spans="1:19" x14ac:dyDescent="0.2">
      <c r="A9" s="11" t="s">
        <v>426</v>
      </c>
      <c r="B9">
        <v>72</v>
      </c>
      <c r="C9">
        <f>B9*0.155</f>
        <v>11.16</v>
      </c>
      <c r="G9" s="9" t="s">
        <v>2835</v>
      </c>
      <c r="J9" t="s">
        <v>3176</v>
      </c>
    </row>
    <row r="10" spans="1:19" x14ac:dyDescent="0.2">
      <c r="A10" s="11" t="s">
        <v>947</v>
      </c>
      <c r="G10" s="9" t="s">
        <v>1558</v>
      </c>
      <c r="J10" t="s">
        <v>4111</v>
      </c>
    </row>
    <row r="11" spans="1:19" x14ac:dyDescent="0.2">
      <c r="A11" s="11" t="s">
        <v>4157</v>
      </c>
      <c r="J11" t="s">
        <v>4110</v>
      </c>
    </row>
    <row r="12" spans="1:19" x14ac:dyDescent="0.2">
      <c r="A12" s="11" t="s">
        <v>4158</v>
      </c>
      <c r="J12" t="s">
        <v>4100</v>
      </c>
    </row>
    <row r="13" spans="1:19" x14ac:dyDescent="0.2">
      <c r="A13" s="11" t="s">
        <v>3399</v>
      </c>
      <c r="G13" s="9"/>
      <c r="J13" t="s">
        <v>4112</v>
      </c>
    </row>
    <row r="14" spans="1:19" x14ac:dyDescent="0.2">
      <c r="A14" s="11" t="s">
        <v>3400</v>
      </c>
      <c r="G14" s="9"/>
      <c r="J14" t="s">
        <v>4120</v>
      </c>
    </row>
    <row r="15" spans="1:19" x14ac:dyDescent="0.2">
      <c r="A15" s="11" t="s">
        <v>1298</v>
      </c>
      <c r="G15" s="9" t="s">
        <v>1559</v>
      </c>
      <c r="H15">
        <v>8</v>
      </c>
      <c r="J15" t="s">
        <v>4109</v>
      </c>
    </row>
    <row r="16" spans="1:19" x14ac:dyDescent="0.2">
      <c r="A16" s="11" t="s">
        <v>427</v>
      </c>
      <c r="B16">
        <v>12</v>
      </c>
      <c r="C16">
        <f>B16*0.155</f>
        <v>1.8599999999999999</v>
      </c>
      <c r="G16" s="9" t="s">
        <v>1560</v>
      </c>
      <c r="H16">
        <v>3</v>
      </c>
      <c r="J16" t="s">
        <v>4103</v>
      </c>
    </row>
    <row r="17" spans="1:10" x14ac:dyDescent="0.2">
      <c r="A17" s="11" t="s">
        <v>428</v>
      </c>
      <c r="B17">
        <v>72</v>
      </c>
      <c r="C17">
        <f>B17*0.155</f>
        <v>11.16</v>
      </c>
      <c r="J17" t="s">
        <v>4107</v>
      </c>
    </row>
    <row r="18" spans="1:10" x14ac:dyDescent="0.2">
      <c r="A18" s="11" t="s">
        <v>1986</v>
      </c>
      <c r="J18" t="s">
        <v>4106</v>
      </c>
    </row>
    <row r="19" spans="1:10" x14ac:dyDescent="0.2">
      <c r="A19" s="11" t="s">
        <v>4157</v>
      </c>
      <c r="J19" t="s">
        <v>4119</v>
      </c>
    </row>
    <row r="20" spans="1:10" x14ac:dyDescent="0.2">
      <c r="A20" s="11" t="s">
        <v>4158</v>
      </c>
      <c r="J20" t="s">
        <v>4104</v>
      </c>
    </row>
    <row r="21" spans="1:10" x14ac:dyDescent="0.2">
      <c r="A21" s="11" t="s">
        <v>3401</v>
      </c>
      <c r="J21" t="s">
        <v>4123</v>
      </c>
    </row>
    <row r="22" spans="1:10" x14ac:dyDescent="0.2">
      <c r="A22" s="11" t="s">
        <v>3145</v>
      </c>
      <c r="J22" t="s">
        <v>3491</v>
      </c>
    </row>
    <row r="23" spans="1:10" x14ac:dyDescent="0.2">
      <c r="A23" s="11" t="s">
        <v>1775</v>
      </c>
      <c r="J23" t="s">
        <v>4113</v>
      </c>
    </row>
    <row r="24" spans="1:10" x14ac:dyDescent="0.2">
      <c r="A24" s="11" t="s">
        <v>3146</v>
      </c>
      <c r="J24" t="s">
        <v>3492</v>
      </c>
    </row>
    <row r="25" spans="1:10" x14ac:dyDescent="0.2">
      <c r="A25" s="11" t="s">
        <v>3008</v>
      </c>
      <c r="J25" t="s">
        <v>4114</v>
      </c>
    </row>
    <row r="26" spans="1:10" x14ac:dyDescent="0.2">
      <c r="A26" s="11" t="s">
        <v>4959</v>
      </c>
      <c r="J26" t="s">
        <v>3493</v>
      </c>
    </row>
    <row r="27" spans="1:10" x14ac:dyDescent="0.2">
      <c r="A27" s="11" t="s">
        <v>3901</v>
      </c>
      <c r="J27" t="s">
        <v>3494</v>
      </c>
    </row>
    <row r="28" spans="1:10" x14ac:dyDescent="0.2">
      <c r="A28" s="11" t="s">
        <v>3899</v>
      </c>
      <c r="J28" t="s">
        <v>3495</v>
      </c>
    </row>
    <row r="29" spans="1:10" x14ac:dyDescent="0.2">
      <c r="A29" s="11" t="s">
        <v>3900</v>
      </c>
      <c r="J29" t="s">
        <v>943</v>
      </c>
    </row>
    <row r="30" spans="1:10" x14ac:dyDescent="0.2">
      <c r="A30" s="11" t="s">
        <v>4960</v>
      </c>
      <c r="J30" t="s">
        <v>375</v>
      </c>
    </row>
    <row r="31" spans="1:10" x14ac:dyDescent="0.2">
      <c r="A31" s="11" t="s">
        <v>4213</v>
      </c>
      <c r="J31" t="s">
        <v>131</v>
      </c>
    </row>
    <row r="32" spans="1:10" x14ac:dyDescent="0.2">
      <c r="A32" s="11" t="s">
        <v>4214</v>
      </c>
    </row>
    <row r="33" spans="1:1" x14ac:dyDescent="0.2">
      <c r="A33" s="11" t="s">
        <v>4215</v>
      </c>
    </row>
    <row r="34" spans="1:1" x14ac:dyDescent="0.2">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75" x14ac:dyDescent="0.2"/>
  <sheetData>
    <row r="1" spans="1:2" x14ac:dyDescent="0.2">
      <c r="A1">
        <v>1</v>
      </c>
      <c r="B1">
        <v>30</v>
      </c>
    </row>
    <row r="2" spans="1:2" x14ac:dyDescent="0.2">
      <c r="A2">
        <v>2</v>
      </c>
      <c r="B2">
        <v>60</v>
      </c>
    </row>
    <row r="3" spans="1:2" x14ac:dyDescent="0.2">
      <c r="A3">
        <v>3</v>
      </c>
      <c r="B3">
        <v>90</v>
      </c>
    </row>
    <row r="4" spans="1:2" x14ac:dyDescent="0.2">
      <c r="A4">
        <v>4</v>
      </c>
      <c r="B4">
        <v>110</v>
      </c>
    </row>
    <row r="5" spans="1:2" x14ac:dyDescent="0.2">
      <c r="A5">
        <v>5</v>
      </c>
      <c r="B5">
        <v>150</v>
      </c>
    </row>
    <row r="7" spans="1:2" x14ac:dyDescent="0.2">
      <c r="A7">
        <v>2</v>
      </c>
      <c r="B7">
        <v>150</v>
      </c>
    </row>
    <row r="8" spans="1:2" x14ac:dyDescent="0.2">
      <c r="A8">
        <v>3</v>
      </c>
      <c r="B8">
        <v>150</v>
      </c>
    </row>
    <row r="9" spans="1:2" x14ac:dyDescent="0.2">
      <c r="A9">
        <v>4</v>
      </c>
      <c r="B9">
        <v>150</v>
      </c>
    </row>
    <row r="10" spans="1:2" x14ac:dyDescent="0.2">
      <c r="A10">
        <v>5</v>
      </c>
      <c r="B10">
        <v>125</v>
      </c>
    </row>
    <row r="11" spans="1:2" x14ac:dyDescent="0.2">
      <c r="A11">
        <v>6</v>
      </c>
      <c r="B11">
        <v>125</v>
      </c>
    </row>
    <row r="12" spans="1:2" x14ac:dyDescent="0.2">
      <c r="A12">
        <v>7</v>
      </c>
      <c r="B12">
        <v>125</v>
      </c>
    </row>
    <row r="13" spans="1:2" x14ac:dyDescent="0.2">
      <c r="A13">
        <v>8</v>
      </c>
      <c r="B13">
        <v>100</v>
      </c>
    </row>
    <row r="14" spans="1:2" x14ac:dyDescent="0.2">
      <c r="A14">
        <v>9</v>
      </c>
      <c r="B14">
        <v>100</v>
      </c>
    </row>
    <row r="15" spans="1:2" x14ac:dyDescent="0.2">
      <c r="A15">
        <v>10</v>
      </c>
      <c r="B15">
        <v>100</v>
      </c>
    </row>
    <row r="17" spans="1:6" x14ac:dyDescent="0.2">
      <c r="A17" t="s">
        <v>3501</v>
      </c>
      <c r="E17" t="s">
        <v>3502</v>
      </c>
      <c r="F17" s="23">
        <f ca="1">TODAY()-GebDatum+1</f>
        <v>1277</v>
      </c>
    </row>
    <row r="18" spans="1:6" x14ac:dyDescent="0.2">
      <c r="A18" s="24">
        <f ca="1">IF(F17&lt;6,VLOOKUP(F17,A1:B5,2),IF(F18&lt;6,150,IF(F18&lt;8,125,IF(F18&lt;10,100,IF(F18&lt;20,(1000+(F18-10)*50)/F18,IF(F18&lt;30,(1500+(F18-20)*20)/F18,(1700+(F18-30)*10)/F18))))))</f>
        <v>100</v>
      </c>
      <c r="E18" t="s">
        <v>3503</v>
      </c>
      <c r="F18">
        <f>Gewicht/10</f>
        <v>10</v>
      </c>
    </row>
    <row r="20" spans="1:6" x14ac:dyDescent="0.2">
      <c r="A20" t="s">
        <v>1275</v>
      </c>
    </row>
    <row r="21" spans="1:6" x14ac:dyDescent="0.2">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RowHeight="12.75" x14ac:dyDescent="0.2"/>
  <cols>
    <col min="1" max="1" width="36.7109375" style="37" customWidth="1"/>
    <col min="2" max="3" width="9.140625" style="37"/>
    <col min="4" max="4" width="18.42578125" style="37" customWidth="1"/>
    <col min="5" max="6" width="9.140625" style="37"/>
    <col min="7" max="7" width="30.140625" style="37" customWidth="1"/>
    <col min="8" max="16384" width="9.140625" style="37"/>
  </cols>
  <sheetData>
    <row r="1" spans="1:8" ht="25.5" x14ac:dyDescent="0.2">
      <c r="A1" s="37" t="s">
        <v>3033</v>
      </c>
      <c r="B1" s="37" t="s">
        <v>2435</v>
      </c>
      <c r="C1" s="37" t="s">
        <v>2436</v>
      </c>
      <c r="D1" s="37" t="s">
        <v>982</v>
      </c>
      <c r="E1" s="37" t="s">
        <v>2437</v>
      </c>
      <c r="G1" s="106" t="s">
        <v>2174</v>
      </c>
      <c r="H1" s="106" t="s">
        <v>1255</v>
      </c>
    </row>
    <row r="2" spans="1:8" ht="25.5" x14ac:dyDescent="0.2">
      <c r="G2" s="106" t="s">
        <v>173</v>
      </c>
      <c r="H2" s="106" t="s">
        <v>619</v>
      </c>
    </row>
    <row r="3" spans="1:8" ht="25.5" x14ac:dyDescent="0.2">
      <c r="G3" s="106" t="s">
        <v>174</v>
      </c>
      <c r="H3" s="106" t="s">
        <v>620</v>
      </c>
    </row>
    <row r="4" spans="1:8" ht="25.5" x14ac:dyDescent="0.2">
      <c r="G4" s="106" t="s">
        <v>175</v>
      </c>
      <c r="H4" s="106" t="s">
        <v>621</v>
      </c>
    </row>
    <row r="5" spans="1:8" ht="25.5" x14ac:dyDescent="0.2">
      <c r="G5" s="106" t="s">
        <v>1196</v>
      </c>
      <c r="H5" s="106" t="s">
        <v>622</v>
      </c>
    </row>
    <row r="6" spans="1:8" ht="25.5" x14ac:dyDescent="0.2">
      <c r="G6" s="106" t="s">
        <v>1197</v>
      </c>
      <c r="H6" s="106" t="s">
        <v>623</v>
      </c>
    </row>
    <row r="7" spans="1:8" ht="25.5" x14ac:dyDescent="0.2">
      <c r="G7" s="106" t="s">
        <v>1198</v>
      </c>
      <c r="H7" s="106" t="s">
        <v>624</v>
      </c>
    </row>
    <row r="8" spans="1:8" ht="25.5" x14ac:dyDescent="0.2">
      <c r="G8" s="106" t="s">
        <v>3819</v>
      </c>
      <c r="H8" s="106" t="s">
        <v>625</v>
      </c>
    </row>
    <row r="9" spans="1:8" ht="25.5" x14ac:dyDescent="0.2">
      <c r="G9" s="106" t="s">
        <v>3820</v>
      </c>
      <c r="H9" s="106" t="s">
        <v>626</v>
      </c>
    </row>
    <row r="10" spans="1:8" ht="25.5" x14ac:dyDescent="0.2">
      <c r="G10" s="106" t="s">
        <v>3821</v>
      </c>
      <c r="H10" s="106" t="s">
        <v>627</v>
      </c>
    </row>
    <row r="11" spans="1:8" ht="25.5" x14ac:dyDescent="0.2">
      <c r="G11" s="106" t="s">
        <v>3822</v>
      </c>
      <c r="H11" s="106" t="s">
        <v>628</v>
      </c>
    </row>
    <row r="12" spans="1:8" ht="25.5" x14ac:dyDescent="0.2">
      <c r="G12" s="106" t="s">
        <v>3823</v>
      </c>
      <c r="H12" s="106" t="s">
        <v>629</v>
      </c>
    </row>
    <row r="13" spans="1:8" ht="25.5" x14ac:dyDescent="0.2">
      <c r="G13" s="106" t="s">
        <v>3824</v>
      </c>
      <c r="H13" s="106" t="s">
        <v>630</v>
      </c>
    </row>
    <row r="14" spans="1:8" ht="25.5" x14ac:dyDescent="0.2">
      <c r="G14" s="106" t="s">
        <v>3825</v>
      </c>
      <c r="H14" s="106" t="s">
        <v>3964</v>
      </c>
    </row>
    <row r="15" spans="1:8" ht="25.5" x14ac:dyDescent="0.2">
      <c r="G15" s="106" t="s">
        <v>3826</v>
      </c>
      <c r="H15" s="106" t="s">
        <v>3965</v>
      </c>
    </row>
    <row r="16" spans="1:8" ht="25.5" x14ac:dyDescent="0.2">
      <c r="G16" s="106" t="s">
        <v>3827</v>
      </c>
      <c r="H16" s="106" t="s">
        <v>3966</v>
      </c>
    </row>
    <row r="17" spans="7:8" ht="25.5" x14ac:dyDescent="0.2">
      <c r="G17" s="106" t="s">
        <v>2172</v>
      </c>
      <c r="H17" s="106" t="s">
        <v>3967</v>
      </c>
    </row>
    <row r="18" spans="7:8" ht="25.5" x14ac:dyDescent="0.2">
      <c r="G18" s="106" t="s">
        <v>2687</v>
      </c>
      <c r="H18" s="106" t="s">
        <v>591</v>
      </c>
    </row>
    <row r="19" spans="7:8" ht="25.5" x14ac:dyDescent="0.2">
      <c r="G19" s="106" t="s">
        <v>1173</v>
      </c>
      <c r="H19" s="106" t="s">
        <v>2862</v>
      </c>
    </row>
    <row r="20" spans="7:8" ht="25.5" x14ac:dyDescent="0.2">
      <c r="G20" s="106" t="s">
        <v>2863</v>
      </c>
      <c r="H20" s="106" t="s">
        <v>2864</v>
      </c>
    </row>
    <row r="21" spans="7:8" ht="25.5" x14ac:dyDescent="0.2">
      <c r="G21" s="106" t="s">
        <v>3719</v>
      </c>
      <c r="H21" s="106" t="s">
        <v>2865</v>
      </c>
    </row>
    <row r="22" spans="7:8" ht="25.5" x14ac:dyDescent="0.2">
      <c r="G22" s="106" t="s">
        <v>3720</v>
      </c>
      <c r="H22" s="106" t="s">
        <v>3915</v>
      </c>
    </row>
    <row r="23" spans="7:8" ht="25.5" x14ac:dyDescent="0.2">
      <c r="G23" s="106" t="s">
        <v>2130</v>
      </c>
      <c r="H23" s="106" t="s">
        <v>3916</v>
      </c>
    </row>
    <row r="24" spans="7:8" ht="25.5" x14ac:dyDescent="0.2">
      <c r="G24" s="106" t="s">
        <v>3917</v>
      </c>
      <c r="H24" s="106" t="s">
        <v>3918</v>
      </c>
    </row>
    <row r="25" spans="7:8" ht="38.25" x14ac:dyDescent="0.2">
      <c r="G25" s="106" t="s">
        <v>3520</v>
      </c>
      <c r="H25" s="106" t="s">
        <v>3521</v>
      </c>
    </row>
    <row r="26" spans="7:8" ht="25.5" x14ac:dyDescent="0.2">
      <c r="G26" s="106" t="s">
        <v>3522</v>
      </c>
      <c r="H26" s="106" t="s">
        <v>3523</v>
      </c>
    </row>
    <row r="27" spans="7:8" ht="25.5" x14ac:dyDescent="0.2">
      <c r="G27" s="106" t="s">
        <v>3524</v>
      </c>
      <c r="H27" s="106" t="s">
        <v>3525</v>
      </c>
    </row>
    <row r="28" spans="7:8" ht="25.5" x14ac:dyDescent="0.2">
      <c r="G28" s="106" t="s">
        <v>3526</v>
      </c>
      <c r="H28" s="106" t="s">
        <v>3631</v>
      </c>
    </row>
    <row r="29" spans="7:8" ht="25.5" x14ac:dyDescent="0.2">
      <c r="G29" s="106" t="s">
        <v>3632</v>
      </c>
      <c r="H29" s="106" t="s">
        <v>3633</v>
      </c>
    </row>
    <row r="30" spans="7:8" ht="25.5" x14ac:dyDescent="0.2">
      <c r="G30" s="106" t="s">
        <v>3634</v>
      </c>
      <c r="H30" s="106" t="s">
        <v>3635</v>
      </c>
    </row>
    <row r="31" spans="7:8" ht="25.5" x14ac:dyDescent="0.2">
      <c r="G31" s="106" t="s">
        <v>3683</v>
      </c>
      <c r="H31" s="106" t="s">
        <v>3684</v>
      </c>
    </row>
    <row r="32" spans="7:8" ht="25.5" x14ac:dyDescent="0.2">
      <c r="G32" s="106" t="s">
        <v>3685</v>
      </c>
      <c r="H32" s="106" t="s">
        <v>3686</v>
      </c>
    </row>
    <row r="33" spans="7:8" ht="25.5" x14ac:dyDescent="0.2">
      <c r="G33" s="106" t="s">
        <v>3687</v>
      </c>
      <c r="H33" s="106" t="s">
        <v>3688</v>
      </c>
    </row>
    <row r="34" spans="7:8" ht="38.25" x14ac:dyDescent="0.2">
      <c r="G34" s="106" t="s">
        <v>3689</v>
      </c>
      <c r="H34" s="106" t="s">
        <v>3690</v>
      </c>
    </row>
    <row r="35" spans="7:8" ht="25.5" x14ac:dyDescent="0.2">
      <c r="G35" s="106" t="s">
        <v>3640</v>
      </c>
      <c r="H35" s="106" t="s">
        <v>3691</v>
      </c>
    </row>
    <row r="36" spans="7:8" ht="25.5" x14ac:dyDescent="0.2">
      <c r="G36" s="106" t="s">
        <v>3645</v>
      </c>
      <c r="H36" s="106" t="s">
        <v>1733</v>
      </c>
    </row>
    <row r="37" spans="7:8" ht="38.25" x14ac:dyDescent="0.2">
      <c r="G37" s="106" t="s">
        <v>460</v>
      </c>
      <c r="H37" s="106" t="s">
        <v>1734</v>
      </c>
    </row>
    <row r="38" spans="7:8" ht="38.25" x14ac:dyDescent="0.2">
      <c r="G38" s="106" t="s">
        <v>461</v>
      </c>
      <c r="H38" s="106" t="s">
        <v>1735</v>
      </c>
    </row>
    <row r="39" spans="7:8" ht="38.25" x14ac:dyDescent="0.2">
      <c r="G39" s="106" t="s">
        <v>462</v>
      </c>
      <c r="H39" s="106" t="s">
        <v>2689</v>
      </c>
    </row>
    <row r="40" spans="7:8" ht="38.25" x14ac:dyDescent="0.2">
      <c r="G40" s="106" t="s">
        <v>463</v>
      </c>
      <c r="H40" s="106" t="s">
        <v>2690</v>
      </c>
    </row>
    <row r="41" spans="7:8" ht="38.25" x14ac:dyDescent="0.2">
      <c r="G41" s="106" t="s">
        <v>65</v>
      </c>
      <c r="H41" s="106" t="s">
        <v>2691</v>
      </c>
    </row>
    <row r="42" spans="7:8" ht="38.25" x14ac:dyDescent="0.2">
      <c r="G42" s="106" t="s">
        <v>66</v>
      </c>
      <c r="H42" s="106" t="s">
        <v>685</v>
      </c>
    </row>
    <row r="43" spans="7:8" ht="38.25" x14ac:dyDescent="0.2">
      <c r="G43" s="106" t="s">
        <v>3428</v>
      </c>
      <c r="H43" s="106" t="s">
        <v>1863</v>
      </c>
    </row>
    <row r="44" spans="7:8" ht="38.25" x14ac:dyDescent="0.2">
      <c r="G44" s="106" t="s">
        <v>3429</v>
      </c>
      <c r="H44" s="106" t="s">
        <v>1864</v>
      </c>
    </row>
    <row r="45" spans="7:8" ht="38.25" x14ac:dyDescent="0.2">
      <c r="G45" s="106" t="s">
        <v>3430</v>
      </c>
      <c r="H45" s="106" t="s">
        <v>1781</v>
      </c>
    </row>
    <row r="46" spans="7:8" ht="38.25" x14ac:dyDescent="0.2">
      <c r="G46" s="106" t="s">
        <v>3431</v>
      </c>
      <c r="H46" s="106" t="s">
        <v>1782</v>
      </c>
    </row>
    <row r="47" spans="7:8" ht="38.25" x14ac:dyDescent="0.2">
      <c r="G47" s="106" t="s">
        <v>2194</v>
      </c>
      <c r="H47" s="106" t="s">
        <v>1783</v>
      </c>
    </row>
    <row r="48" spans="7:8" ht="38.25" x14ac:dyDescent="0.2">
      <c r="G48" s="106" t="s">
        <v>2195</v>
      </c>
      <c r="H48" s="106" t="s">
        <v>1784</v>
      </c>
    </row>
    <row r="49" spans="7:8" ht="38.25" x14ac:dyDescent="0.2">
      <c r="G49" s="106" t="s">
        <v>2196</v>
      </c>
      <c r="H49" s="106" t="s">
        <v>1785</v>
      </c>
    </row>
    <row r="50" spans="7:8" ht="38.25" x14ac:dyDescent="0.2">
      <c r="G50" s="106" t="s">
        <v>2197</v>
      </c>
      <c r="H50" s="106" t="s">
        <v>1786</v>
      </c>
    </row>
    <row r="51" spans="7:8" ht="38.25" x14ac:dyDescent="0.2">
      <c r="G51" s="106" t="s">
        <v>367</v>
      </c>
      <c r="H51" s="106" t="s">
        <v>4153</v>
      </c>
    </row>
    <row r="52" spans="7:8" ht="38.25" x14ac:dyDescent="0.2">
      <c r="G52" s="106" t="s">
        <v>368</v>
      </c>
      <c r="H52" s="106" t="s">
        <v>4154</v>
      </c>
    </row>
    <row r="53" spans="7:8" ht="38.25" x14ac:dyDescent="0.2">
      <c r="G53" s="106" t="s">
        <v>369</v>
      </c>
      <c r="H53" s="106" t="s">
        <v>4155</v>
      </c>
    </row>
    <row r="54" spans="7:8" ht="38.25" x14ac:dyDescent="0.2">
      <c r="G54" s="106" t="s">
        <v>370</v>
      </c>
      <c r="H54" s="106" t="s">
        <v>1935</v>
      </c>
    </row>
    <row r="55" spans="7:8" ht="38.25" x14ac:dyDescent="0.2">
      <c r="G55" s="106" t="s">
        <v>371</v>
      </c>
      <c r="H55" s="106" t="s">
        <v>1936</v>
      </c>
    </row>
    <row r="56" spans="7:8" ht="38.25" x14ac:dyDescent="0.2">
      <c r="G56" s="106" t="s">
        <v>846</v>
      </c>
      <c r="H56" s="106" t="s">
        <v>1937</v>
      </c>
    </row>
    <row r="57" spans="7:8" ht="25.5" x14ac:dyDescent="0.2">
      <c r="G57" s="106" t="s">
        <v>3637</v>
      </c>
      <c r="H57" s="106" t="s">
        <v>1938</v>
      </c>
    </row>
    <row r="58" spans="7:8" ht="25.5" x14ac:dyDescent="0.2">
      <c r="G58" s="106" t="s">
        <v>3644</v>
      </c>
      <c r="H58" s="106" t="s">
        <v>1939</v>
      </c>
    </row>
    <row r="59" spans="7:8" ht="25.5" x14ac:dyDescent="0.2">
      <c r="G59" s="106" t="s">
        <v>1350</v>
      </c>
      <c r="H59" s="106" t="s">
        <v>1940</v>
      </c>
    </row>
    <row r="60" spans="7:8" ht="38.25" x14ac:dyDescent="0.2">
      <c r="G60" s="106" t="s">
        <v>847</v>
      </c>
      <c r="H60" s="106" t="s">
        <v>1941</v>
      </c>
    </row>
    <row r="61" spans="7:8" ht="38.25" x14ac:dyDescent="0.2">
      <c r="G61" s="106" t="s">
        <v>848</v>
      </c>
      <c r="H61" s="106" t="s">
        <v>1942</v>
      </c>
    </row>
    <row r="62" spans="7:8" ht="38.25" x14ac:dyDescent="0.2">
      <c r="G62" s="106" t="s">
        <v>849</v>
      </c>
      <c r="H62" s="106" t="s">
        <v>1943</v>
      </c>
    </row>
    <row r="63" spans="7:8" ht="38.25" x14ac:dyDescent="0.2">
      <c r="G63" s="106" t="s">
        <v>850</v>
      </c>
      <c r="H63" s="106" t="s">
        <v>1944</v>
      </c>
    </row>
    <row r="64" spans="7:8" ht="38.25" x14ac:dyDescent="0.2">
      <c r="G64" s="106" t="s">
        <v>851</v>
      </c>
      <c r="H64" s="106" t="s">
        <v>1945</v>
      </c>
    </row>
    <row r="65" spans="7:8" ht="38.25" x14ac:dyDescent="0.2">
      <c r="G65" s="106" t="s">
        <v>852</v>
      </c>
      <c r="H65" s="106" t="s">
        <v>1946</v>
      </c>
    </row>
    <row r="66" spans="7:8" ht="38.25" x14ac:dyDescent="0.2">
      <c r="G66" s="106" t="s">
        <v>853</v>
      </c>
      <c r="H66" s="106" t="s">
        <v>3456</v>
      </c>
    </row>
    <row r="67" spans="7:8" ht="38.25" x14ac:dyDescent="0.2">
      <c r="G67" s="106" t="s">
        <v>854</v>
      </c>
      <c r="H67" s="106" t="s">
        <v>3457</v>
      </c>
    </row>
    <row r="68" spans="7:8" ht="38.25" x14ac:dyDescent="0.2">
      <c r="G68" s="106" t="s">
        <v>855</v>
      </c>
      <c r="H68" s="106" t="s">
        <v>3458</v>
      </c>
    </row>
    <row r="69" spans="7:8" ht="38.25" x14ac:dyDescent="0.2">
      <c r="G69" s="106" t="s">
        <v>856</v>
      </c>
      <c r="H69" s="106" t="s">
        <v>3459</v>
      </c>
    </row>
    <row r="70" spans="7:8" ht="38.25" x14ac:dyDescent="0.2">
      <c r="G70" s="106" t="s">
        <v>857</v>
      </c>
      <c r="H70" s="106" t="s">
        <v>3460</v>
      </c>
    </row>
    <row r="71" spans="7:8" ht="38.25" x14ac:dyDescent="0.2">
      <c r="G71" s="106" t="s">
        <v>858</v>
      </c>
      <c r="H71" s="106" t="s">
        <v>4141</v>
      </c>
    </row>
    <row r="72" spans="7:8" ht="38.25" x14ac:dyDescent="0.2">
      <c r="G72" s="106" t="s">
        <v>859</v>
      </c>
      <c r="H72" s="106" t="s">
        <v>4142</v>
      </c>
    </row>
    <row r="73" spans="7:8" ht="38.25" x14ac:dyDescent="0.2">
      <c r="G73" s="106" t="s">
        <v>860</v>
      </c>
      <c r="H73" s="106" t="s">
        <v>4143</v>
      </c>
    </row>
    <row r="74" spans="7:8" ht="38.25" x14ac:dyDescent="0.2">
      <c r="G74" s="106" t="s">
        <v>861</v>
      </c>
      <c r="H74" s="106" t="s">
        <v>4144</v>
      </c>
    </row>
    <row r="75" spans="7:8" ht="38.25" x14ac:dyDescent="0.2">
      <c r="G75" s="106" t="s">
        <v>862</v>
      </c>
      <c r="H75" s="106" t="s">
        <v>4145</v>
      </c>
    </row>
    <row r="76" spans="7:8" ht="38.25" x14ac:dyDescent="0.2">
      <c r="G76" s="106" t="s">
        <v>863</v>
      </c>
      <c r="H76" s="106" t="s">
        <v>4146</v>
      </c>
    </row>
    <row r="77" spans="7:8" ht="38.25" x14ac:dyDescent="0.2">
      <c r="G77" s="106" t="s">
        <v>2260</v>
      </c>
      <c r="H77" s="106" t="s">
        <v>4147</v>
      </c>
    </row>
    <row r="78" spans="7:8" ht="38.25" x14ac:dyDescent="0.2">
      <c r="G78" s="106" t="s">
        <v>2261</v>
      </c>
      <c r="H78" s="106" t="s">
        <v>4148</v>
      </c>
    </row>
    <row r="79" spans="7:8" ht="38.25" x14ac:dyDescent="0.2">
      <c r="G79" s="106" t="s">
        <v>2328</v>
      </c>
      <c r="H79" s="106" t="s">
        <v>1878</v>
      </c>
    </row>
    <row r="80" spans="7:8" ht="25.5" x14ac:dyDescent="0.2">
      <c r="G80" s="106" t="s">
        <v>2331</v>
      </c>
      <c r="H80" s="106" t="s">
        <v>1879</v>
      </c>
    </row>
    <row r="81" spans="7:8" ht="25.5" x14ac:dyDescent="0.2">
      <c r="G81" s="106" t="s">
        <v>3651</v>
      </c>
      <c r="H81" s="106" t="s">
        <v>1880</v>
      </c>
    </row>
    <row r="82" spans="7:8" ht="25.5" x14ac:dyDescent="0.2">
      <c r="G82" s="106" t="s">
        <v>3638</v>
      </c>
      <c r="H82" s="106" t="s">
        <v>1881</v>
      </c>
    </row>
    <row r="83" spans="7:8" ht="25.5" x14ac:dyDescent="0.2">
      <c r="G83" s="106" t="s">
        <v>3642</v>
      </c>
      <c r="H83" s="106" t="s">
        <v>1882</v>
      </c>
    </row>
    <row r="84" spans="7:8" ht="25.5" x14ac:dyDescent="0.2">
      <c r="G84" s="106" t="s">
        <v>1602</v>
      </c>
      <c r="H84" s="106" t="s">
        <v>1883</v>
      </c>
    </row>
    <row r="85" spans="7:8" ht="25.5" x14ac:dyDescent="0.2">
      <c r="G85" s="106" t="s">
        <v>1603</v>
      </c>
      <c r="H85" s="106" t="s">
        <v>1884</v>
      </c>
    </row>
    <row r="86" spans="7:8" ht="25.5" x14ac:dyDescent="0.2">
      <c r="G86" s="106" t="s">
        <v>1604</v>
      </c>
      <c r="H86" s="106" t="s">
        <v>1885</v>
      </c>
    </row>
    <row r="87" spans="7:8" ht="25.5" x14ac:dyDescent="0.2">
      <c r="G87" s="106" t="s">
        <v>1605</v>
      </c>
      <c r="H87" s="106" t="s">
        <v>1886</v>
      </c>
    </row>
    <row r="88" spans="7:8" ht="25.5" x14ac:dyDescent="0.2">
      <c r="G88" s="106" t="s">
        <v>2176</v>
      </c>
      <c r="H88" s="106" t="s">
        <v>1887</v>
      </c>
    </row>
    <row r="89" spans="7:8" ht="25.5" x14ac:dyDescent="0.2">
      <c r="G89" s="106" t="s">
        <v>2762</v>
      </c>
      <c r="H89" s="106" t="s">
        <v>1888</v>
      </c>
    </row>
    <row r="90" spans="7:8" ht="25.5" x14ac:dyDescent="0.2">
      <c r="G90" s="106" t="s">
        <v>2686</v>
      </c>
      <c r="H90" s="106" t="s">
        <v>1889</v>
      </c>
    </row>
    <row r="91" spans="7:8" ht="25.5" x14ac:dyDescent="0.2">
      <c r="G91" s="106" t="s">
        <v>1570</v>
      </c>
      <c r="H91" s="106" t="s">
        <v>1890</v>
      </c>
    </row>
    <row r="92" spans="7:8" ht="25.5" x14ac:dyDescent="0.2">
      <c r="G92" s="106" t="s">
        <v>1571</v>
      </c>
      <c r="H92" s="106" t="s">
        <v>2236</v>
      </c>
    </row>
    <row r="93" spans="7:8" ht="25.5" x14ac:dyDescent="0.2">
      <c r="G93" s="106" t="s">
        <v>1572</v>
      </c>
      <c r="H93" s="106" t="s">
        <v>2237</v>
      </c>
    </row>
    <row r="94" spans="7:8" ht="25.5" x14ac:dyDescent="0.2">
      <c r="G94" s="106" t="s">
        <v>1573</v>
      </c>
      <c r="H94" s="106" t="s">
        <v>2238</v>
      </c>
    </row>
    <row r="95" spans="7:8" ht="25.5" x14ac:dyDescent="0.2">
      <c r="G95" s="106" t="s">
        <v>1574</v>
      </c>
      <c r="H95" s="106" t="s">
        <v>2239</v>
      </c>
    </row>
    <row r="96" spans="7:8" ht="25.5" x14ac:dyDescent="0.2">
      <c r="G96" s="106" t="s">
        <v>3773</v>
      </c>
      <c r="H96" s="106" t="s">
        <v>2240</v>
      </c>
    </row>
    <row r="97" spans="7:8" ht="25.5" x14ac:dyDescent="0.2">
      <c r="G97" s="106" t="s">
        <v>3643</v>
      </c>
      <c r="H97" s="106" t="s">
        <v>2241</v>
      </c>
    </row>
    <row r="98" spans="7:8" ht="25.5" x14ac:dyDescent="0.2">
      <c r="G98" s="106" t="s">
        <v>3774</v>
      </c>
      <c r="H98" s="106" t="s">
        <v>2529</v>
      </c>
    </row>
    <row r="99" spans="7:8" ht="25.5" x14ac:dyDescent="0.2">
      <c r="G99" s="106" t="s">
        <v>3775</v>
      </c>
      <c r="H99" s="106" t="s">
        <v>2530</v>
      </c>
    </row>
    <row r="100" spans="7:8" ht="25.5" x14ac:dyDescent="0.2">
      <c r="G100" s="106" t="s">
        <v>3776</v>
      </c>
      <c r="H100" s="106" t="s">
        <v>3166</v>
      </c>
    </row>
    <row r="101" spans="7:8" ht="25.5" x14ac:dyDescent="0.2">
      <c r="G101" s="106" t="s">
        <v>3777</v>
      </c>
      <c r="H101" s="106" t="s">
        <v>3167</v>
      </c>
    </row>
    <row r="102" spans="7:8" ht="25.5" x14ac:dyDescent="0.2">
      <c r="G102" s="106" t="s">
        <v>3778</v>
      </c>
      <c r="H102" s="106" t="s">
        <v>796</v>
      </c>
    </row>
    <row r="103" spans="7:8" ht="25.5" x14ac:dyDescent="0.2">
      <c r="G103" s="106" t="s">
        <v>3779</v>
      </c>
      <c r="H103" s="106" t="s">
        <v>213</v>
      </c>
    </row>
    <row r="104" spans="7:8" ht="25.5" x14ac:dyDescent="0.2">
      <c r="G104" s="106" t="s">
        <v>3780</v>
      </c>
      <c r="H104" s="106" t="s">
        <v>1536</v>
      </c>
    </row>
    <row r="105" spans="7:8" ht="25.5" x14ac:dyDescent="0.2">
      <c r="G105" s="106" t="s">
        <v>3781</v>
      </c>
      <c r="H105" s="106" t="s">
        <v>3568</v>
      </c>
    </row>
    <row r="106" spans="7:8" ht="25.5" x14ac:dyDescent="0.2">
      <c r="G106" s="106" t="s">
        <v>3782</v>
      </c>
      <c r="H106" s="106" t="s">
        <v>3569</v>
      </c>
    </row>
    <row r="107" spans="7:8" ht="25.5" x14ac:dyDescent="0.2">
      <c r="G107" s="106" t="s">
        <v>3783</v>
      </c>
      <c r="H107" s="106" t="s">
        <v>3570</v>
      </c>
    </row>
    <row r="108" spans="7:8" ht="25.5" x14ac:dyDescent="0.2">
      <c r="G108" s="106" t="s">
        <v>3784</v>
      </c>
      <c r="H108" s="106" t="s">
        <v>3571</v>
      </c>
    </row>
    <row r="109" spans="7:8" ht="25.5" x14ac:dyDescent="0.2">
      <c r="G109" s="106" t="s">
        <v>3785</v>
      </c>
      <c r="H109" s="106" t="s">
        <v>3572</v>
      </c>
    </row>
    <row r="110" spans="7:8" ht="25.5" x14ac:dyDescent="0.2">
      <c r="G110" s="106" t="s">
        <v>2184</v>
      </c>
      <c r="H110" s="106" t="s">
        <v>710</v>
      </c>
    </row>
    <row r="111" spans="7:8" ht="25.5" x14ac:dyDescent="0.2">
      <c r="G111" s="106" t="s">
        <v>4082</v>
      </c>
      <c r="H111" s="106" t="s">
        <v>711</v>
      </c>
    </row>
    <row r="112" spans="7:8" ht="25.5" x14ac:dyDescent="0.2">
      <c r="G112" s="106" t="s">
        <v>4083</v>
      </c>
      <c r="H112" s="106" t="s">
        <v>712</v>
      </c>
    </row>
    <row r="113" spans="7:8" ht="25.5" x14ac:dyDescent="0.2">
      <c r="G113" s="106" t="s">
        <v>4084</v>
      </c>
      <c r="H113" s="106" t="s">
        <v>2805</v>
      </c>
    </row>
    <row r="114" spans="7:8" ht="25.5" x14ac:dyDescent="0.2">
      <c r="G114" s="106" t="s">
        <v>4085</v>
      </c>
      <c r="H114" s="106" t="s">
        <v>2806</v>
      </c>
    </row>
    <row r="115" spans="7:8" ht="25.5" x14ac:dyDescent="0.2">
      <c r="G115" s="106" t="s">
        <v>4086</v>
      </c>
      <c r="H115" s="106" t="s">
        <v>2807</v>
      </c>
    </row>
    <row r="116" spans="7:8" ht="25.5" x14ac:dyDescent="0.2">
      <c r="G116" s="106" t="s">
        <v>4087</v>
      </c>
      <c r="H116" s="106" t="s">
        <v>2808</v>
      </c>
    </row>
    <row r="117" spans="7:8" ht="25.5" x14ac:dyDescent="0.2">
      <c r="G117" s="106" t="s">
        <v>4088</v>
      </c>
      <c r="H117" s="106" t="s">
        <v>2809</v>
      </c>
    </row>
    <row r="118" spans="7:8" ht="25.5" x14ac:dyDescent="0.2">
      <c r="G118" s="106" t="s">
        <v>1678</v>
      </c>
      <c r="H118" s="106" t="s">
        <v>2810</v>
      </c>
    </row>
    <row r="119" spans="7:8" ht="25.5" x14ac:dyDescent="0.2">
      <c r="G119" s="106" t="s">
        <v>2215</v>
      </c>
      <c r="H119" s="106" t="s">
        <v>2811</v>
      </c>
    </row>
    <row r="120" spans="7:8" ht="25.5" x14ac:dyDescent="0.2">
      <c r="G120" s="106" t="s">
        <v>3219</v>
      </c>
      <c r="H120" s="106" t="s">
        <v>2812</v>
      </c>
    </row>
    <row r="121" spans="7:8" ht="25.5" x14ac:dyDescent="0.2">
      <c r="G121" s="106" t="s">
        <v>3222</v>
      </c>
      <c r="H121" s="106" t="s">
        <v>2813</v>
      </c>
    </row>
    <row r="122" spans="7:8" ht="25.5" x14ac:dyDescent="0.2">
      <c r="G122" s="106" t="s">
        <v>464</v>
      </c>
      <c r="H122" s="106" t="s">
        <v>2814</v>
      </c>
    </row>
    <row r="123" spans="7:8" ht="25.5" x14ac:dyDescent="0.2">
      <c r="G123" s="106" t="s">
        <v>465</v>
      </c>
      <c r="H123" s="106" t="s">
        <v>2815</v>
      </c>
    </row>
    <row r="124" spans="7:8" ht="25.5" x14ac:dyDescent="0.2">
      <c r="G124" s="106" t="s">
        <v>1380</v>
      </c>
      <c r="H124" s="106" t="s">
        <v>2816</v>
      </c>
    </row>
    <row r="125" spans="7:8" ht="25.5" x14ac:dyDescent="0.2">
      <c r="G125" s="106" t="s">
        <v>3588</v>
      </c>
      <c r="H125" s="106" t="s">
        <v>2817</v>
      </c>
    </row>
    <row r="126" spans="7:8" ht="25.5" x14ac:dyDescent="0.2">
      <c r="G126" s="106" t="s">
        <v>1381</v>
      </c>
      <c r="H126" s="106" t="s">
        <v>2818</v>
      </c>
    </row>
    <row r="127" spans="7:8" ht="25.5" x14ac:dyDescent="0.2">
      <c r="G127" s="106" t="s">
        <v>3589</v>
      </c>
      <c r="H127" s="106" t="s">
        <v>2819</v>
      </c>
    </row>
    <row r="128" spans="7:8" ht="25.5" x14ac:dyDescent="0.2">
      <c r="G128" s="106" t="s">
        <v>1606</v>
      </c>
      <c r="H128" s="106" t="s">
        <v>2820</v>
      </c>
    </row>
    <row r="129" spans="7:8" ht="25.5" x14ac:dyDescent="0.2">
      <c r="G129" s="106" t="s">
        <v>1607</v>
      </c>
      <c r="H129" s="106" t="s">
        <v>3513</v>
      </c>
    </row>
    <row r="130" spans="7:8" ht="25.5" x14ac:dyDescent="0.2">
      <c r="G130" s="106" t="s">
        <v>1608</v>
      </c>
      <c r="H130" s="106" t="s">
        <v>4030</v>
      </c>
    </row>
    <row r="131" spans="7:8" ht="25.5" x14ac:dyDescent="0.2">
      <c r="G131" s="106" t="s">
        <v>1609</v>
      </c>
      <c r="H131" s="106" t="s">
        <v>4031</v>
      </c>
    </row>
    <row r="132" spans="7:8" ht="25.5" x14ac:dyDescent="0.2">
      <c r="G132" s="106" t="s">
        <v>3117</v>
      </c>
      <c r="H132" s="106" t="s">
        <v>4032</v>
      </c>
    </row>
    <row r="133" spans="7:8" ht="25.5" x14ac:dyDescent="0.2">
      <c r="G133" s="106" t="s">
        <v>381</v>
      </c>
      <c r="H133" s="106" t="s">
        <v>4033</v>
      </c>
    </row>
    <row r="134" spans="7:8" ht="25.5" x14ac:dyDescent="0.2">
      <c r="G134" s="106" t="s">
        <v>2968</v>
      </c>
      <c r="H134" s="106" t="s">
        <v>4034</v>
      </c>
    </row>
    <row r="135" spans="7:8" ht="25.5" x14ac:dyDescent="0.2">
      <c r="G135" s="106" t="s">
        <v>1715</v>
      </c>
      <c r="H135" s="106" t="s">
        <v>4035</v>
      </c>
    </row>
    <row r="136" spans="7:8" ht="25.5" x14ac:dyDescent="0.2">
      <c r="G136" s="106" t="s">
        <v>1716</v>
      </c>
      <c r="H136" s="106" t="s">
        <v>4036</v>
      </c>
    </row>
    <row r="137" spans="7:8" ht="25.5" x14ac:dyDescent="0.2">
      <c r="G137" s="106" t="s">
        <v>3615</v>
      </c>
      <c r="H137" s="106" t="s">
        <v>4037</v>
      </c>
    </row>
    <row r="138" spans="7:8" ht="25.5" x14ac:dyDescent="0.2">
      <c r="G138" s="106" t="s">
        <v>3616</v>
      </c>
      <c r="H138" s="106" t="s">
        <v>4038</v>
      </c>
    </row>
    <row r="139" spans="7:8" ht="25.5" x14ac:dyDescent="0.2">
      <c r="G139" s="106" t="s">
        <v>2994</v>
      </c>
      <c r="H139" s="106" t="s">
        <v>4039</v>
      </c>
    </row>
    <row r="140" spans="7:8" ht="25.5" x14ac:dyDescent="0.2">
      <c r="G140" s="106" t="s">
        <v>3591</v>
      </c>
      <c r="H140" s="106" t="s">
        <v>1730</v>
      </c>
    </row>
    <row r="141" spans="7:8" ht="25.5" x14ac:dyDescent="0.2">
      <c r="G141" s="106" t="s">
        <v>3592</v>
      </c>
      <c r="H141" s="106" t="s">
        <v>1731</v>
      </c>
    </row>
    <row r="142" spans="7:8" ht="25.5" x14ac:dyDescent="0.2">
      <c r="G142" s="106" t="s">
        <v>2995</v>
      </c>
      <c r="H142" s="106" t="s">
        <v>1732</v>
      </c>
    </row>
    <row r="143" spans="7:8" ht="25.5" x14ac:dyDescent="0.2">
      <c r="G143" s="106" t="s">
        <v>2996</v>
      </c>
      <c r="H143" s="106" t="s">
        <v>1859</v>
      </c>
    </row>
    <row r="144" spans="7:8" ht="25.5" x14ac:dyDescent="0.2">
      <c r="G144" s="106" t="s">
        <v>2997</v>
      </c>
      <c r="H144" s="106" t="s">
        <v>1860</v>
      </c>
    </row>
    <row r="145" spans="7:8" ht="25.5" x14ac:dyDescent="0.2">
      <c r="G145" s="106" t="s">
        <v>2998</v>
      </c>
      <c r="H145" s="106" t="s">
        <v>1861</v>
      </c>
    </row>
    <row r="146" spans="7:8" ht="25.5" x14ac:dyDescent="0.2">
      <c r="G146" s="106" t="s">
        <v>2999</v>
      </c>
      <c r="H146" s="106" t="s">
        <v>1862</v>
      </c>
    </row>
    <row r="147" spans="7:8" ht="25.5" x14ac:dyDescent="0.2">
      <c r="G147" s="106" t="s">
        <v>3147</v>
      </c>
      <c r="H147" s="106" t="s">
        <v>3618</v>
      </c>
    </row>
    <row r="148" spans="7:8" ht="25.5" x14ac:dyDescent="0.2">
      <c r="G148" s="106" t="s">
        <v>3148</v>
      </c>
      <c r="H148" s="106" t="s">
        <v>3619</v>
      </c>
    </row>
    <row r="149" spans="7:8" ht="25.5" x14ac:dyDescent="0.2">
      <c r="G149" s="106" t="s">
        <v>3149</v>
      </c>
      <c r="H149" s="106" t="s">
        <v>1895</v>
      </c>
    </row>
    <row r="150" spans="7:8" ht="25.5" x14ac:dyDescent="0.2">
      <c r="G150" s="106" t="s">
        <v>3150</v>
      </c>
      <c r="H150" s="106" t="s">
        <v>1896</v>
      </c>
    </row>
    <row r="151" spans="7:8" ht="25.5" x14ac:dyDescent="0.2">
      <c r="G151" s="106" t="s">
        <v>3151</v>
      </c>
      <c r="H151" s="106" t="s">
        <v>1897</v>
      </c>
    </row>
    <row r="152" spans="7:8" ht="25.5" x14ac:dyDescent="0.2">
      <c r="G152" s="106" t="s">
        <v>3152</v>
      </c>
      <c r="H152" s="106" t="s">
        <v>1898</v>
      </c>
    </row>
    <row r="153" spans="7:8" ht="25.5" x14ac:dyDescent="0.2">
      <c r="G153" s="106" t="s">
        <v>3153</v>
      </c>
      <c r="H153" s="106" t="s">
        <v>1899</v>
      </c>
    </row>
    <row r="154" spans="7:8" ht="25.5" x14ac:dyDescent="0.2">
      <c r="G154" s="106" t="s">
        <v>3154</v>
      </c>
      <c r="H154" s="106" t="s">
        <v>1900</v>
      </c>
    </row>
    <row r="155" spans="7:8" ht="25.5" x14ac:dyDescent="0.2">
      <c r="G155" s="106" t="s">
        <v>3155</v>
      </c>
      <c r="H155" s="106" t="s">
        <v>1901</v>
      </c>
    </row>
    <row r="156" spans="7:8" ht="25.5" x14ac:dyDescent="0.2">
      <c r="G156" s="106" t="s">
        <v>3593</v>
      </c>
      <c r="H156" s="106" t="s">
        <v>1902</v>
      </c>
    </row>
    <row r="157" spans="7:8" ht="25.5" x14ac:dyDescent="0.2">
      <c r="G157" s="106" t="s">
        <v>3594</v>
      </c>
      <c r="H157" s="106" t="s">
        <v>137</v>
      </c>
    </row>
    <row r="158" spans="7:8" ht="25.5" x14ac:dyDescent="0.2">
      <c r="G158" s="106" t="s">
        <v>3156</v>
      </c>
      <c r="H158" s="106" t="s">
        <v>138</v>
      </c>
    </row>
    <row r="159" spans="7:8" ht="25.5" x14ac:dyDescent="0.2">
      <c r="G159" s="106" t="s">
        <v>3157</v>
      </c>
      <c r="H159" s="106" t="s">
        <v>139</v>
      </c>
    </row>
    <row r="160" spans="7:8" ht="25.5" x14ac:dyDescent="0.2">
      <c r="G160" s="106" t="s">
        <v>3158</v>
      </c>
      <c r="H160" s="106" t="s">
        <v>140</v>
      </c>
    </row>
    <row r="161" spans="7:8" ht="25.5" x14ac:dyDescent="0.2">
      <c r="G161" s="106" t="s">
        <v>3159</v>
      </c>
      <c r="H161" s="106" t="s">
        <v>991</v>
      </c>
    </row>
    <row r="162" spans="7:8" ht="25.5" x14ac:dyDescent="0.2">
      <c r="G162" s="106" t="s">
        <v>3160</v>
      </c>
      <c r="H162" s="106" t="s">
        <v>2866</v>
      </c>
    </row>
    <row r="163" spans="7:8" ht="25.5" x14ac:dyDescent="0.2">
      <c r="G163" s="106" t="s">
        <v>3161</v>
      </c>
      <c r="H163" s="106" t="s">
        <v>3315</v>
      </c>
    </row>
    <row r="164" spans="7:8" ht="25.5" x14ac:dyDescent="0.2">
      <c r="G164" s="106" t="s">
        <v>3162</v>
      </c>
      <c r="H164" s="106" t="s">
        <v>3316</v>
      </c>
    </row>
    <row r="165" spans="7:8" ht="25.5" x14ac:dyDescent="0.2">
      <c r="G165" s="106" t="s">
        <v>3030</v>
      </c>
      <c r="H165" s="106" t="s">
        <v>3266</v>
      </c>
    </row>
    <row r="166" spans="7:8" ht="25.5" x14ac:dyDescent="0.2">
      <c r="G166" s="106" t="s">
        <v>2432</v>
      </c>
      <c r="H166" s="106" t="s">
        <v>3267</v>
      </c>
    </row>
    <row r="167" spans="7:8" ht="25.5" x14ac:dyDescent="0.2">
      <c r="G167" s="106" t="s">
        <v>2433</v>
      </c>
      <c r="H167" s="106" t="s">
        <v>3268</v>
      </c>
    </row>
    <row r="168" spans="7:8" ht="25.5" x14ac:dyDescent="0.2">
      <c r="G168" s="106" t="s">
        <v>2434</v>
      </c>
      <c r="H168" s="106" t="s">
        <v>3269</v>
      </c>
    </row>
    <row r="169" spans="7:8" ht="25.5" x14ac:dyDescent="0.2">
      <c r="G169" s="106" t="s">
        <v>1161</v>
      </c>
      <c r="H169" s="106" t="s">
        <v>3270</v>
      </c>
    </row>
    <row r="170" spans="7:8" ht="25.5" x14ac:dyDescent="0.2">
      <c r="G170" s="106" t="s">
        <v>1162</v>
      </c>
      <c r="H170" s="106" t="s">
        <v>1199</v>
      </c>
    </row>
    <row r="171" spans="7:8" ht="25.5" x14ac:dyDescent="0.2">
      <c r="G171" s="106" t="s">
        <v>2856</v>
      </c>
      <c r="H171" s="106" t="s">
        <v>1200</v>
      </c>
    </row>
    <row r="172" spans="7:8" ht="25.5" x14ac:dyDescent="0.2">
      <c r="G172" s="106" t="s">
        <v>1643</v>
      </c>
      <c r="H172" s="106" t="s">
        <v>1201</v>
      </c>
    </row>
    <row r="173" spans="7:8" ht="25.5" x14ac:dyDescent="0.2">
      <c r="G173" s="106" t="s">
        <v>1644</v>
      </c>
      <c r="H173" s="106" t="s">
        <v>1202</v>
      </c>
    </row>
    <row r="174" spans="7:8" ht="25.5" x14ac:dyDescent="0.2">
      <c r="G174" s="106" t="s">
        <v>2857</v>
      </c>
      <c r="H174" s="106" t="s">
        <v>1203</v>
      </c>
    </row>
    <row r="175" spans="7:8" ht="25.5" x14ac:dyDescent="0.2">
      <c r="G175" s="106" t="s">
        <v>2665</v>
      </c>
      <c r="H175" s="106" t="s">
        <v>1204</v>
      </c>
    </row>
    <row r="176" spans="7:8" ht="25.5" x14ac:dyDescent="0.2">
      <c r="G176" s="106" t="s">
        <v>3216</v>
      </c>
      <c r="H176" s="106" t="s">
        <v>1205</v>
      </c>
    </row>
    <row r="177" spans="7:8" ht="25.5" x14ac:dyDescent="0.2">
      <c r="G177" s="106" t="s">
        <v>3217</v>
      </c>
      <c r="H177" s="106" t="s">
        <v>1206</v>
      </c>
    </row>
    <row r="178" spans="7:8" ht="25.5" x14ac:dyDescent="0.2">
      <c r="G178" s="106" t="s">
        <v>1034</v>
      </c>
      <c r="H178" s="106" t="s">
        <v>1207</v>
      </c>
    </row>
    <row r="179" spans="7:8" ht="25.5" x14ac:dyDescent="0.2">
      <c r="G179" s="106" t="s">
        <v>141</v>
      </c>
      <c r="H179" s="106" t="s">
        <v>1208</v>
      </c>
    </row>
    <row r="180" spans="7:8" ht="25.5" x14ac:dyDescent="0.2">
      <c r="G180" s="106" t="s">
        <v>142</v>
      </c>
      <c r="H180" s="106" t="s">
        <v>1209</v>
      </c>
    </row>
    <row r="181" spans="7:8" ht="25.5" x14ac:dyDescent="0.2">
      <c r="G181" s="106" t="s">
        <v>143</v>
      </c>
      <c r="H181" s="106" t="s">
        <v>1210</v>
      </c>
    </row>
    <row r="182" spans="7:8" ht="25.5" x14ac:dyDescent="0.2">
      <c r="G182" s="106" t="s">
        <v>144</v>
      </c>
      <c r="H182" s="106" t="s">
        <v>1211</v>
      </c>
    </row>
    <row r="183" spans="7:8" ht="25.5" x14ac:dyDescent="0.2">
      <c r="G183" s="106" t="s">
        <v>4013</v>
      </c>
      <c r="H183" s="106" t="s">
        <v>3767</v>
      </c>
    </row>
    <row r="184" spans="7:8" ht="25.5" x14ac:dyDescent="0.2">
      <c r="G184" s="106" t="s">
        <v>1009</v>
      </c>
      <c r="H184" s="106" t="s">
        <v>3768</v>
      </c>
    </row>
    <row r="185" spans="7:8" ht="25.5" x14ac:dyDescent="0.2">
      <c r="G185" s="106" t="s">
        <v>411</v>
      </c>
      <c r="H185" s="106" t="s">
        <v>1547</v>
      </c>
    </row>
    <row r="186" spans="7:8" ht="25.5" x14ac:dyDescent="0.2">
      <c r="G186" s="106" t="s">
        <v>412</v>
      </c>
      <c r="H186" s="106" t="s">
        <v>1548</v>
      </c>
    </row>
    <row r="187" spans="7:8" ht="25.5" x14ac:dyDescent="0.2">
      <c r="G187" s="106" t="s">
        <v>904</v>
      </c>
      <c r="H187" s="106" t="s">
        <v>1549</v>
      </c>
    </row>
    <row r="188" spans="7:8" ht="25.5" x14ac:dyDescent="0.2">
      <c r="G188" s="106" t="s">
        <v>1645</v>
      </c>
      <c r="H188" s="106" t="s">
        <v>1550</v>
      </c>
    </row>
    <row r="189" spans="7:8" ht="25.5" x14ac:dyDescent="0.2">
      <c r="G189" s="106" t="s">
        <v>1646</v>
      </c>
      <c r="H189" s="106" t="s">
        <v>1551</v>
      </c>
    </row>
    <row r="190" spans="7:8" ht="25.5" x14ac:dyDescent="0.2">
      <c r="G190" s="106" t="s">
        <v>905</v>
      </c>
      <c r="H190" s="106" t="s">
        <v>1552</v>
      </c>
    </row>
    <row r="191" spans="7:8" ht="25.5" x14ac:dyDescent="0.2">
      <c r="G191" s="106" t="s">
        <v>906</v>
      </c>
      <c r="H191" s="106" t="s">
        <v>1553</v>
      </c>
    </row>
    <row r="192" spans="7:8" ht="25.5" x14ac:dyDescent="0.2">
      <c r="G192" s="106" t="s">
        <v>907</v>
      </c>
      <c r="H192" s="106" t="s">
        <v>1554</v>
      </c>
    </row>
    <row r="193" spans="7:8" ht="25.5" x14ac:dyDescent="0.2">
      <c r="G193" s="106" t="s">
        <v>908</v>
      </c>
      <c r="H193" s="106" t="s">
        <v>1555</v>
      </c>
    </row>
    <row r="194" spans="7:8" ht="25.5" x14ac:dyDescent="0.2">
      <c r="G194" s="106" t="s">
        <v>909</v>
      </c>
      <c r="H194" s="106" t="s">
        <v>1556</v>
      </c>
    </row>
    <row r="195" spans="7:8" ht="25.5" x14ac:dyDescent="0.2">
      <c r="G195" s="106" t="s">
        <v>422</v>
      </c>
      <c r="H195" s="106" t="s">
        <v>3707</v>
      </c>
    </row>
    <row r="196" spans="7:8" ht="25.5" x14ac:dyDescent="0.2">
      <c r="G196" s="106" t="s">
        <v>3531</v>
      </c>
      <c r="H196" s="106" t="s">
        <v>3708</v>
      </c>
    </row>
    <row r="197" spans="7:8" ht="25.5" x14ac:dyDescent="0.2">
      <c r="G197" s="106" t="s">
        <v>3532</v>
      </c>
      <c r="H197" s="106" t="s">
        <v>3709</v>
      </c>
    </row>
    <row r="198" spans="7:8" ht="25.5" x14ac:dyDescent="0.2">
      <c r="G198" s="106" t="s">
        <v>1308</v>
      </c>
      <c r="H198" s="106" t="s">
        <v>3710</v>
      </c>
    </row>
    <row r="199" spans="7:8" ht="25.5" x14ac:dyDescent="0.2">
      <c r="G199" s="106" t="s">
        <v>1309</v>
      </c>
      <c r="H199" s="106" t="s">
        <v>3711</v>
      </c>
    </row>
    <row r="200" spans="7:8" ht="25.5" x14ac:dyDescent="0.2">
      <c r="G200" s="106" t="s">
        <v>1310</v>
      </c>
      <c r="H200" s="106" t="s">
        <v>3712</v>
      </c>
    </row>
    <row r="201" spans="7:8" ht="25.5" x14ac:dyDescent="0.2">
      <c r="G201" s="106" t="s">
        <v>797</v>
      </c>
      <c r="H201" s="106" t="s">
        <v>3048</v>
      </c>
    </row>
    <row r="202" spans="7:8" ht="25.5" x14ac:dyDescent="0.2">
      <c r="G202" s="106" t="s">
        <v>1833</v>
      </c>
      <c r="H202" s="106" t="s">
        <v>3049</v>
      </c>
    </row>
    <row r="203" spans="7:8" ht="25.5" x14ac:dyDescent="0.2">
      <c r="G203" s="106" t="s">
        <v>1834</v>
      </c>
      <c r="H203" s="106" t="s">
        <v>3050</v>
      </c>
    </row>
    <row r="204" spans="7:8" ht="25.5" x14ac:dyDescent="0.2">
      <c r="G204" s="106" t="s">
        <v>1647</v>
      </c>
      <c r="H204" s="106" t="s">
        <v>3051</v>
      </c>
    </row>
    <row r="205" spans="7:8" ht="25.5" x14ac:dyDescent="0.2">
      <c r="G205" s="106" t="s">
        <v>1648</v>
      </c>
      <c r="H205" s="106" t="s">
        <v>3052</v>
      </c>
    </row>
    <row r="206" spans="7:8" ht="25.5" x14ac:dyDescent="0.2">
      <c r="G206" s="106" t="s">
        <v>799</v>
      </c>
      <c r="H206" s="106" t="s">
        <v>3053</v>
      </c>
    </row>
    <row r="207" spans="7:8" ht="25.5" x14ac:dyDescent="0.2">
      <c r="G207" s="106" t="s">
        <v>800</v>
      </c>
      <c r="H207" s="106" t="s">
        <v>3054</v>
      </c>
    </row>
    <row r="208" spans="7:8" ht="25.5" x14ac:dyDescent="0.2">
      <c r="G208" s="106" t="s">
        <v>801</v>
      </c>
      <c r="H208" s="106" t="s">
        <v>3055</v>
      </c>
    </row>
    <row r="209" spans="7:8" ht="25.5" x14ac:dyDescent="0.2">
      <c r="G209" s="106" t="s">
        <v>802</v>
      </c>
      <c r="H209" s="106" t="s">
        <v>2518</v>
      </c>
    </row>
    <row r="210" spans="7:8" ht="25.5" x14ac:dyDescent="0.2">
      <c r="G210" s="106" t="s">
        <v>803</v>
      </c>
      <c r="H210" s="106" t="s">
        <v>2519</v>
      </c>
    </row>
    <row r="211" spans="7:8" ht="25.5" x14ac:dyDescent="0.2">
      <c r="G211" s="106" t="s">
        <v>804</v>
      </c>
      <c r="H211" s="106" t="s">
        <v>2520</v>
      </c>
    </row>
    <row r="212" spans="7:8" ht="25.5" x14ac:dyDescent="0.2">
      <c r="G212" s="106" t="s">
        <v>805</v>
      </c>
      <c r="H212" s="106" t="s">
        <v>2489</v>
      </c>
    </row>
    <row r="213" spans="7:8" ht="25.5" x14ac:dyDescent="0.2">
      <c r="G213" s="106" t="s">
        <v>981</v>
      </c>
      <c r="H213" s="106" t="s">
        <v>3381</v>
      </c>
    </row>
    <row r="214" spans="7:8" ht="25.5" x14ac:dyDescent="0.2">
      <c r="G214" s="106" t="s">
        <v>3828</v>
      </c>
      <c r="H214" s="106" t="s">
        <v>3382</v>
      </c>
    </row>
    <row r="215" spans="7:8" ht="25.5" x14ac:dyDescent="0.2">
      <c r="G215" s="106" t="s">
        <v>3829</v>
      </c>
      <c r="H215" s="106" t="s">
        <v>3038</v>
      </c>
    </row>
    <row r="216" spans="7:8" ht="25.5" x14ac:dyDescent="0.2">
      <c r="G216" s="106" t="s">
        <v>3830</v>
      </c>
      <c r="H216" s="106" t="s">
        <v>3039</v>
      </c>
    </row>
    <row r="217" spans="7:8" ht="25.5" x14ac:dyDescent="0.2">
      <c r="G217" s="106" t="s">
        <v>3831</v>
      </c>
      <c r="H217" s="106" t="s">
        <v>3040</v>
      </c>
    </row>
    <row r="218" spans="7:8" ht="25.5" x14ac:dyDescent="0.2">
      <c r="G218" s="106" t="s">
        <v>3832</v>
      </c>
      <c r="H218" s="106" t="s">
        <v>216</v>
      </c>
    </row>
    <row r="219" spans="7:8" ht="25.5" x14ac:dyDescent="0.2">
      <c r="G219" s="106" t="s">
        <v>3833</v>
      </c>
      <c r="H219" s="106" t="s">
        <v>217</v>
      </c>
    </row>
    <row r="220" spans="7:8" ht="25.5" x14ac:dyDescent="0.2">
      <c r="G220" s="106" t="s">
        <v>3834</v>
      </c>
      <c r="H220" s="106" t="s">
        <v>218</v>
      </c>
    </row>
    <row r="221" spans="7:8" ht="25.5" x14ac:dyDescent="0.2">
      <c r="G221" s="106" t="s">
        <v>3835</v>
      </c>
      <c r="H221" s="106" t="s">
        <v>219</v>
      </c>
    </row>
    <row r="222" spans="7:8" ht="25.5" x14ac:dyDescent="0.2">
      <c r="G222" s="106" t="s">
        <v>3836</v>
      </c>
      <c r="H222" s="106" t="s">
        <v>220</v>
      </c>
    </row>
    <row r="223" spans="7:8" ht="25.5" x14ac:dyDescent="0.2">
      <c r="G223" s="106" t="s">
        <v>3837</v>
      </c>
      <c r="H223" s="106" t="s">
        <v>221</v>
      </c>
    </row>
    <row r="224" spans="7:8" ht="25.5" x14ac:dyDescent="0.2">
      <c r="G224" s="106" t="s">
        <v>1566</v>
      </c>
      <c r="H224" s="106" t="s">
        <v>222</v>
      </c>
    </row>
    <row r="225" spans="7:8" ht="25.5" x14ac:dyDescent="0.2">
      <c r="G225" s="106" t="s">
        <v>1567</v>
      </c>
      <c r="H225" s="106" t="s">
        <v>223</v>
      </c>
    </row>
    <row r="226" spans="7:8" ht="25.5" x14ac:dyDescent="0.2">
      <c r="G226" s="106" t="s">
        <v>1568</v>
      </c>
      <c r="H226" s="106" t="s">
        <v>224</v>
      </c>
    </row>
    <row r="227" spans="7:8" ht="25.5" x14ac:dyDescent="0.2">
      <c r="G227" s="106" t="s">
        <v>1569</v>
      </c>
      <c r="H227" s="106" t="s">
        <v>225</v>
      </c>
    </row>
    <row r="228" spans="7:8" ht="25.5" x14ac:dyDescent="0.2">
      <c r="G228" s="106" t="s">
        <v>2911</v>
      </c>
      <c r="H228" s="106" t="s">
        <v>226</v>
      </c>
    </row>
    <row r="229" spans="7:8" ht="25.5" x14ac:dyDescent="0.2">
      <c r="G229" s="106" t="s">
        <v>2912</v>
      </c>
      <c r="H229" s="106" t="s">
        <v>227</v>
      </c>
    </row>
    <row r="230" spans="7:8" ht="25.5" x14ac:dyDescent="0.2">
      <c r="G230" s="106" t="s">
        <v>1348</v>
      </c>
      <c r="H230" s="106" t="s">
        <v>228</v>
      </c>
    </row>
    <row r="231" spans="7:8" ht="25.5" x14ac:dyDescent="0.2">
      <c r="G231" s="106" t="s">
        <v>3403</v>
      </c>
      <c r="H231" s="106" t="s">
        <v>229</v>
      </c>
    </row>
    <row r="232" spans="7:8" ht="38.25" x14ac:dyDescent="0.2">
      <c r="G232" s="106" t="s">
        <v>453</v>
      </c>
      <c r="H232" s="106" t="s">
        <v>1734</v>
      </c>
    </row>
    <row r="233" spans="7:8" ht="38.25" x14ac:dyDescent="0.2">
      <c r="G233" s="106" t="s">
        <v>454</v>
      </c>
      <c r="H233" s="106" t="s">
        <v>1735</v>
      </c>
    </row>
    <row r="234" spans="7:8" ht="38.25" x14ac:dyDescent="0.2">
      <c r="G234" s="106" t="s">
        <v>1736</v>
      </c>
      <c r="H234" s="106" t="s">
        <v>2689</v>
      </c>
    </row>
    <row r="235" spans="7:8" ht="38.25" x14ac:dyDescent="0.2">
      <c r="G235" s="106" t="s">
        <v>1611</v>
      </c>
      <c r="H235" s="106" t="s">
        <v>2690</v>
      </c>
    </row>
    <row r="236" spans="7:8" ht="38.25" x14ac:dyDescent="0.2">
      <c r="G236" s="106" t="s">
        <v>1612</v>
      </c>
      <c r="H236" s="106" t="s">
        <v>2691</v>
      </c>
    </row>
    <row r="237" spans="7:8" ht="38.25" x14ac:dyDescent="0.2">
      <c r="G237" s="106" t="s">
        <v>1613</v>
      </c>
      <c r="H237" s="106" t="s">
        <v>685</v>
      </c>
    </row>
    <row r="238" spans="7:8" ht="38.25" x14ac:dyDescent="0.2">
      <c r="G238" s="106" t="s">
        <v>729</v>
      </c>
      <c r="H238" s="106" t="s">
        <v>1863</v>
      </c>
    </row>
    <row r="239" spans="7:8" ht="38.25" x14ac:dyDescent="0.2">
      <c r="G239" s="106" t="s">
        <v>730</v>
      </c>
      <c r="H239" s="106" t="s">
        <v>1864</v>
      </c>
    </row>
    <row r="240" spans="7:8" ht="38.25" x14ac:dyDescent="0.2">
      <c r="G240" s="106" t="s">
        <v>731</v>
      </c>
      <c r="H240" s="106" t="s">
        <v>1781</v>
      </c>
    </row>
    <row r="241" spans="7:8" ht="38.25" x14ac:dyDescent="0.2">
      <c r="G241" s="106" t="s">
        <v>3324</v>
      </c>
      <c r="H241" s="106" t="s">
        <v>1782</v>
      </c>
    </row>
    <row r="242" spans="7:8" ht="38.25" x14ac:dyDescent="0.2">
      <c r="G242" s="106" t="s">
        <v>3325</v>
      </c>
      <c r="H242" s="106" t="s">
        <v>1783</v>
      </c>
    </row>
    <row r="243" spans="7:8" ht="38.25" x14ac:dyDescent="0.2">
      <c r="G243" s="106" t="s">
        <v>3326</v>
      </c>
      <c r="H243" s="106" t="s">
        <v>1784</v>
      </c>
    </row>
    <row r="244" spans="7:8" ht="38.25" x14ac:dyDescent="0.2">
      <c r="G244" s="106" t="s">
        <v>3327</v>
      </c>
      <c r="H244" s="106" t="s">
        <v>1785</v>
      </c>
    </row>
    <row r="245" spans="7:8" ht="38.25" x14ac:dyDescent="0.2">
      <c r="G245" s="106" t="s">
        <v>3328</v>
      </c>
      <c r="H245" s="106" t="s">
        <v>1786</v>
      </c>
    </row>
    <row r="246" spans="7:8" ht="38.25" x14ac:dyDescent="0.2">
      <c r="G246" s="106" t="s">
        <v>2546</v>
      </c>
      <c r="H246" s="106" t="s">
        <v>4153</v>
      </c>
    </row>
    <row r="247" spans="7:8" ht="38.25" x14ac:dyDescent="0.2">
      <c r="G247" s="106" t="s">
        <v>2547</v>
      </c>
      <c r="H247" s="106" t="s">
        <v>4154</v>
      </c>
    </row>
    <row r="248" spans="7:8" ht="38.25" x14ac:dyDescent="0.2">
      <c r="G248" s="106" t="s">
        <v>2548</v>
      </c>
      <c r="H248" s="106" t="s">
        <v>4155</v>
      </c>
    </row>
    <row r="249" spans="7:8" ht="38.25" x14ac:dyDescent="0.2">
      <c r="G249" s="106" t="s">
        <v>2549</v>
      </c>
      <c r="H249" s="106" t="s">
        <v>1935</v>
      </c>
    </row>
    <row r="250" spans="7:8" ht="38.25" x14ac:dyDescent="0.2">
      <c r="G250" s="106" t="s">
        <v>2888</v>
      </c>
      <c r="H250" s="106" t="s">
        <v>1936</v>
      </c>
    </row>
    <row r="251" spans="7:8" ht="38.25" x14ac:dyDescent="0.2">
      <c r="G251" s="106" t="s">
        <v>2889</v>
      </c>
      <c r="H251" s="106" t="s">
        <v>1937</v>
      </c>
    </row>
    <row r="252" spans="7:8" ht="38.25" x14ac:dyDescent="0.2">
      <c r="G252" s="106" t="s">
        <v>1650</v>
      </c>
      <c r="H252" s="106" t="s">
        <v>230</v>
      </c>
    </row>
    <row r="253" spans="7:8" ht="38.25" x14ac:dyDescent="0.2">
      <c r="G253" s="106" t="s">
        <v>1651</v>
      </c>
      <c r="H253" s="106" t="s">
        <v>231</v>
      </c>
    </row>
    <row r="254" spans="7:8" ht="38.25" x14ac:dyDescent="0.2">
      <c r="G254" s="106" t="s">
        <v>1652</v>
      </c>
      <c r="H254" s="106" t="s">
        <v>3752</v>
      </c>
    </row>
    <row r="255" spans="7:8" ht="38.25" x14ac:dyDescent="0.2">
      <c r="G255" s="106" t="s">
        <v>1653</v>
      </c>
      <c r="H255" s="106" t="s">
        <v>3753</v>
      </c>
    </row>
    <row r="256" spans="7:8" ht="38.25" x14ac:dyDescent="0.2">
      <c r="G256" s="106" t="s">
        <v>1654</v>
      </c>
      <c r="H256" s="106" t="s">
        <v>3754</v>
      </c>
    </row>
    <row r="257" spans="7:8" ht="38.25" x14ac:dyDescent="0.2">
      <c r="G257" s="106" t="s">
        <v>1655</v>
      </c>
      <c r="H257" s="106" t="s">
        <v>3755</v>
      </c>
    </row>
    <row r="258" spans="7:8" ht="38.25" x14ac:dyDescent="0.2">
      <c r="G258" s="106" t="s">
        <v>3329</v>
      </c>
      <c r="H258" s="106" t="s">
        <v>3756</v>
      </c>
    </row>
    <row r="259" spans="7:8" ht="38.25" x14ac:dyDescent="0.2">
      <c r="G259" s="106" t="s">
        <v>3330</v>
      </c>
      <c r="H259" s="106" t="s">
        <v>3757</v>
      </c>
    </row>
    <row r="260" spans="7:8" ht="38.25" x14ac:dyDescent="0.2">
      <c r="G260" s="106" t="s">
        <v>3331</v>
      </c>
      <c r="H260" s="106" t="s">
        <v>3758</v>
      </c>
    </row>
    <row r="261" spans="7:8" ht="38.25" x14ac:dyDescent="0.2">
      <c r="G261" s="106" t="s">
        <v>3332</v>
      </c>
      <c r="H261" s="106" t="s">
        <v>3759</v>
      </c>
    </row>
    <row r="262" spans="7:8" ht="38.25" x14ac:dyDescent="0.2">
      <c r="G262" s="106" t="s">
        <v>2262</v>
      </c>
      <c r="H262" s="106" t="s">
        <v>161</v>
      </c>
    </row>
    <row r="263" spans="7:8" ht="38.25" x14ac:dyDescent="0.2">
      <c r="G263" s="106" t="s">
        <v>2263</v>
      </c>
      <c r="H263" s="106" t="s">
        <v>1683</v>
      </c>
    </row>
    <row r="264" spans="7:8" ht="38.25" x14ac:dyDescent="0.2">
      <c r="G264" s="106" t="s">
        <v>2264</v>
      </c>
      <c r="H264" s="106" t="s">
        <v>1684</v>
      </c>
    </row>
    <row r="265" spans="7:8" ht="38.25" x14ac:dyDescent="0.2">
      <c r="G265" s="106" t="s">
        <v>4207</v>
      </c>
      <c r="H265" s="106" t="s">
        <v>1685</v>
      </c>
    </row>
    <row r="266" spans="7:8" ht="38.25" x14ac:dyDescent="0.2">
      <c r="G266" s="106" t="s">
        <v>1748</v>
      </c>
      <c r="H266" s="106" t="s">
        <v>1686</v>
      </c>
    </row>
    <row r="267" spans="7:8" ht="38.25" x14ac:dyDescent="0.2">
      <c r="G267" s="106" t="s">
        <v>1749</v>
      </c>
      <c r="H267" s="106" t="s">
        <v>1687</v>
      </c>
    </row>
    <row r="268" spans="7:8" ht="38.25" x14ac:dyDescent="0.2">
      <c r="G268" s="106" t="s">
        <v>1750</v>
      </c>
      <c r="H268" s="106" t="s">
        <v>1688</v>
      </c>
    </row>
    <row r="269" spans="7:8" ht="38.25" x14ac:dyDescent="0.2">
      <c r="G269" s="106" t="s">
        <v>3870</v>
      </c>
      <c r="H269" s="106" t="s">
        <v>1689</v>
      </c>
    </row>
    <row r="270" spans="7:8" ht="38.25" x14ac:dyDescent="0.2">
      <c r="G270" s="106" t="s">
        <v>3871</v>
      </c>
      <c r="H270" s="106" t="s">
        <v>1690</v>
      </c>
    </row>
    <row r="271" spans="7:8" ht="38.25" x14ac:dyDescent="0.2">
      <c r="G271" s="106" t="s">
        <v>3872</v>
      </c>
      <c r="H271" s="106" t="s">
        <v>1691</v>
      </c>
    </row>
    <row r="272" spans="7:8" ht="25.5" x14ac:dyDescent="0.2">
      <c r="G272" s="106" t="s">
        <v>3873</v>
      </c>
      <c r="H272" s="106" t="s">
        <v>1692</v>
      </c>
    </row>
    <row r="273" spans="7:8" ht="25.5" x14ac:dyDescent="0.2">
      <c r="G273" s="106" t="s">
        <v>3874</v>
      </c>
      <c r="H273" s="106" t="s">
        <v>1693</v>
      </c>
    </row>
    <row r="274" spans="7:8" ht="25.5" x14ac:dyDescent="0.2">
      <c r="G274" s="106" t="s">
        <v>3875</v>
      </c>
      <c r="H274" s="106" t="s">
        <v>1694</v>
      </c>
    </row>
    <row r="275" spans="7:8" ht="25.5" x14ac:dyDescent="0.2">
      <c r="G275" s="106" t="s">
        <v>3876</v>
      </c>
      <c r="H275" s="106" t="s">
        <v>1695</v>
      </c>
    </row>
    <row r="276" spans="7:8" ht="25.5" x14ac:dyDescent="0.2">
      <c r="G276" s="106" t="s">
        <v>3877</v>
      </c>
      <c r="H276" s="106" t="s">
        <v>1696</v>
      </c>
    </row>
    <row r="277" spans="7:8" ht="25.5" x14ac:dyDescent="0.2">
      <c r="G277" s="106" t="s">
        <v>4022</v>
      </c>
      <c r="H277" s="106" t="s">
        <v>1697</v>
      </c>
    </row>
    <row r="278" spans="7:8" ht="25.5" x14ac:dyDescent="0.2">
      <c r="G278" s="106" t="s">
        <v>4023</v>
      </c>
      <c r="H278" s="106" t="s">
        <v>1698</v>
      </c>
    </row>
    <row r="279" spans="7:8" ht="25.5" x14ac:dyDescent="0.2">
      <c r="G279" s="106" t="s">
        <v>4024</v>
      </c>
      <c r="H279" s="106" t="s">
        <v>1699</v>
      </c>
    </row>
    <row r="280" spans="7:8" ht="25.5" x14ac:dyDescent="0.2">
      <c r="G280" s="106" t="s">
        <v>4025</v>
      </c>
      <c r="H280" s="106" t="s">
        <v>1700</v>
      </c>
    </row>
    <row r="281" spans="7:8" ht="25.5" x14ac:dyDescent="0.2">
      <c r="G281" s="106" t="s">
        <v>4026</v>
      </c>
      <c r="H281" s="106" t="s">
        <v>1701</v>
      </c>
    </row>
    <row r="282" spans="7:8" ht="25.5" x14ac:dyDescent="0.2">
      <c r="G282" s="106" t="s">
        <v>4027</v>
      </c>
      <c r="H282" s="106" t="s">
        <v>1702</v>
      </c>
    </row>
    <row r="283" spans="7:8" ht="25.5" x14ac:dyDescent="0.2">
      <c r="G283" s="106" t="s">
        <v>4028</v>
      </c>
      <c r="H283" s="106" t="s">
        <v>1703</v>
      </c>
    </row>
    <row r="284" spans="7:8" ht="25.5" x14ac:dyDescent="0.2">
      <c r="G284" s="106" t="s">
        <v>2316</v>
      </c>
      <c r="H284" s="106" t="s">
        <v>1704</v>
      </c>
    </row>
    <row r="285" spans="7:8" ht="25.5" x14ac:dyDescent="0.2">
      <c r="G285" s="106" t="s">
        <v>2317</v>
      </c>
      <c r="H285" s="106" t="s">
        <v>1705</v>
      </c>
    </row>
    <row r="286" spans="7:8" ht="25.5" x14ac:dyDescent="0.2">
      <c r="G286" s="106" t="s">
        <v>2318</v>
      </c>
      <c r="H286" s="106" t="s">
        <v>1706</v>
      </c>
    </row>
    <row r="287" spans="7:8" ht="25.5" x14ac:dyDescent="0.2">
      <c r="G287" s="106" t="s">
        <v>2319</v>
      </c>
      <c r="H287" s="106" t="s">
        <v>1707</v>
      </c>
    </row>
    <row r="288" spans="7:8" ht="25.5" x14ac:dyDescent="0.2">
      <c r="G288" s="106" t="s">
        <v>2320</v>
      </c>
      <c r="H288" s="106" t="s">
        <v>1708</v>
      </c>
    </row>
    <row r="289" spans="7:8" ht="25.5" x14ac:dyDescent="0.2">
      <c r="G289" s="106" t="s">
        <v>2321</v>
      </c>
      <c r="H289" s="106" t="s">
        <v>1709</v>
      </c>
    </row>
    <row r="290" spans="7:8" ht="25.5" x14ac:dyDescent="0.2">
      <c r="G290" s="106" t="s">
        <v>2322</v>
      </c>
      <c r="H290" s="106" t="s">
        <v>1710</v>
      </c>
    </row>
    <row r="291" spans="7:8" ht="25.5" x14ac:dyDescent="0.2">
      <c r="G291" s="106" t="s">
        <v>2323</v>
      </c>
      <c r="H291" s="106" t="s">
        <v>1711</v>
      </c>
    </row>
    <row r="292" spans="7:8" ht="25.5" x14ac:dyDescent="0.2">
      <c r="G292" s="106" t="s">
        <v>2324</v>
      </c>
      <c r="H292" s="106" t="s">
        <v>1711</v>
      </c>
    </row>
    <row r="293" spans="7:8" ht="25.5" x14ac:dyDescent="0.2">
      <c r="G293" s="106" t="s">
        <v>2325</v>
      </c>
      <c r="H293" s="106" t="s">
        <v>1233</v>
      </c>
    </row>
    <row r="294" spans="7:8" ht="25.5" x14ac:dyDescent="0.2">
      <c r="G294" s="106" t="s">
        <v>2326</v>
      </c>
      <c r="H294" s="106" t="s">
        <v>1234</v>
      </c>
    </row>
    <row r="295" spans="7:8" ht="25.5" x14ac:dyDescent="0.2">
      <c r="G295" s="106" t="s">
        <v>2348</v>
      </c>
      <c r="H295" s="106" t="s">
        <v>1235</v>
      </c>
    </row>
    <row r="296" spans="7:8" ht="25.5" x14ac:dyDescent="0.2">
      <c r="G296" s="106" t="s">
        <v>4190</v>
      </c>
      <c r="H296" s="106" t="s">
        <v>1236</v>
      </c>
    </row>
    <row r="297" spans="7:8" ht="25.5" x14ac:dyDescent="0.2">
      <c r="G297" s="106" t="s">
        <v>4191</v>
      </c>
      <c r="H297" s="106" t="s">
        <v>1237</v>
      </c>
    </row>
    <row r="298" spans="7:8" ht="25.5" x14ac:dyDescent="0.2">
      <c r="G298" s="106" t="s">
        <v>2727</v>
      </c>
      <c r="H298" s="106" t="s">
        <v>1238</v>
      </c>
    </row>
    <row r="299" spans="7:8" ht="25.5" x14ac:dyDescent="0.2">
      <c r="G299" s="106" t="s">
        <v>2728</v>
      </c>
      <c r="H299" s="106" t="s">
        <v>1239</v>
      </c>
    </row>
    <row r="300" spans="7:8" ht="25.5" x14ac:dyDescent="0.2">
      <c r="G300" s="106" t="s">
        <v>2729</v>
      </c>
      <c r="H300" s="106" t="s">
        <v>1240</v>
      </c>
    </row>
    <row r="301" spans="7:8" ht="25.5" x14ac:dyDescent="0.2">
      <c r="G301" s="106" t="s">
        <v>4183</v>
      </c>
      <c r="H301" s="106" t="s">
        <v>1241</v>
      </c>
    </row>
    <row r="302" spans="7:8" ht="25.5" x14ac:dyDescent="0.2">
      <c r="G302" s="106" t="s">
        <v>2497</v>
      </c>
      <c r="H302" s="106" t="s">
        <v>3732</v>
      </c>
    </row>
    <row r="303" spans="7:8" ht="25.5" x14ac:dyDescent="0.2">
      <c r="G303" s="106" t="s">
        <v>2498</v>
      </c>
      <c r="H303" s="106" t="s">
        <v>3733</v>
      </c>
    </row>
    <row r="304" spans="7:8" ht="25.5" x14ac:dyDescent="0.2">
      <c r="G304" s="106" t="s">
        <v>2499</v>
      </c>
      <c r="H304" s="106" t="s">
        <v>3734</v>
      </c>
    </row>
    <row r="305" spans="7:8" ht="25.5" x14ac:dyDescent="0.2">
      <c r="G305" s="106" t="s">
        <v>3722</v>
      </c>
      <c r="H305" s="106" t="s">
        <v>3735</v>
      </c>
    </row>
    <row r="306" spans="7:8" ht="25.5" x14ac:dyDescent="0.2">
      <c r="G306" s="106" t="s">
        <v>3723</v>
      </c>
      <c r="H306" s="106" t="s">
        <v>3736</v>
      </c>
    </row>
    <row r="307" spans="7:8" ht="25.5" x14ac:dyDescent="0.2">
      <c r="G307" s="106" t="s">
        <v>3724</v>
      </c>
      <c r="H307" s="106" t="s">
        <v>3737</v>
      </c>
    </row>
    <row r="308" spans="7:8" ht="25.5" x14ac:dyDescent="0.2">
      <c r="G308" s="106" t="s">
        <v>3725</v>
      </c>
      <c r="H308" s="106" t="s">
        <v>3738</v>
      </c>
    </row>
    <row r="309" spans="7:8" ht="25.5" x14ac:dyDescent="0.2">
      <c r="G309" s="106" t="s">
        <v>3313</v>
      </c>
      <c r="H309" s="106" t="s">
        <v>3739</v>
      </c>
    </row>
    <row r="310" spans="7:8" ht="25.5" x14ac:dyDescent="0.2">
      <c r="G310" s="106" t="s">
        <v>3624</v>
      </c>
      <c r="H310" s="106" t="s">
        <v>3740</v>
      </c>
    </row>
    <row r="311" spans="7:8" ht="25.5" x14ac:dyDescent="0.2">
      <c r="G311" s="106" t="s">
        <v>3625</v>
      </c>
      <c r="H311" s="106" t="s">
        <v>3741</v>
      </c>
    </row>
    <row r="312" spans="7:8" ht="25.5" x14ac:dyDescent="0.2">
      <c r="G312" s="106" t="s">
        <v>3626</v>
      </c>
      <c r="H312" s="106" t="s">
        <v>3742</v>
      </c>
    </row>
    <row r="313" spans="7:8" ht="25.5" x14ac:dyDescent="0.2">
      <c r="G313" s="106" t="s">
        <v>3627</v>
      </c>
      <c r="H313" s="106" t="s">
        <v>3743</v>
      </c>
    </row>
    <row r="314" spans="7:8" ht="25.5" x14ac:dyDescent="0.2">
      <c r="G314" s="106" t="s">
        <v>3311</v>
      </c>
      <c r="H314" s="106" t="s">
        <v>3744</v>
      </c>
    </row>
    <row r="315" spans="7:8" ht="25.5" x14ac:dyDescent="0.2">
      <c r="G315" s="106" t="s">
        <v>3312</v>
      </c>
      <c r="H315" s="106" t="s">
        <v>3745</v>
      </c>
    </row>
    <row r="316" spans="7:8" ht="25.5" x14ac:dyDescent="0.2">
      <c r="G316" s="106" t="s">
        <v>3298</v>
      </c>
      <c r="H316" s="106" t="s">
        <v>3746</v>
      </c>
    </row>
    <row r="317" spans="7:8" ht="25.5" x14ac:dyDescent="0.2">
      <c r="G317" s="106" t="s">
        <v>3299</v>
      </c>
      <c r="H317" s="106" t="s">
        <v>3935</v>
      </c>
    </row>
    <row r="318" spans="7:8" ht="25.5" x14ac:dyDescent="0.2">
      <c r="G318" s="106" t="s">
        <v>3300</v>
      </c>
      <c r="H318" s="106" t="s">
        <v>3936</v>
      </c>
    </row>
    <row r="319" spans="7:8" ht="25.5" x14ac:dyDescent="0.2">
      <c r="G319" s="106" t="s">
        <v>3199</v>
      </c>
      <c r="H319" s="106" t="s">
        <v>3937</v>
      </c>
    </row>
    <row r="320" spans="7:8" ht="25.5" x14ac:dyDescent="0.2">
      <c r="G320" s="106" t="s">
        <v>3200</v>
      </c>
      <c r="H320" s="106" t="s">
        <v>3938</v>
      </c>
    </row>
    <row r="321" spans="7:8" ht="25.5" x14ac:dyDescent="0.2">
      <c r="G321" s="106" t="s">
        <v>3201</v>
      </c>
      <c r="H321" s="106" t="s">
        <v>3939</v>
      </c>
    </row>
    <row r="322" spans="7:8" ht="25.5" x14ac:dyDescent="0.2">
      <c r="G322" s="106" t="s">
        <v>3202</v>
      </c>
      <c r="H322" s="106" t="s">
        <v>3940</v>
      </c>
    </row>
    <row r="323" spans="7:8" ht="25.5" x14ac:dyDescent="0.2">
      <c r="G323" s="106" t="s">
        <v>3203</v>
      </c>
      <c r="H323" s="106" t="s">
        <v>3941</v>
      </c>
    </row>
    <row r="324" spans="7:8" ht="25.5" x14ac:dyDescent="0.2">
      <c r="G324" s="106" t="s">
        <v>3975</v>
      </c>
      <c r="H324" s="106" t="s">
        <v>3942</v>
      </c>
    </row>
    <row r="325" spans="7:8" ht="25.5" x14ac:dyDescent="0.2">
      <c r="G325" s="106" t="s">
        <v>3976</v>
      </c>
      <c r="H325" s="106" t="s">
        <v>3943</v>
      </c>
    </row>
    <row r="326" spans="7:8" ht="25.5" x14ac:dyDescent="0.2">
      <c r="G326" s="106" t="s">
        <v>3977</v>
      </c>
      <c r="H326" s="106" t="s">
        <v>3944</v>
      </c>
    </row>
    <row r="327" spans="7:8" ht="25.5" x14ac:dyDescent="0.2">
      <c r="G327" s="106" t="s">
        <v>3978</v>
      </c>
      <c r="H327" s="106" t="s">
        <v>3945</v>
      </c>
    </row>
    <row r="328" spans="7:8" ht="25.5" x14ac:dyDescent="0.2">
      <c r="G328" s="106" t="s">
        <v>3979</v>
      </c>
      <c r="H328" s="106" t="s">
        <v>2359</v>
      </c>
    </row>
    <row r="329" spans="7:8" ht="25.5" x14ac:dyDescent="0.2">
      <c r="G329" s="106" t="s">
        <v>3980</v>
      </c>
      <c r="H329" s="106" t="s">
        <v>2360</v>
      </c>
    </row>
    <row r="330" spans="7:8" ht="25.5" x14ac:dyDescent="0.2">
      <c r="G330" s="106" t="s">
        <v>3981</v>
      </c>
      <c r="H330" s="106" t="s">
        <v>2361</v>
      </c>
    </row>
    <row r="331" spans="7:8" ht="25.5" x14ac:dyDescent="0.2">
      <c r="G331" s="106" t="s">
        <v>3982</v>
      </c>
      <c r="H331" s="106" t="s">
        <v>2362</v>
      </c>
    </row>
    <row r="332" spans="7:8" ht="25.5" x14ac:dyDescent="0.2">
      <c r="G332" s="106" t="s">
        <v>3983</v>
      </c>
      <c r="H332" s="106" t="s">
        <v>2363</v>
      </c>
    </row>
    <row r="333" spans="7:8" ht="25.5" x14ac:dyDescent="0.2">
      <c r="G333" s="106" t="s">
        <v>3984</v>
      </c>
      <c r="H333" s="106" t="s">
        <v>2364</v>
      </c>
    </row>
    <row r="334" spans="7:8" ht="25.5" x14ac:dyDescent="0.2">
      <c r="G334" s="106" t="s">
        <v>3985</v>
      </c>
      <c r="H334" s="106" t="s">
        <v>2365</v>
      </c>
    </row>
    <row r="335" spans="7:8" ht="25.5" x14ac:dyDescent="0.2">
      <c r="G335" s="106" t="s">
        <v>3986</v>
      </c>
      <c r="H335" s="106" t="s">
        <v>2366</v>
      </c>
    </row>
    <row r="336" spans="7:8" ht="25.5" x14ac:dyDescent="0.2">
      <c r="G336" s="106" t="s">
        <v>3987</v>
      </c>
      <c r="H336" s="106" t="s">
        <v>2367</v>
      </c>
    </row>
    <row r="337" spans="7:8" ht="25.5" x14ac:dyDescent="0.2">
      <c r="G337" s="106" t="s">
        <v>2836</v>
      </c>
      <c r="H337" s="106" t="s">
        <v>2368</v>
      </c>
    </row>
    <row r="338" spans="7:8" ht="25.5" x14ac:dyDescent="0.2">
      <c r="G338" s="106" t="s">
        <v>2837</v>
      </c>
      <c r="H338" s="106" t="s">
        <v>2369</v>
      </c>
    </row>
    <row r="339" spans="7:8" ht="25.5" x14ac:dyDescent="0.2">
      <c r="G339" s="106" t="s">
        <v>2838</v>
      </c>
      <c r="H339" s="106" t="s">
        <v>2370</v>
      </c>
    </row>
    <row r="340" spans="7:8" ht="25.5" x14ac:dyDescent="0.2">
      <c r="G340" s="106" t="s">
        <v>1226</v>
      </c>
      <c r="H340" s="106" t="s">
        <v>2371</v>
      </c>
    </row>
    <row r="341" spans="7:8" ht="38.25" x14ac:dyDescent="0.2">
      <c r="G341" s="106" t="s">
        <v>2372</v>
      </c>
      <c r="H341" s="106" t="s">
        <v>2373</v>
      </c>
    </row>
    <row r="342" spans="7:8" ht="38.25" x14ac:dyDescent="0.2">
      <c r="G342" s="106" t="s">
        <v>1227</v>
      </c>
      <c r="H342" s="106" t="s">
        <v>3071</v>
      </c>
    </row>
    <row r="343" spans="7:8" ht="38.25" x14ac:dyDescent="0.2">
      <c r="G343" s="106" t="s">
        <v>1228</v>
      </c>
      <c r="H343" s="106" t="s">
        <v>3072</v>
      </c>
    </row>
    <row r="344" spans="7:8" ht="38.25" x14ac:dyDescent="0.2">
      <c r="G344" s="106" t="s">
        <v>1229</v>
      </c>
      <c r="H344" s="106" t="s">
        <v>3073</v>
      </c>
    </row>
    <row r="345" spans="7:8" ht="38.25" x14ac:dyDescent="0.2">
      <c r="G345" s="106" t="s">
        <v>1230</v>
      </c>
      <c r="H345" s="106" t="s">
        <v>3074</v>
      </c>
    </row>
    <row r="346" spans="7:8" ht="38.25" x14ac:dyDescent="0.2">
      <c r="G346" s="106" t="s">
        <v>1231</v>
      </c>
      <c r="H346" s="106" t="s">
        <v>3075</v>
      </c>
    </row>
    <row r="347" spans="7:8" ht="38.25" x14ac:dyDescent="0.2">
      <c r="G347" s="106" t="s">
        <v>2839</v>
      </c>
      <c r="H347" s="106" t="s">
        <v>3076</v>
      </c>
    </row>
    <row r="348" spans="7:8" ht="38.25" x14ac:dyDescent="0.2">
      <c r="G348" s="106" t="s">
        <v>2840</v>
      </c>
      <c r="H348" s="106" t="s">
        <v>3077</v>
      </c>
    </row>
    <row r="349" spans="7:8" ht="38.25" x14ac:dyDescent="0.2">
      <c r="G349" s="106" t="s">
        <v>2841</v>
      </c>
      <c r="H349" s="106" t="s">
        <v>3078</v>
      </c>
    </row>
    <row r="350" spans="7:8" ht="38.25" x14ac:dyDescent="0.2">
      <c r="G350" s="106" t="s">
        <v>1947</v>
      </c>
      <c r="H350" s="106" t="s">
        <v>3079</v>
      </c>
    </row>
    <row r="351" spans="7:8" ht="38.25" x14ac:dyDescent="0.2">
      <c r="G351" s="106" t="s">
        <v>1948</v>
      </c>
      <c r="H351" s="106" t="s">
        <v>3080</v>
      </c>
    </row>
    <row r="352" spans="7:8" ht="38.25" x14ac:dyDescent="0.2">
      <c r="G352" s="106" t="s">
        <v>1949</v>
      </c>
      <c r="H352" s="106" t="s">
        <v>1975</v>
      </c>
    </row>
    <row r="353" spans="7:8" ht="38.25" x14ac:dyDescent="0.2">
      <c r="G353" s="106" t="s">
        <v>1950</v>
      </c>
      <c r="H353" s="106" t="s">
        <v>1976</v>
      </c>
    </row>
    <row r="354" spans="7:8" ht="38.25" x14ac:dyDescent="0.2">
      <c r="G354" s="106" t="s">
        <v>1951</v>
      </c>
      <c r="H354" s="106" t="s">
        <v>1977</v>
      </c>
    </row>
    <row r="355" spans="7:8" ht="38.25" x14ac:dyDescent="0.2">
      <c r="G355" s="106" t="s">
        <v>1952</v>
      </c>
      <c r="H355" s="106" t="s">
        <v>1978</v>
      </c>
    </row>
    <row r="356" spans="7:8" ht="38.25" x14ac:dyDescent="0.2">
      <c r="G356" s="106" t="s">
        <v>1953</v>
      </c>
      <c r="H356" s="106" t="s">
        <v>1979</v>
      </c>
    </row>
    <row r="357" spans="7:8" ht="38.25" x14ac:dyDescent="0.2">
      <c r="G357" s="106" t="s">
        <v>1954</v>
      </c>
      <c r="H357" s="106" t="s">
        <v>1980</v>
      </c>
    </row>
    <row r="358" spans="7:8" ht="38.25" x14ac:dyDescent="0.2">
      <c r="G358" s="106" t="s">
        <v>1955</v>
      </c>
      <c r="H358" s="106" t="s">
        <v>1981</v>
      </c>
    </row>
    <row r="359" spans="7:8" ht="38.25" x14ac:dyDescent="0.2">
      <c r="G359" s="106" t="s">
        <v>1956</v>
      </c>
      <c r="H359" s="106" t="s">
        <v>1982</v>
      </c>
    </row>
    <row r="360" spans="7:8" ht="38.25" x14ac:dyDescent="0.2">
      <c r="G360" s="106" t="s">
        <v>1957</v>
      </c>
      <c r="H360" s="106" t="s">
        <v>1983</v>
      </c>
    </row>
    <row r="361" spans="7:8" ht="38.25" x14ac:dyDescent="0.2">
      <c r="G361" s="106" t="s">
        <v>1958</v>
      </c>
      <c r="H361" s="106" t="s">
        <v>3223</v>
      </c>
    </row>
    <row r="362" spans="7:8" ht="38.25" x14ac:dyDescent="0.2">
      <c r="G362" s="106" t="s">
        <v>1959</v>
      </c>
      <c r="H362" s="106" t="s">
        <v>3224</v>
      </c>
    </row>
    <row r="363" spans="7:8" ht="38.25" x14ac:dyDescent="0.2">
      <c r="G363" s="106" t="s">
        <v>1960</v>
      </c>
      <c r="H363" s="106" t="s">
        <v>3225</v>
      </c>
    </row>
    <row r="364" spans="7:8" ht="38.25" x14ac:dyDescent="0.2">
      <c r="G364" s="106" t="s">
        <v>1961</v>
      </c>
      <c r="H364" s="106" t="s">
        <v>3253</v>
      </c>
    </row>
    <row r="365" spans="7:8" ht="38.25" x14ac:dyDescent="0.2">
      <c r="G365" s="106" t="s">
        <v>1962</v>
      </c>
      <c r="H365" s="106" t="s">
        <v>3254</v>
      </c>
    </row>
    <row r="366" spans="7:8" ht="38.25" x14ac:dyDescent="0.2">
      <c r="G366" s="106" t="s">
        <v>1963</v>
      </c>
      <c r="H366" s="106" t="s">
        <v>3255</v>
      </c>
    </row>
    <row r="367" spans="7:8" ht="38.25" x14ac:dyDescent="0.2">
      <c r="G367" s="106" t="s">
        <v>1964</v>
      </c>
      <c r="H367" s="106" t="s">
        <v>3256</v>
      </c>
    </row>
    <row r="368" spans="7:8" ht="38.25" x14ac:dyDescent="0.2">
      <c r="G368" s="106" t="s">
        <v>1965</v>
      </c>
      <c r="H368" s="106" t="s">
        <v>3257</v>
      </c>
    </row>
    <row r="369" spans="7:8" ht="38.25" x14ac:dyDescent="0.2">
      <c r="G369" s="106" t="s">
        <v>2963</v>
      </c>
      <c r="H369" s="106" t="s">
        <v>3258</v>
      </c>
    </row>
    <row r="370" spans="7:8" ht="38.25" x14ac:dyDescent="0.2">
      <c r="G370" s="106" t="s">
        <v>2964</v>
      </c>
      <c r="H370" s="106" t="s">
        <v>3259</v>
      </c>
    </row>
    <row r="371" spans="7:8" ht="38.25" x14ac:dyDescent="0.2">
      <c r="G371" s="106" t="s">
        <v>3897</v>
      </c>
      <c r="H371" s="106" t="s">
        <v>3260</v>
      </c>
    </row>
    <row r="372" spans="7:8" ht="38.25" x14ac:dyDescent="0.2">
      <c r="G372" s="106" t="s">
        <v>2478</v>
      </c>
      <c r="H372" s="106" t="s">
        <v>3261</v>
      </c>
    </row>
    <row r="373" spans="7:8" ht="38.25" x14ac:dyDescent="0.2">
      <c r="G373" s="106" t="s">
        <v>2479</v>
      </c>
      <c r="H373" s="106" t="s">
        <v>3262</v>
      </c>
    </row>
    <row r="374" spans="7:8" ht="38.25" x14ac:dyDescent="0.2">
      <c r="G374" s="106" t="s">
        <v>1836</v>
      </c>
      <c r="H374" s="106" t="s">
        <v>3263</v>
      </c>
    </row>
    <row r="375" spans="7:8" ht="38.25" x14ac:dyDescent="0.2">
      <c r="G375" s="106" t="s">
        <v>1837</v>
      </c>
      <c r="H375" s="106" t="s">
        <v>3264</v>
      </c>
    </row>
    <row r="376" spans="7:8" ht="38.25" x14ac:dyDescent="0.2">
      <c r="G376" s="106" t="s">
        <v>1838</v>
      </c>
      <c r="H376" s="106" t="s">
        <v>3265</v>
      </c>
    </row>
    <row r="377" spans="7:8" ht="38.25" x14ac:dyDescent="0.2">
      <c r="G377" s="106" t="s">
        <v>1839</v>
      </c>
      <c r="H377" s="106" t="s">
        <v>2500</v>
      </c>
    </row>
    <row r="378" spans="7:8" ht="38.25" x14ac:dyDescent="0.2">
      <c r="G378" s="106" t="s">
        <v>1840</v>
      </c>
      <c r="H378" s="106" t="s">
        <v>2501</v>
      </c>
    </row>
    <row r="379" spans="7:8" ht="38.25" x14ac:dyDescent="0.2">
      <c r="G379" s="106" t="s">
        <v>1232</v>
      </c>
      <c r="H379" s="106" t="s">
        <v>2502</v>
      </c>
    </row>
    <row r="380" spans="7:8" ht="38.25" x14ac:dyDescent="0.2">
      <c r="G380" s="106" t="s">
        <v>4184</v>
      </c>
      <c r="H380" s="106" t="s">
        <v>2503</v>
      </c>
    </row>
    <row r="381" spans="7:8" ht="38.25" x14ac:dyDescent="0.2">
      <c r="G381" s="106" t="s">
        <v>4185</v>
      </c>
      <c r="H381" s="106" t="s">
        <v>3577</v>
      </c>
    </row>
    <row r="382" spans="7:8" ht="38.25" x14ac:dyDescent="0.2">
      <c r="G382" s="106" t="s">
        <v>4186</v>
      </c>
      <c r="H382" s="106" t="s">
        <v>720</v>
      </c>
    </row>
    <row r="383" spans="7:8" ht="38.25" x14ac:dyDescent="0.2">
      <c r="G383" s="106" t="s">
        <v>4187</v>
      </c>
      <c r="H383" s="106" t="s">
        <v>721</v>
      </c>
    </row>
    <row r="384" spans="7:8" ht="38.25" x14ac:dyDescent="0.2">
      <c r="G384" s="106" t="s">
        <v>4188</v>
      </c>
      <c r="H384" s="106" t="s">
        <v>722</v>
      </c>
    </row>
    <row r="385" spans="7:8" ht="38.25" x14ac:dyDescent="0.2">
      <c r="G385" s="106" t="s">
        <v>4189</v>
      </c>
      <c r="H385" s="106" t="s">
        <v>723</v>
      </c>
    </row>
    <row r="386" spans="7:8" ht="38.25" x14ac:dyDescent="0.2">
      <c r="G386" s="106" t="s">
        <v>442</v>
      </c>
      <c r="H386" s="106" t="s">
        <v>2245</v>
      </c>
    </row>
    <row r="387" spans="7:8" ht="38.25" x14ac:dyDescent="0.2">
      <c r="G387" s="106" t="s">
        <v>443</v>
      </c>
      <c r="H387" s="106" t="s">
        <v>2246</v>
      </c>
    </row>
    <row r="388" spans="7:8" ht="38.25" x14ac:dyDescent="0.2">
      <c r="G388" s="106" t="s">
        <v>444</v>
      </c>
      <c r="H388" s="106" t="s">
        <v>2247</v>
      </c>
    </row>
    <row r="389" spans="7:8" ht="38.25" x14ac:dyDescent="0.2">
      <c r="G389" s="106" t="s">
        <v>445</v>
      </c>
      <c r="H389" s="106" t="s">
        <v>2248</v>
      </c>
    </row>
    <row r="390" spans="7:8" ht="38.25" x14ac:dyDescent="0.2">
      <c r="G390" s="106" t="s">
        <v>446</v>
      </c>
      <c r="H390" s="106" t="s">
        <v>2249</v>
      </c>
    </row>
    <row r="391" spans="7:8" ht="38.25" x14ac:dyDescent="0.2">
      <c r="G391" s="106" t="s">
        <v>447</v>
      </c>
      <c r="H391" s="106" t="s">
        <v>2250</v>
      </c>
    </row>
    <row r="392" spans="7:8" ht="38.25" x14ac:dyDescent="0.2">
      <c r="G392" s="106" t="s">
        <v>1379</v>
      </c>
      <c r="H392" s="106" t="s">
        <v>2251</v>
      </c>
    </row>
    <row r="393" spans="7:8" ht="38.25" x14ac:dyDescent="0.2">
      <c r="G393" s="106" t="s">
        <v>841</v>
      </c>
      <c r="H393" s="106" t="s">
        <v>2252</v>
      </c>
    </row>
    <row r="394" spans="7:8" ht="38.25" x14ac:dyDescent="0.2">
      <c r="G394" s="106" t="s">
        <v>842</v>
      </c>
      <c r="H394" s="106" t="s">
        <v>2253</v>
      </c>
    </row>
    <row r="395" spans="7:8" ht="38.25" x14ac:dyDescent="0.2">
      <c r="G395" s="106" t="s">
        <v>286</v>
      </c>
      <c r="H395" s="106" t="s">
        <v>2254</v>
      </c>
    </row>
    <row r="396" spans="7:8" ht="38.25" x14ac:dyDescent="0.2">
      <c r="G396" s="106" t="s">
        <v>287</v>
      </c>
      <c r="H396" s="106" t="s">
        <v>2255</v>
      </c>
    </row>
    <row r="397" spans="7:8" ht="38.25" x14ac:dyDescent="0.2">
      <c r="G397" s="106" t="s">
        <v>3180</v>
      </c>
      <c r="H397" s="106" t="s">
        <v>2256</v>
      </c>
    </row>
    <row r="398" spans="7:8" ht="38.25" x14ac:dyDescent="0.2">
      <c r="G398" s="106" t="s">
        <v>3181</v>
      </c>
      <c r="H398" s="106" t="s">
        <v>3727</v>
      </c>
    </row>
    <row r="399" spans="7:8" ht="38.25" x14ac:dyDescent="0.2">
      <c r="G399" s="106" t="s">
        <v>3182</v>
      </c>
      <c r="H399" s="106" t="s">
        <v>3728</v>
      </c>
    </row>
    <row r="400" spans="7:8" ht="38.25" x14ac:dyDescent="0.2">
      <c r="G400" s="106" t="s">
        <v>2909</v>
      </c>
      <c r="H400" s="106" t="s">
        <v>3729</v>
      </c>
    </row>
    <row r="401" spans="7:8" ht="38.25" x14ac:dyDescent="0.2">
      <c r="G401" s="106" t="s">
        <v>3100</v>
      </c>
      <c r="H401" s="106" t="s">
        <v>3730</v>
      </c>
    </row>
    <row r="402" spans="7:8" ht="38.25" x14ac:dyDescent="0.2">
      <c r="G402" s="106" t="s">
        <v>3101</v>
      </c>
      <c r="H402" s="106" t="s">
        <v>3731</v>
      </c>
    </row>
    <row r="403" spans="7:8" ht="38.25" x14ac:dyDescent="0.2">
      <c r="G403" s="106" t="s">
        <v>3102</v>
      </c>
      <c r="H403" s="106" t="s">
        <v>1382</v>
      </c>
    </row>
    <row r="404" spans="7:8" ht="38.25" x14ac:dyDescent="0.2">
      <c r="G404" s="106" t="s">
        <v>3103</v>
      </c>
      <c r="H404" s="106" t="s">
        <v>521</v>
      </c>
    </row>
    <row r="405" spans="7:8" ht="38.25" x14ac:dyDescent="0.2">
      <c r="G405" s="106" t="s">
        <v>423</v>
      </c>
      <c r="H405" s="106" t="s">
        <v>522</v>
      </c>
    </row>
    <row r="406" spans="7:8" ht="38.25" x14ac:dyDescent="0.2">
      <c r="G406" s="106" t="s">
        <v>424</v>
      </c>
      <c r="H406" s="106" t="s">
        <v>523</v>
      </c>
    </row>
    <row r="407" spans="7:8" ht="38.25" x14ac:dyDescent="0.2">
      <c r="G407" s="106" t="s">
        <v>681</v>
      </c>
      <c r="H407" s="106" t="s">
        <v>524</v>
      </c>
    </row>
    <row r="408" spans="7:8" ht="38.25" x14ac:dyDescent="0.2">
      <c r="G408" s="106" t="s">
        <v>682</v>
      </c>
      <c r="H408" s="106" t="s">
        <v>525</v>
      </c>
    </row>
    <row r="409" spans="7:8" ht="38.25" x14ac:dyDescent="0.2">
      <c r="G409" s="106" t="s">
        <v>2481</v>
      </c>
      <c r="H409" s="106" t="s">
        <v>526</v>
      </c>
    </row>
    <row r="410" spans="7:8" ht="38.25" x14ac:dyDescent="0.2">
      <c r="G410" s="106" t="s">
        <v>2491</v>
      </c>
      <c r="H410" s="106" t="s">
        <v>527</v>
      </c>
    </row>
    <row r="411" spans="7:8" ht="38.25" x14ac:dyDescent="0.2">
      <c r="G411" s="106" t="s">
        <v>2492</v>
      </c>
      <c r="H411" s="106" t="s">
        <v>528</v>
      </c>
    </row>
    <row r="412" spans="7:8" ht="38.25" x14ac:dyDescent="0.2">
      <c r="G412" s="106" t="s">
        <v>2493</v>
      </c>
      <c r="H412" s="106" t="s">
        <v>529</v>
      </c>
    </row>
    <row r="413" spans="7:8" ht="38.25" x14ac:dyDescent="0.2">
      <c r="G413" s="106" t="s">
        <v>2494</v>
      </c>
      <c r="H413" s="106" t="s">
        <v>530</v>
      </c>
    </row>
    <row r="414" spans="7:8" ht="38.25" x14ac:dyDescent="0.2">
      <c r="G414" s="106" t="s">
        <v>2495</v>
      </c>
      <c r="H414" s="106" t="s">
        <v>531</v>
      </c>
    </row>
    <row r="415" spans="7:8" ht="38.25" x14ac:dyDescent="0.2">
      <c r="G415" s="106" t="s">
        <v>2496</v>
      </c>
      <c r="H415" s="106" t="s">
        <v>532</v>
      </c>
    </row>
    <row r="416" spans="7:8" ht="38.25" x14ac:dyDescent="0.2">
      <c r="G416" s="106" t="s">
        <v>2490</v>
      </c>
      <c r="H416" s="106" t="s">
        <v>533</v>
      </c>
    </row>
    <row r="417" spans="7:8" ht="38.25" x14ac:dyDescent="0.2">
      <c r="G417" s="106" t="s">
        <v>283</v>
      </c>
      <c r="H417" s="106" t="s">
        <v>534</v>
      </c>
    </row>
    <row r="418" spans="7:8" ht="38.25" x14ac:dyDescent="0.2">
      <c r="G418" s="106" t="s">
        <v>284</v>
      </c>
      <c r="H418" s="106" t="s">
        <v>535</v>
      </c>
    </row>
    <row r="419" spans="7:8" ht="38.25" x14ac:dyDescent="0.2">
      <c r="G419" s="106" t="s">
        <v>285</v>
      </c>
      <c r="H419" s="106" t="s">
        <v>536</v>
      </c>
    </row>
    <row r="420" spans="7:8" ht="38.25" x14ac:dyDescent="0.2">
      <c r="G420" s="106" t="s">
        <v>1875</v>
      </c>
      <c r="H420" s="106" t="s">
        <v>537</v>
      </c>
    </row>
    <row r="421" spans="7:8" ht="38.25" x14ac:dyDescent="0.2">
      <c r="G421" s="106" t="s">
        <v>1876</v>
      </c>
      <c r="H421" s="106" t="s">
        <v>538</v>
      </c>
    </row>
    <row r="422" spans="7:8" ht="38.25" x14ac:dyDescent="0.2">
      <c r="G422" s="106" t="s">
        <v>2458</v>
      </c>
      <c r="H422" s="106" t="s">
        <v>539</v>
      </c>
    </row>
    <row r="423" spans="7:8" ht="38.25" x14ac:dyDescent="0.2">
      <c r="G423" s="106" t="s">
        <v>2459</v>
      </c>
      <c r="H423" s="106" t="s">
        <v>1984</v>
      </c>
    </row>
    <row r="424" spans="7:8" ht="38.25" x14ac:dyDescent="0.2">
      <c r="G424" s="106" t="s">
        <v>2460</v>
      </c>
      <c r="H424" s="106" t="s">
        <v>1985</v>
      </c>
    </row>
    <row r="425" spans="7:8" ht="38.25" x14ac:dyDescent="0.2">
      <c r="G425" s="106" t="s">
        <v>2461</v>
      </c>
      <c r="H425" s="106" t="s">
        <v>3958</v>
      </c>
    </row>
    <row r="426" spans="7:8" ht="38.25" x14ac:dyDescent="0.2">
      <c r="G426" s="106" t="s">
        <v>3949</v>
      </c>
      <c r="H426" s="106" t="s">
        <v>2926</v>
      </c>
    </row>
    <row r="427" spans="7:8" ht="38.25" x14ac:dyDescent="0.2">
      <c r="G427" s="106" t="s">
        <v>3950</v>
      </c>
      <c r="H427" s="106" t="s">
        <v>264</v>
      </c>
    </row>
    <row r="428" spans="7:8" ht="38.25" x14ac:dyDescent="0.2">
      <c r="G428" s="106" t="s">
        <v>3951</v>
      </c>
      <c r="H428" s="106" t="s">
        <v>265</v>
      </c>
    </row>
    <row r="429" spans="7:8" ht="38.25" x14ac:dyDescent="0.2">
      <c r="G429" s="106" t="s">
        <v>3952</v>
      </c>
      <c r="H429" s="106" t="s">
        <v>266</v>
      </c>
    </row>
    <row r="430" spans="7:8" ht="38.25" x14ac:dyDescent="0.2">
      <c r="G430" s="106" t="s">
        <v>3953</v>
      </c>
      <c r="H430" s="106" t="s">
        <v>267</v>
      </c>
    </row>
    <row r="431" spans="7:8" ht="38.25" x14ac:dyDescent="0.2">
      <c r="G431" s="106" t="s">
        <v>3988</v>
      </c>
      <c r="H431" s="106" t="s">
        <v>268</v>
      </c>
    </row>
    <row r="432" spans="7:8" ht="38.25" x14ac:dyDescent="0.2">
      <c r="G432" s="106" t="s">
        <v>3989</v>
      </c>
      <c r="H432" s="106" t="s">
        <v>269</v>
      </c>
    </row>
    <row r="433" spans="7:8" ht="38.25" x14ac:dyDescent="0.2">
      <c r="G433" s="106" t="s">
        <v>3990</v>
      </c>
      <c r="H433" s="106" t="s">
        <v>270</v>
      </c>
    </row>
    <row r="434" spans="7:8" ht="38.25" x14ac:dyDescent="0.2">
      <c r="G434" s="106" t="s">
        <v>3991</v>
      </c>
      <c r="H434" s="106" t="s">
        <v>271</v>
      </c>
    </row>
    <row r="435" spans="7:8" ht="38.25" x14ac:dyDescent="0.2">
      <c r="G435" s="106" t="s">
        <v>3992</v>
      </c>
      <c r="H435" s="106" t="s">
        <v>272</v>
      </c>
    </row>
    <row r="436" spans="7:8" ht="38.25" x14ac:dyDescent="0.2">
      <c r="G436" s="106" t="s">
        <v>3993</v>
      </c>
      <c r="H436" s="106" t="s">
        <v>273</v>
      </c>
    </row>
    <row r="437" spans="7:8" ht="38.25" x14ac:dyDescent="0.2">
      <c r="G437" s="106" t="s">
        <v>3994</v>
      </c>
      <c r="H437" s="106" t="s">
        <v>274</v>
      </c>
    </row>
    <row r="438" spans="7:8" ht="38.25" x14ac:dyDescent="0.2">
      <c r="G438" s="106" t="s">
        <v>3351</v>
      </c>
      <c r="H438" s="106" t="s">
        <v>275</v>
      </c>
    </row>
    <row r="439" spans="7:8" ht="38.25" x14ac:dyDescent="0.2">
      <c r="G439" s="106" t="s">
        <v>3664</v>
      </c>
      <c r="H439" s="106" t="s">
        <v>603</v>
      </c>
    </row>
    <row r="440" spans="7:8" ht="38.25" x14ac:dyDescent="0.2">
      <c r="G440" s="106" t="s">
        <v>3665</v>
      </c>
      <c r="H440" s="106" t="s">
        <v>604</v>
      </c>
    </row>
    <row r="441" spans="7:8" ht="38.25" x14ac:dyDescent="0.2">
      <c r="G441" s="106" t="s">
        <v>3666</v>
      </c>
      <c r="H441" s="106" t="s">
        <v>605</v>
      </c>
    </row>
    <row r="442" spans="7:8" ht="38.25" x14ac:dyDescent="0.2">
      <c r="G442" s="106" t="s">
        <v>3667</v>
      </c>
      <c r="H442" s="106" t="s">
        <v>4060</v>
      </c>
    </row>
    <row r="443" spans="7:8" ht="38.25" x14ac:dyDescent="0.2">
      <c r="G443" s="106" t="s">
        <v>3668</v>
      </c>
      <c r="H443" s="106" t="s">
        <v>3514</v>
      </c>
    </row>
    <row r="444" spans="7:8" ht="38.25" x14ac:dyDescent="0.2">
      <c r="G444" s="106" t="s">
        <v>1987</v>
      </c>
      <c r="H444" s="106" t="s">
        <v>3515</v>
      </c>
    </row>
    <row r="445" spans="7:8" ht="38.25" x14ac:dyDescent="0.2">
      <c r="G445" s="106" t="s">
        <v>2483</v>
      </c>
      <c r="H445" s="106" t="s">
        <v>3516</v>
      </c>
    </row>
    <row r="446" spans="7:8" ht="38.25" x14ac:dyDescent="0.2">
      <c r="G446" s="106" t="s">
        <v>2484</v>
      </c>
      <c r="H446" s="106" t="s">
        <v>3517</v>
      </c>
    </row>
    <row r="447" spans="7:8" ht="38.25" x14ac:dyDescent="0.2">
      <c r="G447" s="106" t="s">
        <v>2485</v>
      </c>
      <c r="H447" s="106" t="s">
        <v>3693</v>
      </c>
    </row>
    <row r="448" spans="7:8" ht="38.25" x14ac:dyDescent="0.2">
      <c r="G448" s="106" t="s">
        <v>2486</v>
      </c>
      <c r="H448" s="106" t="s">
        <v>3694</v>
      </c>
    </row>
    <row r="449" spans="7:8" ht="38.25" x14ac:dyDescent="0.2">
      <c r="G449" s="106" t="s">
        <v>2487</v>
      </c>
      <c r="H449" s="106" t="s">
        <v>3695</v>
      </c>
    </row>
    <row r="450" spans="7:8" ht="38.25" x14ac:dyDescent="0.2">
      <c r="G450" s="106" t="s">
        <v>2488</v>
      </c>
      <c r="H450" s="106" t="s">
        <v>3696</v>
      </c>
    </row>
    <row r="451" spans="7:8" ht="38.25" x14ac:dyDescent="0.2">
      <c r="G451" s="106" t="s">
        <v>3544</v>
      </c>
      <c r="H451" s="106" t="s">
        <v>3697</v>
      </c>
    </row>
    <row r="452" spans="7:8" ht="38.25" x14ac:dyDescent="0.2">
      <c r="G452" s="106" t="s">
        <v>3469</v>
      </c>
      <c r="H452" s="106" t="s">
        <v>3698</v>
      </c>
    </row>
    <row r="453" spans="7:8" ht="38.25" x14ac:dyDescent="0.2">
      <c r="G453" s="106" t="s">
        <v>3470</v>
      </c>
      <c r="H453" s="106" t="s">
        <v>3699</v>
      </c>
    </row>
    <row r="454" spans="7:8" ht="38.25" x14ac:dyDescent="0.2">
      <c r="G454" s="106" t="s">
        <v>3471</v>
      </c>
      <c r="H454" s="106" t="s">
        <v>3700</v>
      </c>
    </row>
    <row r="455" spans="7:8" ht="38.25" x14ac:dyDescent="0.2">
      <c r="G455" s="106" t="s">
        <v>3472</v>
      </c>
      <c r="H455" s="106" t="s">
        <v>3701</v>
      </c>
    </row>
    <row r="456" spans="7:8" ht="38.25" x14ac:dyDescent="0.2">
      <c r="G456" s="106" t="s">
        <v>3883</v>
      </c>
      <c r="H456" s="106" t="s">
        <v>3702</v>
      </c>
    </row>
    <row r="457" spans="7:8" ht="38.25" x14ac:dyDescent="0.2">
      <c r="G457" s="106" t="s">
        <v>4078</v>
      </c>
      <c r="H457" s="106" t="s">
        <v>3703</v>
      </c>
    </row>
    <row r="458" spans="7:8" ht="38.25" x14ac:dyDescent="0.2">
      <c r="G458" s="106" t="s">
        <v>4079</v>
      </c>
      <c r="H458" s="106" t="s">
        <v>3704</v>
      </c>
    </row>
    <row r="459" spans="7:8" ht="38.25" x14ac:dyDescent="0.2">
      <c r="G459" s="106" t="s">
        <v>4080</v>
      </c>
      <c r="H459" s="106" t="s">
        <v>1513</v>
      </c>
    </row>
    <row r="460" spans="7:8" ht="38.25" x14ac:dyDescent="0.2">
      <c r="G460" s="106" t="s">
        <v>4081</v>
      </c>
      <c r="H460" s="106" t="s">
        <v>1514</v>
      </c>
    </row>
    <row r="461" spans="7:8" ht="38.25" x14ac:dyDescent="0.2">
      <c r="G461" s="106" t="s">
        <v>1218</v>
      </c>
      <c r="H461" s="106" t="s">
        <v>1515</v>
      </c>
    </row>
    <row r="462" spans="7:8" ht="25.5" x14ac:dyDescent="0.2">
      <c r="G462" s="106" t="s">
        <v>1777</v>
      </c>
      <c r="H462" s="106" t="s">
        <v>819</v>
      </c>
    </row>
    <row r="463" spans="7:8" ht="25.5" x14ac:dyDescent="0.2">
      <c r="G463" s="106" t="s">
        <v>1778</v>
      </c>
      <c r="H463" s="106" t="s">
        <v>382</v>
      </c>
    </row>
    <row r="464" spans="7:8" ht="25.5" x14ac:dyDescent="0.2">
      <c r="G464" s="106" t="s">
        <v>2688</v>
      </c>
      <c r="H464" s="106" t="s">
        <v>383</v>
      </c>
    </row>
    <row r="465" spans="7:8" ht="25.5" x14ac:dyDescent="0.2">
      <c r="G465" s="106" t="s">
        <v>1779</v>
      </c>
      <c r="H465" s="106" t="s">
        <v>384</v>
      </c>
    </row>
    <row r="466" spans="7:8" ht="25.5" x14ac:dyDescent="0.2">
      <c r="G466" s="106" t="s">
        <v>214</v>
      </c>
      <c r="H466" s="106" t="s">
        <v>385</v>
      </c>
    </row>
    <row r="467" spans="7:8" ht="25.5" x14ac:dyDescent="0.2">
      <c r="G467" s="106" t="s">
        <v>3905</v>
      </c>
      <c r="H467" s="106" t="s">
        <v>386</v>
      </c>
    </row>
    <row r="468" spans="7:8" ht="25.5" x14ac:dyDescent="0.2">
      <c r="G468" s="106" t="s">
        <v>215</v>
      </c>
      <c r="H468" s="106" t="s">
        <v>387</v>
      </c>
    </row>
    <row r="469" spans="7:8" ht="25.5" x14ac:dyDescent="0.2">
      <c r="G469" s="106" t="s">
        <v>4238</v>
      </c>
      <c r="H469" s="106" t="s">
        <v>388</v>
      </c>
    </row>
    <row r="470" spans="7:8" ht="25.5" x14ac:dyDescent="0.2">
      <c r="G470" s="106" t="s">
        <v>1250</v>
      </c>
      <c r="H470" s="106" t="s">
        <v>389</v>
      </c>
    </row>
    <row r="471" spans="7:8" ht="25.5" x14ac:dyDescent="0.2">
      <c r="G471" s="106" t="s">
        <v>1251</v>
      </c>
      <c r="H471" s="106" t="s">
        <v>390</v>
      </c>
    </row>
    <row r="472" spans="7:8" ht="25.5" x14ac:dyDescent="0.2">
      <c r="G472" s="106" t="s">
        <v>2972</v>
      </c>
      <c r="H472" s="106" t="s">
        <v>391</v>
      </c>
    </row>
    <row r="473" spans="7:8" ht="25.5" x14ac:dyDescent="0.2">
      <c r="G473" s="106" t="s">
        <v>2973</v>
      </c>
      <c r="H473" s="106" t="s">
        <v>392</v>
      </c>
    </row>
    <row r="474" spans="7:8" ht="25.5" x14ac:dyDescent="0.2">
      <c r="G474" s="106" t="s">
        <v>2974</v>
      </c>
      <c r="H474" s="106" t="s">
        <v>393</v>
      </c>
    </row>
    <row r="475" spans="7:8" ht="25.5" x14ac:dyDescent="0.2">
      <c r="G475" s="106" t="s">
        <v>1666</v>
      </c>
      <c r="H475" s="106" t="s">
        <v>394</v>
      </c>
    </row>
    <row r="476" spans="7:8" ht="25.5" x14ac:dyDescent="0.2">
      <c r="G476" s="106" t="s">
        <v>1667</v>
      </c>
      <c r="H476" s="106" t="s">
        <v>395</v>
      </c>
    </row>
    <row r="477" spans="7:8" ht="25.5" x14ac:dyDescent="0.2">
      <c r="G477" s="106" t="s">
        <v>1668</v>
      </c>
      <c r="H477" s="106" t="s">
        <v>396</v>
      </c>
    </row>
    <row r="478" spans="7:8" ht="25.5" x14ac:dyDescent="0.2">
      <c r="G478" s="106" t="s">
        <v>1669</v>
      </c>
      <c r="H478" s="106" t="s">
        <v>397</v>
      </c>
    </row>
    <row r="479" spans="7:8" ht="25.5" x14ac:dyDescent="0.2">
      <c r="G479" s="106" t="s">
        <v>1670</v>
      </c>
      <c r="H479" s="106" t="s">
        <v>398</v>
      </c>
    </row>
    <row r="480" spans="7:8" ht="25.5" x14ac:dyDescent="0.2">
      <c r="G480" s="106" t="s">
        <v>2183</v>
      </c>
      <c r="H480" s="106" t="s">
        <v>901</v>
      </c>
    </row>
    <row r="481" spans="7:8" ht="25.5" x14ac:dyDescent="0.2">
      <c r="G481" s="106" t="s">
        <v>1787</v>
      </c>
      <c r="H481" s="106" t="s">
        <v>902</v>
      </c>
    </row>
    <row r="482" spans="7:8" ht="25.5" x14ac:dyDescent="0.2">
      <c r="G482" s="106" t="s">
        <v>1788</v>
      </c>
      <c r="H482" s="106" t="s">
        <v>903</v>
      </c>
    </row>
    <row r="483" spans="7:8" ht="25.5" x14ac:dyDescent="0.2">
      <c r="G483" s="106" t="s">
        <v>1789</v>
      </c>
      <c r="H483" s="106" t="s">
        <v>779</v>
      </c>
    </row>
    <row r="484" spans="7:8" ht="25.5" x14ac:dyDescent="0.2">
      <c r="G484" s="106" t="s">
        <v>1713</v>
      </c>
      <c r="H484" s="106" t="s">
        <v>780</v>
      </c>
    </row>
    <row r="485" spans="7:8" ht="25.5" x14ac:dyDescent="0.2">
      <c r="G485" s="106" t="s">
        <v>1714</v>
      </c>
      <c r="H485" s="106" t="s">
        <v>977</v>
      </c>
    </row>
    <row r="486" spans="7:8" ht="25.5" x14ac:dyDescent="0.2">
      <c r="G486" s="106" t="s">
        <v>3317</v>
      </c>
      <c r="H486" s="106" t="s">
        <v>293</v>
      </c>
    </row>
    <row r="487" spans="7:8" ht="25.5" x14ac:dyDescent="0.2">
      <c r="G487" s="106" t="s">
        <v>3318</v>
      </c>
      <c r="H487" s="106" t="s">
        <v>294</v>
      </c>
    </row>
    <row r="488" spans="7:8" ht="25.5" x14ac:dyDescent="0.2">
      <c r="G488" s="106" t="s">
        <v>2959</v>
      </c>
      <c r="H488" s="106" t="s">
        <v>295</v>
      </c>
    </row>
    <row r="489" spans="7:8" ht="25.5" x14ac:dyDescent="0.2">
      <c r="G489" s="106" t="s">
        <v>2960</v>
      </c>
      <c r="H489" s="106" t="s">
        <v>296</v>
      </c>
    </row>
    <row r="490" spans="7:8" ht="25.5" x14ac:dyDescent="0.2">
      <c r="G490" s="106" t="s">
        <v>2961</v>
      </c>
      <c r="H490" s="106" t="s">
        <v>297</v>
      </c>
    </row>
    <row r="491" spans="7:8" ht="25.5" x14ac:dyDescent="0.2">
      <c r="G491" s="106" t="s">
        <v>1303</v>
      </c>
      <c r="H491" s="106" t="s">
        <v>298</v>
      </c>
    </row>
    <row r="492" spans="7:8" ht="25.5" x14ac:dyDescent="0.2">
      <c r="G492" s="106" t="s">
        <v>1304</v>
      </c>
      <c r="H492" s="106" t="s">
        <v>299</v>
      </c>
    </row>
    <row r="493" spans="7:8" ht="25.5" x14ac:dyDescent="0.2">
      <c r="G493" s="106" t="s">
        <v>1305</v>
      </c>
      <c r="H493" s="106" t="s">
        <v>300</v>
      </c>
    </row>
    <row r="494" spans="7:8" ht="25.5" x14ac:dyDescent="0.2">
      <c r="G494" s="106" t="s">
        <v>1306</v>
      </c>
      <c r="H494" s="106" t="s">
        <v>301</v>
      </c>
    </row>
    <row r="495" spans="7:8" ht="25.5" x14ac:dyDescent="0.2">
      <c r="G495" s="106" t="s">
        <v>1307</v>
      </c>
      <c r="H495" s="106" t="s">
        <v>302</v>
      </c>
    </row>
    <row r="496" spans="7:8" ht="25.5" x14ac:dyDescent="0.2">
      <c r="G496" s="106" t="s">
        <v>1852</v>
      </c>
      <c r="H496" s="106" t="s">
        <v>303</v>
      </c>
    </row>
    <row r="497" spans="7:8" ht="25.5" x14ac:dyDescent="0.2">
      <c r="G497" s="106" t="s">
        <v>1847</v>
      </c>
      <c r="H497" s="106" t="s">
        <v>304</v>
      </c>
    </row>
    <row r="498" spans="7:8" ht="25.5" x14ac:dyDescent="0.2">
      <c r="G498" s="106" t="s">
        <v>1848</v>
      </c>
      <c r="H498" s="106" t="s">
        <v>305</v>
      </c>
    </row>
    <row r="499" spans="7:8" ht="25.5" x14ac:dyDescent="0.2">
      <c r="G499" s="106" t="s">
        <v>1849</v>
      </c>
      <c r="H499" s="106" t="s">
        <v>306</v>
      </c>
    </row>
    <row r="500" spans="7:8" ht="25.5" x14ac:dyDescent="0.2">
      <c r="G500" s="106" t="s">
        <v>1850</v>
      </c>
      <c r="H500" s="106" t="s">
        <v>307</v>
      </c>
    </row>
    <row r="501" spans="7:8" ht="25.5" x14ac:dyDescent="0.2">
      <c r="G501" s="106" t="s">
        <v>1851</v>
      </c>
      <c r="H501" s="106" t="s">
        <v>1266</v>
      </c>
    </row>
    <row r="502" spans="7:8" ht="25.5" x14ac:dyDescent="0.2">
      <c r="G502" s="106" t="s">
        <v>2993</v>
      </c>
      <c r="H502" s="106" t="s">
        <v>1267</v>
      </c>
    </row>
    <row r="503" spans="7:8" ht="25.5" x14ac:dyDescent="0.2">
      <c r="G503" s="106" t="s">
        <v>3530</v>
      </c>
      <c r="H503" s="106" t="s">
        <v>1268</v>
      </c>
    </row>
    <row r="504" spans="7:8" ht="25.5" x14ac:dyDescent="0.2">
      <c r="G504" s="106" t="s">
        <v>2173</v>
      </c>
      <c r="H504" s="106" t="s">
        <v>1269</v>
      </c>
    </row>
    <row r="505" spans="7:8" ht="25.5" x14ac:dyDescent="0.2">
      <c r="G505" s="106" t="s">
        <v>1036</v>
      </c>
      <c r="H505" s="106" t="s">
        <v>1037</v>
      </c>
    </row>
    <row r="506" spans="7:8" ht="25.5" x14ac:dyDescent="0.2">
      <c r="G506" s="106" t="s">
        <v>3409</v>
      </c>
      <c r="H506" s="106" t="s">
        <v>3410</v>
      </c>
    </row>
    <row r="507" spans="7:8" ht="25.5" x14ac:dyDescent="0.2">
      <c r="G507" s="106" t="s">
        <v>3411</v>
      </c>
      <c r="H507" s="106" t="s">
        <v>3412</v>
      </c>
    </row>
    <row r="508" spans="7:8" ht="25.5" x14ac:dyDescent="0.2">
      <c r="G508" s="106" t="s">
        <v>3413</v>
      </c>
      <c r="H508" s="106" t="s">
        <v>3414</v>
      </c>
    </row>
    <row r="509" spans="7:8" ht="25.5" x14ac:dyDescent="0.2">
      <c r="G509" s="106" t="s">
        <v>3415</v>
      </c>
      <c r="H509" s="106" t="s">
        <v>3416</v>
      </c>
    </row>
    <row r="510" spans="7:8" ht="25.5" x14ac:dyDescent="0.2">
      <c r="G510" s="106" t="s">
        <v>3417</v>
      </c>
      <c r="H510" s="106" t="s">
        <v>3418</v>
      </c>
    </row>
    <row r="511" spans="7:8" ht="25.5" x14ac:dyDescent="0.2">
      <c r="G511" s="106" t="s">
        <v>3809</v>
      </c>
      <c r="H511" s="106" t="s">
        <v>3419</v>
      </c>
    </row>
    <row r="512" spans="7:8" ht="25.5" x14ac:dyDescent="0.2">
      <c r="G512" s="106" t="s">
        <v>3420</v>
      </c>
      <c r="H512" s="106" t="s">
        <v>3281</v>
      </c>
    </row>
    <row r="513" spans="7:8" ht="25.5" x14ac:dyDescent="0.2">
      <c r="G513" s="106" t="s">
        <v>2332</v>
      </c>
      <c r="H513" s="106" t="s">
        <v>2550</v>
      </c>
    </row>
    <row r="514" spans="7:8" ht="25.5" x14ac:dyDescent="0.2">
      <c r="G514" s="106" t="s">
        <v>3005</v>
      </c>
      <c r="H514" s="106" t="s">
        <v>2551</v>
      </c>
    </row>
    <row r="515" spans="7:8" ht="25.5" x14ac:dyDescent="0.2">
      <c r="G515" s="106" t="s">
        <v>3654</v>
      </c>
      <c r="H515" s="106" t="s">
        <v>2552</v>
      </c>
    </row>
    <row r="516" spans="7:8" ht="38.25" x14ac:dyDescent="0.2">
      <c r="G516" s="106" t="s">
        <v>2553</v>
      </c>
      <c r="H516" s="106" t="s">
        <v>2554</v>
      </c>
    </row>
    <row r="517" spans="7:8" ht="38.25" x14ac:dyDescent="0.2">
      <c r="G517" s="106" t="s">
        <v>2555</v>
      </c>
      <c r="H517" s="106" t="s">
        <v>2556</v>
      </c>
    </row>
    <row r="518" spans="7:8" ht="38.25" x14ac:dyDescent="0.2">
      <c r="G518" s="106" t="s">
        <v>2557</v>
      </c>
      <c r="H518" s="106" t="s">
        <v>2558</v>
      </c>
    </row>
    <row r="519" spans="7:8" ht="38.25" x14ac:dyDescent="0.2">
      <c r="G519" s="106" t="s">
        <v>2559</v>
      </c>
      <c r="H519" s="106" t="s">
        <v>2560</v>
      </c>
    </row>
    <row r="520" spans="7:8" ht="38.25" x14ac:dyDescent="0.2">
      <c r="G520" s="106" t="s">
        <v>2561</v>
      </c>
      <c r="H520" s="106" t="s">
        <v>4132</v>
      </c>
    </row>
    <row r="521" spans="7:8" ht="38.25" x14ac:dyDescent="0.2">
      <c r="G521" s="106" t="s">
        <v>4133</v>
      </c>
      <c r="H521" s="106" t="s">
        <v>4134</v>
      </c>
    </row>
    <row r="522" spans="7:8" ht="38.25" x14ac:dyDescent="0.2">
      <c r="G522" s="106" t="s">
        <v>4135</v>
      </c>
      <c r="H522" s="106" t="s">
        <v>4136</v>
      </c>
    </row>
    <row r="523" spans="7:8" ht="38.25" x14ac:dyDescent="0.2">
      <c r="G523" s="106" t="s">
        <v>4137</v>
      </c>
      <c r="H523" s="106" t="s">
        <v>4138</v>
      </c>
    </row>
    <row r="524" spans="7:8" ht="38.25" x14ac:dyDescent="0.2">
      <c r="G524" s="106" t="s">
        <v>4139</v>
      </c>
      <c r="H524" s="106" t="s">
        <v>4140</v>
      </c>
    </row>
    <row r="525" spans="7:8" ht="38.25" x14ac:dyDescent="0.2">
      <c r="G525" s="106" t="s">
        <v>2341</v>
      </c>
      <c r="H525" s="106" t="s">
        <v>2342</v>
      </c>
    </row>
    <row r="526" spans="7:8" ht="38.25" x14ac:dyDescent="0.2">
      <c r="G526" s="106" t="s">
        <v>3885</v>
      </c>
      <c r="H526" s="106" t="s">
        <v>3886</v>
      </c>
    </row>
    <row r="527" spans="7:8" ht="38.25" x14ac:dyDescent="0.2">
      <c r="G527" s="106" t="s">
        <v>3887</v>
      </c>
      <c r="H527" s="106" t="s">
        <v>3888</v>
      </c>
    </row>
    <row r="528" spans="7:8" ht="38.25" x14ac:dyDescent="0.2">
      <c r="G528" s="106" t="s">
        <v>3889</v>
      </c>
      <c r="H528" s="106" t="s">
        <v>3890</v>
      </c>
    </row>
    <row r="529" spans="7:8" ht="38.25" x14ac:dyDescent="0.2">
      <c r="G529" s="106" t="s">
        <v>2281</v>
      </c>
      <c r="H529" s="106" t="s">
        <v>2282</v>
      </c>
    </row>
    <row r="530" spans="7:8" ht="38.25" x14ac:dyDescent="0.2">
      <c r="G530" s="106" t="s">
        <v>2283</v>
      </c>
      <c r="H530" s="106" t="s">
        <v>2284</v>
      </c>
    </row>
    <row r="531" spans="7:8" ht="38.25" x14ac:dyDescent="0.2">
      <c r="G531" s="106" t="s">
        <v>2285</v>
      </c>
      <c r="H531" s="106" t="s">
        <v>2286</v>
      </c>
    </row>
    <row r="532" spans="7:8" ht="38.25" x14ac:dyDescent="0.2">
      <c r="G532" s="106" t="s">
        <v>2287</v>
      </c>
      <c r="H532" s="106" t="s">
        <v>2288</v>
      </c>
    </row>
    <row r="533" spans="7:8" ht="38.25" x14ac:dyDescent="0.2">
      <c r="G533" s="106" t="s">
        <v>2289</v>
      </c>
      <c r="H533" s="106" t="s">
        <v>2290</v>
      </c>
    </row>
    <row r="534" spans="7:8" ht="38.25" x14ac:dyDescent="0.2">
      <c r="G534" s="106" t="s">
        <v>2291</v>
      </c>
      <c r="H534" s="106" t="s">
        <v>2292</v>
      </c>
    </row>
    <row r="535" spans="7:8" ht="38.25" x14ac:dyDescent="0.2">
      <c r="G535" s="106" t="s">
        <v>2293</v>
      </c>
      <c r="H535" s="106" t="s">
        <v>2294</v>
      </c>
    </row>
    <row r="536" spans="7:8" ht="38.25" x14ac:dyDescent="0.2">
      <c r="G536" s="106" t="s">
        <v>2295</v>
      </c>
      <c r="H536" s="106" t="s">
        <v>2296</v>
      </c>
    </row>
    <row r="537" spans="7:8" ht="38.25" x14ac:dyDescent="0.2">
      <c r="G537" s="106" t="s">
        <v>2297</v>
      </c>
      <c r="H537" s="106" t="s">
        <v>2298</v>
      </c>
    </row>
    <row r="538" spans="7:8" ht="25.5" x14ac:dyDescent="0.2">
      <c r="G538" s="106" t="s">
        <v>2334</v>
      </c>
      <c r="H538" s="106" t="s">
        <v>2299</v>
      </c>
    </row>
    <row r="539" spans="7:8" ht="25.5" x14ac:dyDescent="0.2">
      <c r="G539" s="106" t="s">
        <v>2117</v>
      </c>
      <c r="H539" s="106" t="s">
        <v>2300</v>
      </c>
    </row>
    <row r="540" spans="7:8" ht="25.5" x14ac:dyDescent="0.2">
      <c r="G540" s="106" t="s">
        <v>3906</v>
      </c>
      <c r="H540" s="106" t="s">
        <v>2732</v>
      </c>
    </row>
    <row r="541" spans="7:8" ht="25.5" x14ac:dyDescent="0.2">
      <c r="G541" s="106" t="s">
        <v>2138</v>
      </c>
      <c r="H541" s="106" t="s">
        <v>2733</v>
      </c>
    </row>
    <row r="542" spans="7:8" ht="25.5" x14ac:dyDescent="0.2">
      <c r="G542" s="106" t="s">
        <v>3088</v>
      </c>
      <c r="H542" s="106" t="s">
        <v>2734</v>
      </c>
    </row>
    <row r="543" spans="7:8" ht="25.5" x14ac:dyDescent="0.2">
      <c r="G543" s="106" t="s">
        <v>3089</v>
      </c>
      <c r="H543" s="106" t="s">
        <v>2735</v>
      </c>
    </row>
    <row r="544" spans="7:8" ht="25.5" x14ac:dyDescent="0.2">
      <c r="G544" s="106" t="s">
        <v>3090</v>
      </c>
      <c r="H544" s="106" t="s">
        <v>2736</v>
      </c>
    </row>
    <row r="545" spans="7:8" ht="25.5" x14ac:dyDescent="0.2">
      <c r="G545" s="106" t="s">
        <v>3091</v>
      </c>
      <c r="H545" s="106" t="s">
        <v>2737</v>
      </c>
    </row>
    <row r="546" spans="7:8" ht="25.5" x14ac:dyDescent="0.2">
      <c r="G546" s="106" t="s">
        <v>3092</v>
      </c>
      <c r="H546" s="106" t="s">
        <v>2738</v>
      </c>
    </row>
    <row r="547" spans="7:8" ht="25.5" x14ac:dyDescent="0.2">
      <c r="G547" s="106" t="s">
        <v>3093</v>
      </c>
      <c r="H547" s="106" t="s">
        <v>2739</v>
      </c>
    </row>
    <row r="548" spans="7:8" ht="25.5" x14ac:dyDescent="0.2">
      <c r="G548" s="106" t="s">
        <v>1966</v>
      </c>
      <c r="H548" s="106" t="s">
        <v>2740</v>
      </c>
    </row>
    <row r="549" spans="7:8" ht="25.5" x14ac:dyDescent="0.2">
      <c r="G549" s="106" t="s">
        <v>3973</v>
      </c>
      <c r="H549" s="106" t="s">
        <v>2167</v>
      </c>
    </row>
    <row r="550" spans="7:8" ht="25.5" x14ac:dyDescent="0.2">
      <c r="G550" s="106" t="s">
        <v>3974</v>
      </c>
      <c r="H550" s="106" t="s">
        <v>2168</v>
      </c>
    </row>
    <row r="551" spans="7:8" ht="25.5" x14ac:dyDescent="0.2">
      <c r="G551" s="106" t="s">
        <v>3043</v>
      </c>
      <c r="H551" s="106" t="s">
        <v>3404</v>
      </c>
    </row>
    <row r="552" spans="7:8" ht="25.5" x14ac:dyDescent="0.2">
      <c r="G552" s="106" t="s">
        <v>2885</v>
      </c>
      <c r="H552" s="106" t="s">
        <v>3405</v>
      </c>
    </row>
    <row r="553" spans="7:8" ht="25.5" x14ac:dyDescent="0.2">
      <c r="G553" s="106" t="s">
        <v>4128</v>
      </c>
      <c r="H553" s="106" t="s">
        <v>3406</v>
      </c>
    </row>
    <row r="554" spans="7:8" ht="25.5" x14ac:dyDescent="0.2">
      <c r="G554" s="106" t="s">
        <v>3907</v>
      </c>
      <c r="H554" s="106" t="s">
        <v>3407</v>
      </c>
    </row>
    <row r="555" spans="7:8" ht="38.25" x14ac:dyDescent="0.2">
      <c r="G555" s="106" t="s">
        <v>1737</v>
      </c>
      <c r="H555" s="106" t="s">
        <v>3408</v>
      </c>
    </row>
    <row r="556" spans="7:8" ht="38.25" x14ac:dyDescent="0.2">
      <c r="G556" s="106" t="s">
        <v>1738</v>
      </c>
      <c r="H556" s="106" t="s">
        <v>2947</v>
      </c>
    </row>
    <row r="557" spans="7:8" ht="38.25" x14ac:dyDescent="0.2">
      <c r="G557" s="106" t="s">
        <v>1739</v>
      </c>
      <c r="H557" s="106" t="s">
        <v>2948</v>
      </c>
    </row>
    <row r="558" spans="7:8" ht="38.25" x14ac:dyDescent="0.2">
      <c r="G558" s="106" t="s">
        <v>1740</v>
      </c>
      <c r="H558" s="106" t="s">
        <v>2949</v>
      </c>
    </row>
    <row r="559" spans="7:8" ht="38.25" x14ac:dyDescent="0.2">
      <c r="G559" s="106" t="s">
        <v>1741</v>
      </c>
      <c r="H559" s="106" t="s">
        <v>2950</v>
      </c>
    </row>
    <row r="560" spans="7:8" ht="38.25" x14ac:dyDescent="0.2">
      <c r="G560" s="106" t="s">
        <v>1742</v>
      </c>
      <c r="H560" s="106" t="s">
        <v>2951</v>
      </c>
    </row>
    <row r="561" spans="7:8" ht="38.25" x14ac:dyDescent="0.2">
      <c r="G561" s="106" t="s">
        <v>1743</v>
      </c>
      <c r="H561" s="106" t="s">
        <v>2952</v>
      </c>
    </row>
    <row r="562" spans="7:8" ht="38.25" x14ac:dyDescent="0.2">
      <c r="G562" s="106" t="s">
        <v>1744</v>
      </c>
      <c r="H562" s="106" t="s">
        <v>2953</v>
      </c>
    </row>
    <row r="563" spans="7:8" ht="38.25" x14ac:dyDescent="0.2">
      <c r="G563" s="106" t="s">
        <v>1745</v>
      </c>
      <c r="H563" s="106" t="s">
        <v>2954</v>
      </c>
    </row>
    <row r="564" spans="7:8" ht="38.25" x14ac:dyDescent="0.2">
      <c r="G564" s="106" t="s">
        <v>162</v>
      </c>
      <c r="H564" s="106" t="s">
        <v>2955</v>
      </c>
    </row>
    <row r="565" spans="7:8" ht="38.25" x14ac:dyDescent="0.2">
      <c r="G565" s="106" t="s">
        <v>163</v>
      </c>
      <c r="H565" s="106" t="s">
        <v>560</v>
      </c>
    </row>
    <row r="566" spans="7:8" ht="38.25" x14ac:dyDescent="0.2">
      <c r="G566" s="106" t="s">
        <v>164</v>
      </c>
      <c r="H566" s="106" t="s">
        <v>561</v>
      </c>
    </row>
    <row r="567" spans="7:8" ht="38.25" x14ac:dyDescent="0.2">
      <c r="G567" s="106" t="s">
        <v>165</v>
      </c>
      <c r="H567" s="106" t="s">
        <v>562</v>
      </c>
    </row>
    <row r="568" spans="7:8" ht="38.25" x14ac:dyDescent="0.2">
      <c r="G568" s="106" t="s">
        <v>166</v>
      </c>
      <c r="H568" s="106" t="s">
        <v>563</v>
      </c>
    </row>
    <row r="569" spans="7:8" ht="38.25" x14ac:dyDescent="0.2">
      <c r="G569" s="106" t="s">
        <v>167</v>
      </c>
      <c r="H569" s="106" t="s">
        <v>564</v>
      </c>
    </row>
    <row r="570" spans="7:8" ht="38.25" x14ac:dyDescent="0.2">
      <c r="G570" s="106" t="s">
        <v>168</v>
      </c>
      <c r="H570" s="106" t="s">
        <v>1528</v>
      </c>
    </row>
    <row r="571" spans="7:8" ht="38.25" x14ac:dyDescent="0.2">
      <c r="G571" s="106" t="s">
        <v>169</v>
      </c>
      <c r="H571" s="106" t="s">
        <v>1529</v>
      </c>
    </row>
    <row r="572" spans="7:8" ht="38.25" x14ac:dyDescent="0.2">
      <c r="G572" s="106" t="s">
        <v>170</v>
      </c>
      <c r="H572" s="106" t="s">
        <v>2779</v>
      </c>
    </row>
    <row r="573" spans="7:8" ht="38.25" x14ac:dyDescent="0.2">
      <c r="G573" s="106" t="s">
        <v>171</v>
      </c>
      <c r="H573" s="106" t="s">
        <v>2780</v>
      </c>
    </row>
    <row r="574" spans="7:8" ht="38.25" x14ac:dyDescent="0.2">
      <c r="G574" s="106" t="s">
        <v>172</v>
      </c>
      <c r="H574" s="106" t="s">
        <v>2781</v>
      </c>
    </row>
    <row r="575" spans="7:8" ht="38.25" x14ac:dyDescent="0.2">
      <c r="G575" s="106" t="s">
        <v>4239</v>
      </c>
      <c r="H575" s="106" t="s">
        <v>3731</v>
      </c>
    </row>
    <row r="576" spans="7:8" ht="38.25" x14ac:dyDescent="0.2">
      <c r="G576" s="106" t="s">
        <v>4240</v>
      </c>
      <c r="H576" s="106" t="s">
        <v>1382</v>
      </c>
    </row>
    <row r="577" spans="7:8" ht="38.25" x14ac:dyDescent="0.2">
      <c r="G577" s="106" t="s">
        <v>4241</v>
      </c>
      <c r="H577" s="106" t="s">
        <v>521</v>
      </c>
    </row>
    <row r="578" spans="7:8" ht="38.25" x14ac:dyDescent="0.2">
      <c r="G578" s="106" t="s">
        <v>4242</v>
      </c>
      <c r="H578" s="106" t="s">
        <v>522</v>
      </c>
    </row>
    <row r="579" spans="7:8" ht="38.25" x14ac:dyDescent="0.2">
      <c r="G579" s="106" t="s">
        <v>59</v>
      </c>
      <c r="H579" s="106" t="s">
        <v>523</v>
      </c>
    </row>
    <row r="580" spans="7:8" ht="38.25" x14ac:dyDescent="0.2">
      <c r="G580" s="106" t="s">
        <v>60</v>
      </c>
      <c r="H580" s="106" t="s">
        <v>524</v>
      </c>
    </row>
    <row r="581" spans="7:8" ht="38.25" x14ac:dyDescent="0.2">
      <c r="G581" s="106" t="s">
        <v>61</v>
      </c>
      <c r="H581" s="106" t="s">
        <v>525</v>
      </c>
    </row>
    <row r="582" spans="7:8" ht="38.25" x14ac:dyDescent="0.2">
      <c r="G582" s="106" t="s">
        <v>62</v>
      </c>
      <c r="H582" s="106" t="s">
        <v>526</v>
      </c>
    </row>
    <row r="583" spans="7:8" ht="38.25" x14ac:dyDescent="0.2">
      <c r="G583" s="106" t="s">
        <v>63</v>
      </c>
      <c r="H583" s="106" t="s">
        <v>527</v>
      </c>
    </row>
    <row r="584" spans="7:8" ht="38.25" x14ac:dyDescent="0.2">
      <c r="G584" s="106" t="s">
        <v>1911</v>
      </c>
      <c r="H584" s="106" t="s">
        <v>528</v>
      </c>
    </row>
    <row r="585" spans="7:8" ht="38.25" x14ac:dyDescent="0.2">
      <c r="G585" s="106" t="s">
        <v>1912</v>
      </c>
      <c r="H585" s="106" t="s">
        <v>529</v>
      </c>
    </row>
    <row r="586" spans="7:8" ht="38.25" x14ac:dyDescent="0.2">
      <c r="G586" s="106" t="s">
        <v>1913</v>
      </c>
      <c r="H586" s="106" t="s">
        <v>530</v>
      </c>
    </row>
    <row r="587" spans="7:8" ht="38.25" x14ac:dyDescent="0.2">
      <c r="G587" s="106" t="s">
        <v>189</v>
      </c>
      <c r="H587" s="106" t="s">
        <v>531</v>
      </c>
    </row>
    <row r="588" spans="7:8" ht="38.25" x14ac:dyDescent="0.2">
      <c r="G588" s="106" t="s">
        <v>190</v>
      </c>
      <c r="H588" s="106" t="s">
        <v>532</v>
      </c>
    </row>
    <row r="589" spans="7:8" ht="38.25" x14ac:dyDescent="0.2">
      <c r="G589" s="106" t="s">
        <v>191</v>
      </c>
      <c r="H589" s="106" t="s">
        <v>533</v>
      </c>
    </row>
    <row r="590" spans="7:8" ht="38.25" x14ac:dyDescent="0.2">
      <c r="G590" s="106" t="s">
        <v>192</v>
      </c>
      <c r="H590" s="106" t="s">
        <v>534</v>
      </c>
    </row>
    <row r="591" spans="7:8" ht="38.25" x14ac:dyDescent="0.2">
      <c r="G591" s="106" t="s">
        <v>2666</v>
      </c>
      <c r="H591" s="106" t="s">
        <v>535</v>
      </c>
    </row>
    <row r="592" spans="7:8" ht="38.25" x14ac:dyDescent="0.2">
      <c r="G592" s="106" t="s">
        <v>2667</v>
      </c>
      <c r="H592" s="106" t="s">
        <v>536</v>
      </c>
    </row>
    <row r="593" spans="7:8" ht="38.25" x14ac:dyDescent="0.2">
      <c r="G593" s="106" t="s">
        <v>2668</v>
      </c>
      <c r="H593" s="106" t="s">
        <v>537</v>
      </c>
    </row>
    <row r="594" spans="7:8" ht="38.25" x14ac:dyDescent="0.2">
      <c r="G594" s="106" t="s">
        <v>2669</v>
      </c>
      <c r="H594" s="106" t="s">
        <v>538</v>
      </c>
    </row>
    <row r="595" spans="7:8" ht="38.25" x14ac:dyDescent="0.2">
      <c r="G595" s="106" t="s">
        <v>2782</v>
      </c>
      <c r="H595" s="106" t="s">
        <v>2783</v>
      </c>
    </row>
    <row r="596" spans="7:8" ht="38.25" x14ac:dyDescent="0.2">
      <c r="G596" s="106" t="s">
        <v>2784</v>
      </c>
      <c r="H596" s="106" t="s">
        <v>2785</v>
      </c>
    </row>
    <row r="597" spans="7:8" ht="38.25" x14ac:dyDescent="0.2">
      <c r="G597" s="106" t="s">
        <v>2786</v>
      </c>
      <c r="H597" s="106" t="s">
        <v>2787</v>
      </c>
    </row>
    <row r="598" spans="7:8" ht="38.25" x14ac:dyDescent="0.2">
      <c r="G598" s="106" t="s">
        <v>2788</v>
      </c>
      <c r="H598" s="106" t="s">
        <v>2789</v>
      </c>
    </row>
    <row r="599" spans="7:8" ht="38.25" x14ac:dyDescent="0.2">
      <c r="G599" s="106" t="s">
        <v>2790</v>
      </c>
      <c r="H599" s="106" t="s">
        <v>2791</v>
      </c>
    </row>
    <row r="600" spans="7:8" ht="38.25" x14ac:dyDescent="0.2">
      <c r="G600" s="106" t="s">
        <v>2792</v>
      </c>
      <c r="H600" s="106" t="s">
        <v>2793</v>
      </c>
    </row>
    <row r="601" spans="7:8" ht="38.25" x14ac:dyDescent="0.2">
      <c r="G601" s="106" t="s">
        <v>2794</v>
      </c>
      <c r="H601" s="106" t="s">
        <v>2795</v>
      </c>
    </row>
    <row r="602" spans="7:8" ht="38.25" x14ac:dyDescent="0.2">
      <c r="G602" s="106" t="s">
        <v>2796</v>
      </c>
      <c r="H602" s="106" t="s">
        <v>632</v>
      </c>
    </row>
    <row r="603" spans="7:8" ht="38.25" x14ac:dyDescent="0.2">
      <c r="G603" s="106" t="s">
        <v>633</v>
      </c>
      <c r="H603" s="106" t="s">
        <v>634</v>
      </c>
    </row>
    <row r="604" spans="7:8" ht="38.25" x14ac:dyDescent="0.2">
      <c r="G604" s="106" t="s">
        <v>635</v>
      </c>
      <c r="H604" s="106" t="s">
        <v>64</v>
      </c>
    </row>
    <row r="605" spans="7:8" ht="38.25" x14ac:dyDescent="0.2">
      <c r="G605" s="106" t="s">
        <v>4129</v>
      </c>
      <c r="H605" s="106" t="s">
        <v>4130</v>
      </c>
    </row>
    <row r="606" spans="7:8" ht="38.25" x14ac:dyDescent="0.2">
      <c r="G606" s="106" t="s">
        <v>4131</v>
      </c>
      <c r="H606" s="106" t="s">
        <v>1177</v>
      </c>
    </row>
    <row r="607" spans="7:8" ht="38.25" x14ac:dyDescent="0.2">
      <c r="G607" s="106" t="s">
        <v>1178</v>
      </c>
      <c r="H607" s="106" t="s">
        <v>1179</v>
      </c>
    </row>
    <row r="608" spans="7:8" ht="38.25" x14ac:dyDescent="0.2">
      <c r="G608" s="106" t="s">
        <v>1180</v>
      </c>
      <c r="H608" s="106" t="s">
        <v>1181</v>
      </c>
    </row>
    <row r="609" spans="7:8" ht="38.25" x14ac:dyDescent="0.2">
      <c r="G609" s="106" t="s">
        <v>1182</v>
      </c>
      <c r="H609" s="106" t="s">
        <v>1183</v>
      </c>
    </row>
    <row r="610" spans="7:8" ht="38.25" x14ac:dyDescent="0.2">
      <c r="G610" s="106" t="s">
        <v>1184</v>
      </c>
      <c r="H610" s="106" t="s">
        <v>1185</v>
      </c>
    </row>
    <row r="611" spans="7:8" ht="38.25" x14ac:dyDescent="0.2">
      <c r="G611" s="106" t="s">
        <v>1186</v>
      </c>
      <c r="H611" s="106" t="s">
        <v>1187</v>
      </c>
    </row>
    <row r="612" spans="7:8" ht="38.25" x14ac:dyDescent="0.2">
      <c r="G612" s="106" t="s">
        <v>1188</v>
      </c>
      <c r="H612" s="106" t="s">
        <v>1189</v>
      </c>
    </row>
    <row r="613" spans="7:8" ht="38.25" x14ac:dyDescent="0.2">
      <c r="G613" s="106" t="s">
        <v>1190</v>
      </c>
      <c r="H613" s="106" t="s">
        <v>1191</v>
      </c>
    </row>
    <row r="614" spans="7:8" ht="38.25" x14ac:dyDescent="0.2">
      <c r="G614" s="106" t="s">
        <v>1192</v>
      </c>
      <c r="H614" s="106" t="s">
        <v>1193</v>
      </c>
    </row>
    <row r="615" spans="7:8" ht="38.25" x14ac:dyDescent="0.2">
      <c r="G615" s="106" t="s">
        <v>1194</v>
      </c>
      <c r="H615" s="106" t="s">
        <v>2901</v>
      </c>
    </row>
    <row r="616" spans="7:8" ht="38.25" x14ac:dyDescent="0.2">
      <c r="G616" s="106" t="s">
        <v>2902</v>
      </c>
      <c r="H616" s="106" t="s">
        <v>2903</v>
      </c>
    </row>
    <row r="617" spans="7:8" ht="38.25" x14ac:dyDescent="0.2">
      <c r="G617" s="106" t="s">
        <v>2904</v>
      </c>
      <c r="H617" s="106" t="s">
        <v>2905</v>
      </c>
    </row>
    <row r="618" spans="7:8" ht="38.25" x14ac:dyDescent="0.2">
      <c r="G618" s="106" t="s">
        <v>2906</v>
      </c>
      <c r="H618" s="106" t="s">
        <v>2907</v>
      </c>
    </row>
    <row r="619" spans="7:8" ht="38.25" x14ac:dyDescent="0.2">
      <c r="G619" s="106" t="s">
        <v>3432</v>
      </c>
      <c r="H619" s="106" t="s">
        <v>3433</v>
      </c>
    </row>
    <row r="620" spans="7:8" ht="38.25" x14ac:dyDescent="0.2">
      <c r="G620" s="106" t="s">
        <v>3434</v>
      </c>
      <c r="H620" s="106" t="s">
        <v>3435</v>
      </c>
    </row>
    <row r="621" spans="7:8" ht="38.25" x14ac:dyDescent="0.2">
      <c r="G621" s="106" t="s">
        <v>3436</v>
      </c>
      <c r="H621" s="106" t="s">
        <v>3437</v>
      </c>
    </row>
    <row r="622" spans="7:8" ht="38.25" x14ac:dyDescent="0.2">
      <c r="G622" s="106" t="s">
        <v>3438</v>
      </c>
      <c r="H622" s="106" t="s">
        <v>3439</v>
      </c>
    </row>
    <row r="623" spans="7:8" ht="38.25" x14ac:dyDescent="0.2">
      <c r="G623" s="106" t="s">
        <v>3440</v>
      </c>
      <c r="H623" s="106" t="s">
        <v>3441</v>
      </c>
    </row>
    <row r="624" spans="7:8" ht="38.25" x14ac:dyDescent="0.2">
      <c r="G624" s="106" t="s">
        <v>3442</v>
      </c>
      <c r="H624" s="106" t="s">
        <v>3443</v>
      </c>
    </row>
    <row r="625" spans="7:8" ht="38.25" x14ac:dyDescent="0.2">
      <c r="G625" s="106" t="s">
        <v>3444</v>
      </c>
      <c r="H625" s="106" t="s">
        <v>3445</v>
      </c>
    </row>
    <row r="626" spans="7:8" ht="38.25" x14ac:dyDescent="0.2">
      <c r="G626" s="106" t="s">
        <v>3446</v>
      </c>
      <c r="H626" s="106" t="s">
        <v>3447</v>
      </c>
    </row>
    <row r="627" spans="7:8" ht="38.25" x14ac:dyDescent="0.2">
      <c r="G627" s="106" t="s">
        <v>3448</v>
      </c>
      <c r="H627" s="106" t="s">
        <v>3449</v>
      </c>
    </row>
    <row r="628" spans="7:8" ht="25.5" x14ac:dyDescent="0.2">
      <c r="G628" s="106" t="s">
        <v>3647</v>
      </c>
      <c r="H628" s="106" t="s">
        <v>3450</v>
      </c>
    </row>
    <row r="629" spans="7:8" ht="25.5" x14ac:dyDescent="0.2">
      <c r="G629" s="106" t="s">
        <v>3653</v>
      </c>
      <c r="H629" s="106" t="s">
        <v>3451</v>
      </c>
    </row>
    <row r="630" spans="7:8" ht="25.5" x14ac:dyDescent="0.2">
      <c r="G630" s="106" t="s">
        <v>3652</v>
      </c>
      <c r="H630" s="106" t="s">
        <v>3452</v>
      </c>
    </row>
    <row r="631" spans="7:8" ht="25.5" x14ac:dyDescent="0.2">
      <c r="G631" s="106" t="s">
        <v>3641</v>
      </c>
      <c r="H631" s="106" t="s">
        <v>3453</v>
      </c>
    </row>
    <row r="632" spans="7:8" ht="25.5" x14ac:dyDescent="0.2">
      <c r="G632" s="106" t="s">
        <v>3639</v>
      </c>
      <c r="H632" s="106" t="s">
        <v>2943</v>
      </c>
    </row>
    <row r="633" spans="7:8" ht="25.5" x14ac:dyDescent="0.2">
      <c r="G633" s="106" t="s">
        <v>3646</v>
      </c>
      <c r="H633" s="106" t="s">
        <v>2944</v>
      </c>
    </row>
    <row r="634" spans="7:8" ht="25.5" x14ac:dyDescent="0.2">
      <c r="G634" s="106" t="s">
        <v>3621</v>
      </c>
      <c r="H634" s="106" t="s">
        <v>2945</v>
      </c>
    </row>
    <row r="635" spans="7:8" ht="25.5" x14ac:dyDescent="0.2">
      <c r="G635" s="106" t="s">
        <v>2333</v>
      </c>
      <c r="H635" s="106" t="s">
        <v>636</v>
      </c>
    </row>
    <row r="636" spans="7:8" ht="25.5" x14ac:dyDescent="0.2">
      <c r="G636" s="106" t="s">
        <v>2230</v>
      </c>
      <c r="H636" s="106" t="s">
        <v>637</v>
      </c>
    </row>
    <row r="637" spans="7:8" ht="25.5" x14ac:dyDescent="0.2">
      <c r="G637" s="106" t="s">
        <v>3908</v>
      </c>
      <c r="H637" s="106" t="s">
        <v>638</v>
      </c>
    </row>
    <row r="638" spans="7:8" ht="25.5" x14ac:dyDescent="0.2">
      <c r="G638" s="106" t="s">
        <v>2335</v>
      </c>
      <c r="H638" s="106" t="s">
        <v>639</v>
      </c>
    </row>
    <row r="639" spans="7:8" ht="25.5" x14ac:dyDescent="0.2">
      <c r="G639" s="106" t="s">
        <v>3648</v>
      </c>
      <c r="H639" s="106" t="s">
        <v>640</v>
      </c>
    </row>
    <row r="640" spans="7:8" ht="25.5" x14ac:dyDescent="0.2">
      <c r="G640" s="106" t="s">
        <v>2177</v>
      </c>
      <c r="H640" s="106" t="s">
        <v>641</v>
      </c>
    </row>
    <row r="641" spans="7:8" ht="25.5" x14ac:dyDescent="0.2">
      <c r="G641" s="106" t="s">
        <v>3909</v>
      </c>
      <c r="H641" s="106" t="s">
        <v>642</v>
      </c>
    </row>
    <row r="642" spans="7:8" ht="25.5" x14ac:dyDescent="0.2">
      <c r="G642" s="106" t="s">
        <v>3910</v>
      </c>
      <c r="H642" s="106" t="s">
        <v>643</v>
      </c>
    </row>
    <row r="643" spans="7:8" ht="25.5" x14ac:dyDescent="0.2">
      <c r="G643" s="106" t="s">
        <v>1610</v>
      </c>
      <c r="H643" s="106" t="s">
        <v>644</v>
      </c>
    </row>
    <row r="644" spans="7:8" ht="25.5" x14ac:dyDescent="0.2">
      <c r="G644" s="106" t="s">
        <v>3423</v>
      </c>
      <c r="H644" s="106" t="s">
        <v>645</v>
      </c>
    </row>
    <row r="645" spans="7:8" ht="25.5" x14ac:dyDescent="0.2">
      <c r="G645" s="106" t="s">
        <v>3424</v>
      </c>
      <c r="H645" s="106" t="s">
        <v>646</v>
      </c>
    </row>
    <row r="646" spans="7:8" ht="25.5" x14ac:dyDescent="0.2">
      <c r="G646" s="106" t="s">
        <v>2185</v>
      </c>
      <c r="H646" s="106" t="s">
        <v>647</v>
      </c>
    </row>
    <row r="647" spans="7:8" ht="25.5" x14ac:dyDescent="0.2">
      <c r="G647" s="106" t="s">
        <v>2175</v>
      </c>
      <c r="H647" s="106" t="s">
        <v>648</v>
      </c>
    </row>
    <row r="648" spans="7:8" ht="25.5" x14ac:dyDescent="0.2">
      <c r="G648" s="106" t="s">
        <v>2967</v>
      </c>
      <c r="H648" s="106" t="s">
        <v>649</v>
      </c>
    </row>
    <row r="649" spans="7:8" ht="25.5" x14ac:dyDescent="0.2">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RowHeight="12.75" x14ac:dyDescent="0.2"/>
  <cols>
    <col min="1" max="1" width="2.28515625" style="29" customWidth="1"/>
    <col min="2" max="2" width="3.140625" style="26" customWidth="1"/>
    <col min="3" max="3" width="14.28515625" style="26" customWidth="1"/>
    <col min="4" max="4" width="14.42578125" style="26" customWidth="1"/>
    <col min="5" max="5" width="12.140625" style="26" customWidth="1"/>
    <col min="6" max="6" width="15" style="26" customWidth="1"/>
    <col min="7" max="7" width="13.85546875" style="26" customWidth="1"/>
    <col min="8" max="8" width="15.28515625" style="26" customWidth="1"/>
    <col min="9" max="9" width="15.140625" style="26" customWidth="1"/>
    <col min="10" max="15" width="9.140625" style="26"/>
    <col min="16" max="16" width="10.7109375" style="26" bestFit="1" customWidth="1"/>
    <col min="17" max="18" width="9.140625" style="26"/>
    <col min="19" max="19" width="10.7109375" style="26" bestFit="1" customWidth="1"/>
    <col min="20" max="16384" width="9.140625" style="26"/>
  </cols>
  <sheetData>
    <row r="1" spans="1:22" s="216" customFormat="1" x14ac:dyDescent="0.2">
      <c r="A1" s="252"/>
    </row>
    <row r="2" spans="1:22" s="216" customFormat="1" x14ac:dyDescent="0.2">
      <c r="A2" s="252"/>
      <c r="B2" s="217" t="s">
        <v>3000</v>
      </c>
      <c r="D2" s="218">
        <f ca="1">AfspraakDatum</f>
        <v>42185</v>
      </c>
      <c r="E2" s="219"/>
      <c r="F2" s="217" t="s">
        <v>3001</v>
      </c>
      <c r="G2" s="220">
        <f>OpnDatum</f>
        <v>41363</v>
      </c>
      <c r="H2" s="217" t="str">
        <f ca="1">"ICU-dag: "&amp;AfspraakDatum-OpnDatum+1</f>
        <v>ICU-dag: 823</v>
      </c>
      <c r="I2" s="217"/>
      <c r="J2" s="217"/>
      <c r="K2" s="217"/>
    </row>
    <row r="3" spans="1:22" s="216" customFormat="1" x14ac:dyDescent="0.2">
      <c r="A3" s="252"/>
      <c r="B3" s="217" t="s">
        <v>288</v>
      </c>
      <c r="D3" s="221" t="str">
        <f>AchterNaam&amp;", "&amp;VoorNaam</f>
        <v>Achternaam, Voornaam</v>
      </c>
      <c r="E3" s="221"/>
      <c r="F3" s="217" t="s">
        <v>3097</v>
      </c>
      <c r="G3" s="220">
        <f>GebDatum</f>
        <v>40909</v>
      </c>
      <c r="H3" s="222" t="str">
        <f>"Gewicht: "&amp;Gewicht/10&amp;" kg"</f>
        <v>Gewicht: 10 kg</v>
      </c>
      <c r="I3" s="217"/>
      <c r="J3" s="222" t="str">
        <f>"Lengte: "&amp;Lengte&amp;" cm"</f>
        <v>Lengte: 80 cm</v>
      </c>
      <c r="K3" s="217"/>
    </row>
    <row r="4" spans="1:22" s="216" customFormat="1" x14ac:dyDescent="0.2">
      <c r="A4" s="252"/>
      <c r="B4" s="217" t="s">
        <v>3468</v>
      </c>
      <c r="D4" s="222">
        <f>PatNummer</f>
        <v>0</v>
      </c>
      <c r="E4" s="219"/>
      <c r="F4" s="217" t="s">
        <v>2763</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x14ac:dyDescent="0.2">
      <c r="C5" s="122"/>
      <c r="D5" s="228"/>
      <c r="E5" s="109"/>
      <c r="F5" s="122"/>
      <c r="G5" s="229"/>
      <c r="H5" s="122"/>
      <c r="I5" s="122"/>
      <c r="J5" s="122"/>
      <c r="K5" s="122"/>
    </row>
    <row r="6" spans="1:22" ht="17.25" customHeight="1" x14ac:dyDescent="0.2">
      <c r="C6" s="310" t="s">
        <v>1815</v>
      </c>
      <c r="D6" s="26" t="str">
        <f>INDEX(tblSonde,ber_PO!P22,1)</f>
        <v>Geen sonde</v>
      </c>
      <c r="I6" s="29"/>
      <c r="J6" s="29"/>
      <c r="K6" s="29"/>
      <c r="L6" s="29"/>
    </row>
    <row r="7" spans="1:22" ht="19.5" customHeight="1" x14ac:dyDescent="0.2">
      <c r="B7" s="29"/>
      <c r="C7" s="323" t="s">
        <v>2773</v>
      </c>
      <c r="D7" s="29"/>
      <c r="E7" s="29"/>
      <c r="F7" s="29"/>
      <c r="G7" s="29"/>
      <c r="H7" s="29"/>
      <c r="I7" s="29"/>
      <c r="J7" s="29"/>
      <c r="K7" s="29"/>
      <c r="L7" s="323" t="s">
        <v>1906</v>
      </c>
      <c r="N7" s="300"/>
    </row>
    <row r="8" spans="1:22" ht="19.5" customHeight="1" x14ac:dyDescent="0.2">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1252</v>
      </c>
      <c r="O8" s="29"/>
      <c r="P8" s="38"/>
      <c r="Q8" s="38"/>
      <c r="R8" s="38"/>
      <c r="S8" s="38"/>
      <c r="T8" s="38"/>
      <c r="U8" s="38"/>
      <c r="V8" s="38"/>
    </row>
    <row r="9" spans="1:22" ht="19.5" customHeight="1" x14ac:dyDescent="0.2">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 customHeight="1" x14ac:dyDescent="0.2">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 customHeight="1" x14ac:dyDescent="0.2">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 customHeight="1" x14ac:dyDescent="0.2">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 customHeight="1" x14ac:dyDescent="0.2">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75" customHeight="1" x14ac:dyDescent="0.2">
      <c r="B14" s="29"/>
      <c r="C14" s="323" t="s">
        <v>2774</v>
      </c>
      <c r="H14" s="311"/>
      <c r="J14" s="38"/>
      <c r="K14" s="38"/>
      <c r="L14" s="328"/>
      <c r="M14" s="327" t="s">
        <v>2767</v>
      </c>
      <c r="N14" s="337">
        <f>ber_PO!AF17</f>
        <v>0</v>
      </c>
      <c r="O14" s="38" t="s">
        <v>1844</v>
      </c>
      <c r="P14" s="38"/>
      <c r="Q14" s="38"/>
      <c r="R14" s="38"/>
      <c r="S14" s="38"/>
      <c r="T14" s="38"/>
      <c r="U14" s="38"/>
      <c r="V14" s="38"/>
    </row>
    <row r="15" spans="1:22" ht="23.25" customHeight="1" x14ac:dyDescent="0.2">
      <c r="B15" s="252"/>
      <c r="C15" s="336" t="s">
        <v>3397</v>
      </c>
      <c r="D15" s="300" t="str">
        <f>IF(ber_TPN!F3&lt;&gt;0,IF(ber_TPN!F3/24&gt;=10,ROUND(ber_TPN!F3/24,1),ROUND(ber_TPN!F3/24,1))&amp;" ml/uur","")</f>
        <v/>
      </c>
      <c r="E15" s="122" t="str">
        <f>IF(D15&lt;&gt;"",ber_TPN!F3&amp;" ml per dag","")</f>
        <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25" customHeight="1" x14ac:dyDescent="0.2">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25" customHeight="1" x14ac:dyDescent="0.2">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 customHeight="1" x14ac:dyDescent="0.2">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 customHeight="1" x14ac:dyDescent="0.2">
      <c r="B19" s="252"/>
      <c r="C19" s="252" t="s">
        <v>2221</v>
      </c>
      <c r="D19" s="29"/>
      <c r="E19" s="300" t="str">
        <f>IF(ber_TPN!C8,ber_TPN!F8&amp;" ml","")</f>
        <v/>
      </c>
      <c r="F19" s="29"/>
      <c r="G19" s="29"/>
      <c r="H19" s="326" t="s">
        <v>2221</v>
      </c>
      <c r="I19" s="29"/>
      <c r="J19" s="300" t="str">
        <f>IF(ber_TPN!C21,ber_TPN!F21&amp;" ml","")</f>
        <v/>
      </c>
      <c r="K19" s="317"/>
      <c r="L19" s="29"/>
      <c r="P19" s="38"/>
      <c r="T19" s="38"/>
      <c r="U19" s="38"/>
      <c r="V19" s="38"/>
    </row>
    <row r="20" spans="2:22" ht="19.5" customHeight="1" x14ac:dyDescent="0.2">
      <c r="B20" s="29"/>
      <c r="C20" s="29"/>
      <c r="D20" s="29"/>
      <c r="E20" s="300"/>
      <c r="F20" s="29"/>
      <c r="G20" s="29"/>
      <c r="H20" s="227"/>
      <c r="I20" s="29"/>
      <c r="J20" s="300"/>
      <c r="K20" s="317"/>
      <c r="L20" s="29"/>
      <c r="P20" s="38"/>
      <c r="T20" s="38"/>
      <c r="U20" s="38"/>
      <c r="V20" s="38"/>
    </row>
    <row r="21" spans="2:22" ht="19.5" customHeight="1" x14ac:dyDescent="0.2">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 customHeight="1" x14ac:dyDescent="0.2">
      <c r="B22" s="252"/>
      <c r="C22" s="252" t="s">
        <v>3119</v>
      </c>
      <c r="E22" s="300" t="str">
        <f>IF(ber_TPN!C10,ber_TPN!D10&amp;" ml","")</f>
        <v/>
      </c>
      <c r="J22" s="318"/>
      <c r="K22" s="319"/>
      <c r="L22" s="318"/>
      <c r="M22" s="318"/>
      <c r="N22" s="318"/>
      <c r="O22" s="318"/>
      <c r="P22" s="318"/>
      <c r="T22" s="318"/>
      <c r="U22" s="318"/>
      <c r="V22" s="318"/>
    </row>
    <row r="23" spans="2:22" ht="24" customHeight="1" x14ac:dyDescent="0.2">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25" customHeight="1" x14ac:dyDescent="0.2">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 customHeight="1" x14ac:dyDescent="0.2">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2">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 customHeight="1" x14ac:dyDescent="0.2">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 customHeight="1" x14ac:dyDescent="0.2">
      <c r="B28" s="29"/>
      <c r="C28" s="29"/>
      <c r="D28" s="29"/>
      <c r="E28" s="300"/>
      <c r="F28" s="29"/>
      <c r="G28" s="29"/>
      <c r="H28" s="29"/>
      <c r="I28" s="29"/>
      <c r="J28" s="38"/>
      <c r="K28" s="38"/>
      <c r="L28" s="38"/>
      <c r="M28" s="38"/>
      <c r="N28" s="38"/>
      <c r="O28" s="38"/>
      <c r="P28" s="38"/>
      <c r="Q28" s="38"/>
      <c r="R28" s="38"/>
      <c r="S28" s="38"/>
      <c r="T28" s="38"/>
      <c r="U28" s="38"/>
      <c r="V28" s="38"/>
    </row>
    <row r="29" spans="2:22" ht="19.5" customHeight="1" x14ac:dyDescent="0.2">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2">
      <c r="B30" s="29"/>
      <c r="C30" s="300"/>
      <c r="D30" s="29"/>
      <c r="E30" s="300"/>
      <c r="F30" s="29"/>
      <c r="G30" s="29"/>
      <c r="H30" s="29"/>
      <c r="I30" s="29"/>
      <c r="J30" s="38"/>
      <c r="K30" s="38"/>
      <c r="L30" s="38"/>
      <c r="M30" s="38"/>
      <c r="N30" s="38"/>
      <c r="O30" s="38"/>
      <c r="P30" s="38"/>
      <c r="Q30" s="38"/>
      <c r="R30" s="38"/>
      <c r="S30" s="38"/>
      <c r="T30" s="38"/>
      <c r="U30" s="38"/>
      <c r="V30" s="38"/>
    </row>
    <row r="31" spans="2:22" x14ac:dyDescent="0.2">
      <c r="B31" s="330" t="s">
        <v>2764</v>
      </c>
      <c r="C31" s="330"/>
      <c r="D31" s="331" t="str">
        <f>ROUND(ber_totalen!C2,0)&amp;" ml/kg"</f>
        <v>0 ml/kg</v>
      </c>
      <c r="E31" s="330" t="str">
        <f ca="1">ROUND(ber_normaal!$A$18,0)&amp;" ml/kg"</f>
        <v>100 ml/kg</v>
      </c>
      <c r="F31" s="330" t="str">
        <f>"= "&amp;ROUND(ber_totalen!C2*Gewicht/10,0)&amp;" ml/dag"</f>
        <v>= 0 ml/dag</v>
      </c>
      <c r="G31" s="330"/>
      <c r="H31" s="330" t="s">
        <v>2217</v>
      </c>
      <c r="I31" s="331" t="str">
        <f>ROUND(ber_totalen!$C$9,1)&amp;"  gram/kg"</f>
        <v>0  gram/kg</v>
      </c>
      <c r="J31" s="330" t="str">
        <f>IF(Gewicht/10&lt;30,"2-2,5 g/kg","1,5 g/kg")</f>
        <v>2-2,5 g/kg</v>
      </c>
      <c r="K31" s="330"/>
      <c r="L31" s="366"/>
      <c r="M31" s="367"/>
      <c r="N31" s="367"/>
      <c r="O31" s="367"/>
      <c r="P31" s="367"/>
    </row>
    <row r="32" spans="2:22" x14ac:dyDescent="0.2">
      <c r="B32" s="330" t="s">
        <v>2765</v>
      </c>
      <c r="C32" s="330"/>
      <c r="D32" s="331" t="str">
        <f>ROUND(ber_totalen!E38,0)&amp;" kCal/kg"</f>
        <v>0 kCal/kg</v>
      </c>
      <c r="E32" s="330" t="str">
        <f ca="1">ber_normaal!$A$21&amp;" kCal/kg"</f>
        <v>90 kCal/kg</v>
      </c>
      <c r="F32" s="330"/>
      <c r="G32" s="330"/>
      <c r="H32" s="330" t="s">
        <v>2218</v>
      </c>
      <c r="I32" s="331" t="str">
        <f>ROUND(ber_totalen!$C$13,1)&amp;" gram/kg"</f>
        <v>0 gram/kg</v>
      </c>
      <c r="J32" s="330" t="str">
        <f>IF(Gewicht/10&lt;30,"4 g/kg","2 g/kg")</f>
        <v>4 g/kg</v>
      </c>
      <c r="K32" s="330"/>
      <c r="L32" s="366"/>
      <c r="M32" s="367"/>
      <c r="N32" s="367"/>
      <c r="O32" s="367"/>
      <c r="P32" s="367"/>
    </row>
    <row r="33" spans="2:16" x14ac:dyDescent="0.2">
      <c r="B33" s="330" t="s">
        <v>2329</v>
      </c>
      <c r="C33" s="330"/>
      <c r="D33" s="331" t="str">
        <f>ROUND(ber_totalen!C5,1)&amp;" g/kg"</f>
        <v>0 g/kg</v>
      </c>
      <c r="E33" s="330" t="s">
        <v>3506</v>
      </c>
      <c r="F33" s="330" t="str">
        <f>"= "&amp;ROUND(ber_totalen!C5/1.4,1)&amp;" mg/kg/min"</f>
        <v>= 0 mg/kg/min</v>
      </c>
      <c r="G33" s="330"/>
      <c r="H33" s="330" t="s">
        <v>2219</v>
      </c>
      <c r="I33" s="331" t="str">
        <f>ROUND(ber_totalen!$C$27,1)&amp;" mmol/kg"</f>
        <v>0 mmol/kg</v>
      </c>
      <c r="J33" s="330" t="s">
        <v>4494</v>
      </c>
      <c r="K33" s="330"/>
      <c r="L33" s="366"/>
      <c r="M33" s="367"/>
      <c r="N33" s="367"/>
      <c r="O33" s="367"/>
      <c r="P33" s="367"/>
    </row>
    <row r="34" spans="2:16" x14ac:dyDescent="0.2">
      <c r="B34" s="330" t="s">
        <v>2766</v>
      </c>
      <c r="C34" s="330"/>
      <c r="D34" s="331" t="str">
        <f>ROUND(ber_totalen!C17,1)&amp;" mmol/kg"</f>
        <v>0 mmol/kg</v>
      </c>
      <c r="E34" s="330" t="s">
        <v>3500</v>
      </c>
      <c r="F34" s="330"/>
      <c r="G34" s="330"/>
      <c r="H34" s="330" t="s">
        <v>3118</v>
      </c>
      <c r="I34" s="331" t="str">
        <f>ROUND(ber_totalen!$C$33,1)&amp;" mmol/kg"</f>
        <v>0 mmol/kg</v>
      </c>
      <c r="J34" s="330" t="s">
        <v>3505</v>
      </c>
      <c r="K34" s="330"/>
      <c r="L34" s="366"/>
      <c r="M34" s="367"/>
      <c r="N34" s="367"/>
      <c r="O34" s="367"/>
      <c r="P34" s="367"/>
    </row>
    <row r="35" spans="2:16" x14ac:dyDescent="0.2">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733425</xdr:colOff>
                    <xdr:row>7</xdr:row>
                    <xdr:rowOff>76200</xdr:rowOff>
                  </from>
                  <to>
                    <xdr:col>2</xdr:col>
                    <xdr:colOff>857250</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504825</xdr:colOff>
                    <xdr:row>7</xdr:row>
                    <xdr:rowOff>66675</xdr:rowOff>
                  </from>
                  <to>
                    <xdr:col>3</xdr:col>
                    <xdr:colOff>628650</xdr:colOff>
                    <xdr:row>7</xdr:row>
                    <xdr:rowOff>238125</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38100</xdr:rowOff>
                  </from>
                  <to>
                    <xdr:col>5</xdr:col>
                    <xdr:colOff>838200</xdr:colOff>
                    <xdr:row>7</xdr:row>
                    <xdr:rowOff>238125</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771525</xdr:colOff>
                    <xdr:row>14</xdr:row>
                    <xdr:rowOff>66675</xdr:rowOff>
                  </from>
                  <to>
                    <xdr:col>3</xdr:col>
                    <xdr:colOff>933450</xdr:colOff>
                    <xdr:row>14</xdr:row>
                    <xdr:rowOff>257175</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66675</xdr:colOff>
                    <xdr:row>17</xdr:row>
                    <xdr:rowOff>28575</xdr:rowOff>
                  </from>
                  <to>
                    <xdr:col>5</xdr:col>
                    <xdr:colOff>228600</xdr:colOff>
                    <xdr:row>17</xdr:row>
                    <xdr:rowOff>219075</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66675</xdr:colOff>
                    <xdr:row>18</xdr:row>
                    <xdr:rowOff>28575</xdr:rowOff>
                  </from>
                  <to>
                    <xdr:col>5</xdr:col>
                    <xdr:colOff>228600</xdr:colOff>
                    <xdr:row>18</xdr:row>
                    <xdr:rowOff>219075</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66675</xdr:colOff>
                    <xdr:row>20</xdr:row>
                    <xdr:rowOff>28575</xdr:rowOff>
                  </from>
                  <to>
                    <xdr:col>5</xdr:col>
                    <xdr:colOff>228600</xdr:colOff>
                    <xdr:row>20</xdr:row>
                    <xdr:rowOff>219075</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28575</xdr:colOff>
                    <xdr:row>17</xdr:row>
                    <xdr:rowOff>47625</xdr:rowOff>
                  </from>
                  <to>
                    <xdr:col>2</xdr:col>
                    <xdr:colOff>123825</xdr:colOff>
                    <xdr:row>18</xdr:row>
                    <xdr:rowOff>19050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28575</xdr:colOff>
                    <xdr:row>18</xdr:row>
                    <xdr:rowOff>47625</xdr:rowOff>
                  </from>
                  <to>
                    <xdr:col>2</xdr:col>
                    <xdr:colOff>123825</xdr:colOff>
                    <xdr:row>19</xdr:row>
                    <xdr:rowOff>19050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28575</xdr:colOff>
                    <xdr:row>20</xdr:row>
                    <xdr:rowOff>47625</xdr:rowOff>
                  </from>
                  <to>
                    <xdr:col>2</xdr:col>
                    <xdr:colOff>123825</xdr:colOff>
                    <xdr:row>21</xdr:row>
                    <xdr:rowOff>19050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933450</xdr:colOff>
                    <xdr:row>23</xdr:row>
                    <xdr:rowOff>76200</xdr:rowOff>
                  </from>
                  <to>
                    <xdr:col>4</xdr:col>
                    <xdr:colOff>133350</xdr:colOff>
                    <xdr:row>23</xdr:row>
                    <xdr:rowOff>266700</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28575</xdr:colOff>
                    <xdr:row>25</xdr:row>
                    <xdr:rowOff>47625</xdr:rowOff>
                  </from>
                  <to>
                    <xdr:col>2</xdr:col>
                    <xdr:colOff>123825</xdr:colOff>
                    <xdr:row>26</xdr:row>
                    <xdr:rowOff>28575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28575</xdr:colOff>
                    <xdr:row>26</xdr:row>
                    <xdr:rowOff>47625</xdr:rowOff>
                  </from>
                  <to>
                    <xdr:col>2</xdr:col>
                    <xdr:colOff>123825</xdr:colOff>
                    <xdr:row>27</xdr:row>
                    <xdr:rowOff>19050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66675</xdr:colOff>
                    <xdr:row>25</xdr:row>
                    <xdr:rowOff>28575</xdr:rowOff>
                  </from>
                  <to>
                    <xdr:col>5</xdr:col>
                    <xdr:colOff>228600</xdr:colOff>
                    <xdr:row>25</xdr:row>
                    <xdr:rowOff>219075</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66675</xdr:colOff>
                    <xdr:row>26</xdr:row>
                    <xdr:rowOff>28575</xdr:rowOff>
                  </from>
                  <to>
                    <xdr:col>5</xdr:col>
                    <xdr:colOff>228600</xdr:colOff>
                    <xdr:row>26</xdr:row>
                    <xdr:rowOff>219075</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38100</xdr:rowOff>
                  </from>
                  <to>
                    <xdr:col>4</xdr:col>
                    <xdr:colOff>295275</xdr:colOff>
                    <xdr:row>6</xdr:row>
                    <xdr:rowOff>19050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28575</xdr:colOff>
                    <xdr:row>21</xdr:row>
                    <xdr:rowOff>47625</xdr:rowOff>
                  </from>
                  <to>
                    <xdr:col>2</xdr:col>
                    <xdr:colOff>123825</xdr:colOff>
                    <xdr:row>22</xdr:row>
                    <xdr:rowOff>19050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19050</xdr:colOff>
                    <xdr:row>22</xdr:row>
                    <xdr:rowOff>95250</xdr:rowOff>
                  </from>
                  <to>
                    <xdr:col>2</xdr:col>
                    <xdr:colOff>114300</xdr:colOff>
                    <xdr:row>23</xdr:row>
                    <xdr:rowOff>9525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66675</xdr:colOff>
                    <xdr:row>21</xdr:row>
                    <xdr:rowOff>28575</xdr:rowOff>
                  </from>
                  <to>
                    <xdr:col>5</xdr:col>
                    <xdr:colOff>228600</xdr:colOff>
                    <xdr:row>21</xdr:row>
                    <xdr:rowOff>219075</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66675</xdr:colOff>
                    <xdr:row>22</xdr:row>
                    <xdr:rowOff>123825</xdr:rowOff>
                  </from>
                  <to>
                    <xdr:col>5</xdr:col>
                    <xdr:colOff>228600</xdr:colOff>
                    <xdr:row>23</xdr:row>
                    <xdr:rowOff>9525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85725</xdr:colOff>
                    <xdr:row>15</xdr:row>
                    <xdr:rowOff>66675</xdr:rowOff>
                  </from>
                  <to>
                    <xdr:col>3</xdr:col>
                    <xdr:colOff>438150</xdr:colOff>
                    <xdr:row>15</xdr:row>
                    <xdr:rowOff>266700</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76200</xdr:colOff>
                    <xdr:row>16</xdr:row>
                    <xdr:rowOff>66675</xdr:rowOff>
                  </from>
                  <to>
                    <xdr:col>3</xdr:col>
                    <xdr:colOff>428625</xdr:colOff>
                    <xdr:row>16</xdr:row>
                    <xdr:rowOff>266700</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57150</xdr:colOff>
                    <xdr:row>15</xdr:row>
                    <xdr:rowOff>76200</xdr:rowOff>
                  </from>
                  <to>
                    <xdr:col>5</xdr:col>
                    <xdr:colOff>219075</xdr:colOff>
                    <xdr:row>15</xdr:row>
                    <xdr:rowOff>266700</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733425</xdr:colOff>
                    <xdr:row>8</xdr:row>
                    <xdr:rowOff>76200</xdr:rowOff>
                  </from>
                  <to>
                    <xdr:col>2</xdr:col>
                    <xdr:colOff>857250</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676275</xdr:colOff>
                    <xdr:row>8</xdr:row>
                    <xdr:rowOff>66675</xdr:rowOff>
                  </from>
                  <to>
                    <xdr:col>3</xdr:col>
                    <xdr:colOff>800100</xdr:colOff>
                    <xdr:row>8</xdr:row>
                    <xdr:rowOff>238125</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38100</xdr:rowOff>
                  </from>
                  <to>
                    <xdr:col>5</xdr:col>
                    <xdr:colOff>838200</xdr:colOff>
                    <xdr:row>8</xdr:row>
                    <xdr:rowOff>238125</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495300</xdr:colOff>
                    <xdr:row>15</xdr:row>
                    <xdr:rowOff>76200</xdr:rowOff>
                  </from>
                  <to>
                    <xdr:col>6</xdr:col>
                    <xdr:colOff>657225</xdr:colOff>
                    <xdr:row>15</xdr:row>
                    <xdr:rowOff>266700</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733425</xdr:colOff>
                    <xdr:row>9</xdr:row>
                    <xdr:rowOff>76200</xdr:rowOff>
                  </from>
                  <to>
                    <xdr:col>2</xdr:col>
                    <xdr:colOff>857250</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676275</xdr:colOff>
                    <xdr:row>9</xdr:row>
                    <xdr:rowOff>66675</xdr:rowOff>
                  </from>
                  <to>
                    <xdr:col>3</xdr:col>
                    <xdr:colOff>800100</xdr:colOff>
                    <xdr:row>9</xdr:row>
                    <xdr:rowOff>238125</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38100</xdr:rowOff>
                  </from>
                  <to>
                    <xdr:col>5</xdr:col>
                    <xdr:colOff>838200</xdr:colOff>
                    <xdr:row>9</xdr:row>
                    <xdr:rowOff>238125</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733425</xdr:colOff>
                    <xdr:row>10</xdr:row>
                    <xdr:rowOff>76200</xdr:rowOff>
                  </from>
                  <to>
                    <xdr:col>2</xdr:col>
                    <xdr:colOff>857250</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676275</xdr:colOff>
                    <xdr:row>10</xdr:row>
                    <xdr:rowOff>66675</xdr:rowOff>
                  </from>
                  <to>
                    <xdr:col>3</xdr:col>
                    <xdr:colOff>800100</xdr:colOff>
                    <xdr:row>10</xdr:row>
                    <xdr:rowOff>238125</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38100</xdr:rowOff>
                  </from>
                  <to>
                    <xdr:col>5</xdr:col>
                    <xdr:colOff>838200</xdr:colOff>
                    <xdr:row>10</xdr:row>
                    <xdr:rowOff>238125</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771525</xdr:colOff>
                    <xdr:row>14</xdr:row>
                    <xdr:rowOff>66675</xdr:rowOff>
                  </from>
                  <to>
                    <xdr:col>8</xdr:col>
                    <xdr:colOff>933450</xdr:colOff>
                    <xdr:row>14</xdr:row>
                    <xdr:rowOff>257175</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285750</xdr:colOff>
                    <xdr:row>17</xdr:row>
                    <xdr:rowOff>38100</xdr:rowOff>
                  </from>
                  <to>
                    <xdr:col>10</xdr:col>
                    <xdr:colOff>447675</xdr:colOff>
                    <xdr:row>17</xdr:row>
                    <xdr:rowOff>228600</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295275</xdr:colOff>
                    <xdr:row>18</xdr:row>
                    <xdr:rowOff>28575</xdr:rowOff>
                  </from>
                  <to>
                    <xdr:col>10</xdr:col>
                    <xdr:colOff>457200</xdr:colOff>
                    <xdr:row>18</xdr:row>
                    <xdr:rowOff>219075</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28575</xdr:colOff>
                    <xdr:row>17</xdr:row>
                    <xdr:rowOff>47625</xdr:rowOff>
                  </from>
                  <to>
                    <xdr:col>7</xdr:col>
                    <xdr:colOff>333375</xdr:colOff>
                    <xdr:row>18</xdr:row>
                    <xdr:rowOff>19050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28575</xdr:colOff>
                    <xdr:row>18</xdr:row>
                    <xdr:rowOff>47625</xdr:rowOff>
                  </from>
                  <to>
                    <xdr:col>7</xdr:col>
                    <xdr:colOff>333375</xdr:colOff>
                    <xdr:row>19</xdr:row>
                    <xdr:rowOff>19050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76200</xdr:colOff>
                    <xdr:row>16</xdr:row>
                    <xdr:rowOff>66675</xdr:rowOff>
                  </from>
                  <to>
                    <xdr:col>8</xdr:col>
                    <xdr:colOff>571500</xdr:colOff>
                    <xdr:row>16</xdr:row>
                    <xdr:rowOff>266700</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123825</xdr:colOff>
                    <xdr:row>2</xdr:row>
                    <xdr:rowOff>9525</xdr:rowOff>
                  </from>
                  <to>
                    <xdr:col>8</xdr:col>
                    <xdr:colOff>285750</xdr:colOff>
                    <xdr:row>2</xdr:row>
                    <xdr:rowOff>180975</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447675</xdr:colOff>
                    <xdr:row>1</xdr:row>
                    <xdr:rowOff>142875</xdr:rowOff>
                  </from>
                  <to>
                    <xdr:col>11</xdr:col>
                    <xdr:colOff>0</xdr:colOff>
                    <xdr:row>2</xdr:row>
                    <xdr:rowOff>142875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H36" sqref="H36"/>
    </sheetView>
  </sheetViews>
  <sheetFormatPr defaultRowHeight="12.75" x14ac:dyDescent="0.2"/>
  <cols>
    <col min="1" max="1" width="16.42578125" customWidth="1"/>
    <col min="2" max="2" width="12" bestFit="1" customWidth="1"/>
    <col min="3" max="3" width="9.42578125" bestFit="1" customWidth="1"/>
    <col min="4" max="9" width="12" bestFit="1" customWidth="1"/>
    <col min="10" max="10" width="8.140625" bestFit="1" customWidth="1"/>
    <col min="11" max="11" width="24.5703125" customWidth="1"/>
    <col min="12" max="13" width="8.140625" bestFit="1" customWidth="1"/>
    <col min="14" max="14" width="8.42578125" bestFit="1" customWidth="1"/>
    <col min="15" max="15" width="4" bestFit="1" customWidth="1"/>
    <col min="16" max="17" width="7.7109375" customWidth="1"/>
  </cols>
  <sheetData>
    <row r="1" spans="1:15" x14ac:dyDescent="0.2">
      <c r="G1">
        <v>3</v>
      </c>
      <c r="H1">
        <v>2</v>
      </c>
      <c r="I1">
        <v>4</v>
      </c>
      <c r="J1">
        <v>5</v>
      </c>
      <c r="K1">
        <v>6</v>
      </c>
      <c r="L1">
        <v>7</v>
      </c>
      <c r="M1">
        <v>8</v>
      </c>
      <c r="N1">
        <v>9</v>
      </c>
      <c r="O1">
        <v>10</v>
      </c>
    </row>
    <row r="2" spans="1:15" ht="25.5" x14ac:dyDescent="0.2">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2">
      <c r="A3" t="s">
        <v>3395</v>
      </c>
      <c r="E3">
        <f>IF(D3&lt;50,D3/10,IF(D3&lt;146,D3-45,(D3-125)*5))</f>
        <v>0</v>
      </c>
      <c r="F3">
        <f>ROUND(E3*24+ROUND(IF(AND(TPN=2,Gewicht/10&lt;=50,SSTglucose&lt;11),F4*2+2*(F7+F8),2*(F7+F8)+4*(F9+F10))/24,0)*24,0)</f>
        <v>0</v>
      </c>
    </row>
    <row r="4" spans="1:15" x14ac:dyDescent="0.2">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2">
      <c r="A5" t="s">
        <v>3063</v>
      </c>
      <c r="F5">
        <f>IF(AND(Gewicht/10&gt;=16,TPN&gt;1,OR(SSTglucose&lt;11,Gewicht/10&gt;50)),E5,0)</f>
        <v>0</v>
      </c>
    </row>
    <row r="6" spans="1:15" x14ac:dyDescent="0.2">
      <c r="A6" t="s">
        <v>2885</v>
      </c>
      <c r="B6">
        <v>1</v>
      </c>
      <c r="F6">
        <f>IF(Gewicht/10&gt;50,F3-F7-F8-F9-F10,IF(OR(TPN=1,SSTglucose&gt;=11),F3-F7-F8-F9-F10,F3-F4-F5-F7-F8))</f>
        <v>0</v>
      </c>
      <c r="G6">
        <f>INDEX(J26:L39,B6,3)*F6</f>
        <v>0</v>
      </c>
      <c r="I6">
        <f>INDEX(J26:M39,B6,4)*F6</f>
        <v>0</v>
      </c>
      <c r="J6">
        <f>INDEX(J26:N39,B6,5)*F6</f>
        <v>0</v>
      </c>
      <c r="N6">
        <f>4*G6</f>
        <v>0</v>
      </c>
    </row>
    <row r="7" spans="1:15" x14ac:dyDescent="0.2">
      <c r="A7" t="s">
        <v>3376</v>
      </c>
      <c r="C7" t="b">
        <v>0</v>
      </c>
      <c r="D7">
        <f>IF(E7&lt;50,E7/10,E7-45)</f>
        <v>0</v>
      </c>
      <c r="F7">
        <f>ROUND(IF(C7,E7,0),0)</f>
        <v>0</v>
      </c>
      <c r="I7">
        <f>F7*0.5</f>
        <v>0</v>
      </c>
    </row>
    <row r="8" spans="1:15" x14ac:dyDescent="0.2">
      <c r="A8" t="s">
        <v>2221</v>
      </c>
      <c r="C8" t="b">
        <v>0</v>
      </c>
      <c r="D8">
        <f>IF(E8&lt;50,E8/10,E8-45)</f>
        <v>0</v>
      </c>
      <c r="F8">
        <f>ROUND(IF(C8,E8,0),0)</f>
        <v>0</v>
      </c>
      <c r="J8">
        <f>F8</f>
        <v>0</v>
      </c>
    </row>
    <row r="9" spans="1:15" x14ac:dyDescent="0.2">
      <c r="A9" t="s">
        <v>3377</v>
      </c>
      <c r="C9" t="b">
        <v>0</v>
      </c>
      <c r="D9">
        <f>CaGlucVol</f>
        <v>0</v>
      </c>
      <c r="F9">
        <f>ROUND(IF(C9,D9,0),0)</f>
        <v>0</v>
      </c>
      <c r="K9">
        <f>F9*0.225</f>
        <v>0</v>
      </c>
    </row>
    <row r="10" spans="1:15" x14ac:dyDescent="0.2">
      <c r="A10" t="s">
        <v>3119</v>
      </c>
      <c r="C10" t="b">
        <v>0</v>
      </c>
      <c r="D10">
        <f>MgClVol</f>
        <v>0</v>
      </c>
      <c r="F10">
        <f>ROUND(IF(C10,D10,0),0)</f>
        <v>0</v>
      </c>
      <c r="L10">
        <f>F10*0.5</f>
        <v>0</v>
      </c>
    </row>
    <row r="11" spans="1:15" x14ac:dyDescent="0.2">
      <c r="A11" t="s">
        <v>3117</v>
      </c>
      <c r="C11" t="b">
        <v>0</v>
      </c>
      <c r="D11">
        <f>IF(E11&lt;50,E11/10,E11-45)</f>
        <v>0</v>
      </c>
      <c r="F11">
        <f>IF(C11,D11,0)</f>
        <v>0</v>
      </c>
      <c r="I11">
        <f>0.5*F11</f>
        <v>0</v>
      </c>
      <c r="J11">
        <f>1.25*F11</f>
        <v>0</v>
      </c>
      <c r="M11">
        <f>F11*1.5</f>
        <v>0</v>
      </c>
    </row>
    <row r="12" spans="1:15" x14ac:dyDescent="0.2">
      <c r="A12" t="s">
        <v>2114</v>
      </c>
      <c r="D12">
        <v>0</v>
      </c>
      <c r="E12">
        <f>ROUND(IF(D12&lt;50,D12/10,D12-45),1)</f>
        <v>0</v>
      </c>
      <c r="F12">
        <f>E12*24</f>
        <v>0</v>
      </c>
    </row>
    <row r="13" spans="1:15" x14ac:dyDescent="0.2">
      <c r="A13" t="s">
        <v>2115</v>
      </c>
      <c r="F13">
        <f>F12-F14-F15</f>
        <v>0</v>
      </c>
      <c r="N13">
        <f>9*O13</f>
        <v>0</v>
      </c>
      <c r="O13">
        <f>0.2*F13</f>
        <v>0</v>
      </c>
    </row>
    <row r="14" spans="1:15" x14ac:dyDescent="0.2">
      <c r="A14" t="s">
        <v>2116</v>
      </c>
      <c r="C14" t="b">
        <v>0</v>
      </c>
      <c r="D14">
        <f>IF(E14&lt;50,E14/10,E14-45)</f>
        <v>0.1</v>
      </c>
      <c r="E14">
        <v>1</v>
      </c>
      <c r="F14">
        <f>IF(C14,D14,0)</f>
        <v>0</v>
      </c>
    </row>
    <row r="15" spans="1:15" x14ac:dyDescent="0.2">
      <c r="A15" t="s">
        <v>2117</v>
      </c>
      <c r="C15" t="b">
        <v>0</v>
      </c>
      <c r="D15">
        <f>IF(E15&lt;50,E15/10,E15-45)</f>
        <v>0.1</v>
      </c>
      <c r="E15">
        <v>1</v>
      </c>
      <c r="F15">
        <f>IF(AND(C15,Gewicht/10&gt;=7),D15,0)</f>
        <v>0</v>
      </c>
    </row>
    <row r="16" spans="1:15" x14ac:dyDescent="0.2">
      <c r="A16" t="s">
        <v>1792</v>
      </c>
      <c r="F16">
        <f>IF(AND(TPN=2,Gewicht/10&lt;=50,SSTglucose&lt;11),ROUND((F9*4+F10*4)/10,0)*10,IF(AND(TPN=2,Gewicht/10&gt;50),100,0))</f>
        <v>0</v>
      </c>
      <c r="G16">
        <f>F16*0.1</f>
        <v>0</v>
      </c>
    </row>
    <row r="17" spans="1:15" x14ac:dyDescent="0.2">
      <c r="A17" t="s">
        <v>1273</v>
      </c>
      <c r="F17">
        <f>(ROUND(ber_TPN!F11*1.5/(Gewicht/10)/24/0.01,1)*24-ber_TPN!F11)</f>
        <v>0</v>
      </c>
      <c r="G17">
        <f>F17*0.05</f>
        <v>0</v>
      </c>
      <c r="N17">
        <f>4*G17</f>
        <v>0</v>
      </c>
    </row>
    <row r="18" spans="1:15" x14ac:dyDescent="0.2">
      <c r="A18" t="s">
        <v>3396</v>
      </c>
      <c r="D18">
        <v>0</v>
      </c>
      <c r="E18">
        <f>IF(D18&lt;50,D18/10,D18-45)</f>
        <v>0</v>
      </c>
      <c r="F18">
        <f>E18*24</f>
        <v>0</v>
      </c>
    </row>
    <row r="19" spans="1:15" x14ac:dyDescent="0.2">
      <c r="A19" t="s">
        <v>2885</v>
      </c>
      <c r="B19">
        <v>1</v>
      </c>
      <c r="F19">
        <f>IF(F18-F20-F21&lt;0,0,F18-F20-F21)</f>
        <v>0</v>
      </c>
      <c r="G19">
        <f>INDEX(J26:L39,B19,3)*F19</f>
        <v>0</v>
      </c>
      <c r="I19">
        <f>INDEX(J26:M39,B19,4)*F19</f>
        <v>0</v>
      </c>
      <c r="J19">
        <f>INDEX(J26:N39,B6,5)*F19</f>
        <v>0</v>
      </c>
      <c r="N19">
        <f>4*G19</f>
        <v>0</v>
      </c>
    </row>
    <row r="20" spans="1:15" x14ac:dyDescent="0.2">
      <c r="A20" t="s">
        <v>3376</v>
      </c>
      <c r="D20">
        <f>IF(E20&lt;50,E20/10,E20-45)</f>
        <v>0</v>
      </c>
      <c r="F20">
        <f>IF(AND(D20+D21&lt;F18,C20),D20,0)</f>
        <v>0</v>
      </c>
      <c r="I20">
        <f>F20*0.5</f>
        <v>0</v>
      </c>
    </row>
    <row r="21" spans="1:15" x14ac:dyDescent="0.2">
      <c r="A21" t="s">
        <v>2221</v>
      </c>
      <c r="D21">
        <f>IF(E21&lt;50,E21/10,E21-45)</f>
        <v>0</v>
      </c>
      <c r="F21">
        <f>IF(AND(C21,D20+D21&lt;F18),D21,0)</f>
        <v>0</v>
      </c>
      <c r="J21">
        <f>F21</f>
        <v>0</v>
      </c>
    </row>
    <row r="23" spans="1:15" x14ac:dyDescent="0.2">
      <c r="A23" t="s">
        <v>1276</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2">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2">
      <c r="J26">
        <v>1</v>
      </c>
      <c r="K26" t="s">
        <v>2988</v>
      </c>
      <c r="L26">
        <v>0.05</v>
      </c>
      <c r="M26">
        <v>0</v>
      </c>
    </row>
    <row r="27" spans="1:15" x14ac:dyDescent="0.2">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2">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2">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2">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2">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2">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2">
      <c r="J33">
        <v>8</v>
      </c>
      <c r="K33" t="s">
        <v>2210</v>
      </c>
      <c r="L33">
        <v>0.3</v>
      </c>
      <c r="M33">
        <v>0</v>
      </c>
    </row>
    <row r="34" spans="1:15" x14ac:dyDescent="0.2">
      <c r="J34">
        <v>9</v>
      </c>
      <c r="K34" t="s">
        <v>2676</v>
      </c>
      <c r="L34">
        <v>0.4</v>
      </c>
      <c r="M34">
        <v>0</v>
      </c>
      <c r="N34">
        <v>0</v>
      </c>
    </row>
    <row r="35" spans="1:15" x14ac:dyDescent="0.2">
      <c r="A35" s="107" t="s">
        <v>3374</v>
      </c>
      <c r="J35">
        <v>10</v>
      </c>
      <c r="K35" t="s">
        <v>1039</v>
      </c>
      <c r="L35">
        <v>0.5</v>
      </c>
      <c r="M35">
        <v>0</v>
      </c>
    </row>
    <row r="36" spans="1:15" x14ac:dyDescent="0.2">
      <c r="A36" s="107" t="s">
        <v>3375</v>
      </c>
      <c r="J36">
        <v>11</v>
      </c>
      <c r="K36" t="s">
        <v>5131</v>
      </c>
      <c r="L36">
        <v>0.05</v>
      </c>
      <c r="M36">
        <v>7.6999999999999999E-2</v>
      </c>
      <c r="O36">
        <v>0</v>
      </c>
    </row>
    <row r="37" spans="1:15" x14ac:dyDescent="0.2">
      <c r="A37" s="107" t="s">
        <v>575</v>
      </c>
      <c r="J37">
        <v>12</v>
      </c>
      <c r="K37" t="s">
        <v>5132</v>
      </c>
      <c r="L37">
        <v>0.05</v>
      </c>
      <c r="M37">
        <v>0.155</v>
      </c>
      <c r="O37">
        <v>0</v>
      </c>
    </row>
    <row r="38" spans="1:15" x14ac:dyDescent="0.2">
      <c r="A38" s="107" t="s">
        <v>576</v>
      </c>
      <c r="J38">
        <v>13</v>
      </c>
      <c r="K38" t="s">
        <v>3044</v>
      </c>
      <c r="L38">
        <v>0</v>
      </c>
      <c r="M38">
        <v>0.155</v>
      </c>
      <c r="O38">
        <v>0</v>
      </c>
    </row>
    <row r="39" spans="1:15" x14ac:dyDescent="0.2">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75" x14ac:dyDescent="0.2"/>
  <sheetData>
    <row r="4" spans="2:16" x14ac:dyDescent="0.2">
      <c r="B4" t="s">
        <v>3810</v>
      </c>
      <c r="D4" t="s">
        <v>1562</v>
      </c>
      <c r="F4" t="s">
        <v>1563</v>
      </c>
      <c r="H4" t="s">
        <v>1564</v>
      </c>
      <c r="J4" t="s">
        <v>1565</v>
      </c>
      <c r="L4" t="s">
        <v>119</v>
      </c>
      <c r="N4" t="s">
        <v>120</v>
      </c>
      <c r="P4" t="s">
        <v>121</v>
      </c>
    </row>
    <row r="5" spans="2:16" x14ac:dyDescent="0.2">
      <c r="B5" t="str">
        <f>IF(C5,"A","")</f>
        <v/>
      </c>
      <c r="D5" t="str">
        <f>IF(E5,"A","")</f>
        <v/>
      </c>
      <c r="F5" t="str">
        <f>IF(G5,"A","")</f>
        <v/>
      </c>
      <c r="H5" t="str">
        <f>IF(I5,"A","")</f>
        <v/>
      </c>
      <c r="J5" t="str">
        <f>IF(K5,"A","")</f>
        <v/>
      </c>
      <c r="L5" t="str">
        <f>IF(M5,"A","")</f>
        <v/>
      </c>
      <c r="N5" t="str">
        <f>IF(O5,"A","")</f>
        <v/>
      </c>
      <c r="P5" t="str">
        <f>IF(Q5,"A","")</f>
        <v/>
      </c>
    </row>
    <row r="6" spans="2:16" x14ac:dyDescent="0.2">
      <c r="B6" t="str">
        <f>IF(C6,"Na K","")</f>
        <v/>
      </c>
      <c r="D6" t="str">
        <f>IF(E6,"Na K","")</f>
        <v/>
      </c>
      <c r="F6" t="str">
        <f>IF(G6,"Na K","")</f>
        <v/>
      </c>
      <c r="H6" t="str">
        <f>IF(I6,"Na K","")</f>
        <v/>
      </c>
      <c r="J6" t="str">
        <f>IF(K6,"Na K","")</f>
        <v/>
      </c>
      <c r="L6" t="str">
        <f>IF(M6,"Na K","")</f>
        <v/>
      </c>
      <c r="N6" t="str">
        <f>IF(O6,"Na K","")</f>
        <v/>
      </c>
      <c r="P6" t="str">
        <f>IF(Q6,"Na K","")</f>
        <v/>
      </c>
    </row>
    <row r="7" spans="2:16" x14ac:dyDescent="0.2">
      <c r="B7" t="str">
        <f>IF(C7,"Cl","")</f>
        <v/>
      </c>
      <c r="D7" t="str">
        <f>IF(E7,"Cl","")</f>
        <v/>
      </c>
      <c r="F7" t="str">
        <f>IF(G7,"Cl","")</f>
        <v/>
      </c>
      <c r="H7" t="str">
        <f>IF(I7,"Cl","")</f>
        <v/>
      </c>
      <c r="J7" t="str">
        <f>IF(K7,"Cl","")</f>
        <v/>
      </c>
      <c r="L7" t="str">
        <f>IF(M7,"Cl","")</f>
        <v/>
      </c>
      <c r="N7" t="str">
        <f>IF(O7,"Cl","")</f>
        <v/>
      </c>
      <c r="P7" t="str">
        <f>IF(Q7,"Cl","")</f>
        <v/>
      </c>
    </row>
    <row r="8" spans="2:16" x14ac:dyDescent="0.2">
      <c r="B8" t="str">
        <f>IF(C8,"Gluc","")</f>
        <v/>
      </c>
      <c r="D8" t="str">
        <f>IF(E8,"Gluc","")</f>
        <v/>
      </c>
      <c r="F8" t="str">
        <f>IF(G8,"Gluc","")</f>
        <v/>
      </c>
      <c r="H8" t="str">
        <f>IF(I8,"Gluc","")</f>
        <v/>
      </c>
      <c r="J8" t="str">
        <f>IF(K8,"Gluc","")</f>
        <v/>
      </c>
      <c r="L8" t="str">
        <f>IF(M8,"Gluc","")</f>
        <v/>
      </c>
      <c r="N8" t="str">
        <f>IF(O8,"Gluc","")</f>
        <v/>
      </c>
      <c r="P8" t="str">
        <f>IF(Q8,"Gluc","")</f>
        <v/>
      </c>
    </row>
    <row r="9" spans="2:16" x14ac:dyDescent="0.2">
      <c r="B9" t="str">
        <f>IF(C9,"Hb Ht","")</f>
        <v/>
      </c>
      <c r="D9" t="str">
        <f>IF(E9,"Hb Ht","")</f>
        <v/>
      </c>
      <c r="F9" t="str">
        <f>IF(G9,"Hb Ht","")</f>
        <v/>
      </c>
      <c r="H9" t="str">
        <f>IF(I9,"Hb Ht","")</f>
        <v/>
      </c>
      <c r="J9" t="str">
        <f>IF(K9,"Hb Ht","")</f>
        <v/>
      </c>
      <c r="L9" t="str">
        <f>IF(M9,"Hb Ht","")</f>
        <v/>
      </c>
      <c r="N9" t="str">
        <f>IF(O9,"Hb Ht","")</f>
        <v/>
      </c>
      <c r="P9" t="str">
        <f>IF(Q9,"Hb Ht","")</f>
        <v/>
      </c>
    </row>
    <row r="10" spans="2:16" x14ac:dyDescent="0.2">
      <c r="B10" t="str">
        <f>IF(C10,"L","")</f>
        <v/>
      </c>
      <c r="D10" t="str">
        <f>IF(E10,"L","")</f>
        <v/>
      </c>
      <c r="F10" t="str">
        <f>IF(G10,"L","")</f>
        <v/>
      </c>
      <c r="H10" t="str">
        <f>IF(I10,"L","")</f>
        <v/>
      </c>
      <c r="J10" t="str">
        <f>IF(K10,"L","")</f>
        <v/>
      </c>
      <c r="L10" t="str">
        <f>IF(M10,"L","")</f>
        <v/>
      </c>
      <c r="N10" t="str">
        <f>IF(O10,"L","")</f>
        <v/>
      </c>
      <c r="P10" t="str">
        <f>IF(Q10,"L","")</f>
        <v/>
      </c>
    </row>
    <row r="11" spans="2:16" x14ac:dyDescent="0.2">
      <c r="B11" t="str">
        <f>IF(C11,"T","")</f>
        <v/>
      </c>
      <c r="D11" t="str">
        <f>IF(E11,"T","")</f>
        <v/>
      </c>
      <c r="F11" t="str">
        <f>IF(G11,"T","")</f>
        <v/>
      </c>
      <c r="H11" t="str">
        <f>IF(I11,"T","")</f>
        <v/>
      </c>
      <c r="J11" t="str">
        <f>IF(K11,"T","")</f>
        <v/>
      </c>
      <c r="L11" t="str">
        <f>IF(M11,"T","")</f>
        <v/>
      </c>
      <c r="N11" t="str">
        <f>IF(O11,"T","")</f>
        <v/>
      </c>
      <c r="P11" t="str">
        <f>IF(Q11,"T","")</f>
        <v/>
      </c>
    </row>
    <row r="12" spans="2:16" x14ac:dyDescent="0.2">
      <c r="B12" t="str">
        <f>IF(C12,"CRP","")</f>
        <v/>
      </c>
      <c r="D12" t="str">
        <f>IF(E12,"CRP","")</f>
        <v/>
      </c>
      <c r="F12" t="str">
        <f>IF(G12,"CRP","")</f>
        <v/>
      </c>
      <c r="H12" t="str">
        <f>IF(I12,"CRP","")</f>
        <v/>
      </c>
      <c r="J12" t="str">
        <f>IF(K12,"CRP","")</f>
        <v/>
      </c>
      <c r="L12" t="str">
        <f>IF(M12,"CRP","")</f>
        <v/>
      </c>
      <c r="N12" t="str">
        <f>IF(O12,"CRP","")</f>
        <v/>
      </c>
      <c r="P12" t="str">
        <f>IF(Q12,"CRP","")</f>
        <v/>
      </c>
    </row>
    <row r="13" spans="2:16" x14ac:dyDescent="0.2">
      <c r="B13" t="str">
        <f>IF(C13,"Lac","")</f>
        <v/>
      </c>
      <c r="D13" t="str">
        <f>IF(E13,"Lac","")</f>
        <v/>
      </c>
      <c r="F13" t="str">
        <f>IF(G13,"Lac","")</f>
        <v/>
      </c>
      <c r="H13" t="str">
        <f>IF(I13,"Lac","")</f>
        <v/>
      </c>
      <c r="J13" t="str">
        <f>IF(K13,"Lac","")</f>
        <v/>
      </c>
      <c r="L13" t="str">
        <f>IF(M13,"Lac","")</f>
        <v/>
      </c>
      <c r="N13" t="str">
        <f>IF(O13,"Lac","")</f>
        <v/>
      </c>
      <c r="P13" t="str">
        <f>IF(Q13,"Lac","")</f>
        <v/>
      </c>
    </row>
    <row r="14" spans="2:16" x14ac:dyDescent="0.2">
      <c r="B14" t="str">
        <f>IF(C14,"Ur","")</f>
        <v/>
      </c>
      <c r="D14" t="str">
        <f>IF(E14,"Ur","")</f>
        <v/>
      </c>
      <c r="F14" t="str">
        <f>IF(G14,"Ur","")</f>
        <v/>
      </c>
      <c r="H14" t="str">
        <f>IF(I14,"Ur","")</f>
        <v/>
      </c>
      <c r="J14" t="str">
        <f>IF(K14,"Ur","")</f>
        <v/>
      </c>
      <c r="L14" t="str">
        <f>IF(M14,"Ur","")</f>
        <v/>
      </c>
      <c r="N14" t="str">
        <f>IF(O14,"Ur","")</f>
        <v/>
      </c>
      <c r="P14" t="str">
        <f>IF(Q14,"Ur","")</f>
        <v/>
      </c>
    </row>
    <row r="15" spans="2:16" x14ac:dyDescent="0.2">
      <c r="B15" t="str">
        <f>IF(C15,"Kr","")</f>
        <v/>
      </c>
      <c r="D15" t="str">
        <f>IF(E15,"Kr","")</f>
        <v/>
      </c>
      <c r="F15" t="str">
        <f>IF(G15,"Kr","")</f>
        <v/>
      </c>
      <c r="H15" t="str">
        <f>IF(I15,"Kr","")</f>
        <v/>
      </c>
      <c r="J15" t="str">
        <f>IF(K15,"Kr","")</f>
        <v/>
      </c>
      <c r="L15" t="str">
        <f>IF(M15,"Kr","")</f>
        <v/>
      </c>
      <c r="N15" t="str">
        <f>IF(O15,"Kr","")</f>
        <v/>
      </c>
      <c r="P15" t="str">
        <f>IF(Q15,"Kr","")</f>
        <v/>
      </c>
    </row>
    <row r="16" spans="2:16" x14ac:dyDescent="0.2">
      <c r="B16" t="str">
        <f>IF(C16,"Ca++","")</f>
        <v/>
      </c>
      <c r="D16" t="str">
        <f>IF(E16,"Ca++","")</f>
        <v/>
      </c>
      <c r="F16" t="str">
        <f>IF(G16,"Ca++","")</f>
        <v/>
      </c>
      <c r="H16" t="str">
        <f>IF(I16,"Ca++","")</f>
        <v/>
      </c>
      <c r="J16" t="str">
        <f>IF(K16,"Ca++","")</f>
        <v/>
      </c>
      <c r="L16" t="str">
        <f>IF(M16,"Ca++","")</f>
        <v/>
      </c>
      <c r="N16" t="str">
        <f>IF(O16,"Ca++","")</f>
        <v/>
      </c>
      <c r="P16" t="str">
        <f>IF(Q16,"Ca++","")</f>
        <v/>
      </c>
    </row>
    <row r="17" spans="2:16" x14ac:dyDescent="0.2">
      <c r="B17" t="str">
        <f>IF(C17,"Mg++","")</f>
        <v/>
      </c>
      <c r="D17" t="str">
        <f>IF(E17,"Mg++","")</f>
        <v/>
      </c>
      <c r="F17" t="str">
        <f>IF(G17,"Mg++","")</f>
        <v/>
      </c>
      <c r="H17" t="str">
        <f>IF(I17,"Mg++","")</f>
        <v/>
      </c>
      <c r="J17" t="str">
        <f>IF(K17,"Mg++","")</f>
        <v/>
      </c>
      <c r="L17" t="str">
        <f>IF(M17,"Mg++","")</f>
        <v/>
      </c>
      <c r="N17" t="str">
        <f>IF(O17,"Mg++","")</f>
        <v/>
      </c>
      <c r="P17" t="str">
        <f>IF(Q17,"Mg++","")</f>
        <v/>
      </c>
    </row>
    <row r="18" spans="2:16" x14ac:dyDescent="0.2">
      <c r="B18" t="str">
        <f>IF(C18,"Alb","")</f>
        <v/>
      </c>
      <c r="D18" t="str">
        <f>IF(E18,"Alb","")</f>
        <v/>
      </c>
      <c r="F18" t="str">
        <f>IF(G18,"Alb","")</f>
        <v/>
      </c>
      <c r="H18" t="str">
        <f>IF(I18,"Alb","")</f>
        <v/>
      </c>
      <c r="J18" t="str">
        <f>IF(K18,"Alb","")</f>
        <v/>
      </c>
      <c r="L18" t="str">
        <f>IF(M18,"Alb","")</f>
        <v/>
      </c>
      <c r="N18" t="str">
        <f>IF(O18,"Alb","")</f>
        <v/>
      </c>
      <c r="P18" t="str">
        <f>IF(Q18,"Alb","")</f>
        <v/>
      </c>
    </row>
    <row r="19" spans="2:16" x14ac:dyDescent="0.2">
      <c r="B19" t="str">
        <f>IF(C19,"Ca","")</f>
        <v/>
      </c>
      <c r="D19" t="str">
        <f>IF(E19,"Ca","")</f>
        <v/>
      </c>
      <c r="F19" t="str">
        <f>IF(G19,"Ca","")</f>
        <v/>
      </c>
      <c r="H19" t="str">
        <f>IF(I19,"Ca","")</f>
        <v/>
      </c>
      <c r="J19" t="str">
        <f>IF(K19,"Ca","")</f>
        <v/>
      </c>
      <c r="L19" t="str">
        <f>IF(M19,"Ca","")</f>
        <v/>
      </c>
      <c r="N19" t="str">
        <f>IF(O19,"Ca","")</f>
        <v/>
      </c>
      <c r="P19" t="str">
        <f>IF(Q19,"Ca","")</f>
        <v/>
      </c>
    </row>
    <row r="20" spans="2:16" x14ac:dyDescent="0.2">
      <c r="B20" t="str">
        <f>IF(C20,"ASAT","")</f>
        <v/>
      </c>
      <c r="D20" t="str">
        <f>IF(E20,"ASAT","")</f>
        <v/>
      </c>
      <c r="F20" t="str">
        <f>IF(G20,"ASAT","")</f>
        <v/>
      </c>
      <c r="H20" t="str">
        <f>IF(I20,"ASAT","")</f>
        <v/>
      </c>
      <c r="J20" t="str">
        <f>IF(K20,"ASAT","")</f>
        <v/>
      </c>
      <c r="L20" t="str">
        <f>IF(M20,"ASAT","")</f>
        <v/>
      </c>
      <c r="N20" t="str">
        <f>IF(O20,"ASAT","")</f>
        <v/>
      </c>
      <c r="P20" t="str">
        <f>IF(Q20,"ASAT","")</f>
        <v/>
      </c>
    </row>
    <row r="21" spans="2:16" x14ac:dyDescent="0.2">
      <c r="B21" t="str">
        <f>IF(C21,"ALAT","")</f>
        <v/>
      </c>
      <c r="D21" t="str">
        <f>IF(E21,"ALAT","")</f>
        <v/>
      </c>
      <c r="F21" t="str">
        <f>IF(G21,"ALAT","")</f>
        <v/>
      </c>
      <c r="H21" t="str">
        <f>IF(I21,"ALAT","")</f>
        <v/>
      </c>
      <c r="J21" t="str">
        <f>IF(K21,"ALAT","")</f>
        <v/>
      </c>
      <c r="L21" t="str">
        <f>IF(M21,"ALAT","")</f>
        <v/>
      </c>
      <c r="N21" t="str">
        <f>IF(O21,"ALAT","")</f>
        <v/>
      </c>
      <c r="P21" t="str">
        <f>IF(Q21,"ALAT","")</f>
        <v/>
      </c>
    </row>
    <row r="22" spans="2:16" x14ac:dyDescent="0.2">
      <c r="B22" t="str">
        <f>IF(C22,"GGT","")</f>
        <v/>
      </c>
      <c r="D22" t="str">
        <f>IF(E22,"GGT","")</f>
        <v/>
      </c>
      <c r="F22" t="str">
        <f>IF(G22,"GGT","")</f>
        <v/>
      </c>
      <c r="H22" t="str">
        <f>IF(I22,"GGT","")</f>
        <v/>
      </c>
      <c r="J22" t="str">
        <f>IF(K22,"GGT","")</f>
        <v/>
      </c>
      <c r="L22" t="str">
        <f>IF(M22,"GGT","")</f>
        <v/>
      </c>
      <c r="N22" t="str">
        <f>IF(O22,"GGT","")</f>
        <v/>
      </c>
      <c r="P22" t="str">
        <f>IF(Q22,"GGT","")</f>
        <v/>
      </c>
    </row>
    <row r="23" spans="2:16" x14ac:dyDescent="0.2">
      <c r="B23" t="str">
        <f>IF(C23,"AF","")</f>
        <v/>
      </c>
      <c r="D23" t="str">
        <f>IF(E23,"AF","")</f>
        <v/>
      </c>
      <c r="F23" t="str">
        <f>IF(G23,"AF","")</f>
        <v/>
      </c>
      <c r="H23" t="str">
        <f>IF(I23,"AF","")</f>
        <v/>
      </c>
      <c r="J23" t="str">
        <f>IF(K23,"AF","")</f>
        <v/>
      </c>
      <c r="L23" t="str">
        <f>IF(M23,"AF","")</f>
        <v/>
      </c>
      <c r="N23" t="str">
        <f>IF(O23,"AF","")</f>
        <v/>
      </c>
      <c r="P23" t="str">
        <f>IF(Q23,"AF","")</f>
        <v/>
      </c>
    </row>
    <row r="24" spans="2:16" x14ac:dyDescent="0.2">
      <c r="B24" t="str">
        <f>IF(C24,"LDH","")</f>
        <v/>
      </c>
      <c r="D24" t="str">
        <f>IF(E24,"LDH","")</f>
        <v/>
      </c>
      <c r="F24" t="str">
        <f>IF(G24,"LDH","")</f>
        <v/>
      </c>
      <c r="H24" t="str">
        <f>IF(I24,"LDH","")</f>
        <v/>
      </c>
      <c r="J24" t="str">
        <f>IF(K24,"LDH","")</f>
        <v/>
      </c>
      <c r="L24" t="str">
        <f>IF(M24,"LDH","")</f>
        <v/>
      </c>
      <c r="N24" t="str">
        <f>IF(O24,"LDH","")</f>
        <v/>
      </c>
      <c r="P24" t="str">
        <f>IF(Q24,"LDH","")</f>
        <v/>
      </c>
    </row>
    <row r="25" spans="2:16" x14ac:dyDescent="0.2">
      <c r="B25" t="str">
        <f>IF(C25,"Bili","")</f>
        <v/>
      </c>
      <c r="D25" t="str">
        <f>IF(E25,"Bili","")</f>
        <v/>
      </c>
      <c r="F25" t="str">
        <f>IF(G25,"Bili","")</f>
        <v/>
      </c>
      <c r="H25" t="str">
        <f>IF(I25,"Bili","")</f>
        <v/>
      </c>
      <c r="J25" t="str">
        <f>IF(K25,"Bili","")</f>
        <v/>
      </c>
      <c r="L25" t="str">
        <f>IF(M25,"Bili","")</f>
        <v/>
      </c>
      <c r="N25" t="str">
        <f>IF(O25,"Bili","")</f>
        <v/>
      </c>
      <c r="P25" t="str">
        <f>IF(Q25,"Bili","")</f>
        <v/>
      </c>
    </row>
    <row r="26" spans="2:16" x14ac:dyDescent="0.2">
      <c r="B26" t="str">
        <f>IF(C26,"PT","")</f>
        <v/>
      </c>
      <c r="D26" t="str">
        <f>IF(E26,"PT","")</f>
        <v/>
      </c>
      <c r="F26" t="str">
        <f>IF(G26,"PT","")</f>
        <v/>
      </c>
      <c r="H26" t="str">
        <f>IF(I26,"PT","")</f>
        <v/>
      </c>
      <c r="J26" t="str">
        <f>IF(K26,"PT","")</f>
        <v/>
      </c>
      <c r="L26" t="str">
        <f>IF(M26,"PT","")</f>
        <v/>
      </c>
      <c r="N26" t="str">
        <f>IF(O26,"PT","")</f>
        <v/>
      </c>
      <c r="P26" t="str">
        <f>IF(Q26,"PT","")</f>
        <v/>
      </c>
    </row>
    <row r="27" spans="2:16" x14ac:dyDescent="0.2">
      <c r="B27" t="str">
        <f>IF(C27,"APTT","")</f>
        <v/>
      </c>
      <c r="D27" t="str">
        <f>IF(E27,"APTT","")</f>
        <v/>
      </c>
      <c r="F27" t="str">
        <f>IF(G27,"APTT","")</f>
        <v/>
      </c>
      <c r="H27" t="str">
        <f>IF(I27,"APTT","")</f>
        <v/>
      </c>
      <c r="J27" t="str">
        <f>IF(K27,"APTT","")</f>
        <v/>
      </c>
      <c r="L27" t="str">
        <f>IF(M27,"APTT","")</f>
        <v/>
      </c>
      <c r="N27" t="str">
        <f>IF(O27,"APTT","")</f>
        <v/>
      </c>
      <c r="P27" t="str">
        <f>IF(Q27,"APTT","")</f>
        <v/>
      </c>
    </row>
    <row r="28" spans="2:16" x14ac:dyDescent="0.2">
      <c r="B28" t="str">
        <f>IF(C28,"BG","")</f>
        <v/>
      </c>
      <c r="D28" t="str">
        <f>IF(E28,"BG","")</f>
        <v/>
      </c>
      <c r="F28" t="str">
        <f>IF(G28,"BG","")</f>
        <v/>
      </c>
      <c r="H28" t="str">
        <f>IF(I28,"BG","")</f>
        <v/>
      </c>
      <c r="J28" t="str">
        <f>IF(K28,"BG","")</f>
        <v/>
      </c>
      <c r="L28" t="str">
        <f>IF(M28,"BG","")</f>
        <v/>
      </c>
      <c r="N28" t="str">
        <f>IF(O28,"BG","")</f>
        <v/>
      </c>
      <c r="P28" t="str">
        <f>IF(Q28,"BG","")</f>
        <v/>
      </c>
    </row>
    <row r="29" spans="2:16" x14ac:dyDescent="0.2">
      <c r="B29" t="str">
        <f>IF(C29,"TG","")</f>
        <v/>
      </c>
      <c r="D29" t="str">
        <f>IF(E29,"TG","")</f>
        <v/>
      </c>
      <c r="F29" t="str">
        <f>IF(G29,"TG","")</f>
        <v/>
      </c>
      <c r="H29" t="str">
        <f>IF(I29,"TG","")</f>
        <v/>
      </c>
      <c r="J29" t="str">
        <f>IF(K29,"TG","")</f>
        <v/>
      </c>
      <c r="L29" t="str">
        <f>IF(M29,"TG","")</f>
        <v/>
      </c>
      <c r="N29" t="str">
        <f>IF(O29,"TG","")</f>
        <v/>
      </c>
      <c r="P29" t="str">
        <f>IF(Q29,"TG","")</f>
        <v/>
      </c>
    </row>
    <row r="30" spans="2:16" x14ac:dyDescent="0.2">
      <c r="B30" t="str">
        <f>IF(C30,"CK","")</f>
        <v/>
      </c>
      <c r="D30" t="str">
        <f>IF(E30,"CK","")</f>
        <v/>
      </c>
      <c r="F30" t="str">
        <f>IF(G30,"CK","")</f>
        <v/>
      </c>
      <c r="H30" t="str">
        <f>IF(I30,"CK","")</f>
        <v/>
      </c>
      <c r="J30" t="str">
        <f>IF(K30,"CK","")</f>
        <v/>
      </c>
      <c r="L30" t="str">
        <f>IF(M30,"CK","")</f>
        <v/>
      </c>
      <c r="N30" t="str">
        <f>IF(O30,"CK","")</f>
        <v/>
      </c>
      <c r="P30" t="str">
        <f>IF(Q30,"CK","")</f>
        <v/>
      </c>
    </row>
    <row r="31" spans="2:16" x14ac:dyDescent="0.2">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RowHeight="12.75" x14ac:dyDescent="0.2"/>
  <cols>
    <col min="1" max="1" width="3.7109375" style="26" customWidth="1"/>
    <col min="2" max="9" width="10.7109375" style="26" customWidth="1"/>
    <col min="10" max="11" width="2.140625" style="26" customWidth="1"/>
    <col min="12" max="14" width="10.7109375" style="26" customWidth="1"/>
    <col min="15" max="15" width="10.85546875" style="26" customWidth="1"/>
    <col min="16" max="17" width="10.7109375" style="26" customWidth="1"/>
    <col min="18" max="16384" width="9.140625" style="26"/>
  </cols>
  <sheetData>
    <row r="1" spans="1:17" ht="11.25" customHeight="1" x14ac:dyDescent="0.2">
      <c r="A1" s="29"/>
      <c r="B1" s="323" t="s">
        <v>1561</v>
      </c>
      <c r="C1" s="345"/>
      <c r="D1" s="361" t="s">
        <v>5102</v>
      </c>
      <c r="E1" s="345"/>
      <c r="F1" s="345"/>
      <c r="G1" s="29"/>
      <c r="H1" s="122"/>
      <c r="I1" s="29"/>
      <c r="J1" s="29"/>
    </row>
    <row r="2" spans="1:17" x14ac:dyDescent="0.2">
      <c r="A2" s="29"/>
      <c r="B2" s="310"/>
    </row>
    <row r="3" spans="1:17" ht="18.75" customHeight="1" x14ac:dyDescent="0.2">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25" customHeight="1" x14ac:dyDescent="0.2">
      <c r="B4" s="358"/>
      <c r="C4" s="359"/>
      <c r="D4" s="358"/>
      <c r="E4" s="358"/>
      <c r="F4" s="358"/>
      <c r="G4" s="358"/>
      <c r="H4" s="358"/>
      <c r="I4" s="358"/>
      <c r="J4" s="358"/>
      <c r="K4" s="358"/>
      <c r="L4" s="358"/>
      <c r="M4" s="358"/>
      <c r="N4" s="358"/>
      <c r="O4" s="358"/>
      <c r="P4" s="358"/>
      <c r="Q4" s="358"/>
    </row>
    <row r="5" spans="1:17" ht="26.25" customHeight="1" x14ac:dyDescent="0.2">
      <c r="B5" s="358"/>
      <c r="C5" s="359"/>
      <c r="D5" s="358"/>
      <c r="E5" s="358"/>
      <c r="F5" s="358"/>
      <c r="G5" s="358"/>
      <c r="H5" s="358"/>
      <c r="I5" s="358"/>
      <c r="J5" s="358"/>
      <c r="K5" s="358"/>
      <c r="L5" s="358"/>
      <c r="M5" s="358"/>
      <c r="N5" s="358"/>
      <c r="O5" s="358"/>
      <c r="P5" s="358"/>
      <c r="Q5" s="358"/>
    </row>
    <row r="6" spans="1:17" ht="26.25" customHeight="1" x14ac:dyDescent="0.2">
      <c r="B6" s="358"/>
      <c r="C6" s="359"/>
      <c r="D6" s="358"/>
      <c r="E6" s="358"/>
      <c r="F6" s="358"/>
      <c r="G6" s="358"/>
      <c r="H6" s="358"/>
      <c r="I6" s="358"/>
      <c r="J6" s="358"/>
      <c r="K6" s="358"/>
      <c r="L6" s="358"/>
      <c r="M6" s="358"/>
      <c r="N6" s="358"/>
      <c r="O6" s="358"/>
      <c r="P6" s="358"/>
      <c r="Q6" s="358"/>
    </row>
    <row r="7" spans="1:17" ht="26.25" customHeight="1" x14ac:dyDescent="0.2">
      <c r="B7" s="358"/>
      <c r="C7" s="359"/>
      <c r="D7" s="358"/>
      <c r="E7" s="358"/>
      <c r="F7" s="358"/>
      <c r="G7" s="358"/>
      <c r="H7" s="358"/>
      <c r="I7" s="358"/>
      <c r="J7" s="358"/>
      <c r="K7" s="358"/>
      <c r="L7" s="358"/>
      <c r="M7" s="358"/>
      <c r="N7" s="358"/>
      <c r="O7" s="358"/>
      <c r="P7" s="358"/>
      <c r="Q7" s="358"/>
    </row>
    <row r="8" spans="1:17" ht="26.25" customHeight="1" x14ac:dyDescent="0.2">
      <c r="B8" s="358"/>
      <c r="C8" s="359"/>
      <c r="D8" s="358"/>
      <c r="E8" s="358"/>
      <c r="F8" s="358"/>
      <c r="G8" s="358"/>
      <c r="H8" s="358"/>
      <c r="I8" s="358"/>
      <c r="J8" s="358"/>
      <c r="K8" s="358"/>
      <c r="L8" s="358"/>
      <c r="M8" s="358"/>
      <c r="N8" s="358"/>
      <c r="O8" s="358"/>
      <c r="P8" s="358"/>
      <c r="Q8" s="358"/>
    </row>
    <row r="9" spans="1:17" ht="26.25" customHeight="1" x14ac:dyDescent="0.2">
      <c r="B9" s="358"/>
      <c r="C9" s="359"/>
      <c r="D9" s="358"/>
      <c r="E9" s="358"/>
      <c r="F9" s="358"/>
      <c r="G9" s="358"/>
      <c r="H9" s="358"/>
      <c r="I9" s="358"/>
      <c r="J9" s="358"/>
      <c r="K9" s="358"/>
      <c r="L9" s="358"/>
      <c r="M9" s="358"/>
      <c r="N9" s="358"/>
      <c r="O9" s="358"/>
      <c r="P9" s="358"/>
      <c r="Q9" s="358"/>
    </row>
    <row r="10" spans="1:17" ht="26.25" customHeight="1" x14ac:dyDescent="0.2">
      <c r="B10" s="358"/>
      <c r="C10" s="359"/>
      <c r="D10" s="358"/>
      <c r="E10" s="358"/>
      <c r="F10" s="358"/>
      <c r="G10" s="358"/>
      <c r="H10" s="358"/>
      <c r="I10" s="358"/>
      <c r="J10" s="358"/>
      <c r="K10" s="358"/>
      <c r="L10" s="358"/>
      <c r="M10" s="358"/>
      <c r="N10" s="358"/>
      <c r="O10" s="358"/>
      <c r="P10" s="358"/>
      <c r="Q10" s="358"/>
    </row>
    <row r="11" spans="1:17" ht="26.25" customHeight="1" x14ac:dyDescent="0.2">
      <c r="B11" s="358"/>
      <c r="C11" s="359"/>
      <c r="D11" s="358"/>
      <c r="E11" s="358"/>
      <c r="F11" s="358"/>
      <c r="G11" s="358"/>
      <c r="H11" s="358"/>
      <c r="I11" s="358"/>
      <c r="J11" s="358"/>
      <c r="K11" s="358"/>
      <c r="L11" s="358"/>
      <c r="M11" s="358"/>
      <c r="N11" s="358"/>
      <c r="O11" s="358"/>
      <c r="P11" s="358"/>
      <c r="Q11" s="358"/>
    </row>
    <row r="12" spans="1:17" ht="26.25" customHeight="1" x14ac:dyDescent="0.2">
      <c r="B12" s="358"/>
      <c r="C12" s="359"/>
      <c r="D12" s="358"/>
      <c r="E12" s="358"/>
      <c r="F12" s="358"/>
      <c r="G12" s="358"/>
      <c r="H12" s="358"/>
      <c r="I12" s="358"/>
      <c r="J12" s="358"/>
      <c r="K12" s="358"/>
      <c r="L12" s="358"/>
      <c r="M12" s="358"/>
      <c r="N12" s="358"/>
      <c r="O12" s="358"/>
      <c r="P12" s="358"/>
      <c r="Q12" s="358"/>
    </row>
    <row r="13" spans="1:17" ht="26.25" customHeight="1" x14ac:dyDescent="0.2">
      <c r="B13" s="358"/>
      <c r="C13" s="359"/>
      <c r="D13" s="358"/>
      <c r="E13" s="358"/>
      <c r="F13" s="358"/>
      <c r="G13" s="358"/>
      <c r="H13" s="358"/>
      <c r="I13" s="358"/>
      <c r="J13" s="358"/>
      <c r="K13" s="358"/>
      <c r="L13" s="358"/>
      <c r="M13" s="358"/>
      <c r="N13" s="358"/>
      <c r="O13" s="358"/>
      <c r="P13" s="358"/>
      <c r="Q13" s="358"/>
    </row>
    <row r="14" spans="1:17" ht="26.25" customHeight="1" x14ac:dyDescent="0.2">
      <c r="B14" s="358"/>
      <c r="C14" s="359"/>
      <c r="D14" s="358"/>
      <c r="E14" s="358"/>
      <c r="F14" s="358"/>
      <c r="G14" s="358"/>
      <c r="H14" s="358"/>
      <c r="I14" s="358"/>
      <c r="J14" s="358"/>
      <c r="K14" s="358"/>
      <c r="L14" s="358"/>
      <c r="M14" s="358"/>
      <c r="N14" s="358"/>
      <c r="O14" s="358"/>
      <c r="P14" s="358"/>
      <c r="Q14" s="358"/>
    </row>
    <row r="15" spans="1:17" ht="26.25" customHeight="1" x14ac:dyDescent="0.2">
      <c r="B15" s="358"/>
      <c r="C15" s="359"/>
      <c r="D15" s="358"/>
      <c r="E15" s="358"/>
      <c r="F15" s="358"/>
      <c r="G15" s="358"/>
      <c r="H15" s="358"/>
      <c r="I15" s="358"/>
      <c r="J15" s="358"/>
      <c r="K15" s="358"/>
      <c r="L15" s="358"/>
      <c r="M15" s="358"/>
      <c r="N15" s="358"/>
      <c r="O15" s="358"/>
      <c r="P15" s="358"/>
      <c r="Q15" s="358"/>
    </row>
    <row r="16" spans="1:17" ht="26.25" customHeight="1" x14ac:dyDescent="0.2">
      <c r="B16" s="358"/>
      <c r="C16" s="359"/>
      <c r="D16" s="358"/>
      <c r="E16" s="358"/>
      <c r="F16" s="358"/>
      <c r="G16" s="358"/>
      <c r="H16" s="358"/>
      <c r="I16" s="358"/>
      <c r="J16" s="358"/>
      <c r="K16" s="358"/>
      <c r="L16" s="358"/>
      <c r="M16" s="358"/>
      <c r="N16" s="358"/>
      <c r="O16" s="358"/>
      <c r="P16" s="358"/>
      <c r="Q16" s="358"/>
    </row>
    <row r="17" spans="2:17" ht="26.25" customHeight="1" x14ac:dyDescent="0.2">
      <c r="B17" s="358"/>
      <c r="C17" s="359"/>
      <c r="D17" s="358"/>
      <c r="E17" s="358"/>
      <c r="F17" s="358"/>
      <c r="G17" s="358"/>
      <c r="H17" s="358"/>
      <c r="I17" s="358"/>
      <c r="J17" s="358"/>
      <c r="K17" s="358"/>
      <c r="L17" s="358"/>
      <c r="M17" s="358"/>
      <c r="N17" s="358"/>
      <c r="O17" s="358"/>
      <c r="P17" s="358"/>
      <c r="Q17" s="358"/>
    </row>
    <row r="18" spans="2:17" ht="26.25" customHeight="1" x14ac:dyDescent="0.2">
      <c r="B18" s="358"/>
      <c r="C18" s="359"/>
      <c r="D18" s="358"/>
      <c r="E18" s="358"/>
      <c r="F18" s="358"/>
      <c r="G18" s="358"/>
      <c r="H18" s="358"/>
      <c r="I18" s="358"/>
      <c r="J18" s="358"/>
      <c r="K18" s="358"/>
      <c r="L18" s="358"/>
      <c r="M18" s="358"/>
      <c r="N18" s="358"/>
      <c r="O18" s="358"/>
      <c r="P18" s="358"/>
      <c r="Q18" s="358"/>
    </row>
    <row r="19" spans="2:17" ht="26.25" customHeight="1" x14ac:dyDescent="0.2">
      <c r="B19" s="358"/>
      <c r="C19" s="359"/>
      <c r="D19" s="358"/>
      <c r="E19" s="358"/>
      <c r="F19" s="358"/>
      <c r="G19" s="358"/>
      <c r="H19" s="358"/>
      <c r="I19" s="358"/>
      <c r="J19" s="358"/>
      <c r="K19" s="358"/>
      <c r="L19" s="358"/>
      <c r="M19" s="358"/>
      <c r="N19" s="358"/>
      <c r="O19" s="358"/>
      <c r="P19" s="358"/>
      <c r="Q19" s="358"/>
    </row>
    <row r="20" spans="2:17" ht="26.25" customHeight="1" x14ac:dyDescent="0.2">
      <c r="B20" s="358"/>
      <c r="C20" s="359"/>
      <c r="D20" s="358"/>
      <c r="E20" s="358"/>
      <c r="F20" s="358"/>
      <c r="G20" s="358"/>
      <c r="H20" s="358"/>
      <c r="I20" s="358"/>
      <c r="J20" s="358"/>
      <c r="K20" s="358"/>
      <c r="L20" s="358"/>
      <c r="M20" s="358"/>
      <c r="N20" s="358"/>
      <c r="O20" s="358"/>
      <c r="P20" s="358"/>
      <c r="Q20" s="358"/>
    </row>
    <row r="21" spans="2:17" ht="26.25" customHeight="1" x14ac:dyDescent="0.2">
      <c r="B21" s="358"/>
      <c r="C21" s="359"/>
      <c r="D21" s="358"/>
      <c r="E21" s="358"/>
      <c r="F21" s="358"/>
      <c r="G21" s="358"/>
      <c r="H21" s="358"/>
      <c r="I21" s="358"/>
      <c r="J21" s="358"/>
      <c r="K21" s="358"/>
      <c r="L21" s="358"/>
      <c r="M21" s="358"/>
      <c r="N21" s="358"/>
      <c r="O21" s="358"/>
      <c r="P21" s="358"/>
      <c r="Q21" s="358"/>
    </row>
    <row r="22" spans="2:17" ht="26.25" customHeight="1" x14ac:dyDescent="0.2">
      <c r="B22" s="358"/>
      <c r="C22" s="359"/>
      <c r="D22" s="358"/>
      <c r="E22" s="358"/>
      <c r="F22" s="358"/>
      <c r="G22" s="358"/>
      <c r="H22" s="358"/>
      <c r="I22" s="358"/>
      <c r="J22" s="358"/>
      <c r="K22" s="358"/>
      <c r="L22" s="358"/>
      <c r="M22" s="358"/>
      <c r="N22" s="358"/>
      <c r="O22" s="358"/>
      <c r="P22" s="358"/>
      <c r="Q22" s="358"/>
    </row>
    <row r="23" spans="2:17" ht="26.25" customHeight="1" x14ac:dyDescent="0.2">
      <c r="B23" s="358"/>
      <c r="C23" s="359"/>
      <c r="D23" s="358"/>
      <c r="E23" s="358"/>
      <c r="F23" s="358"/>
      <c r="G23" s="358"/>
      <c r="H23" s="358"/>
      <c r="I23" s="358"/>
      <c r="J23" s="358"/>
      <c r="K23" s="358"/>
      <c r="L23" s="358"/>
      <c r="M23" s="358"/>
      <c r="N23" s="358"/>
      <c r="O23" s="358"/>
      <c r="P23" s="358"/>
      <c r="Q23" s="358"/>
    </row>
    <row r="24" spans="2:17" ht="26.25" customHeight="1" x14ac:dyDescent="0.2">
      <c r="B24" s="358"/>
      <c r="C24" s="359"/>
      <c r="D24" s="358"/>
      <c r="E24" s="358"/>
      <c r="F24" s="358"/>
      <c r="G24" s="358"/>
      <c r="H24" s="358"/>
      <c r="I24" s="358"/>
      <c r="J24" s="358"/>
      <c r="K24" s="358"/>
      <c r="L24" s="358"/>
      <c r="M24" s="358"/>
      <c r="N24" s="358"/>
      <c r="O24" s="358"/>
      <c r="P24" s="358"/>
      <c r="Q24" s="358"/>
    </row>
    <row r="25" spans="2:17" ht="26.25" customHeight="1" x14ac:dyDescent="0.2">
      <c r="B25" s="358"/>
      <c r="C25" s="359"/>
      <c r="D25" s="358"/>
      <c r="E25" s="358"/>
      <c r="F25" s="358"/>
      <c r="G25" s="358"/>
      <c r="H25" s="358"/>
      <c r="I25" s="358"/>
      <c r="J25" s="358"/>
      <c r="K25" s="358"/>
      <c r="L25" s="358"/>
      <c r="M25" s="358"/>
      <c r="N25" s="358"/>
      <c r="O25" s="358"/>
      <c r="P25" s="358"/>
      <c r="Q25" s="358"/>
    </row>
    <row r="26" spans="2:17" ht="26.25" customHeight="1" x14ac:dyDescent="0.2">
      <c r="B26" s="358"/>
      <c r="C26" s="359"/>
      <c r="D26" s="358"/>
      <c r="E26" s="358"/>
      <c r="F26" s="358"/>
      <c r="G26" s="358"/>
      <c r="H26" s="358"/>
      <c r="I26" s="358"/>
      <c r="J26" s="358"/>
      <c r="K26" s="358"/>
      <c r="L26" s="358"/>
      <c r="M26" s="358"/>
      <c r="N26" s="358"/>
      <c r="O26" s="358"/>
      <c r="P26" s="358"/>
      <c r="Q26" s="358"/>
    </row>
    <row r="27" spans="2:17" ht="26.25" customHeight="1" x14ac:dyDescent="0.2">
      <c r="B27" s="358"/>
      <c r="C27" s="359"/>
      <c r="D27" s="358"/>
      <c r="E27" s="358"/>
      <c r="F27" s="358"/>
      <c r="G27" s="358"/>
      <c r="H27" s="358"/>
      <c r="I27" s="358"/>
      <c r="J27" s="358"/>
      <c r="K27" s="358"/>
      <c r="L27" s="358"/>
      <c r="M27" s="358"/>
      <c r="N27" s="358"/>
      <c r="O27" s="358"/>
      <c r="P27" s="358"/>
      <c r="Q27" s="358"/>
    </row>
    <row r="28" spans="2:17" ht="26.25" customHeight="1" x14ac:dyDescent="0.2">
      <c r="B28" s="358"/>
      <c r="C28" s="359"/>
      <c r="D28" s="358"/>
      <c r="E28" s="358"/>
      <c r="F28" s="358"/>
      <c r="G28" s="358"/>
      <c r="H28" s="358"/>
      <c r="I28" s="358"/>
      <c r="J28" s="358"/>
      <c r="K28" s="358"/>
      <c r="L28" s="358"/>
      <c r="M28" s="358"/>
      <c r="N28" s="358"/>
      <c r="O28" s="358"/>
      <c r="P28" s="358"/>
      <c r="Q28" s="358"/>
    </row>
    <row r="29" spans="2:17" ht="26.25" customHeight="1" x14ac:dyDescent="0.2">
      <c r="B29" s="358"/>
      <c r="C29" s="359"/>
      <c r="D29" s="358"/>
      <c r="E29" s="358"/>
      <c r="F29" s="358"/>
      <c r="G29" s="358"/>
      <c r="H29" s="358"/>
      <c r="I29" s="358"/>
      <c r="J29" s="358"/>
      <c r="K29" s="358"/>
      <c r="L29" s="358"/>
      <c r="M29" s="358"/>
      <c r="N29" s="358"/>
      <c r="O29" s="358"/>
      <c r="P29" s="358"/>
      <c r="Q29" s="358"/>
    </row>
    <row r="30" spans="2:17" ht="26.25" customHeight="1" x14ac:dyDescent="0.2">
      <c r="B30" s="358"/>
      <c r="C30" s="359"/>
      <c r="D30" s="358"/>
      <c r="E30" s="358"/>
      <c r="F30" s="358"/>
      <c r="G30" s="358"/>
      <c r="H30" s="358"/>
      <c r="I30" s="358"/>
      <c r="J30" s="358"/>
      <c r="K30" s="358"/>
      <c r="L30" s="358"/>
      <c r="M30" s="358"/>
      <c r="N30" s="358"/>
      <c r="O30" s="358"/>
      <c r="P30" s="358"/>
      <c r="Q30" s="358"/>
    </row>
    <row r="33" spans="2:3" x14ac:dyDescent="0.2">
      <c r="B33" s="216" t="s">
        <v>2881</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47625</xdr:colOff>
                    <xdr:row>3</xdr:row>
                    <xdr:rowOff>0</xdr:rowOff>
                  </from>
                  <to>
                    <xdr:col>2</xdr:col>
                    <xdr:colOff>628650</xdr:colOff>
                    <xdr:row>3</xdr:row>
                    <xdr:rowOff>219075</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47625</xdr:colOff>
                    <xdr:row>4</xdr:row>
                    <xdr:rowOff>0</xdr:rowOff>
                  </from>
                  <to>
                    <xdr:col>2</xdr:col>
                    <xdr:colOff>628650</xdr:colOff>
                    <xdr:row>4</xdr:row>
                    <xdr:rowOff>219075</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47625</xdr:colOff>
                    <xdr:row>6</xdr:row>
                    <xdr:rowOff>0</xdr:rowOff>
                  </from>
                  <to>
                    <xdr:col>2</xdr:col>
                    <xdr:colOff>628650</xdr:colOff>
                    <xdr:row>6</xdr:row>
                    <xdr:rowOff>219075</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47625</xdr:colOff>
                    <xdr:row>7</xdr:row>
                    <xdr:rowOff>0</xdr:rowOff>
                  </from>
                  <to>
                    <xdr:col>2</xdr:col>
                    <xdr:colOff>628650</xdr:colOff>
                    <xdr:row>7</xdr:row>
                    <xdr:rowOff>219075</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38100</xdr:colOff>
                    <xdr:row>12</xdr:row>
                    <xdr:rowOff>0</xdr:rowOff>
                  </from>
                  <to>
                    <xdr:col>2</xdr:col>
                    <xdr:colOff>619125</xdr:colOff>
                    <xdr:row>12</xdr:row>
                    <xdr:rowOff>219075</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47625</xdr:colOff>
                    <xdr:row>11</xdr:row>
                    <xdr:rowOff>0</xdr:rowOff>
                  </from>
                  <to>
                    <xdr:col>2</xdr:col>
                    <xdr:colOff>628650</xdr:colOff>
                    <xdr:row>11</xdr:row>
                    <xdr:rowOff>219075</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47625</xdr:colOff>
                    <xdr:row>25</xdr:row>
                    <xdr:rowOff>0</xdr:rowOff>
                  </from>
                  <to>
                    <xdr:col>2</xdr:col>
                    <xdr:colOff>628650</xdr:colOff>
                    <xdr:row>25</xdr:row>
                    <xdr:rowOff>219075</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47625</xdr:colOff>
                    <xdr:row>14</xdr:row>
                    <xdr:rowOff>0</xdr:rowOff>
                  </from>
                  <to>
                    <xdr:col>2</xdr:col>
                    <xdr:colOff>628650</xdr:colOff>
                    <xdr:row>14</xdr:row>
                    <xdr:rowOff>219075</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47625</xdr:colOff>
                    <xdr:row>16</xdr:row>
                    <xdr:rowOff>0</xdr:rowOff>
                  </from>
                  <to>
                    <xdr:col>2</xdr:col>
                    <xdr:colOff>628650</xdr:colOff>
                    <xdr:row>16</xdr:row>
                    <xdr:rowOff>219075</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47625</xdr:colOff>
                    <xdr:row>17</xdr:row>
                    <xdr:rowOff>0</xdr:rowOff>
                  </from>
                  <to>
                    <xdr:col>2</xdr:col>
                    <xdr:colOff>628650</xdr:colOff>
                    <xdr:row>17</xdr:row>
                    <xdr:rowOff>219075</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47625</xdr:colOff>
                    <xdr:row>18</xdr:row>
                    <xdr:rowOff>0</xdr:rowOff>
                  </from>
                  <to>
                    <xdr:col>2</xdr:col>
                    <xdr:colOff>628650</xdr:colOff>
                    <xdr:row>18</xdr:row>
                    <xdr:rowOff>219075</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38100</xdr:colOff>
                    <xdr:row>10</xdr:row>
                    <xdr:rowOff>0</xdr:rowOff>
                  </from>
                  <to>
                    <xdr:col>2</xdr:col>
                    <xdr:colOff>619125</xdr:colOff>
                    <xdr:row>10</xdr:row>
                    <xdr:rowOff>219075</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47625</xdr:colOff>
                    <xdr:row>26</xdr:row>
                    <xdr:rowOff>19050</xdr:rowOff>
                  </from>
                  <to>
                    <xdr:col>2</xdr:col>
                    <xdr:colOff>628650</xdr:colOff>
                    <xdr:row>26</xdr:row>
                    <xdr:rowOff>238125</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47625</xdr:colOff>
                    <xdr:row>3</xdr:row>
                    <xdr:rowOff>0</xdr:rowOff>
                  </from>
                  <to>
                    <xdr:col>6</xdr:col>
                    <xdr:colOff>628650</xdr:colOff>
                    <xdr:row>3</xdr:row>
                    <xdr:rowOff>219075</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47625</xdr:colOff>
                    <xdr:row>4</xdr:row>
                    <xdr:rowOff>0</xdr:rowOff>
                  </from>
                  <to>
                    <xdr:col>6</xdr:col>
                    <xdr:colOff>628650</xdr:colOff>
                    <xdr:row>4</xdr:row>
                    <xdr:rowOff>219075</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47625</xdr:colOff>
                    <xdr:row>6</xdr:row>
                    <xdr:rowOff>0</xdr:rowOff>
                  </from>
                  <to>
                    <xdr:col>6</xdr:col>
                    <xdr:colOff>628650</xdr:colOff>
                    <xdr:row>6</xdr:row>
                    <xdr:rowOff>219075</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47625</xdr:colOff>
                    <xdr:row>7</xdr:row>
                    <xdr:rowOff>0</xdr:rowOff>
                  </from>
                  <to>
                    <xdr:col>6</xdr:col>
                    <xdr:colOff>628650</xdr:colOff>
                    <xdr:row>7</xdr:row>
                    <xdr:rowOff>219075</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38100</xdr:colOff>
                    <xdr:row>12</xdr:row>
                    <xdr:rowOff>0</xdr:rowOff>
                  </from>
                  <to>
                    <xdr:col>6</xdr:col>
                    <xdr:colOff>619125</xdr:colOff>
                    <xdr:row>12</xdr:row>
                    <xdr:rowOff>219075</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47625</xdr:colOff>
                    <xdr:row>11</xdr:row>
                    <xdr:rowOff>0</xdr:rowOff>
                  </from>
                  <to>
                    <xdr:col>6</xdr:col>
                    <xdr:colOff>628650</xdr:colOff>
                    <xdr:row>11</xdr:row>
                    <xdr:rowOff>219075</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47625</xdr:colOff>
                    <xdr:row>25</xdr:row>
                    <xdr:rowOff>0</xdr:rowOff>
                  </from>
                  <to>
                    <xdr:col>6</xdr:col>
                    <xdr:colOff>628650</xdr:colOff>
                    <xdr:row>25</xdr:row>
                    <xdr:rowOff>219075</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47625</xdr:colOff>
                    <xdr:row>14</xdr:row>
                    <xdr:rowOff>0</xdr:rowOff>
                  </from>
                  <to>
                    <xdr:col>6</xdr:col>
                    <xdr:colOff>628650</xdr:colOff>
                    <xdr:row>14</xdr:row>
                    <xdr:rowOff>219075</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47625</xdr:colOff>
                    <xdr:row>16</xdr:row>
                    <xdr:rowOff>0</xdr:rowOff>
                  </from>
                  <to>
                    <xdr:col>6</xdr:col>
                    <xdr:colOff>628650</xdr:colOff>
                    <xdr:row>16</xdr:row>
                    <xdr:rowOff>219075</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47625</xdr:colOff>
                    <xdr:row>17</xdr:row>
                    <xdr:rowOff>0</xdr:rowOff>
                  </from>
                  <to>
                    <xdr:col>6</xdr:col>
                    <xdr:colOff>628650</xdr:colOff>
                    <xdr:row>17</xdr:row>
                    <xdr:rowOff>219075</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47625</xdr:colOff>
                    <xdr:row>18</xdr:row>
                    <xdr:rowOff>0</xdr:rowOff>
                  </from>
                  <to>
                    <xdr:col>6</xdr:col>
                    <xdr:colOff>628650</xdr:colOff>
                    <xdr:row>18</xdr:row>
                    <xdr:rowOff>219075</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38100</xdr:colOff>
                    <xdr:row>10</xdr:row>
                    <xdr:rowOff>0</xdr:rowOff>
                  </from>
                  <to>
                    <xdr:col>6</xdr:col>
                    <xdr:colOff>619125</xdr:colOff>
                    <xdr:row>10</xdr:row>
                    <xdr:rowOff>219075</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47625</xdr:colOff>
                    <xdr:row>26</xdr:row>
                    <xdr:rowOff>19050</xdr:rowOff>
                  </from>
                  <to>
                    <xdr:col>6</xdr:col>
                    <xdr:colOff>628650</xdr:colOff>
                    <xdr:row>26</xdr:row>
                    <xdr:rowOff>238125</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47625</xdr:colOff>
                    <xdr:row>3</xdr:row>
                    <xdr:rowOff>0</xdr:rowOff>
                  </from>
                  <to>
                    <xdr:col>8</xdr:col>
                    <xdr:colOff>628650</xdr:colOff>
                    <xdr:row>3</xdr:row>
                    <xdr:rowOff>219075</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47625</xdr:colOff>
                    <xdr:row>4</xdr:row>
                    <xdr:rowOff>0</xdr:rowOff>
                  </from>
                  <to>
                    <xdr:col>8</xdr:col>
                    <xdr:colOff>628650</xdr:colOff>
                    <xdr:row>4</xdr:row>
                    <xdr:rowOff>219075</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47625</xdr:colOff>
                    <xdr:row>6</xdr:row>
                    <xdr:rowOff>0</xdr:rowOff>
                  </from>
                  <to>
                    <xdr:col>8</xdr:col>
                    <xdr:colOff>628650</xdr:colOff>
                    <xdr:row>6</xdr:row>
                    <xdr:rowOff>219075</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47625</xdr:colOff>
                    <xdr:row>7</xdr:row>
                    <xdr:rowOff>0</xdr:rowOff>
                  </from>
                  <to>
                    <xdr:col>8</xdr:col>
                    <xdr:colOff>628650</xdr:colOff>
                    <xdr:row>7</xdr:row>
                    <xdr:rowOff>219075</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38100</xdr:colOff>
                    <xdr:row>12</xdr:row>
                    <xdr:rowOff>0</xdr:rowOff>
                  </from>
                  <to>
                    <xdr:col>8</xdr:col>
                    <xdr:colOff>619125</xdr:colOff>
                    <xdr:row>12</xdr:row>
                    <xdr:rowOff>219075</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47625</xdr:colOff>
                    <xdr:row>11</xdr:row>
                    <xdr:rowOff>0</xdr:rowOff>
                  </from>
                  <to>
                    <xdr:col>8</xdr:col>
                    <xdr:colOff>628650</xdr:colOff>
                    <xdr:row>11</xdr:row>
                    <xdr:rowOff>219075</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47625</xdr:colOff>
                    <xdr:row>25</xdr:row>
                    <xdr:rowOff>0</xdr:rowOff>
                  </from>
                  <to>
                    <xdr:col>8</xdr:col>
                    <xdr:colOff>628650</xdr:colOff>
                    <xdr:row>25</xdr:row>
                    <xdr:rowOff>219075</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47625</xdr:colOff>
                    <xdr:row>14</xdr:row>
                    <xdr:rowOff>0</xdr:rowOff>
                  </from>
                  <to>
                    <xdr:col>8</xdr:col>
                    <xdr:colOff>628650</xdr:colOff>
                    <xdr:row>14</xdr:row>
                    <xdr:rowOff>219075</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47625</xdr:colOff>
                    <xdr:row>16</xdr:row>
                    <xdr:rowOff>0</xdr:rowOff>
                  </from>
                  <to>
                    <xdr:col>8</xdr:col>
                    <xdr:colOff>628650</xdr:colOff>
                    <xdr:row>16</xdr:row>
                    <xdr:rowOff>219075</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47625</xdr:colOff>
                    <xdr:row>17</xdr:row>
                    <xdr:rowOff>0</xdr:rowOff>
                  </from>
                  <to>
                    <xdr:col>8</xdr:col>
                    <xdr:colOff>628650</xdr:colOff>
                    <xdr:row>17</xdr:row>
                    <xdr:rowOff>219075</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47625</xdr:colOff>
                    <xdr:row>18</xdr:row>
                    <xdr:rowOff>0</xdr:rowOff>
                  </from>
                  <to>
                    <xdr:col>8</xdr:col>
                    <xdr:colOff>628650</xdr:colOff>
                    <xdr:row>18</xdr:row>
                    <xdr:rowOff>219075</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38100</xdr:colOff>
                    <xdr:row>10</xdr:row>
                    <xdr:rowOff>0</xdr:rowOff>
                  </from>
                  <to>
                    <xdr:col>8</xdr:col>
                    <xdr:colOff>619125</xdr:colOff>
                    <xdr:row>10</xdr:row>
                    <xdr:rowOff>219075</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47625</xdr:colOff>
                    <xdr:row>26</xdr:row>
                    <xdr:rowOff>19050</xdr:rowOff>
                  </from>
                  <to>
                    <xdr:col>8</xdr:col>
                    <xdr:colOff>628650</xdr:colOff>
                    <xdr:row>26</xdr:row>
                    <xdr:rowOff>238125</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47625</xdr:colOff>
                    <xdr:row>3</xdr:row>
                    <xdr:rowOff>0</xdr:rowOff>
                  </from>
                  <to>
                    <xdr:col>12</xdr:col>
                    <xdr:colOff>628650</xdr:colOff>
                    <xdr:row>3</xdr:row>
                    <xdr:rowOff>219075</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47625</xdr:colOff>
                    <xdr:row>4</xdr:row>
                    <xdr:rowOff>0</xdr:rowOff>
                  </from>
                  <to>
                    <xdr:col>12</xdr:col>
                    <xdr:colOff>628650</xdr:colOff>
                    <xdr:row>4</xdr:row>
                    <xdr:rowOff>219075</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47625</xdr:colOff>
                    <xdr:row>6</xdr:row>
                    <xdr:rowOff>0</xdr:rowOff>
                  </from>
                  <to>
                    <xdr:col>12</xdr:col>
                    <xdr:colOff>628650</xdr:colOff>
                    <xdr:row>6</xdr:row>
                    <xdr:rowOff>219075</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47625</xdr:colOff>
                    <xdr:row>7</xdr:row>
                    <xdr:rowOff>0</xdr:rowOff>
                  </from>
                  <to>
                    <xdr:col>12</xdr:col>
                    <xdr:colOff>628650</xdr:colOff>
                    <xdr:row>7</xdr:row>
                    <xdr:rowOff>219075</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38100</xdr:colOff>
                    <xdr:row>12</xdr:row>
                    <xdr:rowOff>0</xdr:rowOff>
                  </from>
                  <to>
                    <xdr:col>12</xdr:col>
                    <xdr:colOff>619125</xdr:colOff>
                    <xdr:row>12</xdr:row>
                    <xdr:rowOff>219075</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47625</xdr:colOff>
                    <xdr:row>11</xdr:row>
                    <xdr:rowOff>0</xdr:rowOff>
                  </from>
                  <to>
                    <xdr:col>12</xdr:col>
                    <xdr:colOff>628650</xdr:colOff>
                    <xdr:row>11</xdr:row>
                    <xdr:rowOff>219075</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47625</xdr:colOff>
                    <xdr:row>25</xdr:row>
                    <xdr:rowOff>0</xdr:rowOff>
                  </from>
                  <to>
                    <xdr:col>12</xdr:col>
                    <xdr:colOff>628650</xdr:colOff>
                    <xdr:row>25</xdr:row>
                    <xdr:rowOff>219075</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47625</xdr:colOff>
                    <xdr:row>14</xdr:row>
                    <xdr:rowOff>0</xdr:rowOff>
                  </from>
                  <to>
                    <xdr:col>12</xdr:col>
                    <xdr:colOff>628650</xdr:colOff>
                    <xdr:row>14</xdr:row>
                    <xdr:rowOff>219075</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47625</xdr:colOff>
                    <xdr:row>16</xdr:row>
                    <xdr:rowOff>0</xdr:rowOff>
                  </from>
                  <to>
                    <xdr:col>12</xdr:col>
                    <xdr:colOff>628650</xdr:colOff>
                    <xdr:row>16</xdr:row>
                    <xdr:rowOff>219075</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47625</xdr:colOff>
                    <xdr:row>17</xdr:row>
                    <xdr:rowOff>0</xdr:rowOff>
                  </from>
                  <to>
                    <xdr:col>12</xdr:col>
                    <xdr:colOff>628650</xdr:colOff>
                    <xdr:row>17</xdr:row>
                    <xdr:rowOff>219075</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47625</xdr:colOff>
                    <xdr:row>18</xdr:row>
                    <xdr:rowOff>0</xdr:rowOff>
                  </from>
                  <to>
                    <xdr:col>12</xdr:col>
                    <xdr:colOff>628650</xdr:colOff>
                    <xdr:row>18</xdr:row>
                    <xdr:rowOff>219075</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38100</xdr:colOff>
                    <xdr:row>10</xdr:row>
                    <xdr:rowOff>0</xdr:rowOff>
                  </from>
                  <to>
                    <xdr:col>12</xdr:col>
                    <xdr:colOff>619125</xdr:colOff>
                    <xdr:row>10</xdr:row>
                    <xdr:rowOff>219075</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47625</xdr:colOff>
                    <xdr:row>26</xdr:row>
                    <xdr:rowOff>19050</xdr:rowOff>
                  </from>
                  <to>
                    <xdr:col>12</xdr:col>
                    <xdr:colOff>628650</xdr:colOff>
                    <xdr:row>26</xdr:row>
                    <xdr:rowOff>238125</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47625</xdr:colOff>
                    <xdr:row>27</xdr:row>
                    <xdr:rowOff>19050</xdr:rowOff>
                  </from>
                  <to>
                    <xdr:col>2</xdr:col>
                    <xdr:colOff>628650</xdr:colOff>
                    <xdr:row>27</xdr:row>
                    <xdr:rowOff>238125</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47625</xdr:colOff>
                    <xdr:row>27</xdr:row>
                    <xdr:rowOff>19050</xdr:rowOff>
                  </from>
                  <to>
                    <xdr:col>6</xdr:col>
                    <xdr:colOff>628650</xdr:colOff>
                    <xdr:row>27</xdr:row>
                    <xdr:rowOff>238125</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47625</xdr:colOff>
                    <xdr:row>27</xdr:row>
                    <xdr:rowOff>19050</xdr:rowOff>
                  </from>
                  <to>
                    <xdr:col>8</xdr:col>
                    <xdr:colOff>628650</xdr:colOff>
                    <xdr:row>27</xdr:row>
                    <xdr:rowOff>238125</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47625</xdr:colOff>
                    <xdr:row>27</xdr:row>
                    <xdr:rowOff>19050</xdr:rowOff>
                  </from>
                  <to>
                    <xdr:col>12</xdr:col>
                    <xdr:colOff>628650</xdr:colOff>
                    <xdr:row>27</xdr:row>
                    <xdr:rowOff>238125</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47625</xdr:colOff>
                    <xdr:row>5</xdr:row>
                    <xdr:rowOff>0</xdr:rowOff>
                  </from>
                  <to>
                    <xdr:col>2</xdr:col>
                    <xdr:colOff>628650</xdr:colOff>
                    <xdr:row>5</xdr:row>
                    <xdr:rowOff>219075</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47625</xdr:colOff>
                    <xdr:row>5</xdr:row>
                    <xdr:rowOff>0</xdr:rowOff>
                  </from>
                  <to>
                    <xdr:col>6</xdr:col>
                    <xdr:colOff>628650</xdr:colOff>
                    <xdr:row>5</xdr:row>
                    <xdr:rowOff>219075</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47625</xdr:colOff>
                    <xdr:row>5</xdr:row>
                    <xdr:rowOff>0</xdr:rowOff>
                  </from>
                  <to>
                    <xdr:col>8</xdr:col>
                    <xdr:colOff>628650</xdr:colOff>
                    <xdr:row>5</xdr:row>
                    <xdr:rowOff>219075</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47625</xdr:colOff>
                    <xdr:row>5</xdr:row>
                    <xdr:rowOff>0</xdr:rowOff>
                  </from>
                  <to>
                    <xdr:col>12</xdr:col>
                    <xdr:colOff>628650</xdr:colOff>
                    <xdr:row>5</xdr:row>
                    <xdr:rowOff>219075</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47625</xdr:colOff>
                    <xdr:row>15</xdr:row>
                    <xdr:rowOff>0</xdr:rowOff>
                  </from>
                  <to>
                    <xdr:col>2</xdr:col>
                    <xdr:colOff>628650</xdr:colOff>
                    <xdr:row>15</xdr:row>
                    <xdr:rowOff>219075</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47625</xdr:colOff>
                    <xdr:row>15</xdr:row>
                    <xdr:rowOff>0</xdr:rowOff>
                  </from>
                  <to>
                    <xdr:col>6</xdr:col>
                    <xdr:colOff>628650</xdr:colOff>
                    <xdr:row>15</xdr:row>
                    <xdr:rowOff>219075</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47625</xdr:colOff>
                    <xdr:row>15</xdr:row>
                    <xdr:rowOff>0</xdr:rowOff>
                  </from>
                  <to>
                    <xdr:col>8</xdr:col>
                    <xdr:colOff>628650</xdr:colOff>
                    <xdr:row>15</xdr:row>
                    <xdr:rowOff>219075</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47625</xdr:colOff>
                    <xdr:row>15</xdr:row>
                    <xdr:rowOff>0</xdr:rowOff>
                  </from>
                  <to>
                    <xdr:col>12</xdr:col>
                    <xdr:colOff>628650</xdr:colOff>
                    <xdr:row>15</xdr:row>
                    <xdr:rowOff>219075</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47625</xdr:colOff>
                    <xdr:row>3</xdr:row>
                    <xdr:rowOff>0</xdr:rowOff>
                  </from>
                  <to>
                    <xdr:col>4</xdr:col>
                    <xdr:colOff>628650</xdr:colOff>
                    <xdr:row>3</xdr:row>
                    <xdr:rowOff>219075</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47625</xdr:colOff>
                    <xdr:row>4</xdr:row>
                    <xdr:rowOff>0</xdr:rowOff>
                  </from>
                  <to>
                    <xdr:col>4</xdr:col>
                    <xdr:colOff>628650</xdr:colOff>
                    <xdr:row>4</xdr:row>
                    <xdr:rowOff>219075</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47625</xdr:colOff>
                    <xdr:row>6</xdr:row>
                    <xdr:rowOff>0</xdr:rowOff>
                  </from>
                  <to>
                    <xdr:col>4</xdr:col>
                    <xdr:colOff>628650</xdr:colOff>
                    <xdr:row>6</xdr:row>
                    <xdr:rowOff>219075</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47625</xdr:colOff>
                    <xdr:row>7</xdr:row>
                    <xdr:rowOff>0</xdr:rowOff>
                  </from>
                  <to>
                    <xdr:col>4</xdr:col>
                    <xdr:colOff>628650</xdr:colOff>
                    <xdr:row>7</xdr:row>
                    <xdr:rowOff>219075</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38100</xdr:colOff>
                    <xdr:row>12</xdr:row>
                    <xdr:rowOff>0</xdr:rowOff>
                  </from>
                  <to>
                    <xdr:col>4</xdr:col>
                    <xdr:colOff>619125</xdr:colOff>
                    <xdr:row>12</xdr:row>
                    <xdr:rowOff>219075</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47625</xdr:colOff>
                    <xdr:row>11</xdr:row>
                    <xdr:rowOff>0</xdr:rowOff>
                  </from>
                  <to>
                    <xdr:col>4</xdr:col>
                    <xdr:colOff>628650</xdr:colOff>
                    <xdr:row>11</xdr:row>
                    <xdr:rowOff>219075</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47625</xdr:colOff>
                    <xdr:row>25</xdr:row>
                    <xdr:rowOff>0</xdr:rowOff>
                  </from>
                  <to>
                    <xdr:col>4</xdr:col>
                    <xdr:colOff>628650</xdr:colOff>
                    <xdr:row>25</xdr:row>
                    <xdr:rowOff>219075</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47625</xdr:colOff>
                    <xdr:row>14</xdr:row>
                    <xdr:rowOff>0</xdr:rowOff>
                  </from>
                  <to>
                    <xdr:col>4</xdr:col>
                    <xdr:colOff>628650</xdr:colOff>
                    <xdr:row>14</xdr:row>
                    <xdr:rowOff>219075</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47625</xdr:colOff>
                    <xdr:row>16</xdr:row>
                    <xdr:rowOff>0</xdr:rowOff>
                  </from>
                  <to>
                    <xdr:col>4</xdr:col>
                    <xdr:colOff>628650</xdr:colOff>
                    <xdr:row>16</xdr:row>
                    <xdr:rowOff>219075</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47625</xdr:colOff>
                    <xdr:row>17</xdr:row>
                    <xdr:rowOff>0</xdr:rowOff>
                  </from>
                  <to>
                    <xdr:col>4</xdr:col>
                    <xdr:colOff>628650</xdr:colOff>
                    <xdr:row>17</xdr:row>
                    <xdr:rowOff>219075</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47625</xdr:colOff>
                    <xdr:row>18</xdr:row>
                    <xdr:rowOff>0</xdr:rowOff>
                  </from>
                  <to>
                    <xdr:col>4</xdr:col>
                    <xdr:colOff>628650</xdr:colOff>
                    <xdr:row>18</xdr:row>
                    <xdr:rowOff>219075</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38100</xdr:colOff>
                    <xdr:row>10</xdr:row>
                    <xdr:rowOff>0</xdr:rowOff>
                  </from>
                  <to>
                    <xdr:col>4</xdr:col>
                    <xdr:colOff>619125</xdr:colOff>
                    <xdr:row>10</xdr:row>
                    <xdr:rowOff>219075</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47625</xdr:colOff>
                    <xdr:row>26</xdr:row>
                    <xdr:rowOff>19050</xdr:rowOff>
                  </from>
                  <to>
                    <xdr:col>4</xdr:col>
                    <xdr:colOff>628650</xdr:colOff>
                    <xdr:row>26</xdr:row>
                    <xdr:rowOff>238125</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47625</xdr:colOff>
                    <xdr:row>27</xdr:row>
                    <xdr:rowOff>19050</xdr:rowOff>
                  </from>
                  <to>
                    <xdr:col>4</xdr:col>
                    <xdr:colOff>628650</xdr:colOff>
                    <xdr:row>27</xdr:row>
                    <xdr:rowOff>238125</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47625</xdr:colOff>
                    <xdr:row>5</xdr:row>
                    <xdr:rowOff>0</xdr:rowOff>
                  </from>
                  <to>
                    <xdr:col>4</xdr:col>
                    <xdr:colOff>628650</xdr:colOff>
                    <xdr:row>5</xdr:row>
                    <xdr:rowOff>219075</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47625</xdr:colOff>
                    <xdr:row>15</xdr:row>
                    <xdr:rowOff>0</xdr:rowOff>
                  </from>
                  <to>
                    <xdr:col>4</xdr:col>
                    <xdr:colOff>628650</xdr:colOff>
                    <xdr:row>15</xdr:row>
                    <xdr:rowOff>219075</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47625</xdr:colOff>
                    <xdr:row>3</xdr:row>
                    <xdr:rowOff>0</xdr:rowOff>
                  </from>
                  <to>
                    <xdr:col>14</xdr:col>
                    <xdr:colOff>628650</xdr:colOff>
                    <xdr:row>3</xdr:row>
                    <xdr:rowOff>219075</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47625</xdr:colOff>
                    <xdr:row>4</xdr:row>
                    <xdr:rowOff>0</xdr:rowOff>
                  </from>
                  <to>
                    <xdr:col>14</xdr:col>
                    <xdr:colOff>628650</xdr:colOff>
                    <xdr:row>4</xdr:row>
                    <xdr:rowOff>219075</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47625</xdr:colOff>
                    <xdr:row>6</xdr:row>
                    <xdr:rowOff>0</xdr:rowOff>
                  </from>
                  <to>
                    <xdr:col>14</xdr:col>
                    <xdr:colOff>628650</xdr:colOff>
                    <xdr:row>6</xdr:row>
                    <xdr:rowOff>219075</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47625</xdr:colOff>
                    <xdr:row>7</xdr:row>
                    <xdr:rowOff>0</xdr:rowOff>
                  </from>
                  <to>
                    <xdr:col>14</xdr:col>
                    <xdr:colOff>628650</xdr:colOff>
                    <xdr:row>7</xdr:row>
                    <xdr:rowOff>219075</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38100</xdr:colOff>
                    <xdr:row>12</xdr:row>
                    <xdr:rowOff>0</xdr:rowOff>
                  </from>
                  <to>
                    <xdr:col>14</xdr:col>
                    <xdr:colOff>619125</xdr:colOff>
                    <xdr:row>12</xdr:row>
                    <xdr:rowOff>219075</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47625</xdr:colOff>
                    <xdr:row>11</xdr:row>
                    <xdr:rowOff>0</xdr:rowOff>
                  </from>
                  <to>
                    <xdr:col>14</xdr:col>
                    <xdr:colOff>628650</xdr:colOff>
                    <xdr:row>11</xdr:row>
                    <xdr:rowOff>219075</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47625</xdr:colOff>
                    <xdr:row>25</xdr:row>
                    <xdr:rowOff>0</xdr:rowOff>
                  </from>
                  <to>
                    <xdr:col>14</xdr:col>
                    <xdr:colOff>628650</xdr:colOff>
                    <xdr:row>25</xdr:row>
                    <xdr:rowOff>219075</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47625</xdr:colOff>
                    <xdr:row>14</xdr:row>
                    <xdr:rowOff>0</xdr:rowOff>
                  </from>
                  <to>
                    <xdr:col>14</xdr:col>
                    <xdr:colOff>628650</xdr:colOff>
                    <xdr:row>14</xdr:row>
                    <xdr:rowOff>219075</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47625</xdr:colOff>
                    <xdr:row>16</xdr:row>
                    <xdr:rowOff>0</xdr:rowOff>
                  </from>
                  <to>
                    <xdr:col>14</xdr:col>
                    <xdr:colOff>628650</xdr:colOff>
                    <xdr:row>16</xdr:row>
                    <xdr:rowOff>219075</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47625</xdr:colOff>
                    <xdr:row>17</xdr:row>
                    <xdr:rowOff>0</xdr:rowOff>
                  </from>
                  <to>
                    <xdr:col>14</xdr:col>
                    <xdr:colOff>628650</xdr:colOff>
                    <xdr:row>17</xdr:row>
                    <xdr:rowOff>219075</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47625</xdr:colOff>
                    <xdr:row>18</xdr:row>
                    <xdr:rowOff>0</xdr:rowOff>
                  </from>
                  <to>
                    <xdr:col>14</xdr:col>
                    <xdr:colOff>628650</xdr:colOff>
                    <xdr:row>18</xdr:row>
                    <xdr:rowOff>219075</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38100</xdr:colOff>
                    <xdr:row>10</xdr:row>
                    <xdr:rowOff>0</xdr:rowOff>
                  </from>
                  <to>
                    <xdr:col>14</xdr:col>
                    <xdr:colOff>619125</xdr:colOff>
                    <xdr:row>10</xdr:row>
                    <xdr:rowOff>219075</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47625</xdr:colOff>
                    <xdr:row>26</xdr:row>
                    <xdr:rowOff>19050</xdr:rowOff>
                  </from>
                  <to>
                    <xdr:col>14</xdr:col>
                    <xdr:colOff>628650</xdr:colOff>
                    <xdr:row>26</xdr:row>
                    <xdr:rowOff>238125</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47625</xdr:colOff>
                    <xdr:row>27</xdr:row>
                    <xdr:rowOff>19050</xdr:rowOff>
                  </from>
                  <to>
                    <xdr:col>14</xdr:col>
                    <xdr:colOff>628650</xdr:colOff>
                    <xdr:row>27</xdr:row>
                    <xdr:rowOff>238125</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47625</xdr:colOff>
                    <xdr:row>5</xdr:row>
                    <xdr:rowOff>0</xdr:rowOff>
                  </from>
                  <to>
                    <xdr:col>14</xdr:col>
                    <xdr:colOff>628650</xdr:colOff>
                    <xdr:row>5</xdr:row>
                    <xdr:rowOff>219075</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47625</xdr:colOff>
                    <xdr:row>15</xdr:row>
                    <xdr:rowOff>0</xdr:rowOff>
                  </from>
                  <to>
                    <xdr:col>14</xdr:col>
                    <xdr:colOff>628650</xdr:colOff>
                    <xdr:row>15</xdr:row>
                    <xdr:rowOff>219075</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47625</xdr:colOff>
                    <xdr:row>3</xdr:row>
                    <xdr:rowOff>0</xdr:rowOff>
                  </from>
                  <to>
                    <xdr:col>16</xdr:col>
                    <xdr:colOff>628650</xdr:colOff>
                    <xdr:row>3</xdr:row>
                    <xdr:rowOff>219075</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47625</xdr:colOff>
                    <xdr:row>4</xdr:row>
                    <xdr:rowOff>0</xdr:rowOff>
                  </from>
                  <to>
                    <xdr:col>16</xdr:col>
                    <xdr:colOff>628650</xdr:colOff>
                    <xdr:row>4</xdr:row>
                    <xdr:rowOff>219075</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47625</xdr:colOff>
                    <xdr:row>6</xdr:row>
                    <xdr:rowOff>0</xdr:rowOff>
                  </from>
                  <to>
                    <xdr:col>16</xdr:col>
                    <xdr:colOff>628650</xdr:colOff>
                    <xdr:row>6</xdr:row>
                    <xdr:rowOff>219075</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47625</xdr:colOff>
                    <xdr:row>7</xdr:row>
                    <xdr:rowOff>0</xdr:rowOff>
                  </from>
                  <to>
                    <xdr:col>16</xdr:col>
                    <xdr:colOff>628650</xdr:colOff>
                    <xdr:row>7</xdr:row>
                    <xdr:rowOff>219075</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38100</xdr:colOff>
                    <xdr:row>12</xdr:row>
                    <xdr:rowOff>0</xdr:rowOff>
                  </from>
                  <to>
                    <xdr:col>16</xdr:col>
                    <xdr:colOff>619125</xdr:colOff>
                    <xdr:row>12</xdr:row>
                    <xdr:rowOff>219075</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47625</xdr:colOff>
                    <xdr:row>11</xdr:row>
                    <xdr:rowOff>0</xdr:rowOff>
                  </from>
                  <to>
                    <xdr:col>16</xdr:col>
                    <xdr:colOff>628650</xdr:colOff>
                    <xdr:row>11</xdr:row>
                    <xdr:rowOff>219075</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47625</xdr:colOff>
                    <xdr:row>25</xdr:row>
                    <xdr:rowOff>0</xdr:rowOff>
                  </from>
                  <to>
                    <xdr:col>16</xdr:col>
                    <xdr:colOff>628650</xdr:colOff>
                    <xdr:row>25</xdr:row>
                    <xdr:rowOff>219075</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47625</xdr:colOff>
                    <xdr:row>14</xdr:row>
                    <xdr:rowOff>0</xdr:rowOff>
                  </from>
                  <to>
                    <xdr:col>16</xdr:col>
                    <xdr:colOff>628650</xdr:colOff>
                    <xdr:row>14</xdr:row>
                    <xdr:rowOff>219075</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47625</xdr:colOff>
                    <xdr:row>16</xdr:row>
                    <xdr:rowOff>0</xdr:rowOff>
                  </from>
                  <to>
                    <xdr:col>16</xdr:col>
                    <xdr:colOff>628650</xdr:colOff>
                    <xdr:row>16</xdr:row>
                    <xdr:rowOff>219075</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47625</xdr:colOff>
                    <xdr:row>17</xdr:row>
                    <xdr:rowOff>0</xdr:rowOff>
                  </from>
                  <to>
                    <xdr:col>16</xdr:col>
                    <xdr:colOff>628650</xdr:colOff>
                    <xdr:row>17</xdr:row>
                    <xdr:rowOff>219075</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47625</xdr:colOff>
                    <xdr:row>18</xdr:row>
                    <xdr:rowOff>0</xdr:rowOff>
                  </from>
                  <to>
                    <xdr:col>16</xdr:col>
                    <xdr:colOff>628650</xdr:colOff>
                    <xdr:row>18</xdr:row>
                    <xdr:rowOff>219075</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38100</xdr:colOff>
                    <xdr:row>10</xdr:row>
                    <xdr:rowOff>0</xdr:rowOff>
                  </from>
                  <to>
                    <xdr:col>16</xdr:col>
                    <xdr:colOff>619125</xdr:colOff>
                    <xdr:row>10</xdr:row>
                    <xdr:rowOff>219075</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47625</xdr:colOff>
                    <xdr:row>26</xdr:row>
                    <xdr:rowOff>19050</xdr:rowOff>
                  </from>
                  <to>
                    <xdr:col>16</xdr:col>
                    <xdr:colOff>628650</xdr:colOff>
                    <xdr:row>26</xdr:row>
                    <xdr:rowOff>238125</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47625</xdr:colOff>
                    <xdr:row>27</xdr:row>
                    <xdr:rowOff>19050</xdr:rowOff>
                  </from>
                  <to>
                    <xdr:col>16</xdr:col>
                    <xdr:colOff>628650</xdr:colOff>
                    <xdr:row>27</xdr:row>
                    <xdr:rowOff>238125</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47625</xdr:colOff>
                    <xdr:row>5</xdr:row>
                    <xdr:rowOff>0</xdr:rowOff>
                  </from>
                  <to>
                    <xdr:col>16</xdr:col>
                    <xdr:colOff>628650</xdr:colOff>
                    <xdr:row>5</xdr:row>
                    <xdr:rowOff>219075</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47625</xdr:colOff>
                    <xdr:row>15</xdr:row>
                    <xdr:rowOff>0</xdr:rowOff>
                  </from>
                  <to>
                    <xdr:col>16</xdr:col>
                    <xdr:colOff>628650</xdr:colOff>
                    <xdr:row>15</xdr:row>
                    <xdr:rowOff>219075</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47625</xdr:colOff>
                    <xdr:row>28</xdr:row>
                    <xdr:rowOff>19050</xdr:rowOff>
                  </from>
                  <to>
                    <xdr:col>2</xdr:col>
                    <xdr:colOff>628650</xdr:colOff>
                    <xdr:row>28</xdr:row>
                    <xdr:rowOff>238125</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47625</xdr:colOff>
                    <xdr:row>28</xdr:row>
                    <xdr:rowOff>19050</xdr:rowOff>
                  </from>
                  <to>
                    <xdr:col>6</xdr:col>
                    <xdr:colOff>628650</xdr:colOff>
                    <xdr:row>28</xdr:row>
                    <xdr:rowOff>238125</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47625</xdr:colOff>
                    <xdr:row>28</xdr:row>
                    <xdr:rowOff>19050</xdr:rowOff>
                  </from>
                  <to>
                    <xdr:col>8</xdr:col>
                    <xdr:colOff>628650</xdr:colOff>
                    <xdr:row>28</xdr:row>
                    <xdr:rowOff>238125</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47625</xdr:colOff>
                    <xdr:row>28</xdr:row>
                    <xdr:rowOff>19050</xdr:rowOff>
                  </from>
                  <to>
                    <xdr:col>12</xdr:col>
                    <xdr:colOff>628650</xdr:colOff>
                    <xdr:row>28</xdr:row>
                    <xdr:rowOff>238125</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47625</xdr:colOff>
                    <xdr:row>28</xdr:row>
                    <xdr:rowOff>19050</xdr:rowOff>
                  </from>
                  <to>
                    <xdr:col>4</xdr:col>
                    <xdr:colOff>628650</xdr:colOff>
                    <xdr:row>28</xdr:row>
                    <xdr:rowOff>238125</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47625</xdr:colOff>
                    <xdr:row>28</xdr:row>
                    <xdr:rowOff>19050</xdr:rowOff>
                  </from>
                  <to>
                    <xdr:col>14</xdr:col>
                    <xdr:colOff>628650</xdr:colOff>
                    <xdr:row>28</xdr:row>
                    <xdr:rowOff>238125</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47625</xdr:colOff>
                    <xdr:row>28</xdr:row>
                    <xdr:rowOff>19050</xdr:rowOff>
                  </from>
                  <to>
                    <xdr:col>16</xdr:col>
                    <xdr:colOff>628650</xdr:colOff>
                    <xdr:row>28</xdr:row>
                    <xdr:rowOff>238125</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47625</xdr:colOff>
                    <xdr:row>29</xdr:row>
                    <xdr:rowOff>19050</xdr:rowOff>
                  </from>
                  <to>
                    <xdr:col>2</xdr:col>
                    <xdr:colOff>628650</xdr:colOff>
                    <xdr:row>29</xdr:row>
                    <xdr:rowOff>238125</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47625</xdr:colOff>
                    <xdr:row>29</xdr:row>
                    <xdr:rowOff>19050</xdr:rowOff>
                  </from>
                  <to>
                    <xdr:col>6</xdr:col>
                    <xdr:colOff>628650</xdr:colOff>
                    <xdr:row>29</xdr:row>
                    <xdr:rowOff>238125</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47625</xdr:colOff>
                    <xdr:row>29</xdr:row>
                    <xdr:rowOff>19050</xdr:rowOff>
                  </from>
                  <to>
                    <xdr:col>8</xdr:col>
                    <xdr:colOff>628650</xdr:colOff>
                    <xdr:row>29</xdr:row>
                    <xdr:rowOff>238125</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47625</xdr:colOff>
                    <xdr:row>29</xdr:row>
                    <xdr:rowOff>19050</xdr:rowOff>
                  </from>
                  <to>
                    <xdr:col>12</xdr:col>
                    <xdr:colOff>628650</xdr:colOff>
                    <xdr:row>29</xdr:row>
                    <xdr:rowOff>238125</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47625</xdr:colOff>
                    <xdr:row>29</xdr:row>
                    <xdr:rowOff>19050</xdr:rowOff>
                  </from>
                  <to>
                    <xdr:col>4</xdr:col>
                    <xdr:colOff>628650</xdr:colOff>
                    <xdr:row>29</xdr:row>
                    <xdr:rowOff>238125</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47625</xdr:colOff>
                    <xdr:row>29</xdr:row>
                    <xdr:rowOff>19050</xdr:rowOff>
                  </from>
                  <to>
                    <xdr:col>14</xdr:col>
                    <xdr:colOff>628650</xdr:colOff>
                    <xdr:row>29</xdr:row>
                    <xdr:rowOff>238125</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47625</xdr:colOff>
                    <xdr:row>29</xdr:row>
                    <xdr:rowOff>19050</xdr:rowOff>
                  </from>
                  <to>
                    <xdr:col>16</xdr:col>
                    <xdr:colOff>628650</xdr:colOff>
                    <xdr:row>29</xdr:row>
                    <xdr:rowOff>238125</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47625</xdr:colOff>
                    <xdr:row>8</xdr:row>
                    <xdr:rowOff>0</xdr:rowOff>
                  </from>
                  <to>
                    <xdr:col>2</xdr:col>
                    <xdr:colOff>628650</xdr:colOff>
                    <xdr:row>8</xdr:row>
                    <xdr:rowOff>219075</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47625</xdr:colOff>
                    <xdr:row>8</xdr:row>
                    <xdr:rowOff>0</xdr:rowOff>
                  </from>
                  <to>
                    <xdr:col>6</xdr:col>
                    <xdr:colOff>628650</xdr:colOff>
                    <xdr:row>8</xdr:row>
                    <xdr:rowOff>219075</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47625</xdr:colOff>
                    <xdr:row>8</xdr:row>
                    <xdr:rowOff>0</xdr:rowOff>
                  </from>
                  <to>
                    <xdr:col>8</xdr:col>
                    <xdr:colOff>628650</xdr:colOff>
                    <xdr:row>8</xdr:row>
                    <xdr:rowOff>219075</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47625</xdr:colOff>
                    <xdr:row>8</xdr:row>
                    <xdr:rowOff>0</xdr:rowOff>
                  </from>
                  <to>
                    <xdr:col>12</xdr:col>
                    <xdr:colOff>628650</xdr:colOff>
                    <xdr:row>8</xdr:row>
                    <xdr:rowOff>219075</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47625</xdr:colOff>
                    <xdr:row>8</xdr:row>
                    <xdr:rowOff>0</xdr:rowOff>
                  </from>
                  <to>
                    <xdr:col>4</xdr:col>
                    <xdr:colOff>628650</xdr:colOff>
                    <xdr:row>8</xdr:row>
                    <xdr:rowOff>219075</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47625</xdr:colOff>
                    <xdr:row>8</xdr:row>
                    <xdr:rowOff>0</xdr:rowOff>
                  </from>
                  <to>
                    <xdr:col>14</xdr:col>
                    <xdr:colOff>628650</xdr:colOff>
                    <xdr:row>8</xdr:row>
                    <xdr:rowOff>219075</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47625</xdr:colOff>
                    <xdr:row>8</xdr:row>
                    <xdr:rowOff>0</xdr:rowOff>
                  </from>
                  <to>
                    <xdr:col>16</xdr:col>
                    <xdr:colOff>628650</xdr:colOff>
                    <xdr:row>8</xdr:row>
                    <xdr:rowOff>219075</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47625</xdr:colOff>
                    <xdr:row>9</xdr:row>
                    <xdr:rowOff>0</xdr:rowOff>
                  </from>
                  <to>
                    <xdr:col>2</xdr:col>
                    <xdr:colOff>628650</xdr:colOff>
                    <xdr:row>9</xdr:row>
                    <xdr:rowOff>219075</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47625</xdr:colOff>
                    <xdr:row>9</xdr:row>
                    <xdr:rowOff>0</xdr:rowOff>
                  </from>
                  <to>
                    <xdr:col>6</xdr:col>
                    <xdr:colOff>628650</xdr:colOff>
                    <xdr:row>9</xdr:row>
                    <xdr:rowOff>219075</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47625</xdr:colOff>
                    <xdr:row>9</xdr:row>
                    <xdr:rowOff>0</xdr:rowOff>
                  </from>
                  <to>
                    <xdr:col>8</xdr:col>
                    <xdr:colOff>628650</xdr:colOff>
                    <xdr:row>9</xdr:row>
                    <xdr:rowOff>219075</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47625</xdr:colOff>
                    <xdr:row>9</xdr:row>
                    <xdr:rowOff>0</xdr:rowOff>
                  </from>
                  <to>
                    <xdr:col>12</xdr:col>
                    <xdr:colOff>628650</xdr:colOff>
                    <xdr:row>9</xdr:row>
                    <xdr:rowOff>219075</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47625</xdr:colOff>
                    <xdr:row>9</xdr:row>
                    <xdr:rowOff>0</xdr:rowOff>
                  </from>
                  <to>
                    <xdr:col>4</xdr:col>
                    <xdr:colOff>628650</xdr:colOff>
                    <xdr:row>9</xdr:row>
                    <xdr:rowOff>219075</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47625</xdr:colOff>
                    <xdr:row>9</xdr:row>
                    <xdr:rowOff>0</xdr:rowOff>
                  </from>
                  <to>
                    <xdr:col>14</xdr:col>
                    <xdr:colOff>628650</xdr:colOff>
                    <xdr:row>9</xdr:row>
                    <xdr:rowOff>219075</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47625</xdr:colOff>
                    <xdr:row>9</xdr:row>
                    <xdr:rowOff>0</xdr:rowOff>
                  </from>
                  <to>
                    <xdr:col>16</xdr:col>
                    <xdr:colOff>628650</xdr:colOff>
                    <xdr:row>9</xdr:row>
                    <xdr:rowOff>219075</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38100</xdr:colOff>
                    <xdr:row>13</xdr:row>
                    <xdr:rowOff>0</xdr:rowOff>
                  </from>
                  <to>
                    <xdr:col>2</xdr:col>
                    <xdr:colOff>619125</xdr:colOff>
                    <xdr:row>13</xdr:row>
                    <xdr:rowOff>219075</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38100</xdr:colOff>
                    <xdr:row>13</xdr:row>
                    <xdr:rowOff>0</xdr:rowOff>
                  </from>
                  <to>
                    <xdr:col>6</xdr:col>
                    <xdr:colOff>619125</xdr:colOff>
                    <xdr:row>13</xdr:row>
                    <xdr:rowOff>219075</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38100</xdr:colOff>
                    <xdr:row>13</xdr:row>
                    <xdr:rowOff>0</xdr:rowOff>
                  </from>
                  <to>
                    <xdr:col>8</xdr:col>
                    <xdr:colOff>619125</xdr:colOff>
                    <xdr:row>13</xdr:row>
                    <xdr:rowOff>219075</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38100</xdr:colOff>
                    <xdr:row>13</xdr:row>
                    <xdr:rowOff>0</xdr:rowOff>
                  </from>
                  <to>
                    <xdr:col>12</xdr:col>
                    <xdr:colOff>619125</xdr:colOff>
                    <xdr:row>13</xdr:row>
                    <xdr:rowOff>219075</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38100</xdr:colOff>
                    <xdr:row>13</xdr:row>
                    <xdr:rowOff>0</xdr:rowOff>
                  </from>
                  <to>
                    <xdr:col>4</xdr:col>
                    <xdr:colOff>619125</xdr:colOff>
                    <xdr:row>13</xdr:row>
                    <xdr:rowOff>219075</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38100</xdr:colOff>
                    <xdr:row>13</xdr:row>
                    <xdr:rowOff>0</xdr:rowOff>
                  </from>
                  <to>
                    <xdr:col>14</xdr:col>
                    <xdr:colOff>619125</xdr:colOff>
                    <xdr:row>13</xdr:row>
                    <xdr:rowOff>219075</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38100</xdr:colOff>
                    <xdr:row>13</xdr:row>
                    <xdr:rowOff>0</xdr:rowOff>
                  </from>
                  <to>
                    <xdr:col>16</xdr:col>
                    <xdr:colOff>619125</xdr:colOff>
                    <xdr:row>13</xdr:row>
                    <xdr:rowOff>219075</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47625</xdr:colOff>
                    <xdr:row>19</xdr:row>
                    <xdr:rowOff>0</xdr:rowOff>
                  </from>
                  <to>
                    <xdr:col>2</xdr:col>
                    <xdr:colOff>628650</xdr:colOff>
                    <xdr:row>19</xdr:row>
                    <xdr:rowOff>219075</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47625</xdr:colOff>
                    <xdr:row>19</xdr:row>
                    <xdr:rowOff>0</xdr:rowOff>
                  </from>
                  <to>
                    <xdr:col>6</xdr:col>
                    <xdr:colOff>628650</xdr:colOff>
                    <xdr:row>19</xdr:row>
                    <xdr:rowOff>219075</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47625</xdr:colOff>
                    <xdr:row>19</xdr:row>
                    <xdr:rowOff>0</xdr:rowOff>
                  </from>
                  <to>
                    <xdr:col>8</xdr:col>
                    <xdr:colOff>628650</xdr:colOff>
                    <xdr:row>19</xdr:row>
                    <xdr:rowOff>219075</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47625</xdr:colOff>
                    <xdr:row>19</xdr:row>
                    <xdr:rowOff>0</xdr:rowOff>
                  </from>
                  <to>
                    <xdr:col>12</xdr:col>
                    <xdr:colOff>628650</xdr:colOff>
                    <xdr:row>19</xdr:row>
                    <xdr:rowOff>219075</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47625</xdr:colOff>
                    <xdr:row>19</xdr:row>
                    <xdr:rowOff>0</xdr:rowOff>
                  </from>
                  <to>
                    <xdr:col>4</xdr:col>
                    <xdr:colOff>628650</xdr:colOff>
                    <xdr:row>19</xdr:row>
                    <xdr:rowOff>219075</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47625</xdr:colOff>
                    <xdr:row>19</xdr:row>
                    <xdr:rowOff>0</xdr:rowOff>
                  </from>
                  <to>
                    <xdr:col>14</xdr:col>
                    <xdr:colOff>628650</xdr:colOff>
                    <xdr:row>19</xdr:row>
                    <xdr:rowOff>219075</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47625</xdr:colOff>
                    <xdr:row>19</xdr:row>
                    <xdr:rowOff>0</xdr:rowOff>
                  </from>
                  <to>
                    <xdr:col>16</xdr:col>
                    <xdr:colOff>628650</xdr:colOff>
                    <xdr:row>19</xdr:row>
                    <xdr:rowOff>219075</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47625</xdr:colOff>
                    <xdr:row>20</xdr:row>
                    <xdr:rowOff>0</xdr:rowOff>
                  </from>
                  <to>
                    <xdr:col>2</xdr:col>
                    <xdr:colOff>628650</xdr:colOff>
                    <xdr:row>20</xdr:row>
                    <xdr:rowOff>219075</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47625</xdr:colOff>
                    <xdr:row>20</xdr:row>
                    <xdr:rowOff>0</xdr:rowOff>
                  </from>
                  <to>
                    <xdr:col>6</xdr:col>
                    <xdr:colOff>628650</xdr:colOff>
                    <xdr:row>20</xdr:row>
                    <xdr:rowOff>219075</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47625</xdr:colOff>
                    <xdr:row>20</xdr:row>
                    <xdr:rowOff>0</xdr:rowOff>
                  </from>
                  <to>
                    <xdr:col>8</xdr:col>
                    <xdr:colOff>628650</xdr:colOff>
                    <xdr:row>20</xdr:row>
                    <xdr:rowOff>219075</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47625</xdr:colOff>
                    <xdr:row>20</xdr:row>
                    <xdr:rowOff>0</xdr:rowOff>
                  </from>
                  <to>
                    <xdr:col>12</xdr:col>
                    <xdr:colOff>628650</xdr:colOff>
                    <xdr:row>20</xdr:row>
                    <xdr:rowOff>219075</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47625</xdr:colOff>
                    <xdr:row>20</xdr:row>
                    <xdr:rowOff>0</xdr:rowOff>
                  </from>
                  <to>
                    <xdr:col>4</xdr:col>
                    <xdr:colOff>628650</xdr:colOff>
                    <xdr:row>20</xdr:row>
                    <xdr:rowOff>219075</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47625</xdr:colOff>
                    <xdr:row>20</xdr:row>
                    <xdr:rowOff>0</xdr:rowOff>
                  </from>
                  <to>
                    <xdr:col>14</xdr:col>
                    <xdr:colOff>628650</xdr:colOff>
                    <xdr:row>20</xdr:row>
                    <xdr:rowOff>219075</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47625</xdr:colOff>
                    <xdr:row>20</xdr:row>
                    <xdr:rowOff>0</xdr:rowOff>
                  </from>
                  <to>
                    <xdr:col>16</xdr:col>
                    <xdr:colOff>628650</xdr:colOff>
                    <xdr:row>20</xdr:row>
                    <xdr:rowOff>219075</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47625</xdr:colOff>
                    <xdr:row>21</xdr:row>
                    <xdr:rowOff>0</xdr:rowOff>
                  </from>
                  <to>
                    <xdr:col>2</xdr:col>
                    <xdr:colOff>628650</xdr:colOff>
                    <xdr:row>21</xdr:row>
                    <xdr:rowOff>219075</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47625</xdr:colOff>
                    <xdr:row>21</xdr:row>
                    <xdr:rowOff>0</xdr:rowOff>
                  </from>
                  <to>
                    <xdr:col>6</xdr:col>
                    <xdr:colOff>628650</xdr:colOff>
                    <xdr:row>21</xdr:row>
                    <xdr:rowOff>219075</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47625</xdr:colOff>
                    <xdr:row>21</xdr:row>
                    <xdr:rowOff>0</xdr:rowOff>
                  </from>
                  <to>
                    <xdr:col>8</xdr:col>
                    <xdr:colOff>628650</xdr:colOff>
                    <xdr:row>21</xdr:row>
                    <xdr:rowOff>219075</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47625</xdr:colOff>
                    <xdr:row>21</xdr:row>
                    <xdr:rowOff>0</xdr:rowOff>
                  </from>
                  <to>
                    <xdr:col>12</xdr:col>
                    <xdr:colOff>628650</xdr:colOff>
                    <xdr:row>21</xdr:row>
                    <xdr:rowOff>219075</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47625</xdr:colOff>
                    <xdr:row>21</xdr:row>
                    <xdr:rowOff>0</xdr:rowOff>
                  </from>
                  <to>
                    <xdr:col>4</xdr:col>
                    <xdr:colOff>628650</xdr:colOff>
                    <xdr:row>21</xdr:row>
                    <xdr:rowOff>219075</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47625</xdr:colOff>
                    <xdr:row>21</xdr:row>
                    <xdr:rowOff>0</xdr:rowOff>
                  </from>
                  <to>
                    <xdr:col>14</xdr:col>
                    <xdr:colOff>628650</xdr:colOff>
                    <xdr:row>21</xdr:row>
                    <xdr:rowOff>219075</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47625</xdr:colOff>
                    <xdr:row>21</xdr:row>
                    <xdr:rowOff>0</xdr:rowOff>
                  </from>
                  <to>
                    <xdr:col>16</xdr:col>
                    <xdr:colOff>628650</xdr:colOff>
                    <xdr:row>21</xdr:row>
                    <xdr:rowOff>219075</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47625</xdr:colOff>
                    <xdr:row>22</xdr:row>
                    <xdr:rowOff>0</xdr:rowOff>
                  </from>
                  <to>
                    <xdr:col>2</xdr:col>
                    <xdr:colOff>628650</xdr:colOff>
                    <xdr:row>22</xdr:row>
                    <xdr:rowOff>219075</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47625</xdr:colOff>
                    <xdr:row>22</xdr:row>
                    <xdr:rowOff>0</xdr:rowOff>
                  </from>
                  <to>
                    <xdr:col>6</xdr:col>
                    <xdr:colOff>628650</xdr:colOff>
                    <xdr:row>22</xdr:row>
                    <xdr:rowOff>219075</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47625</xdr:colOff>
                    <xdr:row>22</xdr:row>
                    <xdr:rowOff>0</xdr:rowOff>
                  </from>
                  <to>
                    <xdr:col>8</xdr:col>
                    <xdr:colOff>628650</xdr:colOff>
                    <xdr:row>22</xdr:row>
                    <xdr:rowOff>219075</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47625</xdr:colOff>
                    <xdr:row>22</xdr:row>
                    <xdr:rowOff>0</xdr:rowOff>
                  </from>
                  <to>
                    <xdr:col>12</xdr:col>
                    <xdr:colOff>628650</xdr:colOff>
                    <xdr:row>22</xdr:row>
                    <xdr:rowOff>219075</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47625</xdr:colOff>
                    <xdr:row>22</xdr:row>
                    <xdr:rowOff>0</xdr:rowOff>
                  </from>
                  <to>
                    <xdr:col>4</xdr:col>
                    <xdr:colOff>628650</xdr:colOff>
                    <xdr:row>22</xdr:row>
                    <xdr:rowOff>219075</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47625</xdr:colOff>
                    <xdr:row>22</xdr:row>
                    <xdr:rowOff>0</xdr:rowOff>
                  </from>
                  <to>
                    <xdr:col>14</xdr:col>
                    <xdr:colOff>628650</xdr:colOff>
                    <xdr:row>22</xdr:row>
                    <xdr:rowOff>219075</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47625</xdr:colOff>
                    <xdr:row>22</xdr:row>
                    <xdr:rowOff>0</xdr:rowOff>
                  </from>
                  <to>
                    <xdr:col>16</xdr:col>
                    <xdr:colOff>628650</xdr:colOff>
                    <xdr:row>22</xdr:row>
                    <xdr:rowOff>219075</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47625</xdr:colOff>
                    <xdr:row>23</xdr:row>
                    <xdr:rowOff>0</xdr:rowOff>
                  </from>
                  <to>
                    <xdr:col>2</xdr:col>
                    <xdr:colOff>628650</xdr:colOff>
                    <xdr:row>23</xdr:row>
                    <xdr:rowOff>219075</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47625</xdr:colOff>
                    <xdr:row>23</xdr:row>
                    <xdr:rowOff>0</xdr:rowOff>
                  </from>
                  <to>
                    <xdr:col>6</xdr:col>
                    <xdr:colOff>628650</xdr:colOff>
                    <xdr:row>23</xdr:row>
                    <xdr:rowOff>219075</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47625</xdr:colOff>
                    <xdr:row>23</xdr:row>
                    <xdr:rowOff>0</xdr:rowOff>
                  </from>
                  <to>
                    <xdr:col>8</xdr:col>
                    <xdr:colOff>628650</xdr:colOff>
                    <xdr:row>23</xdr:row>
                    <xdr:rowOff>219075</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47625</xdr:colOff>
                    <xdr:row>23</xdr:row>
                    <xdr:rowOff>0</xdr:rowOff>
                  </from>
                  <to>
                    <xdr:col>12</xdr:col>
                    <xdr:colOff>628650</xdr:colOff>
                    <xdr:row>23</xdr:row>
                    <xdr:rowOff>219075</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47625</xdr:colOff>
                    <xdr:row>23</xdr:row>
                    <xdr:rowOff>0</xdr:rowOff>
                  </from>
                  <to>
                    <xdr:col>4</xdr:col>
                    <xdr:colOff>628650</xdr:colOff>
                    <xdr:row>23</xdr:row>
                    <xdr:rowOff>219075</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47625</xdr:colOff>
                    <xdr:row>23</xdr:row>
                    <xdr:rowOff>0</xdr:rowOff>
                  </from>
                  <to>
                    <xdr:col>14</xdr:col>
                    <xdr:colOff>628650</xdr:colOff>
                    <xdr:row>23</xdr:row>
                    <xdr:rowOff>219075</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47625</xdr:colOff>
                    <xdr:row>23</xdr:row>
                    <xdr:rowOff>0</xdr:rowOff>
                  </from>
                  <to>
                    <xdr:col>16</xdr:col>
                    <xdr:colOff>628650</xdr:colOff>
                    <xdr:row>23</xdr:row>
                    <xdr:rowOff>219075</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47625</xdr:colOff>
                    <xdr:row>24</xdr:row>
                    <xdr:rowOff>0</xdr:rowOff>
                  </from>
                  <to>
                    <xdr:col>2</xdr:col>
                    <xdr:colOff>628650</xdr:colOff>
                    <xdr:row>24</xdr:row>
                    <xdr:rowOff>219075</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47625</xdr:colOff>
                    <xdr:row>24</xdr:row>
                    <xdr:rowOff>0</xdr:rowOff>
                  </from>
                  <to>
                    <xdr:col>6</xdr:col>
                    <xdr:colOff>628650</xdr:colOff>
                    <xdr:row>24</xdr:row>
                    <xdr:rowOff>219075</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47625</xdr:colOff>
                    <xdr:row>24</xdr:row>
                    <xdr:rowOff>0</xdr:rowOff>
                  </from>
                  <to>
                    <xdr:col>8</xdr:col>
                    <xdr:colOff>628650</xdr:colOff>
                    <xdr:row>24</xdr:row>
                    <xdr:rowOff>219075</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47625</xdr:colOff>
                    <xdr:row>24</xdr:row>
                    <xdr:rowOff>0</xdr:rowOff>
                  </from>
                  <to>
                    <xdr:col>12</xdr:col>
                    <xdr:colOff>628650</xdr:colOff>
                    <xdr:row>24</xdr:row>
                    <xdr:rowOff>219075</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47625</xdr:colOff>
                    <xdr:row>24</xdr:row>
                    <xdr:rowOff>0</xdr:rowOff>
                  </from>
                  <to>
                    <xdr:col>4</xdr:col>
                    <xdr:colOff>628650</xdr:colOff>
                    <xdr:row>24</xdr:row>
                    <xdr:rowOff>219075</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47625</xdr:colOff>
                    <xdr:row>24</xdr:row>
                    <xdr:rowOff>0</xdr:rowOff>
                  </from>
                  <to>
                    <xdr:col>14</xdr:col>
                    <xdr:colOff>628650</xdr:colOff>
                    <xdr:row>24</xdr:row>
                    <xdr:rowOff>219075</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47625</xdr:colOff>
                    <xdr:row>24</xdr:row>
                    <xdr:rowOff>0</xdr:rowOff>
                  </from>
                  <to>
                    <xdr:col>16</xdr:col>
                    <xdr:colOff>628650</xdr:colOff>
                    <xdr:row>24</xdr:row>
                    <xdr:rowOff>219075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75" x14ac:dyDescent="0.2"/>
  <cols>
    <col min="1" max="1" width="11" customWidth="1"/>
    <col min="2" max="2" width="9.7109375" customWidth="1"/>
  </cols>
  <sheetData>
    <row r="1" spans="1:5" x14ac:dyDescent="0.2">
      <c r="B1" t="s">
        <v>1816</v>
      </c>
      <c r="C1" t="s">
        <v>2108</v>
      </c>
      <c r="D1" t="s">
        <v>2765</v>
      </c>
      <c r="E1" t="s">
        <v>2108</v>
      </c>
    </row>
    <row r="2" spans="1:5" x14ac:dyDescent="0.2">
      <c r="A2" s="12" t="s">
        <v>3378</v>
      </c>
      <c r="B2" s="13">
        <f>SUM(B3:B4)</f>
        <v>0</v>
      </c>
      <c r="C2" s="13">
        <f>10*B2/Gewicht</f>
        <v>0</v>
      </c>
      <c r="D2" s="13"/>
      <c r="E2" s="14"/>
    </row>
    <row r="3" spans="1:5" x14ac:dyDescent="0.2">
      <c r="A3" s="5" t="s">
        <v>2120</v>
      </c>
      <c r="B3">
        <f>ber_PO!O22</f>
        <v>0</v>
      </c>
    </row>
    <row r="4" spans="1:5" x14ac:dyDescent="0.2">
      <c r="A4" s="5" t="s">
        <v>2118</v>
      </c>
      <c r="B4">
        <f>(ber_IVmed!F46+ber_TPN!F23+Infusen!J15+ber_Med_disc!O23)</f>
        <v>0</v>
      </c>
    </row>
    <row r="5" spans="1:5" x14ac:dyDescent="0.2">
      <c r="A5" s="12" t="s">
        <v>2107</v>
      </c>
      <c r="B5" s="13">
        <f>SUM(B6:B8)</f>
        <v>0</v>
      </c>
      <c r="C5" s="13">
        <f>B5/(Gewicht/10)</f>
        <v>0</v>
      </c>
      <c r="D5" s="13">
        <f>SUM(D7:D7)</f>
        <v>0</v>
      </c>
      <c r="E5" s="14">
        <f>D5/(Gewicht/10)</f>
        <v>0</v>
      </c>
    </row>
    <row r="6" spans="1:5" x14ac:dyDescent="0.2">
      <c r="A6" s="5" t="s">
        <v>2120</v>
      </c>
      <c r="B6">
        <f>ber_PO!K25</f>
        <v>0</v>
      </c>
      <c r="C6" s="10" t="s">
        <v>2126</v>
      </c>
      <c r="D6" s="10" t="s">
        <v>2126</v>
      </c>
    </row>
    <row r="7" spans="1:5" x14ac:dyDescent="0.2">
      <c r="A7" s="5" t="s">
        <v>2125</v>
      </c>
      <c r="B7">
        <f>ber_Med_disc!S23+ber_IVmed!G46+ber_IVmed!H46</f>
        <v>0</v>
      </c>
      <c r="D7">
        <f>B7*4</f>
        <v>0</v>
      </c>
    </row>
    <row r="8" spans="1:5" x14ac:dyDescent="0.2">
      <c r="A8" s="5" t="s">
        <v>2230</v>
      </c>
      <c r="B8">
        <f>ber_TPN!G23</f>
        <v>0</v>
      </c>
      <c r="C8" s="10" t="s">
        <v>2126</v>
      </c>
      <c r="D8" s="10" t="s">
        <v>2126</v>
      </c>
    </row>
    <row r="9" spans="1:5" x14ac:dyDescent="0.2">
      <c r="A9" s="12" t="s">
        <v>2112</v>
      </c>
      <c r="B9" s="13">
        <f>SUM(B10:B12)</f>
        <v>0</v>
      </c>
      <c r="C9" s="13">
        <f>B9/(Gewicht/10)</f>
        <v>0</v>
      </c>
      <c r="D9" s="13">
        <f>SUM(D10:D11)</f>
        <v>0</v>
      </c>
      <c r="E9" s="14">
        <f>D9/(Gewicht/10)</f>
        <v>0</v>
      </c>
    </row>
    <row r="10" spans="1:5" x14ac:dyDescent="0.2">
      <c r="A10" s="5" t="s">
        <v>2120</v>
      </c>
      <c r="B10">
        <f>ber_PO!K24</f>
        <v>0</v>
      </c>
      <c r="C10" s="10" t="s">
        <v>2126</v>
      </c>
      <c r="D10" s="10" t="s">
        <v>2126</v>
      </c>
    </row>
    <row r="11" spans="1:5" x14ac:dyDescent="0.2">
      <c r="A11" s="5" t="s">
        <v>2118</v>
      </c>
      <c r="B11">
        <f>ber_TPN!H23</f>
        <v>0</v>
      </c>
      <c r="C11" s="10" t="s">
        <v>2126</v>
      </c>
      <c r="D11" s="10" t="s">
        <v>2126</v>
      </c>
    </row>
    <row r="12" spans="1:5" x14ac:dyDescent="0.2">
      <c r="A12" s="5" t="s">
        <v>653</v>
      </c>
      <c r="B12">
        <f>ber_IVmed!L46</f>
        <v>0</v>
      </c>
      <c r="C12" s="10"/>
      <c r="D12" s="10"/>
    </row>
    <row r="13" spans="1:5" x14ac:dyDescent="0.2">
      <c r="A13" s="12" t="s">
        <v>2113</v>
      </c>
      <c r="B13" s="13">
        <f>SUM(B14:B16)</f>
        <v>0</v>
      </c>
      <c r="C13" s="13">
        <f>SUM(C14:C16)</f>
        <v>0</v>
      </c>
      <c r="D13" s="13">
        <f>SUM(D14:D15)</f>
        <v>0</v>
      </c>
      <c r="E13" s="14">
        <f>D13/(Gewicht/10)</f>
        <v>0</v>
      </c>
    </row>
    <row r="14" spans="1:5" x14ac:dyDescent="0.2">
      <c r="A14" s="5" t="s">
        <v>2120</v>
      </c>
      <c r="B14">
        <f>ber_PO!K26</f>
        <v>0</v>
      </c>
      <c r="C14">
        <f>B14/(Gewicht/10)</f>
        <v>0</v>
      </c>
      <c r="D14" s="10" t="s">
        <v>2126</v>
      </c>
    </row>
    <row r="15" spans="1:5" x14ac:dyDescent="0.2">
      <c r="A15" s="5" t="s">
        <v>2118</v>
      </c>
      <c r="B15">
        <f>ber_TPN!O23</f>
        <v>0</v>
      </c>
      <c r="C15">
        <f>B15/(Gewicht/10)</f>
        <v>0</v>
      </c>
      <c r="D15" s="10" t="s">
        <v>2126</v>
      </c>
    </row>
    <row r="16" spans="1:5" x14ac:dyDescent="0.2">
      <c r="A16" s="5" t="s">
        <v>2119</v>
      </c>
      <c r="B16">
        <f>ber_IVmed!M46</f>
        <v>0</v>
      </c>
      <c r="D16">
        <f>B16*9</f>
        <v>0</v>
      </c>
    </row>
    <row r="17" spans="1:5" x14ac:dyDescent="0.2">
      <c r="A17" s="12" t="s">
        <v>3379</v>
      </c>
      <c r="B17" s="13">
        <f>SUM(B18:B22)</f>
        <v>0</v>
      </c>
      <c r="C17" s="13">
        <f>SUM(C18:C22)</f>
        <v>0</v>
      </c>
      <c r="D17" s="13"/>
      <c r="E17" s="14"/>
    </row>
    <row r="18" spans="1:5" x14ac:dyDescent="0.2">
      <c r="A18" s="5" t="s">
        <v>2120</v>
      </c>
      <c r="B18">
        <f>ber_PO!K27</f>
        <v>0</v>
      </c>
      <c r="C18">
        <f>B18/(Gewicht/10)</f>
        <v>0</v>
      </c>
    </row>
    <row r="19" spans="1:5" x14ac:dyDescent="0.2">
      <c r="A19" s="5" t="s">
        <v>2340</v>
      </c>
      <c r="B19">
        <f>Infusen!I15</f>
        <v>0</v>
      </c>
      <c r="C19">
        <f>B19/(Gewicht/10)</f>
        <v>0</v>
      </c>
    </row>
    <row r="20" spans="1:5" x14ac:dyDescent="0.2">
      <c r="A20" s="5" t="s">
        <v>2125</v>
      </c>
      <c r="B20">
        <f>ber_Med_disc!Q23</f>
        <v>0</v>
      </c>
      <c r="C20">
        <f>B20/(Gewicht/10)</f>
        <v>0</v>
      </c>
    </row>
    <row r="21" spans="1:5" x14ac:dyDescent="0.2">
      <c r="A21" s="4">
        <v>8.9999999999999993E-3</v>
      </c>
      <c r="B21">
        <f>ber_IVmed!J46</f>
        <v>0</v>
      </c>
      <c r="C21">
        <f>B21/(Gewicht/10)</f>
        <v>0</v>
      </c>
    </row>
    <row r="22" spans="1:5" x14ac:dyDescent="0.2">
      <c r="A22" s="4" t="s">
        <v>2230</v>
      </c>
      <c r="B22">
        <f>ber_TPN!I23</f>
        <v>0</v>
      </c>
      <c r="C22">
        <f>B22/(Gewicht/10)</f>
        <v>0</v>
      </c>
    </row>
    <row r="23" spans="1:5" x14ac:dyDescent="0.2">
      <c r="A23" s="12" t="s">
        <v>3380</v>
      </c>
      <c r="B23" s="13">
        <f>SUM(B24:B26)</f>
        <v>0</v>
      </c>
      <c r="C23" s="13">
        <f>SUM(C24:C26)</f>
        <v>0</v>
      </c>
      <c r="D23" s="13"/>
      <c r="E23" s="14"/>
    </row>
    <row r="24" spans="1:5" x14ac:dyDescent="0.2">
      <c r="A24" s="5" t="s">
        <v>2120</v>
      </c>
      <c r="B24">
        <f>ber_PO!K28</f>
        <v>0</v>
      </c>
      <c r="C24">
        <f>B24/(Gewicht/10)</f>
        <v>0</v>
      </c>
    </row>
    <row r="25" spans="1:5" x14ac:dyDescent="0.2">
      <c r="A25" s="5" t="s">
        <v>2230</v>
      </c>
      <c r="B25">
        <f>ber_TPN!J23</f>
        <v>0</v>
      </c>
      <c r="C25">
        <f>B25/(Gewicht/10)</f>
        <v>0</v>
      </c>
    </row>
    <row r="26" spans="1:5" x14ac:dyDescent="0.2">
      <c r="A26" s="5" t="s">
        <v>2125</v>
      </c>
      <c r="B26">
        <f>ber_IVmed!K46</f>
        <v>0</v>
      </c>
      <c r="C26">
        <f>B26/(Gewicht/10)</f>
        <v>0</v>
      </c>
    </row>
    <row r="27" spans="1:5" x14ac:dyDescent="0.2">
      <c r="A27" s="12" t="s">
        <v>2109</v>
      </c>
      <c r="B27" s="13">
        <f>SUM(B28:B29)</f>
        <v>0</v>
      </c>
      <c r="C27" s="13">
        <f>SUM(C28:C29)</f>
        <v>0</v>
      </c>
      <c r="D27" s="13"/>
      <c r="E27" s="14"/>
    </row>
    <row r="28" spans="1:5" x14ac:dyDescent="0.2">
      <c r="A28" s="5" t="s">
        <v>2120</v>
      </c>
      <c r="B28">
        <f>ber_PO!K29</f>
        <v>0</v>
      </c>
      <c r="C28">
        <f>B28/(Gewicht/10)</f>
        <v>0</v>
      </c>
    </row>
    <row r="29" spans="1:5" x14ac:dyDescent="0.2">
      <c r="A29" s="5" t="s">
        <v>2230</v>
      </c>
      <c r="B29">
        <f>ber_TPN!K23</f>
        <v>0</v>
      </c>
      <c r="C29">
        <f>B29/(Gewicht/10)</f>
        <v>0</v>
      </c>
    </row>
    <row r="30" spans="1:5" x14ac:dyDescent="0.2">
      <c r="A30" s="12" t="s">
        <v>2110</v>
      </c>
      <c r="B30" s="13">
        <f>SUM(B31:B32)</f>
        <v>0</v>
      </c>
      <c r="C30" s="13">
        <f>SUM(C31:C32)</f>
        <v>0</v>
      </c>
      <c r="D30" s="13"/>
      <c r="E30" s="14"/>
    </row>
    <row r="31" spans="1:5" x14ac:dyDescent="0.2">
      <c r="A31" s="5" t="s">
        <v>2120</v>
      </c>
      <c r="B31">
        <f>ber_PO!K30</f>
        <v>0</v>
      </c>
      <c r="C31">
        <f>B31/(Gewicht/10)</f>
        <v>0</v>
      </c>
    </row>
    <row r="32" spans="1:5" x14ac:dyDescent="0.2">
      <c r="A32" s="5" t="s">
        <v>2230</v>
      </c>
      <c r="B32">
        <f>ber_TPN!M23</f>
        <v>0</v>
      </c>
      <c r="C32">
        <f>B32/(Gewicht/10)</f>
        <v>0</v>
      </c>
    </row>
    <row r="33" spans="1:5" x14ac:dyDescent="0.2">
      <c r="A33" s="12" t="s">
        <v>2111</v>
      </c>
      <c r="B33" s="13">
        <f>SUM(B34:B35)</f>
        <v>0</v>
      </c>
      <c r="C33" s="13">
        <f>SUM(C34:C35)</f>
        <v>0</v>
      </c>
      <c r="D33" s="13"/>
      <c r="E33" s="14"/>
    </row>
    <row r="34" spans="1:5" x14ac:dyDescent="0.2">
      <c r="A34" s="5" t="s">
        <v>2120</v>
      </c>
      <c r="B34">
        <f>ber_PO!K31</f>
        <v>0</v>
      </c>
      <c r="C34">
        <f>B34/(Gewicht/10)</f>
        <v>0</v>
      </c>
    </row>
    <row r="35" spans="1:5" x14ac:dyDescent="0.2">
      <c r="A35" s="5" t="s">
        <v>2118</v>
      </c>
      <c r="B35">
        <f>ber_TPN!L23</f>
        <v>0</v>
      </c>
      <c r="C35">
        <f>B35/(Gewicht/10)</f>
        <v>0</v>
      </c>
    </row>
    <row r="36" spans="1:5" x14ac:dyDescent="0.2">
      <c r="A36" s="15" t="s">
        <v>2230</v>
      </c>
      <c r="B36" s="13"/>
      <c r="C36" s="13"/>
      <c r="D36" s="13">
        <f>ber_TPN!N23+ber_PO!K22</f>
        <v>0</v>
      </c>
      <c r="E36" s="14">
        <f>D36/(Gewicht/10)</f>
        <v>0</v>
      </c>
    </row>
    <row r="38" spans="1:5" x14ac:dyDescent="0.2">
      <c r="A38" s="5" t="s">
        <v>2216</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75" x14ac:dyDescent="0.2"/>
  <cols>
    <col min="1" max="1" width="16.7109375" bestFit="1" customWidth="1"/>
    <col min="2" max="2" width="10.5703125" bestFit="1" customWidth="1"/>
    <col min="3" max="3" width="30.5703125" bestFit="1" customWidth="1"/>
    <col min="6" max="6" width="22.42578125" customWidth="1"/>
    <col min="8" max="8" width="18.5703125" customWidth="1"/>
    <col min="9" max="9" width="12.140625" customWidth="1"/>
    <col min="10" max="10" width="13" customWidth="1"/>
    <col min="15" max="15" width="9.28515625" customWidth="1"/>
  </cols>
  <sheetData>
    <row r="1" spans="1:17" x14ac:dyDescent="0.2">
      <c r="A1" t="s">
        <v>3621</v>
      </c>
      <c r="B1" t="s">
        <v>4236</v>
      </c>
      <c r="C1" t="s">
        <v>1350</v>
      </c>
      <c r="D1" t="s">
        <v>2180</v>
      </c>
      <c r="E1" t="s">
        <v>2892</v>
      </c>
      <c r="F1" t="s">
        <v>2127</v>
      </c>
      <c r="G1" t="s">
        <v>2891</v>
      </c>
      <c r="H1" t="s">
        <v>2138</v>
      </c>
      <c r="I1" t="s">
        <v>4965</v>
      </c>
      <c r="J1" t="s">
        <v>4966</v>
      </c>
      <c r="K1" t="s">
        <v>4497</v>
      </c>
    </row>
    <row r="2" spans="1:17" x14ac:dyDescent="0.2">
      <c r="A2" t="s">
        <v>3188</v>
      </c>
      <c r="B2" t="s">
        <v>3187</v>
      </c>
      <c r="D2" t="s">
        <v>3188</v>
      </c>
      <c r="E2" t="s">
        <v>2978</v>
      </c>
      <c r="H2" t="s">
        <v>2883</v>
      </c>
      <c r="I2" t="b">
        <v>0</v>
      </c>
      <c r="J2">
        <v>30</v>
      </c>
      <c r="K2">
        <v>3</v>
      </c>
    </row>
    <row r="3" spans="1:17" x14ac:dyDescent="0.2">
      <c r="A3" t="s">
        <v>3519</v>
      </c>
      <c r="B3" t="s">
        <v>1969</v>
      </c>
      <c r="C3" t="s">
        <v>4654</v>
      </c>
      <c r="D3" t="s">
        <v>2181</v>
      </c>
      <c r="E3" t="s">
        <v>2979</v>
      </c>
      <c r="F3" t="s">
        <v>2128</v>
      </c>
      <c r="G3" t="s">
        <v>3898</v>
      </c>
      <c r="H3" t="s">
        <v>2170</v>
      </c>
    </row>
    <row r="4" spans="1:17" x14ac:dyDescent="0.2">
      <c r="A4" t="s">
        <v>3622</v>
      </c>
      <c r="B4" t="s">
        <v>1970</v>
      </c>
      <c r="C4" t="s">
        <v>4655</v>
      </c>
      <c r="D4" t="s">
        <v>2182</v>
      </c>
      <c r="E4" t="s">
        <v>2980</v>
      </c>
      <c r="H4" t="s">
        <v>289</v>
      </c>
    </row>
    <row r="5" spans="1:17" x14ac:dyDescent="0.2">
      <c r="A5" t="s">
        <v>3065</v>
      </c>
      <c r="B5" t="s">
        <v>3185</v>
      </c>
      <c r="D5" t="s">
        <v>4964</v>
      </c>
      <c r="E5" t="s">
        <v>2981</v>
      </c>
      <c r="H5" t="s">
        <v>290</v>
      </c>
    </row>
    <row r="6" spans="1:17" x14ac:dyDescent="0.2">
      <c r="A6" t="s">
        <v>1345</v>
      </c>
      <c r="B6" t="s">
        <v>3186</v>
      </c>
      <c r="D6" t="s">
        <v>1338</v>
      </c>
      <c r="E6" t="s">
        <v>2982</v>
      </c>
    </row>
    <row r="7" spans="1:17" x14ac:dyDescent="0.2">
      <c r="Q7" s="1"/>
    </row>
    <row r="9" spans="1:17" x14ac:dyDescent="0.2">
      <c r="Q9" s="1"/>
    </row>
    <row r="35" ht="10.5" customHeight="1" x14ac:dyDescent="0.2"/>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75" x14ac:dyDescent="0.2"/>
  <cols>
    <col min="1" max="1" width="36.28515625" customWidth="1"/>
    <col min="2" max="2" width="10.5703125" style="1" customWidth="1"/>
    <col min="4" max="4" width="13.28515625" customWidth="1"/>
    <col min="5" max="5" width="12.42578125" style="1" customWidth="1"/>
    <col min="7" max="7" width="11.42578125" customWidth="1"/>
    <col min="8" max="8" width="11.7109375" customWidth="1"/>
  </cols>
  <sheetData>
    <row r="1" spans="3:8" x14ac:dyDescent="0.2">
      <c r="D1" t="s">
        <v>656</v>
      </c>
      <c r="E1" s="1" t="s">
        <v>1719</v>
      </c>
    </row>
    <row r="2" spans="3:8" x14ac:dyDescent="0.2">
      <c r="D2" t="s">
        <v>456</v>
      </c>
    </row>
    <row r="4" spans="3:8" x14ac:dyDescent="0.2">
      <c r="C4" s="6"/>
      <c r="D4" s="78" t="s">
        <v>2224</v>
      </c>
      <c r="E4" s="78">
        <v>4.3478000000000003E-2</v>
      </c>
      <c r="H4" s="78"/>
    </row>
    <row r="5" spans="3:8" x14ac:dyDescent="0.2">
      <c r="C5" s="6"/>
      <c r="D5" s="78" t="s">
        <v>2225</v>
      </c>
      <c r="E5" s="78">
        <v>2.5641000000000001E-2</v>
      </c>
      <c r="H5" s="78"/>
    </row>
    <row r="6" spans="3:8" x14ac:dyDescent="0.2">
      <c r="D6" s="78" t="s">
        <v>2226</v>
      </c>
      <c r="E6" s="78">
        <v>2.5000000000000001E-2</v>
      </c>
      <c r="H6" s="78"/>
    </row>
    <row r="7" spans="3:8" x14ac:dyDescent="0.2">
      <c r="D7" s="78" t="s">
        <v>2233</v>
      </c>
      <c r="E7" s="78">
        <v>3.2288999999999998E-2</v>
      </c>
      <c r="H7" s="78"/>
    </row>
    <row r="8" spans="3:8" x14ac:dyDescent="0.2">
      <c r="D8" s="78" t="s">
        <v>2227</v>
      </c>
      <c r="E8" s="78">
        <v>4.1140999999999997E-2</v>
      </c>
      <c r="H8" s="78"/>
    </row>
    <row r="9" spans="3:8" x14ac:dyDescent="0.2">
      <c r="D9" s="78"/>
      <c r="E9" s="78"/>
      <c r="H9" s="78"/>
    </row>
    <row r="10" spans="3:8" x14ac:dyDescent="0.2">
      <c r="D10" s="78"/>
      <c r="E10" s="78"/>
      <c r="H10" s="78"/>
    </row>
    <row r="11" spans="3:8" x14ac:dyDescent="0.2">
      <c r="D11" s="78"/>
      <c r="E11" s="78"/>
      <c r="H11" s="78"/>
    </row>
    <row r="12" spans="3:8" x14ac:dyDescent="0.2">
      <c r="D12" s="78"/>
      <c r="E12" s="78"/>
      <c r="H12" s="78"/>
    </row>
    <row r="13" spans="3:8" x14ac:dyDescent="0.2">
      <c r="D13" s="78"/>
      <c r="E13" s="78"/>
      <c r="H13" s="78"/>
    </row>
    <row r="14" spans="3:8" x14ac:dyDescent="0.2">
      <c r="D14" s="78"/>
      <c r="E14" s="78"/>
      <c r="H14" s="78"/>
    </row>
    <row r="15" spans="3:8" x14ac:dyDescent="0.2">
      <c r="D15" s="78"/>
      <c r="E15" s="78"/>
      <c r="H15" s="78"/>
    </row>
    <row r="16" spans="3:8" x14ac:dyDescent="0.2">
      <c r="D16" s="78"/>
      <c r="E16" s="78"/>
      <c r="H16" s="78"/>
    </row>
    <row r="17" spans="4:8" x14ac:dyDescent="0.2">
      <c r="D17" s="78"/>
      <c r="E17" s="78"/>
      <c r="H17" s="78"/>
    </row>
    <row r="18" spans="4:8" x14ac:dyDescent="0.2">
      <c r="D18" s="78"/>
      <c r="E18" s="78"/>
      <c r="H18" s="78"/>
    </row>
    <row r="19" spans="4:8" x14ac:dyDescent="0.2">
      <c r="D19" s="78"/>
      <c r="E19" s="78"/>
      <c r="H19" s="78"/>
    </row>
    <row r="20" spans="4:8" x14ac:dyDescent="0.2">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75" x14ac:dyDescent="0.2"/>
  <cols>
    <col min="1" max="1" width="22.140625" customWidth="1"/>
    <col min="2" max="2" width="21.7109375" customWidth="1"/>
    <col min="9" max="9" width="10.28515625" customWidth="1"/>
    <col min="10" max="10" width="11.85546875" customWidth="1"/>
    <col min="14" max="14" width="9.42578125" bestFit="1" customWidth="1"/>
  </cols>
  <sheetData>
    <row r="1" spans="1:50" s="37" customFormat="1" ht="38.25" x14ac:dyDescent="0.2">
      <c r="A1" s="37">
        <v>1</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2">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2">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2">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2">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2">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2">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2">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2">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2">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2">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2">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2">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2">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2">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2">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2">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2">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2">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2">
      <c r="L21" t="s">
        <v>1277</v>
      </c>
      <c r="M21" t="s">
        <v>998</v>
      </c>
      <c r="O21" t="s">
        <v>2771</v>
      </c>
      <c r="P21" t="s">
        <v>2338</v>
      </c>
    </row>
    <row r="22" spans="1:49" x14ac:dyDescent="0.2">
      <c r="E22" s="38">
        <v>1</v>
      </c>
      <c r="F22" s="38" t="s">
        <v>2231</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2">
      <c r="A23" s="37" t="s">
        <v>1904</v>
      </c>
      <c r="B23" s="37" t="s">
        <v>492</v>
      </c>
      <c r="E23" s="38"/>
      <c r="F23" s="38"/>
      <c r="G23" s="38"/>
      <c r="H23" s="38"/>
      <c r="I23" s="38"/>
      <c r="J23" s="38"/>
      <c r="N23">
        <f>IF(M23&lt;51,M23/10,IF(M23&lt;66,(M23-49)+4,IF(M23&lt;82,(M23-61)*5,IF(M23&lt;122,(M23-71)*10,(M23-111)*50))))</f>
        <v>0</v>
      </c>
      <c r="O23" s="38">
        <f>IF(P23&gt;1,L23*N23,0)</f>
        <v>0</v>
      </c>
    </row>
    <row r="24" spans="1:49" x14ac:dyDescent="0.2">
      <c r="A24" s="37" t="s">
        <v>74</v>
      </c>
      <c r="B24" s="37" t="s">
        <v>493</v>
      </c>
      <c r="E24" s="38">
        <v>2</v>
      </c>
      <c r="F24" s="38" t="s">
        <v>2112</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2">
      <c r="A25" s="37" t="s">
        <v>73</v>
      </c>
      <c r="B25" s="37" t="s">
        <v>494</v>
      </c>
      <c r="C25">
        <f>3*4.4</f>
        <v>13.200000000000001</v>
      </c>
      <c r="E25" s="38">
        <v>3</v>
      </c>
      <c r="F25" s="38" t="s">
        <v>2232</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2">
      <c r="A26" s="37" t="s">
        <v>72</v>
      </c>
      <c r="B26" s="37" t="s">
        <v>495</v>
      </c>
      <c r="C26">
        <f>3*5.1</f>
        <v>15.299999999999999</v>
      </c>
      <c r="E26" s="38">
        <v>4</v>
      </c>
      <c r="F26" s="38" t="s">
        <v>2113</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2">
      <c r="A27" s="37" t="s">
        <v>75</v>
      </c>
      <c r="B27" s="37" t="s">
        <v>496</v>
      </c>
      <c r="C27">
        <f>3*4.7</f>
        <v>14.100000000000001</v>
      </c>
      <c r="E27" s="38">
        <v>5</v>
      </c>
      <c r="F27" s="38" t="s">
        <v>2224</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2">
      <c r="A28" s="37" t="s">
        <v>76</v>
      </c>
      <c r="B28" s="37" t="s">
        <v>497</v>
      </c>
      <c r="C28">
        <f>3*4.4</f>
        <v>13.200000000000001</v>
      </c>
      <c r="E28" s="38">
        <v>6</v>
      </c>
      <c r="F28" s="38" t="s">
        <v>2225</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2">
      <c r="A29" s="37" t="s">
        <v>77</v>
      </c>
      <c r="B29" s="37" t="s">
        <v>498</v>
      </c>
      <c r="C29">
        <f>3*4.3</f>
        <v>12.899999999999999</v>
      </c>
      <c r="E29" s="38">
        <v>7</v>
      </c>
      <c r="F29" s="38" t="s">
        <v>2226</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2">
      <c r="A30" s="37" t="s">
        <v>1905</v>
      </c>
      <c r="B30" s="37" t="s">
        <v>499</v>
      </c>
      <c r="C30">
        <f>3*4.2</f>
        <v>12.600000000000001</v>
      </c>
      <c r="E30" s="38">
        <v>8</v>
      </c>
      <c r="F30" s="38" t="s">
        <v>2233</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2">
      <c r="A31" s="37" t="s">
        <v>78</v>
      </c>
      <c r="B31" s="37" t="s">
        <v>500</v>
      </c>
      <c r="C31">
        <f>3*4.3</f>
        <v>12.899999999999999</v>
      </c>
      <c r="E31" s="38">
        <v>9</v>
      </c>
      <c r="F31" s="38" t="s">
        <v>2227</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2">
      <c r="A32" s="37" t="s">
        <v>79</v>
      </c>
      <c r="B32" s="37" t="s">
        <v>501</v>
      </c>
      <c r="C32">
        <f>3*4.3</f>
        <v>12.899999999999999</v>
      </c>
    </row>
    <row r="33" spans="1:3" x14ac:dyDescent="0.2">
      <c r="A33" s="37" t="s">
        <v>80</v>
      </c>
      <c r="B33" s="37" t="s">
        <v>502</v>
      </c>
      <c r="C33">
        <f>3*2.15</f>
        <v>6.4499999999999993</v>
      </c>
    </row>
    <row r="34" spans="1:3" x14ac:dyDescent="0.2">
      <c r="A34" s="37" t="s">
        <v>81</v>
      </c>
      <c r="B34" s="37" t="s">
        <v>503</v>
      </c>
    </row>
    <row r="35" spans="1:3" x14ac:dyDescent="0.2">
      <c r="A35" s="37" t="s">
        <v>82</v>
      </c>
      <c r="B35" s="37" t="s">
        <v>504</v>
      </c>
    </row>
    <row r="36" spans="1:3" x14ac:dyDescent="0.2">
      <c r="A36" s="37" t="s">
        <v>83</v>
      </c>
      <c r="B36" s="37" t="s">
        <v>505</v>
      </c>
    </row>
    <row r="37" spans="1:3" x14ac:dyDescent="0.2">
      <c r="A37" s="37" t="s">
        <v>84</v>
      </c>
      <c r="B37" s="37" t="s">
        <v>506</v>
      </c>
    </row>
    <row r="38" spans="1:3" x14ac:dyDescent="0.2">
      <c r="A38" s="37" t="s">
        <v>85</v>
      </c>
      <c r="B38" s="37" t="s">
        <v>507</v>
      </c>
    </row>
    <row r="39" spans="1:3" x14ac:dyDescent="0.2">
      <c r="A39" s="37" t="s">
        <v>86</v>
      </c>
      <c r="B39" s="37" t="s">
        <v>508</v>
      </c>
    </row>
    <row r="40" spans="1:3" x14ac:dyDescent="0.2">
      <c r="A40" s="37" t="s">
        <v>87</v>
      </c>
    </row>
    <row r="41" spans="1:3" x14ac:dyDescent="0.2">
      <c r="A41" s="37" t="s">
        <v>88</v>
      </c>
    </row>
    <row r="42" spans="1:3" x14ac:dyDescent="0.2">
      <c r="A42" s="37" t="s">
        <v>3006</v>
      </c>
    </row>
    <row r="43" spans="1:3" x14ac:dyDescent="0.2">
      <c r="A43" s="37" t="s">
        <v>89</v>
      </c>
    </row>
    <row r="44" spans="1:3" x14ac:dyDescent="0.2">
      <c r="A44" s="37" t="s">
        <v>3007</v>
      </c>
    </row>
    <row r="45" spans="1:3" x14ac:dyDescent="0.2">
      <c r="A45" s="37" t="s">
        <v>484</v>
      </c>
    </row>
    <row r="46" spans="1:3" x14ac:dyDescent="0.2">
      <c r="A46" s="37" t="s">
        <v>485</v>
      </c>
    </row>
    <row r="47" spans="1:3" x14ac:dyDescent="0.2">
      <c r="A47" s="37" t="s">
        <v>486</v>
      </c>
    </row>
    <row r="48" spans="1:3" x14ac:dyDescent="0.2">
      <c r="A48" s="37" t="s">
        <v>487</v>
      </c>
    </row>
    <row r="49" spans="1:1" x14ac:dyDescent="0.2">
      <c r="A49" s="37" t="s">
        <v>488</v>
      </c>
    </row>
    <row r="50" spans="1:1" x14ac:dyDescent="0.2">
      <c r="A50" s="37" t="s">
        <v>489</v>
      </c>
    </row>
    <row r="51" spans="1:1" x14ac:dyDescent="0.2">
      <c r="A51" s="37" t="s">
        <v>490</v>
      </c>
    </row>
    <row r="52" spans="1:1" x14ac:dyDescent="0.2">
      <c r="A52" s="37" t="s">
        <v>491</v>
      </c>
    </row>
    <row r="53" spans="1:1" x14ac:dyDescent="0.2">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581</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2">
      <c r="A15" s="442"/>
      <c r="B15" s="130" t="s">
        <v>4167</v>
      </c>
      <c r="C15" s="131"/>
      <c r="D15" s="131" t="s">
        <v>577</v>
      </c>
      <c r="E15" s="131" t="s">
        <v>942</v>
      </c>
      <c r="F15" s="132" t="s">
        <v>942</v>
      </c>
      <c r="G15" s="129" t="str">
        <f>IF(AND(TPN&lt;&gt;1,G16&lt;&gt;0,Gewicht/10&lt;=50),ROUND(ber_TPN!F8,0),"")</f>
        <v/>
      </c>
      <c r="H15" s="112"/>
    </row>
    <row r="16" spans="1:8" ht="20.100000000000001" customHeight="1" x14ac:dyDescent="0.2">
      <c r="A16" s="44"/>
      <c r="B16" s="130" t="s">
        <v>4168</v>
      </c>
      <c r="C16" s="131"/>
      <c r="D16" s="131" t="s">
        <v>1929</v>
      </c>
      <c r="E16" s="131" t="s">
        <v>578</v>
      </c>
      <c r="F16" s="132" t="s">
        <v>579</v>
      </c>
      <c r="G16" s="133" t="str">
        <f>IF(TPN&lt;&gt;1,ber_TPN!F4,"")</f>
        <v/>
      </c>
      <c r="H16" s="112"/>
    </row>
    <row r="17" spans="1:8" ht="20.100000000000001" customHeight="1" x14ac:dyDescent="0.2">
      <c r="A17" s="44"/>
      <c r="B17" s="130" t="s">
        <v>2989</v>
      </c>
      <c r="C17" s="131"/>
      <c r="D17" s="131" t="s">
        <v>580</v>
      </c>
      <c r="E17" s="131"/>
      <c r="F17" s="132"/>
      <c r="G17" s="133" t="str">
        <f>IF(AND(SSTglucose=2,TPN&lt;&gt;1,Gewicht/10&lt;=50),ROUND(ber_TPN!F6,0),"")</f>
        <v/>
      </c>
      <c r="H17" s="112"/>
    </row>
    <row r="18" spans="1:8" ht="20.100000000000001" customHeight="1" x14ac:dyDescent="0.2">
      <c r="A18" s="44"/>
      <c r="B18" s="130" t="s">
        <v>4169</v>
      </c>
      <c r="C18" s="131"/>
      <c r="D18" s="131"/>
      <c r="E18" s="131" t="s">
        <v>582</v>
      </c>
      <c r="F18" s="132"/>
      <c r="G18" s="133" t="str">
        <f>IF(AND(SSTglucose=3,TPN&lt;&gt;1,Gewicht/10&lt;=50),ROUND(ber_TPN!F6,0),"")</f>
        <v/>
      </c>
      <c r="H18" s="112"/>
    </row>
    <row r="19" spans="1:8" ht="20.100000000000001" customHeight="1" x14ac:dyDescent="0.2">
      <c r="A19" s="44"/>
      <c r="B19" s="130" t="s">
        <v>988</v>
      </c>
      <c r="C19" s="131"/>
      <c r="D19" s="131"/>
      <c r="E19" s="131"/>
      <c r="F19" s="132" t="s">
        <v>583</v>
      </c>
      <c r="G19" s="133" t="str">
        <f>IF(AND(SSTglucose=5,TPN&lt;&gt;1,Gewicht/10&lt;=50),ROUND(ber_TPN!F6,0),"")</f>
        <v/>
      </c>
      <c r="H19" s="112"/>
    </row>
    <row r="20" spans="1:8" ht="20.100000000000001" customHeight="1" x14ac:dyDescent="0.2">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2">
      <c r="A21" s="44"/>
      <c r="B21" s="54"/>
      <c r="C21" s="54"/>
      <c r="D21" s="54"/>
      <c r="E21" s="445" t="s">
        <v>2212</v>
      </c>
      <c r="F21" s="445"/>
      <c r="G21" s="113">
        <f>SUM(G14:G20)+IF(AND(Gewicht/10&gt;=16,Gewicht/10&lt;=50),ber_TPN!F5,0)</f>
        <v>0</v>
      </c>
      <c r="H21" s="112"/>
    </row>
    <row r="22" spans="1:8" ht="15.95" customHeight="1" x14ac:dyDescent="0.2">
      <c r="A22" s="44"/>
      <c r="B22" s="49"/>
      <c r="C22" s="49"/>
      <c r="D22" s="49"/>
      <c r="E22" s="49"/>
      <c r="F22" s="49"/>
      <c r="G22" s="49"/>
      <c r="H22" s="45"/>
    </row>
    <row r="23" spans="1:8" ht="20.100000000000001" customHeight="1" x14ac:dyDescent="0.2">
      <c r="A23" s="439" t="str">
        <f>IF(G26&gt;0,ROUND(G26/24,1)&amp;" ml/u","")</f>
        <v/>
      </c>
      <c r="B23" s="126" t="s">
        <v>2115</v>
      </c>
      <c r="C23" s="127"/>
      <c r="D23" s="127" t="s">
        <v>3970</v>
      </c>
      <c r="E23" s="127" t="s">
        <v>3971</v>
      </c>
      <c r="F23" s="128" t="s">
        <v>1929</v>
      </c>
      <c r="G23" s="129">
        <f>ROUND(ber_TPN!F13,0)</f>
        <v>0</v>
      </c>
      <c r="H23" s="50"/>
    </row>
    <row r="24" spans="1:8" ht="20.100000000000001" customHeight="1" x14ac:dyDescent="0.2">
      <c r="A24" s="440"/>
      <c r="B24" s="130" t="s">
        <v>2116</v>
      </c>
      <c r="C24" s="131"/>
      <c r="D24" s="131"/>
      <c r="E24" s="446" t="s">
        <v>2848</v>
      </c>
      <c r="F24" s="447"/>
      <c r="G24" s="133">
        <f>ROUND(ber_TPN!F14,0)</f>
        <v>0</v>
      </c>
      <c r="H24" s="45"/>
    </row>
    <row r="25" spans="1:8" ht="20.100000000000001" customHeight="1" x14ac:dyDescent="0.2">
      <c r="A25" s="44"/>
      <c r="B25" s="130"/>
      <c r="C25" s="131"/>
      <c r="D25" s="131"/>
      <c r="E25" s="446"/>
      <c r="F25" s="447"/>
      <c r="G25" s="133"/>
      <c r="H25" s="45"/>
    </row>
    <row r="26" spans="1:8" ht="15.95" customHeight="1" x14ac:dyDescent="0.2">
      <c r="A26" s="44"/>
      <c r="B26" s="110"/>
      <c r="C26" s="110"/>
      <c r="D26" s="110"/>
      <c r="E26" s="448" t="s">
        <v>2212</v>
      </c>
      <c r="F26" s="448"/>
      <c r="G26" s="115">
        <f>SUM(G23:G25)</f>
        <v>0</v>
      </c>
      <c r="H26" s="111"/>
    </row>
    <row r="27" spans="1:8" ht="15.95" customHeight="1" thickBot="1" x14ac:dyDescent="0.25">
      <c r="A27" s="44"/>
      <c r="B27" s="110"/>
      <c r="C27" s="110"/>
      <c r="D27" s="110"/>
      <c r="E27" s="110"/>
      <c r="F27" s="110"/>
      <c r="G27" s="49"/>
      <c r="H27" s="45"/>
    </row>
    <row r="28" spans="1:8" ht="15.95" customHeight="1" thickTop="1" x14ac:dyDescent="0.2">
      <c r="A28" s="51"/>
      <c r="B28" s="443" t="s">
        <v>1280</v>
      </c>
      <c r="C28" s="444"/>
      <c r="D28" s="444"/>
      <c r="E28" s="444"/>
      <c r="F28" s="444"/>
      <c r="G28" s="103"/>
      <c r="H28" s="52"/>
    </row>
    <row r="29" spans="1:8" ht="20.100000000000001" customHeight="1" x14ac:dyDescent="0.2">
      <c r="A29" s="439" t="str">
        <f>IF(G36&gt;0,ROUND(G36/24,1)&amp;" ml/u","")</f>
        <v/>
      </c>
      <c r="B29" s="137" t="s">
        <v>419</v>
      </c>
      <c r="C29" s="139"/>
      <c r="D29" s="139"/>
      <c r="E29" s="139"/>
      <c r="F29" s="140"/>
      <c r="G29" s="129">
        <f>IF(AND(OR(TPN=1,AND(TPN=2,SSTglucose&gt;10),Gewicht/10&gt;50)),ROUND(ber_TPN!F7,0),0)</f>
        <v>0</v>
      </c>
      <c r="H29" s="45"/>
    </row>
    <row r="30" spans="1:8" ht="20.100000000000001" customHeight="1" x14ac:dyDescent="0.2">
      <c r="A30" s="440"/>
      <c r="B30" s="138" t="s">
        <v>4170</v>
      </c>
      <c r="C30" s="141"/>
      <c r="D30" s="141"/>
      <c r="E30" s="141"/>
      <c r="F30" s="142"/>
      <c r="G30" s="133">
        <f>IF(AND(OR(TPN=1,AND(TPN=2,SSTglucose&gt;10),Gewicht/10&gt;50)),ROUND(ber_TPN!F8,0),0)</f>
        <v>0</v>
      </c>
      <c r="H30" s="45"/>
    </row>
    <row r="31" spans="1:8" ht="20.100000000000001" customHeight="1" x14ac:dyDescent="0.2">
      <c r="A31" s="44"/>
      <c r="B31" s="138" t="s">
        <v>4226</v>
      </c>
      <c r="C31" s="141"/>
      <c r="D31" s="141"/>
      <c r="E31" s="141"/>
      <c r="F31" s="142"/>
      <c r="G31" s="133">
        <f>ber_TPN!F9</f>
        <v>0</v>
      </c>
      <c r="H31" s="45"/>
    </row>
    <row r="32" spans="1:8" ht="20.100000000000001" customHeight="1" x14ac:dyDescent="0.2">
      <c r="A32" s="44"/>
      <c r="B32" s="138" t="s">
        <v>4227</v>
      </c>
      <c r="C32" s="141"/>
      <c r="D32" s="141"/>
      <c r="E32" s="141"/>
      <c r="F32" s="142"/>
      <c r="G32" s="133">
        <f>ber_TPN!F10</f>
        <v>0</v>
      </c>
      <c r="H32" s="45"/>
    </row>
    <row r="33" spans="1:8" ht="20.100000000000001" customHeight="1" x14ac:dyDescent="0.2">
      <c r="A33" s="44"/>
      <c r="B33" s="138" t="s">
        <v>2989</v>
      </c>
      <c r="C33" s="141"/>
      <c r="D33" s="141"/>
      <c r="E33" s="141"/>
      <c r="F33" s="142"/>
      <c r="G33" s="133">
        <f>IF(Gewicht/10&lt;=50,ber_TPN!F16,0)+IF(AND(SSTglucose=2,TPN=1,Gewicht/10&lt;=50),ROUND(ber_TPN!F6,0),0)</f>
        <v>0</v>
      </c>
      <c r="H33" s="45"/>
    </row>
    <row r="34" spans="1:8" ht="20.100000000000001" customHeight="1" x14ac:dyDescent="0.2">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2">
      <c r="A35" s="44"/>
      <c r="B35" s="137" t="s">
        <v>4171</v>
      </c>
      <c r="C35" s="139"/>
      <c r="D35" s="139"/>
      <c r="E35" s="139"/>
      <c r="F35" s="140"/>
      <c r="G35" s="133" t="str">
        <f>IF(AND(SSTglucose=11),ROUND(ber_TPN!F6,0),"")</f>
        <v/>
      </c>
      <c r="H35" s="45"/>
    </row>
    <row r="36" spans="1:8" ht="15.95" customHeight="1" x14ac:dyDescent="0.2">
      <c r="A36" s="44"/>
      <c r="B36" s="110"/>
      <c r="C36" s="110"/>
      <c r="D36" s="110"/>
      <c r="E36" s="448" t="s">
        <v>2214</v>
      </c>
      <c r="F36" s="448"/>
      <c r="G36" s="114">
        <f>SUM(G29:G35)</f>
        <v>0</v>
      </c>
      <c r="H36" s="45"/>
    </row>
    <row r="37" spans="1:8" ht="15.95" customHeight="1" thickBot="1" x14ac:dyDescent="0.25">
      <c r="A37" s="44"/>
      <c r="B37" s="110"/>
      <c r="C37" s="110"/>
      <c r="D37" s="110"/>
      <c r="E37" s="110"/>
      <c r="F37" s="110"/>
      <c r="G37" s="49"/>
      <c r="H37" s="45"/>
    </row>
    <row r="38" spans="1:8" ht="15.95" customHeight="1" thickTop="1" x14ac:dyDescent="0.2">
      <c r="A38" s="51"/>
      <c r="B38" s="449" t="s">
        <v>2447</v>
      </c>
      <c r="C38" s="450"/>
      <c r="D38" s="450"/>
      <c r="E38" s="450"/>
      <c r="F38" s="451"/>
      <c r="G38" s="52" t="s">
        <v>2448</v>
      </c>
      <c r="H38" s="52"/>
    </row>
    <row r="39" spans="1:8" ht="15.95" customHeight="1" x14ac:dyDescent="0.2">
      <c r="A39" s="53"/>
      <c r="B39" s="436" t="s">
        <v>2449</v>
      </c>
      <c r="C39" s="437"/>
      <c r="D39" s="437"/>
      <c r="E39" s="437"/>
      <c r="F39" s="438"/>
      <c r="G39" s="47" t="s">
        <v>2450</v>
      </c>
      <c r="H39" s="45"/>
    </row>
    <row r="40" spans="1:8" ht="15.95" customHeight="1" x14ac:dyDescent="0.2">
      <c r="A40" s="53"/>
      <c r="B40" s="436" t="s">
        <v>2451</v>
      </c>
      <c r="C40" s="437"/>
      <c r="D40" s="437"/>
      <c r="E40" s="437"/>
      <c r="F40" s="438"/>
      <c r="G40" s="47" t="s">
        <v>2448</v>
      </c>
      <c r="H40" s="48"/>
    </row>
    <row r="42" spans="1:8" x14ac:dyDescent="0.2">
      <c r="A42" s="11" t="s">
        <v>2452</v>
      </c>
    </row>
    <row r="43" spans="1:8" x14ac:dyDescent="0.2">
      <c r="A43" s="11" t="s">
        <v>2213</v>
      </c>
    </row>
    <row r="45" spans="1:8" x14ac:dyDescent="0.2">
      <c r="A45" s="11" t="s">
        <v>2453</v>
      </c>
    </row>
    <row r="47" spans="1:8" x14ac:dyDescent="0.2">
      <c r="A47" s="11" t="s">
        <v>922</v>
      </c>
    </row>
    <row r="49" spans="6:6" x14ac:dyDescent="0.2">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1214</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15" customHeight="1"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4173</v>
      </c>
      <c r="C16" s="131"/>
      <c r="D16" s="131" t="s">
        <v>3971</v>
      </c>
      <c r="E16" s="131" t="s">
        <v>4174</v>
      </c>
      <c r="F16" s="132" t="s">
        <v>578</v>
      </c>
      <c r="G16" s="133" t="str">
        <f>IF(TPN&lt;&gt;1,ber_TPN!F4,"")</f>
        <v/>
      </c>
      <c r="H16" s="45"/>
    </row>
    <row r="17" spans="1:8" ht="20.100000000000001" customHeight="1" x14ac:dyDescent="0.2">
      <c r="A17" s="44"/>
      <c r="B17" s="130" t="s">
        <v>2989</v>
      </c>
      <c r="C17" s="131"/>
      <c r="D17" s="131" t="s">
        <v>4175</v>
      </c>
      <c r="E17" s="131"/>
      <c r="F17" s="132"/>
      <c r="G17" s="133" t="str">
        <f>IF(AND(SSTglucose=2,TPN&lt;&gt;1),ROUND(ber_TPN!F6,0),"")</f>
        <v/>
      </c>
      <c r="H17" s="45"/>
    </row>
    <row r="18" spans="1:8" ht="20.100000000000001" customHeight="1" x14ac:dyDescent="0.2">
      <c r="A18" s="44"/>
      <c r="B18" s="130" t="s">
        <v>1038</v>
      </c>
      <c r="C18" s="131"/>
      <c r="D18" s="131"/>
      <c r="E18" s="131" t="s">
        <v>4176</v>
      </c>
      <c r="F18" s="132"/>
      <c r="G18" s="133" t="str">
        <f>IF(AND(SSTglucose=6,TPN&lt;&gt;1),ROUND(ber_TPN!F6,0),"")</f>
        <v/>
      </c>
      <c r="H18" s="45"/>
    </row>
    <row r="19" spans="1:8" ht="20.100000000000001" customHeight="1" x14ac:dyDescent="0.2">
      <c r="A19" s="44"/>
      <c r="B19" s="130" t="s">
        <v>4177</v>
      </c>
      <c r="C19" s="131"/>
      <c r="D19" s="131"/>
      <c r="E19" s="131"/>
      <c r="F19" s="132" t="s">
        <v>4178</v>
      </c>
      <c r="G19" s="133" t="str">
        <f>IF(AND(SSTglucose=8,TPN&lt;&gt;1,Gewicht/10&lt;=10),ROUND(ber_TPN!F6,0),"")</f>
        <v/>
      </c>
      <c r="H19" s="45"/>
    </row>
    <row r="20" spans="1:8" ht="20.100000000000001" customHeight="1" x14ac:dyDescent="0.2">
      <c r="A20" s="44"/>
      <c r="B20" s="130" t="s">
        <v>4179</v>
      </c>
      <c r="C20" s="131"/>
      <c r="D20" s="131"/>
      <c r="E20" s="131"/>
      <c r="F20" s="132" t="s">
        <v>4180</v>
      </c>
      <c r="G20" s="133" t="str">
        <f>IF(AND(SSTglucose=8,TPN&lt;&gt;1,Gewicht/10&gt;10),ROUND(ber_TPN!F6,0),"")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54"/>
      <c r="C22" s="54"/>
      <c r="D22" s="54"/>
      <c r="E22" s="445" t="s">
        <v>2212</v>
      </c>
      <c r="F22" s="445"/>
      <c r="G22" s="113">
        <f>SUM(G14:G21)</f>
        <v>0</v>
      </c>
      <c r="H22" s="111"/>
    </row>
    <row r="23" spans="1:8" ht="10.5" customHeight="1" x14ac:dyDescent="0.2">
      <c r="A23" s="44"/>
      <c r="B23" s="49"/>
      <c r="C23" s="49"/>
      <c r="D23" s="49"/>
      <c r="E23" s="49"/>
      <c r="F23" s="49"/>
      <c r="G23" s="49"/>
      <c r="H23" s="45"/>
    </row>
    <row r="24" spans="1:8" ht="20.100000000000001" customHeight="1" x14ac:dyDescent="0.2">
      <c r="A24" s="439" t="str">
        <f>IF(G27&gt;0,ROUND(G27/24,1)&amp;" ml/u","")</f>
        <v/>
      </c>
      <c r="B24" s="126" t="s">
        <v>2115</v>
      </c>
      <c r="C24" s="127"/>
      <c r="D24" s="127" t="s">
        <v>3970</v>
      </c>
      <c r="E24" s="127" t="s">
        <v>3971</v>
      </c>
      <c r="F24" s="128" t="s">
        <v>1929</v>
      </c>
      <c r="G24" s="129">
        <f>ROUND(ber_TPN!F13,0)</f>
        <v>0</v>
      </c>
      <c r="H24" s="50"/>
    </row>
    <row r="25" spans="1:8" ht="20.100000000000001" customHeight="1" x14ac:dyDescent="0.2">
      <c r="A25" s="440"/>
      <c r="B25" s="130" t="s">
        <v>2116</v>
      </c>
      <c r="C25" s="131"/>
      <c r="D25" s="131"/>
      <c r="E25" s="463" t="s">
        <v>3761</v>
      </c>
      <c r="F25" s="464"/>
      <c r="G25" s="129">
        <f>ROUND(ber_TPN!F14,0)</f>
        <v>0</v>
      </c>
      <c r="H25" s="45"/>
    </row>
    <row r="26" spans="1:8" ht="20.100000000000001" customHeight="1" x14ac:dyDescent="0.2">
      <c r="A26" s="44"/>
      <c r="B26" s="130" t="s">
        <v>2192</v>
      </c>
      <c r="C26" s="131"/>
      <c r="D26" s="131"/>
      <c r="E26" s="463" t="s">
        <v>3761</v>
      </c>
      <c r="F26" s="464"/>
      <c r="G26" s="129">
        <f>ROUND(ber_TPN!F15,0)</f>
        <v>0</v>
      </c>
      <c r="H26" s="45"/>
    </row>
    <row r="27" spans="1:8" ht="15.95" customHeight="1" x14ac:dyDescent="0.2">
      <c r="A27" s="44"/>
      <c r="B27" s="49"/>
      <c r="C27" s="49"/>
      <c r="D27" s="49"/>
      <c r="E27" s="445" t="s">
        <v>2212</v>
      </c>
      <c r="F27" s="445"/>
      <c r="G27" s="115">
        <f>SUM(G24:G26)</f>
        <v>0</v>
      </c>
      <c r="H27" s="111"/>
    </row>
    <row r="28" spans="1:8" ht="10.5" customHeight="1" thickBot="1" x14ac:dyDescent="0.25">
      <c r="A28" s="44"/>
      <c r="B28" s="49"/>
      <c r="C28" s="49"/>
      <c r="D28" s="49"/>
      <c r="E28" s="49"/>
      <c r="F28" s="49"/>
      <c r="G28" s="49"/>
      <c r="H28" s="45"/>
    </row>
    <row r="29" spans="1:8" ht="15.95" customHeight="1" thickTop="1" x14ac:dyDescent="0.2">
      <c r="A29" s="51"/>
      <c r="B29" s="461" t="s">
        <v>1280</v>
      </c>
      <c r="C29" s="462"/>
      <c r="D29" s="462"/>
      <c r="E29" s="462"/>
      <c r="F29" s="462"/>
      <c r="G29" s="103"/>
      <c r="H29" s="52"/>
    </row>
    <row r="30" spans="1:8" ht="20.100000000000001" customHeight="1" x14ac:dyDescent="0.2">
      <c r="A30" s="439" t="str">
        <f>IF(G33&gt;0,ROUND(G39/24,1)&amp;" ml/u","")</f>
        <v/>
      </c>
      <c r="B30" s="137" t="s">
        <v>419</v>
      </c>
      <c r="C30" s="139"/>
      <c r="D30" s="139"/>
      <c r="E30" s="139"/>
      <c r="F30" s="143"/>
      <c r="G30" s="144">
        <f>IF(AND(OR(TPN=1,AND(TPN=2,SSTglucose&gt;10))),ROUND(ber_TPN!F7,0),0)</f>
        <v>0</v>
      </c>
      <c r="H30" s="45"/>
    </row>
    <row r="31" spans="1:8" ht="20.100000000000001" customHeight="1" x14ac:dyDescent="0.2">
      <c r="A31" s="440"/>
      <c r="B31" s="138" t="s">
        <v>4170</v>
      </c>
      <c r="C31" s="141"/>
      <c r="D31" s="141"/>
      <c r="E31" s="141"/>
      <c r="F31" s="145"/>
      <c r="G31" s="146">
        <f>IF(AND(OR(TPN=1,AND(TPN=2,SSTglucose&gt;10))),ROUND(ber_TPN!F8,0),0)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2">
      <c r="A36" s="44"/>
      <c r="B36" s="471" t="s">
        <v>4171</v>
      </c>
      <c r="C36" s="472"/>
      <c r="D36" s="472"/>
      <c r="E36" s="472"/>
      <c r="F36" s="145"/>
      <c r="G36" s="146" t="str">
        <f>IF(OR(SSTglucose=11),ROUND(ber_TPN!F6,0),"")</f>
        <v/>
      </c>
      <c r="H36" s="45"/>
    </row>
    <row r="37" spans="1:8" ht="20.100000000000001" customHeight="1" x14ac:dyDescent="0.2">
      <c r="A37" s="44"/>
      <c r="B37" s="471" t="s">
        <v>420</v>
      </c>
      <c r="C37" s="472"/>
      <c r="D37" s="472"/>
      <c r="E37" s="472"/>
      <c r="F37" s="145"/>
      <c r="G37" s="146" t="str">
        <f>IF(AND(SSTglucose=12),ROUND(ber_TPN!F6,0),"")</f>
        <v/>
      </c>
      <c r="H37" s="45"/>
    </row>
    <row r="38" spans="1:8" ht="20.100000000000001" customHeight="1" x14ac:dyDescent="0.2">
      <c r="A38" s="44"/>
      <c r="B38" s="471" t="s">
        <v>421</v>
      </c>
      <c r="C38" s="472"/>
      <c r="D38" s="472"/>
      <c r="E38" s="472"/>
      <c r="F38" s="143"/>
      <c r="G38" s="146" t="str">
        <f>IF(AND(SSTglucose=13),ROUND(ber_TPN!F6,0),"")</f>
        <v/>
      </c>
      <c r="H38" s="45"/>
    </row>
    <row r="39" spans="1:8" ht="15.95" customHeight="1" x14ac:dyDescent="0.2">
      <c r="A39" s="44"/>
      <c r="B39" s="49"/>
      <c r="C39" s="49"/>
      <c r="D39" s="49"/>
      <c r="E39" s="445" t="s">
        <v>2214</v>
      </c>
      <c r="F39" s="445"/>
      <c r="G39" s="114">
        <f>SUM(G30:G38)</f>
        <v>0</v>
      </c>
      <c r="H39" s="45"/>
    </row>
    <row r="40" spans="1:8" ht="10.5" customHeight="1" thickBot="1" x14ac:dyDescent="0.25">
      <c r="A40" s="44"/>
      <c r="B40" s="49"/>
      <c r="C40" s="49"/>
      <c r="D40" s="49"/>
      <c r="E40" s="49"/>
      <c r="F40" s="49"/>
      <c r="G40" s="49"/>
      <c r="H40" s="45"/>
    </row>
    <row r="41" spans="1:8" ht="15.95" customHeight="1" thickTop="1" x14ac:dyDescent="0.2">
      <c r="A41" s="51"/>
      <c r="B41" s="465" t="s">
        <v>2447</v>
      </c>
      <c r="C41" s="466"/>
      <c r="D41" s="466"/>
      <c r="E41" s="466"/>
      <c r="F41" s="467"/>
      <c r="G41" s="52" t="s">
        <v>2448</v>
      </c>
      <c r="H41" s="52"/>
    </row>
    <row r="42" spans="1:8" ht="15.95" customHeight="1" x14ac:dyDescent="0.2">
      <c r="A42" s="53"/>
      <c r="B42" s="468" t="s">
        <v>2449</v>
      </c>
      <c r="C42" s="469"/>
      <c r="D42" s="469"/>
      <c r="E42" s="469"/>
      <c r="F42" s="470"/>
      <c r="G42" s="47" t="s">
        <v>2450</v>
      </c>
      <c r="H42" s="45"/>
    </row>
    <row r="43" spans="1:8" ht="15.95" customHeight="1" x14ac:dyDescent="0.2">
      <c r="A43" s="53"/>
      <c r="B43" s="468" t="s">
        <v>2451</v>
      </c>
      <c r="C43" s="469"/>
      <c r="D43" s="469"/>
      <c r="E43" s="469"/>
      <c r="F43" s="470"/>
      <c r="G43" s="47" t="s">
        <v>2448</v>
      </c>
      <c r="H43" s="48"/>
    </row>
    <row r="45" spans="1:8" x14ac:dyDescent="0.2">
      <c r="A45" s="11" t="s">
        <v>2452</v>
      </c>
    </row>
    <row r="46" spans="1:8" x14ac:dyDescent="0.2">
      <c r="A46"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1215</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
        <v>3564</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4181</v>
      </c>
      <c r="C16" s="131"/>
      <c r="D16" s="131" t="s">
        <v>3971</v>
      </c>
      <c r="E16" s="131" t="s">
        <v>1929</v>
      </c>
      <c r="F16" s="132" t="s">
        <v>4174</v>
      </c>
      <c r="G16" s="133" t="str">
        <f>IF(TPN&lt;&gt;1,ber_TPN!F4,"")</f>
        <v/>
      </c>
      <c r="H16" s="45"/>
    </row>
    <row r="17" spans="1:8" ht="20.100000000000001" customHeight="1" x14ac:dyDescent="0.2">
      <c r="A17" s="44"/>
      <c r="B17" s="130" t="s">
        <v>3063</v>
      </c>
      <c r="C17" s="131"/>
      <c r="D17" s="131"/>
      <c r="E17" s="463" t="s">
        <v>1367</v>
      </c>
      <c r="F17" s="464"/>
      <c r="G17" s="133">
        <f>ROUND(ber_TPN!F5,0)</f>
        <v>0</v>
      </c>
      <c r="H17" s="45"/>
    </row>
    <row r="18" spans="1:8" ht="20.100000000000001" customHeight="1" x14ac:dyDescent="0.2">
      <c r="A18" s="44"/>
      <c r="B18" s="130" t="s">
        <v>2989</v>
      </c>
      <c r="C18" s="131"/>
      <c r="D18" s="131" t="s">
        <v>1368</v>
      </c>
      <c r="E18" s="131"/>
      <c r="F18" s="132"/>
      <c r="G18" s="133" t="str">
        <f>IF(AND(SSTglucose=2,TPN&lt;&gt;1),ROUND(ber_TPN!F6,0),"")</f>
        <v/>
      </c>
      <c r="H18" s="45"/>
    </row>
    <row r="19" spans="1:8" ht="20.100000000000001" customHeight="1" x14ac:dyDescent="0.2">
      <c r="A19" s="44"/>
      <c r="B19" s="130" t="s">
        <v>1038</v>
      </c>
      <c r="C19" s="131"/>
      <c r="D19" s="131"/>
      <c r="E19" s="131" t="s">
        <v>1369</v>
      </c>
      <c r="F19" s="132"/>
      <c r="G19" s="133" t="str">
        <f>IF(AND(SSTglucose=6,TPN&lt;&gt;1),ROUND(ber_TPN!F6,0),"")</f>
        <v/>
      </c>
      <c r="H19" s="45"/>
    </row>
    <row r="20" spans="1:8" ht="20.100000000000001" customHeight="1" x14ac:dyDescent="0.2">
      <c r="A20" s="44"/>
      <c r="B20" s="130" t="s">
        <v>2210</v>
      </c>
      <c r="C20" s="131"/>
      <c r="D20" s="131"/>
      <c r="E20" s="131"/>
      <c r="F20" s="132" t="s">
        <v>1370</v>
      </c>
      <c r="G20" s="133" t="str">
        <f>IF(AND(SSTglucose=8,TPN&lt;&gt;1),ROUND(ber_TPN!F6,0),"")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116"/>
      <c r="C22" s="116"/>
      <c r="D22" s="116"/>
      <c r="E22" s="448" t="s">
        <v>2212</v>
      </c>
      <c r="F22" s="448"/>
      <c r="G22" s="113">
        <f>SUM(G14:G21)</f>
        <v>0</v>
      </c>
      <c r="H22" s="111"/>
    </row>
    <row r="23" spans="1:8" ht="10.5" customHeight="1" x14ac:dyDescent="0.2">
      <c r="A23" s="44"/>
      <c r="B23" s="110"/>
      <c r="C23" s="110"/>
      <c r="D23" s="110"/>
      <c r="E23" s="110"/>
      <c r="F23" s="110"/>
      <c r="G23" s="49"/>
      <c r="H23" s="45"/>
    </row>
    <row r="24" spans="1:8" ht="20.100000000000001" customHeight="1" x14ac:dyDescent="0.2">
      <c r="A24" s="441" t="str">
        <f>IF(TPN&lt;&gt;1,ROUND(G27/24,1)&amp;" ml/u","")</f>
        <v/>
      </c>
      <c r="B24" s="126" t="s">
        <v>2115</v>
      </c>
      <c r="C24" s="127"/>
      <c r="D24" s="127" t="s">
        <v>3970</v>
      </c>
      <c r="E24" s="127" t="s">
        <v>3971</v>
      </c>
      <c r="F24" s="128" t="s">
        <v>1929</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43" t="s">
        <v>1280</v>
      </c>
      <c r="C29" s="444"/>
      <c r="D29" s="444"/>
      <c r="E29" s="444"/>
      <c r="F29" s="444"/>
      <c r="G29" s="103"/>
      <c r="H29" s="52"/>
    </row>
    <row r="30" spans="1:8" ht="20.100000000000001" customHeight="1" x14ac:dyDescent="0.2">
      <c r="A30" s="441" t="str">
        <f>ROUND(G38/24,1)&amp;" ml/u"</f>
        <v>0 ml/u</v>
      </c>
      <c r="B30" s="137" t="s">
        <v>419</v>
      </c>
      <c r="C30" s="139"/>
      <c r="D30" s="139"/>
      <c r="E30" s="139"/>
      <c r="F30" s="140"/>
      <c r="G30" s="144">
        <f>IF(AND(OR(TPN=1,AND(TPN=2,SSTglucose&gt;10))),ROUND(ber_TPN!F7,0),"")</f>
        <v>0</v>
      </c>
      <c r="H30" s="45"/>
    </row>
    <row r="31" spans="1:8" ht="20.100000000000001" customHeight="1" x14ac:dyDescent="0.2">
      <c r="A31" s="442"/>
      <c r="B31" s="138" t="s">
        <v>4170</v>
      </c>
      <c r="C31" s="141"/>
      <c r="D31" s="141"/>
      <c r="E31" s="141"/>
      <c r="F31" s="142"/>
      <c r="G31" s="146">
        <f>IF(AND(OR(TPN=1,AND(TPN=2,SSTglucose&gt;10))),ROUND(ber_TPN!F8,0),"")</f>
        <v>0</v>
      </c>
      <c r="H31" s="45"/>
    </row>
    <row r="32" spans="1:8" ht="20.100000000000001" customHeight="1" x14ac:dyDescent="0.2">
      <c r="A32" s="108"/>
      <c r="B32" s="138" t="s">
        <v>4226</v>
      </c>
      <c r="C32" s="141"/>
      <c r="D32" s="141"/>
      <c r="E32" s="141"/>
      <c r="F32" s="142"/>
      <c r="G32" s="146">
        <f>ber_TPN!F9</f>
        <v>0</v>
      </c>
      <c r="H32" s="45"/>
    </row>
    <row r="33" spans="1:8" ht="20.100000000000001" customHeight="1" x14ac:dyDescent="0.2">
      <c r="A33" s="108"/>
      <c r="B33" s="138" t="s">
        <v>4227</v>
      </c>
      <c r="C33" s="141"/>
      <c r="D33" s="141"/>
      <c r="E33" s="141"/>
      <c r="F33" s="142"/>
      <c r="G33" s="146">
        <f>ber_TPN!F10</f>
        <v>0</v>
      </c>
      <c r="H33" s="45"/>
    </row>
    <row r="34" spans="1:8" ht="20.100000000000001" customHeight="1" x14ac:dyDescent="0.2">
      <c r="A34" s="108"/>
      <c r="B34" s="138" t="s">
        <v>2989</v>
      </c>
      <c r="C34" s="141"/>
      <c r="D34" s="141"/>
      <c r="E34" s="141"/>
      <c r="F34" s="142"/>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2">
      <c r="A36" s="108"/>
      <c r="B36" s="471" t="s">
        <v>420</v>
      </c>
      <c r="C36" s="472"/>
      <c r="D36" s="472"/>
      <c r="E36" s="472"/>
      <c r="F36" s="142"/>
      <c r="G36" s="146" t="str">
        <f>IF(AND(SSTglucose=12),ROUND(ber_TPN!F6,0),"")</f>
        <v/>
      </c>
      <c r="H36" s="45"/>
    </row>
    <row r="37" spans="1:8" ht="20.100000000000001" customHeight="1" x14ac:dyDescent="0.2">
      <c r="A37" s="44"/>
      <c r="B37" s="471" t="s">
        <v>421</v>
      </c>
      <c r="C37" s="472"/>
      <c r="D37" s="472"/>
      <c r="E37" s="472"/>
      <c r="F37" s="142"/>
      <c r="G37" s="146" t="str">
        <f>IF(AND(SSTglucose=13),ROUND(ber_TPN!F6,0),"")</f>
        <v/>
      </c>
      <c r="H37" s="45"/>
    </row>
    <row r="38" spans="1:8" ht="15.95" customHeight="1" x14ac:dyDescent="0.2">
      <c r="A38" s="44"/>
      <c r="B38" s="110"/>
      <c r="C38" s="110"/>
      <c r="D38" s="110"/>
      <c r="E38" s="448" t="s">
        <v>2214</v>
      </c>
      <c r="F38" s="448"/>
      <c r="G38" s="114">
        <f>SUM(G30:G37)</f>
        <v>0</v>
      </c>
      <c r="H38" s="45"/>
    </row>
    <row r="39" spans="1:8" ht="15.95" customHeight="1" thickBot="1" x14ac:dyDescent="0.25">
      <c r="A39" s="44"/>
      <c r="B39" s="110"/>
      <c r="C39" s="110"/>
      <c r="D39" s="110"/>
      <c r="E39" s="110"/>
      <c r="F39" s="110"/>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6" spans="1:8" x14ac:dyDescent="0.2">
      <c r="A46" s="11" t="s">
        <v>2453</v>
      </c>
    </row>
    <row r="48" spans="1:8" x14ac:dyDescent="0.2">
      <c r="A48" s="11" t="s">
        <v>922</v>
      </c>
    </row>
    <row r="50" spans="6:6" x14ac:dyDescent="0.2">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1216</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
        <v>3563</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441"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2">
      <c r="A14" s="442"/>
      <c r="B14" s="130" t="s">
        <v>4167</v>
      </c>
      <c r="C14" s="131"/>
      <c r="D14" s="131" t="s">
        <v>4172</v>
      </c>
      <c r="E14" s="131" t="s">
        <v>577</v>
      </c>
      <c r="F14" s="132" t="s">
        <v>577</v>
      </c>
      <c r="G14" s="129" t="str">
        <f>IF(AND(TPN&lt;&gt;1,G15&lt;&gt;0),ROUND(ber_TPN!F8,0),"")</f>
        <v/>
      </c>
      <c r="H14" s="45"/>
    </row>
    <row r="15" spans="1:8" ht="20.100000000000001" customHeight="1" x14ac:dyDescent="0.2">
      <c r="A15" s="44"/>
      <c r="B15" s="130" t="s">
        <v>1371</v>
      </c>
      <c r="C15" s="131"/>
      <c r="D15" s="131" t="s">
        <v>3970</v>
      </c>
      <c r="E15" s="131" t="s">
        <v>1372</v>
      </c>
      <c r="F15" s="132" t="s">
        <v>1377</v>
      </c>
      <c r="G15" s="133" t="str">
        <f>IF(TPN&lt;&gt;1,ber_TPN!F4,"")</f>
        <v/>
      </c>
      <c r="H15" s="45"/>
    </row>
    <row r="16" spans="1:8" ht="20.100000000000001" customHeight="1" x14ac:dyDescent="0.2">
      <c r="A16" s="44"/>
      <c r="B16" s="130" t="s">
        <v>3063</v>
      </c>
      <c r="C16" s="131"/>
      <c r="D16" s="131"/>
      <c r="E16" s="463" t="s">
        <v>1367</v>
      </c>
      <c r="F16" s="464"/>
      <c r="G16" s="133" t="str">
        <f>IF(AND(SSTglucose&lt;11,TPN&lt;&gt;1),ROUND(ber_TPN!F5,0),"")</f>
        <v/>
      </c>
      <c r="H16" s="45"/>
    </row>
    <row r="17" spans="1:8" ht="20.100000000000001" customHeight="1" x14ac:dyDescent="0.2">
      <c r="A17" s="44"/>
      <c r="B17" s="130" t="s">
        <v>2989</v>
      </c>
      <c r="C17" s="131"/>
      <c r="D17" s="131" t="s">
        <v>1373</v>
      </c>
      <c r="E17" s="131"/>
      <c r="F17" s="132"/>
      <c r="G17" s="133" t="str">
        <f>IF(AND(SSTglucose=2,TPN&lt;&gt;1),ROUND(ber_TPN!F6,0),"")</f>
        <v/>
      </c>
      <c r="H17" s="45"/>
    </row>
    <row r="18" spans="1:8" ht="20.100000000000001" customHeight="1" x14ac:dyDescent="0.2">
      <c r="A18" s="44"/>
      <c r="B18" s="130" t="s">
        <v>1038</v>
      </c>
      <c r="C18" s="131"/>
      <c r="D18" s="131"/>
      <c r="E18" s="131" t="s">
        <v>1374</v>
      </c>
      <c r="F18" s="132"/>
      <c r="G18" s="133" t="str">
        <f>IF(AND(SSTglucose=6,TPN&lt;&gt;1),ROUND(ber_TPN!F6,0),"")</f>
        <v/>
      </c>
      <c r="H18" s="45"/>
    </row>
    <row r="19" spans="1:8" ht="20.100000000000001" customHeight="1" x14ac:dyDescent="0.2">
      <c r="A19" s="44"/>
      <c r="B19" s="130" t="s">
        <v>1375</v>
      </c>
      <c r="C19" s="131" t="s">
        <v>2234</v>
      </c>
      <c r="D19" s="131"/>
      <c r="E19" s="131"/>
      <c r="F19" s="132" t="s">
        <v>4180</v>
      </c>
      <c r="G19" s="133" t="str">
        <f>IF(AND(SSTglucose=7,TPN&lt;&gt;1),ROUND(ber_TPN!F6,0),"")</f>
        <v/>
      </c>
      <c r="H19" s="45"/>
    </row>
    <row r="20" spans="1:8" ht="20.100000000000001" customHeight="1" x14ac:dyDescent="0.2">
      <c r="A20" s="44"/>
      <c r="B20" s="130" t="s">
        <v>1376</v>
      </c>
      <c r="C20" s="131"/>
      <c r="D20" s="131"/>
      <c r="E20" s="131"/>
      <c r="F20" s="132" t="s">
        <v>4174</v>
      </c>
      <c r="G20" s="133" t="str">
        <f>IF(AND(SSTglucose=9,TPN&lt;&gt;1),ROUND(ber_TPN!F6,0),"")</f>
        <v/>
      </c>
      <c r="H20" s="45"/>
    </row>
    <row r="21" spans="1:8" ht="20.100000000000001" customHeight="1" x14ac:dyDescent="0.2">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2">
      <c r="A22" s="44"/>
      <c r="B22" s="116"/>
      <c r="C22" s="116"/>
      <c r="D22" s="116"/>
      <c r="E22" s="448" t="s">
        <v>2212</v>
      </c>
      <c r="F22" s="448"/>
      <c r="G22" s="113">
        <f>SUM(G13:G21)</f>
        <v>0</v>
      </c>
      <c r="H22" s="111"/>
    </row>
    <row r="23" spans="1:8" ht="10.5" customHeight="1" x14ac:dyDescent="0.2">
      <c r="A23" s="44"/>
      <c r="B23" s="110"/>
      <c r="C23" s="110"/>
      <c r="D23" s="110"/>
      <c r="E23" s="110"/>
      <c r="F23" s="110"/>
      <c r="G23" s="49"/>
      <c r="H23" s="45"/>
    </row>
    <row r="24" spans="1:8" ht="20.100000000000001" customHeight="1" x14ac:dyDescent="0.2">
      <c r="A24" s="441" t="str">
        <f>IF(G27&lt;&gt;0,ROUND(G27/24,1)&amp;" ml/u","")</f>
        <v/>
      </c>
      <c r="B24" s="126" t="s">
        <v>2115</v>
      </c>
      <c r="C24" s="127"/>
      <c r="D24" s="127" t="s">
        <v>3562</v>
      </c>
      <c r="E24" s="127" t="s">
        <v>1928</v>
      </c>
      <c r="F24" s="128" t="s">
        <v>3971</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61" t="s">
        <v>1280</v>
      </c>
      <c r="C29" s="462"/>
      <c r="D29" s="462"/>
      <c r="E29" s="462"/>
      <c r="F29" s="462"/>
      <c r="G29" s="103"/>
      <c r="H29" s="52"/>
    </row>
    <row r="30" spans="1:8" ht="20.100000000000001" customHeight="1" x14ac:dyDescent="0.2">
      <c r="A30" s="441" t="str">
        <f>IF(G38&lt;&gt;0,ROUND(G38/24,1)&amp;" ml/u","")</f>
        <v/>
      </c>
      <c r="B30" s="137" t="s">
        <v>419</v>
      </c>
      <c r="C30" s="139"/>
      <c r="D30" s="139"/>
      <c r="E30" s="139"/>
      <c r="F30" s="143"/>
      <c r="G30" s="144">
        <f>IF(AND(OR(TPN=1,AND(TPN=2,SSTglucose&gt;10))),ROUND(ber_TPN!F7,0),"")</f>
        <v>0</v>
      </c>
      <c r="H30" s="45"/>
    </row>
    <row r="31" spans="1:8" ht="20.100000000000001" customHeight="1" x14ac:dyDescent="0.2">
      <c r="A31" s="442"/>
      <c r="B31" s="138" t="s">
        <v>4170</v>
      </c>
      <c r="C31" s="141"/>
      <c r="D31" s="141"/>
      <c r="E31" s="141"/>
      <c r="F31" s="145"/>
      <c r="G31" s="146">
        <f>IF(AND(OR(TPN=1,AND(TPN=2,SSTglucose&gt;10))),ROUND(ber_TPN!F8,0),"")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2">
      <c r="A36" s="108"/>
      <c r="B36" s="471" t="s">
        <v>420</v>
      </c>
      <c r="C36" s="472"/>
      <c r="D36" s="472"/>
      <c r="E36" s="472"/>
      <c r="F36" s="145"/>
      <c r="G36" s="146" t="str">
        <f>IF(AND(SSTglucose=12),ROUND(ber_TPN!F6,0),"")</f>
        <v/>
      </c>
      <c r="H36" s="45"/>
    </row>
    <row r="37" spans="1:8" ht="20.100000000000001" customHeight="1" x14ac:dyDescent="0.2">
      <c r="A37" s="44"/>
      <c r="B37" s="471" t="s">
        <v>421</v>
      </c>
      <c r="C37" s="472"/>
      <c r="D37" s="472"/>
      <c r="E37" s="472"/>
      <c r="F37" s="145"/>
      <c r="G37" s="146" t="str">
        <f>IF(AND(SSTglucose=13),ROUND(ber_TPN!F6,0),"")</f>
        <v/>
      </c>
      <c r="H37" s="45"/>
    </row>
    <row r="38" spans="1:8" ht="15.95" customHeight="1" x14ac:dyDescent="0.2">
      <c r="A38" s="44"/>
      <c r="B38" s="49"/>
      <c r="C38" s="49"/>
      <c r="D38" s="49"/>
      <c r="E38" s="445" t="s">
        <v>2214</v>
      </c>
      <c r="F38" s="445"/>
      <c r="G38" s="114">
        <f>SUM(G30:G37)</f>
        <v>0</v>
      </c>
      <c r="H38" s="45"/>
    </row>
    <row r="39" spans="1:8" ht="10.5" customHeight="1" thickBot="1" x14ac:dyDescent="0.25">
      <c r="A39" s="44"/>
      <c r="B39" s="49"/>
      <c r="C39" s="49"/>
      <c r="D39" s="49"/>
      <c r="E39" s="49"/>
      <c r="F39" s="49"/>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3920</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tr">
        <f>IF(Gewicht/10&lt;7,"Tot. hoev. vocht* (150 ml/kg/24 uur):","Tot. hoev. vocht* (110-90 ml/kg/24 uur):")</f>
        <v>Tot. hoev. vocht* (110-90 ml/kg/24 uur):</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2">
      <c r="A14" s="160"/>
      <c r="B14" s="130"/>
      <c r="C14" s="131"/>
      <c r="D14" s="131"/>
      <c r="E14" s="131"/>
      <c r="F14" s="132"/>
      <c r="G14" s="133"/>
      <c r="H14" s="45"/>
    </row>
    <row r="15" spans="1:8" ht="20.100000000000001" customHeight="1" x14ac:dyDescent="0.2">
      <c r="A15" s="44"/>
      <c r="B15" s="162"/>
      <c r="C15" s="162"/>
      <c r="D15" s="162"/>
      <c r="E15" s="162"/>
      <c r="F15" s="162" t="s">
        <v>2214</v>
      </c>
      <c r="G15" s="163">
        <f>SUM(G13:G14)</f>
        <v>0</v>
      </c>
      <c r="H15" s="45"/>
    </row>
    <row r="16" spans="1:8" ht="20.100000000000001" customHeight="1" x14ac:dyDescent="0.2">
      <c r="A16" s="44"/>
      <c r="B16" s="131"/>
      <c r="C16" s="131"/>
      <c r="D16" s="131"/>
      <c r="E16" s="131"/>
      <c r="F16" s="131"/>
      <c r="G16" s="161"/>
      <c r="H16" s="45"/>
    </row>
    <row r="17" spans="1:8" ht="20.100000000000001" customHeight="1" x14ac:dyDescent="0.2">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2">
      <c r="A18" s="44"/>
      <c r="B18" s="130" t="s">
        <v>2989</v>
      </c>
      <c r="C18" s="131"/>
      <c r="D18" s="131"/>
      <c r="E18" s="131"/>
      <c r="F18" s="132" t="s">
        <v>912</v>
      </c>
      <c r="G18" s="133">
        <f>IF(G17&gt;0,100,0)</f>
        <v>0</v>
      </c>
      <c r="H18" s="45"/>
    </row>
    <row r="19" spans="1:8" ht="20.100000000000001" customHeight="1" x14ac:dyDescent="0.2">
      <c r="A19" s="44"/>
      <c r="B19" s="116"/>
      <c r="C19" s="116"/>
      <c r="D19" s="116"/>
      <c r="E19" s="448" t="s">
        <v>2212</v>
      </c>
      <c r="F19" s="448"/>
      <c r="G19" s="113">
        <f>SUM(G17:G18)</f>
        <v>0</v>
      </c>
      <c r="H19" s="45"/>
    </row>
    <row r="20" spans="1:8" ht="20.100000000000001" customHeight="1" x14ac:dyDescent="0.2">
      <c r="A20" s="44"/>
      <c r="B20" s="110"/>
      <c r="C20" s="110"/>
      <c r="D20" s="110"/>
      <c r="E20" s="110"/>
      <c r="F20" s="110"/>
      <c r="G20" s="49"/>
      <c r="H20" s="45"/>
    </row>
    <row r="21" spans="1:8" ht="20.100000000000001" customHeight="1" x14ac:dyDescent="0.2">
      <c r="A21" s="44" t="str">
        <f>IF(G24&lt;&gt;0,ROUND(G24/24,1)&amp;" ml/u","")</f>
        <v/>
      </c>
      <c r="B21" s="126" t="s">
        <v>2115</v>
      </c>
      <c r="C21" s="127"/>
      <c r="D21" s="127" t="s">
        <v>917</v>
      </c>
      <c r="E21" s="127" t="s">
        <v>918</v>
      </c>
      <c r="F21" s="128" t="s">
        <v>919</v>
      </c>
      <c r="G21" s="129">
        <f>ROUND(ber_TPN!F13,0)</f>
        <v>0</v>
      </c>
      <c r="H21" s="45"/>
    </row>
    <row r="22" spans="1:8" ht="20.100000000000001" customHeight="1" x14ac:dyDescent="0.2">
      <c r="A22" s="44"/>
      <c r="B22" s="130" t="s">
        <v>2116</v>
      </c>
      <c r="C22" s="131"/>
      <c r="D22" s="131"/>
      <c r="E22" s="127"/>
      <c r="F22" s="128" t="s">
        <v>920</v>
      </c>
      <c r="G22" s="133">
        <f>ROUND(ber_TPN!F14,0)</f>
        <v>0</v>
      </c>
      <c r="H22" s="45"/>
    </row>
    <row r="23" spans="1:8" ht="20.100000000000001" customHeight="1" x14ac:dyDescent="0.2">
      <c r="A23" s="44"/>
      <c r="B23" s="130" t="s">
        <v>2192</v>
      </c>
      <c r="C23" s="131"/>
      <c r="D23" s="131"/>
      <c r="E23" s="127"/>
      <c r="F23" s="128" t="s">
        <v>920</v>
      </c>
      <c r="G23" s="133">
        <f>ROUND(ber_TPN!F15,0)</f>
        <v>0</v>
      </c>
      <c r="H23" s="45"/>
    </row>
    <row r="24" spans="1:8" ht="20.100000000000001" customHeight="1" x14ac:dyDescent="0.2">
      <c r="A24" s="44"/>
      <c r="B24" s="110"/>
      <c r="C24" s="110"/>
      <c r="D24" s="110"/>
      <c r="E24" s="448" t="s">
        <v>2212</v>
      </c>
      <c r="F24" s="448"/>
      <c r="G24" s="115">
        <f>SUM(G21:G23)</f>
        <v>0</v>
      </c>
      <c r="H24" s="111"/>
    </row>
    <row r="25" spans="1:8" ht="15.95" customHeight="1" thickBot="1" x14ac:dyDescent="0.25">
      <c r="A25" s="44"/>
      <c r="B25" s="110"/>
      <c r="C25" s="110"/>
      <c r="D25" s="110"/>
      <c r="E25" s="110"/>
      <c r="F25" s="110"/>
      <c r="G25" s="49"/>
      <c r="H25" s="45"/>
    </row>
    <row r="26" spans="1:8" ht="15.95" customHeight="1" thickTop="1" x14ac:dyDescent="0.2">
      <c r="A26" s="51"/>
      <c r="B26" s="461" t="s">
        <v>1280</v>
      </c>
      <c r="C26" s="462"/>
      <c r="D26" s="462"/>
      <c r="E26" s="462"/>
      <c r="F26" s="462"/>
      <c r="G26" s="103"/>
      <c r="H26" s="52"/>
    </row>
    <row r="27" spans="1:8" ht="20.100000000000001" customHeight="1" x14ac:dyDescent="0.2">
      <c r="A27" s="441" t="str">
        <f>IF(G35&lt;&gt;0,ROUND(G35/24,1)&amp;" ml/u","")</f>
        <v/>
      </c>
      <c r="B27" s="137" t="s">
        <v>419</v>
      </c>
      <c r="C27" s="139"/>
      <c r="D27" s="139"/>
      <c r="E27" s="139"/>
      <c r="F27" s="143"/>
      <c r="G27" s="144">
        <f>IF(AND(OR(TPN=1,Gewicht/10&gt;50,AND(TPN=2,SSTglucose&gt;10))),ROUND(ber_TPN!F7,0),"")</f>
        <v>0</v>
      </c>
      <c r="H27" s="45"/>
    </row>
    <row r="28" spans="1:8" ht="20.100000000000001" customHeight="1" x14ac:dyDescent="0.2">
      <c r="A28" s="442"/>
      <c r="B28" s="138" t="s">
        <v>4170</v>
      </c>
      <c r="C28" s="141"/>
      <c r="D28" s="141"/>
      <c r="E28" s="141"/>
      <c r="F28" s="145"/>
      <c r="G28" s="146">
        <f>IF(AND(OR(TPN=1,Gewicht/10&gt;50,AND(TPN=2,SSTglucose&gt;10))),ROUND(ber_TPN!F8,0),"")</f>
        <v>0</v>
      </c>
      <c r="H28" s="45"/>
    </row>
    <row r="29" spans="1:8" ht="15.95" customHeight="1" x14ac:dyDescent="0.2">
      <c r="A29" s="108"/>
      <c r="B29" s="138" t="s">
        <v>4226</v>
      </c>
      <c r="C29" s="141"/>
      <c r="D29" s="141"/>
      <c r="E29" s="141"/>
      <c r="F29" s="145"/>
      <c r="G29" s="146">
        <f>ber_TPN!F9</f>
        <v>0</v>
      </c>
      <c r="H29" s="45"/>
    </row>
    <row r="30" spans="1:8" ht="15.95" customHeight="1" x14ac:dyDescent="0.2">
      <c r="A30" s="108"/>
      <c r="B30" s="138" t="s">
        <v>4227</v>
      </c>
      <c r="C30" s="141"/>
      <c r="D30" s="141"/>
      <c r="E30" s="141"/>
      <c r="F30" s="145"/>
      <c r="G30" s="146">
        <f>ber_TPN!F10</f>
        <v>0</v>
      </c>
      <c r="H30" s="45"/>
    </row>
    <row r="31" spans="1:8" ht="15.95" customHeight="1" x14ac:dyDescent="0.2">
      <c r="A31" s="108"/>
      <c r="B31" s="138" t="s">
        <v>2989</v>
      </c>
      <c r="C31" s="141"/>
      <c r="D31" s="141"/>
      <c r="E31" s="141"/>
      <c r="F31" s="145"/>
      <c r="G31" s="146">
        <f>IF(Gewicht/10&lt;=50,ber_TPN!F16,0)+IF(OR(AND(SSTglucose=2,TPN=1),AND(SSTglucose=2,Gewicht/10&gt;50)),ROUND(ber_TPN!F6,0),0)</f>
        <v>0</v>
      </c>
      <c r="H31" s="45"/>
    </row>
    <row r="32" spans="1:8" ht="15.95" customHeight="1" x14ac:dyDescent="0.2">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2">
      <c r="A33" s="108"/>
      <c r="B33" s="471" t="s">
        <v>420</v>
      </c>
      <c r="C33" s="472"/>
      <c r="D33" s="472"/>
      <c r="E33" s="472"/>
      <c r="F33" s="145"/>
      <c r="G33" s="146" t="str">
        <f>IF(AND(SSTglucose=12),ROUND(ber_TPN!F6,0),"")</f>
        <v/>
      </c>
      <c r="H33" s="45"/>
    </row>
    <row r="34" spans="1:8" ht="20.100000000000001" customHeight="1" x14ac:dyDescent="0.2">
      <c r="A34" s="44"/>
      <c r="B34" s="471" t="s">
        <v>421</v>
      </c>
      <c r="C34" s="472"/>
      <c r="D34" s="472"/>
      <c r="E34" s="472"/>
      <c r="F34" s="145"/>
      <c r="G34" s="146" t="str">
        <f>IF(AND(SSTglucose=13),ROUND(ber_TPN!F6,0),"")</f>
        <v/>
      </c>
      <c r="H34" s="45"/>
    </row>
    <row r="35" spans="1:8" ht="20.100000000000001" customHeight="1" x14ac:dyDescent="0.2">
      <c r="A35" s="44"/>
      <c r="B35" s="49"/>
      <c r="C35" s="49"/>
      <c r="D35" s="49"/>
      <c r="E35" s="445" t="s">
        <v>2214</v>
      </c>
      <c r="F35" s="445"/>
      <c r="G35" s="114">
        <f>SUM(G27:G34)</f>
        <v>0</v>
      </c>
      <c r="H35" s="45"/>
    </row>
    <row r="36" spans="1:8" ht="20.100000000000001" customHeight="1" thickBot="1" x14ac:dyDescent="0.25">
      <c r="A36" s="44"/>
      <c r="B36" s="49"/>
      <c r="C36" s="49"/>
      <c r="D36" s="49"/>
      <c r="E36" s="49"/>
      <c r="F36" s="49"/>
      <c r="G36" s="49"/>
      <c r="H36" s="45"/>
    </row>
    <row r="37" spans="1:8" ht="20.100000000000001" customHeight="1" thickTop="1" x14ac:dyDescent="0.2">
      <c r="A37" s="51"/>
      <c r="B37" s="449" t="s">
        <v>2447</v>
      </c>
      <c r="C37" s="450"/>
      <c r="D37" s="450"/>
      <c r="E37" s="450"/>
      <c r="F37" s="451"/>
      <c r="G37" s="52" t="s">
        <v>2448</v>
      </c>
      <c r="H37" s="52"/>
    </row>
    <row r="38" spans="1:8" ht="20.100000000000001" customHeight="1" x14ac:dyDescent="0.2">
      <c r="A38" s="53"/>
      <c r="B38" s="436" t="s">
        <v>2449</v>
      </c>
      <c r="C38" s="437"/>
      <c r="D38" s="437"/>
      <c r="E38" s="437"/>
      <c r="F38" s="438"/>
      <c r="G38" s="47" t="s">
        <v>2450</v>
      </c>
      <c r="H38" s="45"/>
    </row>
    <row r="39" spans="1:8" ht="20.100000000000001" customHeight="1" x14ac:dyDescent="0.2">
      <c r="A39" s="53"/>
      <c r="B39" s="436" t="s">
        <v>2451</v>
      </c>
      <c r="C39" s="437"/>
      <c r="D39" s="437"/>
      <c r="E39" s="437"/>
      <c r="F39" s="438"/>
      <c r="G39" s="47" t="s">
        <v>2448</v>
      </c>
      <c r="H39" s="48"/>
    </row>
    <row r="40" spans="1:8" ht="20.100000000000001" customHeight="1" x14ac:dyDescent="0.2"/>
    <row r="41" spans="1:8" ht="15.95" customHeight="1" x14ac:dyDescent="0.2">
      <c r="A41" s="11" t="s">
        <v>2452</v>
      </c>
    </row>
    <row r="42" spans="1:8" ht="10.5" customHeight="1" x14ac:dyDescent="0.2">
      <c r="A42" s="11" t="s">
        <v>2213</v>
      </c>
    </row>
    <row r="43" spans="1:8" ht="15.95" customHeight="1" x14ac:dyDescent="0.2"/>
    <row r="44" spans="1:8" ht="15.95" customHeight="1" x14ac:dyDescent="0.2">
      <c r="A44" s="11" t="s">
        <v>2453</v>
      </c>
    </row>
    <row r="45" spans="1:8" ht="15.95" customHeight="1" x14ac:dyDescent="0.2"/>
    <row r="46" spans="1:8" x14ac:dyDescent="0.2">
      <c r="A46" s="11" t="s">
        <v>922</v>
      </c>
    </row>
    <row r="48" spans="1:8" x14ac:dyDescent="0.2">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Werkbladen</vt:lpstr>
      </vt:variant>
      <vt:variant>
        <vt:i4>22</vt:i4>
      </vt:variant>
      <vt:variant>
        <vt:lpstr>Grafieken</vt:lpstr>
      </vt:variant>
      <vt:variant>
        <vt:i4>2</vt:i4>
      </vt:variant>
      <vt:variant>
        <vt:lpstr>Benoemde bereiken</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AcuteOpvang!Afdrukbereik</vt:lpstr>
      <vt:lpstr>AfsprakenCMV!Afdrukbereik</vt:lpstr>
      <vt:lpstr>AfsprakenHFO!Afdrukbereik</vt:lpstr>
      <vt:lpstr>AfsprakenPLV!Afdrukbereik</vt:lpstr>
      <vt:lpstr>Medicatie!Afdrukbereik</vt:lpstr>
      <vt:lpstr>TPN16tot30kg!Afdrukbereik</vt:lpstr>
      <vt:lpstr>TPN2tot6kg!Afdrukbereik</vt:lpstr>
      <vt:lpstr>TPN31tot50kg!Afdrukbereik</vt:lpstr>
      <vt:lpstr>TPN7tot15kg!Afdrukbereik</vt:lpstr>
      <vt:lpstr>TPNboven50kg!Afdrukbereik</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Bollen, C.W.</cp:lastModifiedBy>
  <cp:lastPrinted>2013-03-30T09:24:32Z</cp:lastPrinted>
  <dcterms:created xsi:type="dcterms:W3CDTF">2000-03-04T00:29:05Z</dcterms:created>
  <dcterms:modified xsi:type="dcterms:W3CDTF">2015-06-30T07:11:51Z</dcterms:modified>
</cp:coreProperties>
</file>