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K33" i="25" l="1"/>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C95" i="58"/>
  <c r="E95" i="58" s="1"/>
  <c r="L95" i="59"/>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E14" i="28"/>
  <c r="Y14" i="28"/>
  <c r="U14" i="28"/>
  <c r="I14" i="28"/>
  <c r="AA14" i="28"/>
  <c r="O14" i="28"/>
  <c r="K14" i="28"/>
  <c r="G14" i="54"/>
  <c r="G22" i="54" s="1"/>
  <c r="J10" i="28"/>
  <c r="R10" i="28"/>
  <c r="H14"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L14"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M14" i="28" l="1"/>
  <c r="AB14" i="28"/>
  <c r="X14" i="28"/>
  <c r="S14" i="28"/>
  <c r="AC14" i="28"/>
  <c r="T14" i="28"/>
  <c r="P14" i="28"/>
  <c r="W14" i="28"/>
  <c r="Q14" i="28"/>
  <c r="F14" i="28"/>
  <c r="E96" i="15"/>
  <c r="L95" i="15"/>
  <c r="L95" i="58"/>
  <c r="L96" i="15"/>
  <c r="Z14" i="28"/>
  <c r="Q12" i="28"/>
  <c r="W2" i="34"/>
  <c r="E95" i="15"/>
  <c r="J14" i="28"/>
  <c r="D9" i="32"/>
  <c r="O12" i="28"/>
  <c r="E3" i="32"/>
  <c r="D39" i="32"/>
  <c r="E23" i="32"/>
  <c r="D23" i="32"/>
  <c r="D7" i="32"/>
  <c r="J10" i="1" s="1"/>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H129" i="59"/>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8" l="1"/>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<sst xmlns="http://schemas.openxmlformats.org/spreadsheetml/2006/main" count="28328" uniqueCount="5134">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</sst>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7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7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7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7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5" val="18"/>
</file>

<file path=xl/ctrlProps/ctrlProp72.xml><?xml version="1.0" encoding="utf-8"?>
<formControlPr xmlns="http://schemas.microsoft.com/office/spreadsheetml/2009/9/main" objectType="Drop" dropStyle="combo" dx="16" fmlaLink="ber_IVmed!$B$32" fmlaRange="tblDoseringen" sel="17"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1" val="0"/>
</file>

<file path=xl/ctrlProps/ctrlProp81.xml><?xml version="1.0" encoding="utf-8"?>
<formControlPr xmlns="http://schemas.microsoft.com/office/spreadsheetml/2009/9/main" objectType="Drop" dropStyle="combo" dx="16" fmlaLink="ber_IVmed!$D$32" fmlaRange="tblOplossing" sel="1"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val="15"/>
</file>

<file path=xl/ctrlProps/ctrlProp109.xml><?xml version="1.0" encoding="utf-8"?>
<formControlPr xmlns="http://schemas.microsoft.com/office/spreadsheetml/2009/9/main" objectType="Spin" dx="15" fmlaLink="ber_IVmed!$E$32" max="1000" page="10" val="1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7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4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val="7"/>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5"/>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1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val="4"/>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7"/>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val="4"/>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70"/>
</file>

<file path=xl/ctrlProps/ctrlProp334.xml><?xml version="1.0" encoding="utf-8"?>
<formControlPr xmlns="http://schemas.microsoft.com/office/spreadsheetml/2009/9/main" objectType="Drop" dropStyle="combo" dx="16" fmlaLink="ber_Infusen!$E$2" fmlaRange="tblInfusen" sel="24" val="0"/>
</file>

<file path=xl/ctrlProps/ctrlProp335.xml><?xml version="1.0" encoding="utf-8"?>
<formControlPr xmlns="http://schemas.microsoft.com/office/spreadsheetml/2009/9/main" objectType="Drop" dropStyle="combo" dx="16" fmlaLink="ber_Infusen!$E$3" fmlaRange="tblInfusen" sel="29"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7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val="6"/>
</file>

<file path=xl/ctrlProps/ctrlProp361.xml><?xml version="1.0" encoding="utf-8"?>
<formControlPr xmlns="http://schemas.microsoft.com/office/spreadsheetml/2009/9/main" objectType="Spin" dx="15" fmlaLink="ber_PO!$M$22" max="10000" min="1" page="10" val="50"/>
</file>

<file path=xl/ctrlProps/ctrlProp362.xml><?xml version="1.0" encoding="utf-8"?>
<formControlPr xmlns="http://schemas.microsoft.com/office/spreadsheetml/2009/9/main" objectType="Drop" dropStyle="combo" dx="16" fmlaLink="ber_PO!$P$22" fmlaRange="tblVoedingPO" sel="3" val="0"/>
</file>

<file path=xl/ctrlProps/ctrlProp363.xml><?xml version="1.0" encoding="utf-8"?>
<formControlPr xmlns="http://schemas.microsoft.com/office/spreadsheetml/2009/9/main" objectType="Spin" dx="15" fmlaLink="ber_TPN!$D$3" max="300" page="10" val="73"/>
</file>

<file path=xl/ctrlProps/ctrlProp364.xml><?xml version="1.0" encoding="utf-8"?>
<formControlPr xmlns="http://schemas.microsoft.com/office/spreadsheetml/2009/9/main" objectType="Spin" dx="15" fmlaLink="ber_TPN!$E$7" max="5000" min="1" page="10" val="2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checked="Checked"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2"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1"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7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checked="Checked" fmlaLink="Ber_Lab!$E$5" lockText="1"/>
</file>

<file path=xl/ctrlProps/ctrlProp466.xml><?xml version="1.0" encoding="utf-8"?>
<formControlPr xmlns="http://schemas.microsoft.com/office/spreadsheetml/2009/9/main" objectType="CheckBox" checked="Checked" fmlaLink="Ber_Lab!E6" lockText="1"/>
</file>

<file path=xl/ctrlProps/ctrlProp467.xml><?xml version="1.0" encoding="utf-8"?>
<formControlPr xmlns="http://schemas.microsoft.com/office/spreadsheetml/2009/9/main" objectType="CheckBox" checked="Checked"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RSV, Bronchio</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70</v>
      </c>
      <c r="G5" s="261">
        <f>ROUND(POWER(E5,0.425)*POWER(((F5/100)*100),0.725)*0.007184,2)</f>
        <v>0.42</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3105</v>
      </c>
      <c r="C7" s="267" t="s">
        <v>594</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1295</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2678</v>
      </c>
      <c r="C23" s="267" t="e">
        <f ca="1">IF(C5=0,"alprostadil (Prostin)","")</f>
        <v>#NAME?</v>
      </c>
      <c r="D23" s="268" t="e">
        <f ca="1">IF(C5=0,"0,5 mg in 50 ml FZ","")</f>
        <v>#NAME?</v>
      </c>
      <c r="E23" s="269" t="e">
        <f ca="1">IF(C5=0,"1 ml/uur = "&amp;ROUND(1000*(0.5/50)*24/(E5)/1.44,0)&amp;" nanog/kg/min iv","")</f>
        <v>#NAME?</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1173</v>
      </c>
      <c r="C38" s="381" t="s">
        <v>2978</v>
      </c>
      <c r="D38" s="268" t="e">
        <f ca="1">"AMV "&amp;ROUND(E5*8*VLOOKUP(C5,L2:M20,2)/1000,1)&amp;" L/min"</f>
        <v>#NAME?</v>
      </c>
      <c r="E38" s="269"/>
      <c r="F38" s="268" t="s">
        <v>1174</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1175</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P1WwbyjrhyT+MSvs3YFcXYQegtiWweYifh5k0Px0poUMwVcs2MGDRDJ7dCWiFKVJW8aJKSkyJX8GwzCTlq9kcw==" saltValue="FZA5dlt+y2110Lj9mu1E2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2444</v>
      </c>
      <c r="B1" t="s">
        <v>982</v>
      </c>
      <c r="C1" t="s">
        <v>2445</v>
      </c>
    </row>
    <row r="2" spans="1:3" x14ac:dyDescent="0.35">
      <c r="A2" t="s">
        <v>2446</v>
      </c>
      <c r="B2" t="s">
        <v>1173</v>
      </c>
    </row>
    <row r="3" spans="1:3" x14ac:dyDescent="0.35">
      <c r="A3" t="s">
        <v>2446</v>
      </c>
      <c r="B3" t="s">
        <v>1219</v>
      </c>
    </row>
    <row r="4" spans="1:3" x14ac:dyDescent="0.35">
      <c r="A4" t="s">
        <v>2446</v>
      </c>
      <c r="B4" t="s">
        <v>714</v>
      </c>
    </row>
    <row r="5" spans="1:3" x14ac:dyDescent="0.35">
      <c r="A5" t="s">
        <v>2446</v>
      </c>
      <c r="B5" t="s">
        <v>715</v>
      </c>
    </row>
    <row r="6" spans="1:3" x14ac:dyDescent="0.35">
      <c r="A6" t="s">
        <v>2446</v>
      </c>
      <c r="B6" t="s">
        <v>716</v>
      </c>
    </row>
    <row r="7" spans="1:3" x14ac:dyDescent="0.35">
      <c r="A7" t="s">
        <v>2446</v>
      </c>
      <c r="B7" t="s">
        <v>717</v>
      </c>
    </row>
    <row r="8" spans="1:3" x14ac:dyDescent="0.35">
      <c r="A8" t="s">
        <v>2446</v>
      </c>
      <c r="B8" t="s">
        <v>718</v>
      </c>
    </row>
    <row r="9" spans="1:3" x14ac:dyDescent="0.35">
      <c r="A9" t="s">
        <v>2446</v>
      </c>
      <c r="B9" t="s">
        <v>719</v>
      </c>
    </row>
    <row r="10" spans="1:3" x14ac:dyDescent="0.35">
      <c r="A10" t="s">
        <v>2446</v>
      </c>
      <c r="B10" t="s">
        <v>1281</v>
      </c>
      <c r="C10" s="37"/>
    </row>
    <row r="11" spans="1:3" x14ac:dyDescent="0.35">
      <c r="A11" t="s">
        <v>2446</v>
      </c>
      <c r="B11" t="s">
        <v>1597</v>
      </c>
      <c r="C11" s="37"/>
    </row>
    <row r="12" spans="1:3" x14ac:dyDescent="0.35">
      <c r="A12" t="s">
        <v>2446</v>
      </c>
      <c r="B12" t="s">
        <v>1598</v>
      </c>
    </row>
    <row r="13" spans="1:3" x14ac:dyDescent="0.35">
      <c r="A13" t="s">
        <v>2446</v>
      </c>
      <c r="B13" t="s">
        <v>1599</v>
      </c>
    </row>
    <row r="14" spans="1:3" x14ac:dyDescent="0.35">
      <c r="A14" t="s">
        <v>2446</v>
      </c>
      <c r="B14" t="s">
        <v>1600</v>
      </c>
    </row>
    <row r="15" spans="1:3" x14ac:dyDescent="0.35">
      <c r="A15" t="s">
        <v>2446</v>
      </c>
      <c r="B15" t="s">
        <v>1601</v>
      </c>
    </row>
    <row r="16" spans="1:3" x14ac:dyDescent="0.35">
      <c r="A16" t="s">
        <v>1248</v>
      </c>
      <c r="B16" t="s">
        <v>1249</v>
      </c>
    </row>
    <row r="17" spans="1:2" x14ac:dyDescent="0.35">
      <c r="A17" t="s">
        <v>1248</v>
      </c>
      <c r="B17" t="s">
        <v>1249</v>
      </c>
    </row>
    <row r="18" spans="1:2" x14ac:dyDescent="0.35">
      <c r="A18" t="s">
        <v>1248</v>
      </c>
      <c r="B18" t="s">
        <v>1249</v>
      </c>
    </row>
    <row r="19" spans="1:2" x14ac:dyDescent="0.35">
      <c r="A19" t="s">
        <v>1248</v>
      </c>
      <c r="B19" t="s">
        <v>1249</v>
      </c>
    </row>
    <row r="20" spans="1:2" x14ac:dyDescent="0.35">
      <c r="A20" t="s">
        <v>1248</v>
      </c>
      <c r="B20" t="s">
        <v>1249</v>
      </c>
    </row>
    <row r="21" spans="1:2" x14ac:dyDescent="0.35">
      <c r="A21" t="s">
        <v>1248</v>
      </c>
      <c r="B21" t="s">
        <v>1249</v>
      </c>
    </row>
    <row r="22" spans="1:2" x14ac:dyDescent="0.35">
      <c r="A22" t="s">
        <v>1248</v>
      </c>
      <c r="B22" t="s">
        <v>1249</v>
      </c>
    </row>
    <row r="23" spans="1:2" x14ac:dyDescent="0.35">
      <c r="A23" t="s">
        <v>1248</v>
      </c>
      <c r="B23" t="s">
        <v>1249</v>
      </c>
    </row>
    <row r="24" spans="1:2" x14ac:dyDescent="0.35">
      <c r="A24" t="s">
        <v>1248</v>
      </c>
      <c r="B24" t="s">
        <v>1249</v>
      </c>
    </row>
    <row r="25" spans="1:2" x14ac:dyDescent="0.35">
      <c r="A25" t="s">
        <v>1248</v>
      </c>
      <c r="B25" t="s">
        <v>1249</v>
      </c>
    </row>
    <row r="26" spans="1:2" x14ac:dyDescent="0.35">
      <c r="A26" t="s">
        <v>1248</v>
      </c>
      <c r="B26" t="s">
        <v>1249</v>
      </c>
    </row>
    <row r="27" spans="1:2" x14ac:dyDescent="0.35">
      <c r="A27" t="s">
        <v>1248</v>
      </c>
      <c r="B27" t="s">
        <v>1249</v>
      </c>
    </row>
    <row r="28" spans="1:2" x14ac:dyDescent="0.35">
      <c r="A28" t="s">
        <v>1248</v>
      </c>
      <c r="B28" t="s">
        <v>1249</v>
      </c>
    </row>
    <row r="29" spans="1:2" x14ac:dyDescent="0.35">
      <c r="A29" t="s">
        <v>1248</v>
      </c>
      <c r="B29" t="s">
        <v>1249</v>
      </c>
    </row>
    <row r="30" spans="1:2" x14ac:dyDescent="0.35">
      <c r="A30" t="s">
        <v>1248</v>
      </c>
      <c r="B30" t="s">
        <v>1249</v>
      </c>
    </row>
    <row r="31" spans="1:2" x14ac:dyDescent="0.35">
      <c r="A31" t="s">
        <v>1248</v>
      </c>
      <c r="B31" t="s">
        <v>1249</v>
      </c>
    </row>
    <row r="32" spans="1:2" x14ac:dyDescent="0.35">
      <c r="A32" t="s">
        <v>1248</v>
      </c>
      <c r="B32" t="s">
        <v>1249</v>
      </c>
    </row>
    <row r="33" spans="1:2" x14ac:dyDescent="0.35">
      <c r="A33" t="s">
        <v>1248</v>
      </c>
      <c r="B33" t="s">
        <v>1249</v>
      </c>
    </row>
    <row r="34" spans="1:2" x14ac:dyDescent="0.35">
      <c r="A34" t="s">
        <v>1248</v>
      </c>
      <c r="B34" t="s">
        <v>1249</v>
      </c>
    </row>
    <row r="35" spans="1:2" x14ac:dyDescent="0.35">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41827</v>
      </c>
      <c r="E2" s="87" t="str">
        <f>BeademingCV!$C$3</f>
        <v>Naam:</v>
      </c>
      <c r="F2" s="398" t="str">
        <f>BeademingCV!$H$3</f>
        <v>RSV, Bronchio</v>
      </c>
      <c r="G2" s="398"/>
      <c r="H2" s="88" t="s">
        <v>2762</v>
      </c>
      <c r="I2" s="58" t="str">
        <f>Gewicht/10&amp;" kg"</f>
        <v>10 kg</v>
      </c>
      <c r="J2" s="57"/>
      <c r="L2" s="104"/>
    </row>
    <row r="3" spans="1:19" ht="12.65" customHeight="1" x14ac:dyDescent="0.35">
      <c r="B3" s="86"/>
      <c r="C3" s="87" t="s">
        <v>2122</v>
      </c>
      <c r="D3" s="59" t="e">
        <f ca="1">AfspraakDatum-OpnDatum+1</f>
        <v>#NAME?</v>
      </c>
      <c r="E3" s="87" t="str">
        <f>BeademingCV!$Q$3</f>
        <v>Geboorte datum:</v>
      </c>
      <c r="F3" s="60">
        <f>BeademingCV!$V$3</f>
        <v>40909</v>
      </c>
      <c r="G3" s="57"/>
      <c r="H3" s="88" t="s">
        <v>1348</v>
      </c>
      <c r="I3" s="58" t="str">
        <f>Lengte&amp;" cm"</f>
        <v>70 cm</v>
      </c>
      <c r="J3" s="57"/>
      <c r="L3" s="104"/>
    </row>
    <row r="4" spans="1:19" ht="12" customHeight="1" x14ac:dyDescent="0.35">
      <c r="D4" s="57"/>
      <c r="F4" s="57"/>
      <c r="H4" s="88" t="s">
        <v>1361</v>
      </c>
      <c r="I4" s="58" t="str">
        <f>ROUND(POWER(Gewicht/10,0.425)*POWER(((Lengte/100)*100),0.725)*0.007184,2)&amp;" m2"</f>
        <v>0.42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2881</v>
      </c>
      <c r="D18" s="410">
        <f>ber_Opm!C2</f>
        <v>0</v>
      </c>
      <c r="E18" s="411"/>
      <c r="F18" s="411"/>
      <c r="G18" s="411"/>
      <c r="H18" s="411"/>
      <c r="I18" s="411"/>
      <c r="J18" s="411"/>
      <c r="K18" s="61"/>
      <c r="L18" s="104"/>
    </row>
    <row r="19" spans="1:12" ht="12.65" customHeight="1" x14ac:dyDescent="0.35">
      <c r="B19" s="86"/>
      <c r="C19" s="88"/>
      <c r="D19" s="411"/>
      <c r="E19" s="411"/>
      <c r="F19" s="411"/>
      <c r="G19" s="411"/>
      <c r="H19" s="411"/>
      <c r="I19" s="411"/>
      <c r="J19" s="411"/>
      <c r="K19" s="61"/>
      <c r="L19" s="104"/>
    </row>
    <row r="20" spans="1:12" ht="9.0500000000000007" customHeight="1" x14ac:dyDescent="0.35">
      <c r="F20" s="61"/>
      <c r="G20" s="61"/>
      <c r="H20" s="62"/>
      <c r="I20" s="62"/>
      <c r="J20" s="62"/>
      <c r="K20" s="61"/>
      <c r="L20" s="104"/>
    </row>
    <row r="21" spans="1:12" ht="14.15" customHeight="1" x14ac:dyDescent="0.4">
      <c r="C21" s="147" t="s">
        <v>2347</v>
      </c>
      <c r="D21" s="148" t="s">
        <v>2514</v>
      </c>
      <c r="E21" s="149"/>
      <c r="F21" s="150" t="s">
        <v>2437</v>
      </c>
      <c r="G21" s="150" t="s">
        <v>2347</v>
      </c>
      <c r="H21" s="151" t="s">
        <v>2514</v>
      </c>
      <c r="I21" s="152"/>
      <c r="J21" s="155" t="s">
        <v>2437</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2336</v>
      </c>
      <c r="D32" s="88"/>
      <c r="E32" s="58" t="str">
        <f>INDEX(tblSonde,ber_PO!A1,1)</f>
        <v>Sondevoeding</v>
      </c>
      <c r="K32" s="61"/>
      <c r="L32" s="104"/>
    </row>
    <row r="33" spans="1:12" ht="14.15" customHeight="1" x14ac:dyDescent="0.35">
      <c r="C33" s="58" t="str">
        <f>IF(E33&lt;&gt;"",INDEX(tblVoedingPO,KeuzePO_1,1),)</f>
        <v>Friso 1 normaal</v>
      </c>
      <c r="D33" s="58" t="str">
        <f>Intake!G8</f>
        <v/>
      </c>
      <c r="E33" s="58" t="str">
        <f>Intake!C8&amp;" "&amp;Intake!D8</f>
        <v>6 dd 5 ml</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2881</v>
      </c>
      <c r="D37" s="399">
        <f>ber_Opm!C15</f>
        <v>0</v>
      </c>
      <c r="E37" s="400"/>
      <c r="F37" s="400"/>
      <c r="G37" s="400"/>
      <c r="H37" s="400"/>
      <c r="I37" s="400"/>
      <c r="J37" s="400"/>
      <c r="K37" s="64"/>
      <c r="L37" s="104"/>
    </row>
    <row r="38" spans="1:12" ht="12.65" customHeight="1" x14ac:dyDescent="0.35">
      <c r="L38" s="104"/>
    </row>
    <row r="39" spans="1:12" ht="12.65" customHeight="1" x14ac:dyDescent="0.35">
      <c r="A39" s="66"/>
      <c r="B39" s="71" t="s">
        <v>1281</v>
      </c>
      <c r="C39" s="66"/>
      <c r="D39" s="66"/>
      <c r="E39" s="66"/>
      <c r="F39" s="66"/>
      <c r="G39" s="66"/>
      <c r="H39" s="66"/>
      <c r="I39" s="66"/>
      <c r="J39" s="66"/>
      <c r="L39" s="104"/>
    </row>
    <row r="40" spans="1:12" ht="12.65" customHeight="1" x14ac:dyDescent="0.35">
      <c r="B40" s="88"/>
      <c r="C40" s="88" t="s">
        <v>3811</v>
      </c>
      <c r="D40" s="41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3"/>
      <c r="F40" s="413"/>
      <c r="G40" s="413"/>
      <c r="H40" s="413"/>
      <c r="I40" s="413"/>
      <c r="J40" s="413"/>
      <c r="L40" s="104"/>
    </row>
    <row r="41" spans="1:12" ht="12.65" customHeight="1" x14ac:dyDescent="0.35">
      <c r="B41" s="88"/>
      <c r="C41" s="88" t="s">
        <v>5103</v>
      </c>
      <c r="D41" s="40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07"/>
      <c r="F41" s="407"/>
      <c r="G41" s="407"/>
      <c r="H41" s="407"/>
      <c r="I41" s="407"/>
      <c r="J41" s="407"/>
      <c r="L41" s="104"/>
    </row>
    <row r="42" spans="1:12" ht="12.65" customHeight="1" x14ac:dyDescent="0.35">
      <c r="B42" s="88"/>
      <c r="C42" s="88" t="s">
        <v>5104</v>
      </c>
      <c r="D42" s="40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4"/>
      <c r="F42" s="414"/>
      <c r="G42" s="414"/>
      <c r="H42" s="414"/>
      <c r="I42" s="414"/>
      <c r="J42" s="414"/>
      <c r="L42" s="104"/>
    </row>
    <row r="43" spans="1:12" ht="12.65" customHeight="1" x14ac:dyDescent="0.35">
      <c r="B43" s="88"/>
      <c r="C43" s="88" t="s">
        <v>1565</v>
      </c>
      <c r="D43" s="40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4"/>
      <c r="F43" s="414"/>
      <c r="G43" s="414"/>
      <c r="H43" s="414"/>
      <c r="I43" s="414"/>
      <c r="J43" s="414"/>
      <c r="L43" s="104"/>
    </row>
    <row r="44" spans="1:12" ht="12.65" customHeight="1" x14ac:dyDescent="0.35">
      <c r="B44" s="88"/>
      <c r="C44" s="93" t="s">
        <v>130</v>
      </c>
      <c r="D44" s="40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5"/>
      <c r="F44" s="415"/>
      <c r="G44" s="415"/>
      <c r="H44" s="415"/>
      <c r="I44" s="415"/>
      <c r="J44" s="415"/>
      <c r="L44" s="104"/>
    </row>
    <row r="45" spans="1:12" ht="12.65" customHeight="1" x14ac:dyDescent="0.35">
      <c r="B45" s="88"/>
      <c r="C45" s="93" t="s">
        <v>2881</v>
      </c>
      <c r="D45" s="401">
        <f>ber_Opm!C10</f>
        <v>0</v>
      </c>
      <c r="E45" s="402"/>
      <c r="F45" s="402"/>
      <c r="G45" s="402"/>
      <c r="H45" s="402"/>
      <c r="I45" s="402"/>
      <c r="J45" s="402"/>
      <c r="L45" s="104"/>
    </row>
    <row r="46" spans="1:12" ht="12.65" customHeight="1" x14ac:dyDescent="0.35">
      <c r="A46" s="66"/>
      <c r="B46" s="90"/>
      <c r="C46" s="92"/>
      <c r="D46" s="403"/>
      <c r="E46" s="403"/>
      <c r="F46" s="403"/>
      <c r="G46" s="403"/>
      <c r="H46" s="403"/>
      <c r="I46" s="403"/>
      <c r="J46" s="403"/>
      <c r="L46" s="104"/>
    </row>
    <row r="47" spans="1:12" ht="12.65" customHeight="1" x14ac:dyDescent="0.35">
      <c r="L47" s="104"/>
    </row>
    <row r="48" spans="1:12" ht="12.65" customHeight="1" x14ac:dyDescent="0.35">
      <c r="A48" s="66"/>
      <c r="B48" s="71" t="s">
        <v>838</v>
      </c>
      <c r="C48" s="68"/>
      <c r="D48" s="66"/>
      <c r="E48" s="66"/>
      <c r="F48" s="66"/>
      <c r="G48" s="66"/>
      <c r="H48" s="66"/>
      <c r="I48" s="66"/>
      <c r="J48" s="66"/>
      <c r="L48" s="104"/>
    </row>
    <row r="49" spans="2:12" ht="12.65" customHeight="1" x14ac:dyDescent="0.35">
      <c r="B49" s="61" t="s">
        <v>2800</v>
      </c>
      <c r="C49" s="58">
        <f>INDEX(tblAanvAfspr,ber_Infusen!M1,1)</f>
        <v>0</v>
      </c>
      <c r="L49" s="104"/>
    </row>
    <row r="50" spans="2:12" ht="12.65" customHeight="1" x14ac:dyDescent="0.35">
      <c r="B50" s="61" t="s">
        <v>2801</v>
      </c>
      <c r="C50" s="58">
        <f>INDEX(tblAanvAfspr,ber_Infusen!M2,1)</f>
        <v>0</v>
      </c>
      <c r="L50" s="104"/>
    </row>
    <row r="51" spans="2:12" ht="12.65" customHeight="1" x14ac:dyDescent="0.35">
      <c r="B51" s="61" t="s">
        <v>2802</v>
      </c>
      <c r="C51" s="58">
        <f>INDEX(tblAanvAfspr,ber_Infusen!M3,1)</f>
        <v>0</v>
      </c>
      <c r="L51" s="104"/>
    </row>
    <row r="52" spans="2:12" ht="12.65" customHeight="1" x14ac:dyDescent="0.35">
      <c r="B52" s="61" t="s">
        <v>2803</v>
      </c>
      <c r="C52" s="58">
        <f>INDEX(tblAanvAfspr,ber_Infusen!M4,1)</f>
        <v>0</v>
      </c>
      <c r="L52" s="104"/>
    </row>
    <row r="53" spans="2:12" ht="12.65" customHeight="1" x14ac:dyDescent="0.35">
      <c r="B53" s="61" t="s">
        <v>2804</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L54" s="104"/>
    </row>
    <row r="55" spans="2:12" ht="12.65" customHeight="1" x14ac:dyDescent="0.35">
      <c r="C55" s="405"/>
      <c r="D55" s="405"/>
      <c r="E55" s="405"/>
      <c r="F55" s="405"/>
      <c r="G55" s="405"/>
      <c r="H55" s="405"/>
      <c r="I55" s="405"/>
      <c r="J55" s="405"/>
      <c r="L55" s="104"/>
    </row>
    <row r="56" spans="2:12" ht="12.65" customHeight="1" x14ac:dyDescent="0.35">
      <c r="B56" s="61" t="s">
        <v>840</v>
      </c>
      <c r="C56" s="408">
        <f>ber_Opm!C11</f>
        <v>0</v>
      </c>
      <c r="D56" s="408"/>
      <c r="E56" s="408"/>
      <c r="F56" s="408"/>
      <c r="G56" s="408"/>
      <c r="H56" s="408"/>
      <c r="I56" s="408"/>
      <c r="J56" s="408"/>
      <c r="L56" s="104"/>
    </row>
    <row r="57" spans="2:12" ht="7" customHeight="1" x14ac:dyDescent="0.35">
      <c r="C57" s="409"/>
      <c r="D57" s="409"/>
      <c r="E57" s="409"/>
      <c r="F57" s="409"/>
      <c r="G57" s="409"/>
      <c r="H57" s="409"/>
      <c r="I57" s="409"/>
      <c r="J57" s="409"/>
      <c r="L57" s="104"/>
    </row>
    <row r="58" spans="2:12" ht="7" customHeight="1" x14ac:dyDescent="0.35">
      <c r="C58" s="409"/>
      <c r="D58" s="409"/>
      <c r="E58" s="409"/>
      <c r="F58" s="409"/>
      <c r="G58" s="409"/>
      <c r="H58" s="409"/>
      <c r="I58" s="409"/>
      <c r="J58" s="409"/>
      <c r="L58" s="104"/>
    </row>
    <row r="59" spans="2:12" ht="7" customHeight="1" x14ac:dyDescent="0.35">
      <c r="C59" s="409"/>
      <c r="D59" s="409"/>
      <c r="E59" s="409"/>
      <c r="F59" s="409"/>
      <c r="G59" s="409"/>
      <c r="H59" s="409"/>
      <c r="I59" s="409"/>
      <c r="J59" s="409"/>
      <c r="L59" s="104"/>
    </row>
    <row r="60" spans="2:12" ht="12.65" customHeight="1" x14ac:dyDescent="0.35">
      <c r="B60" s="61">
        <v>8</v>
      </c>
      <c r="C60" s="357" t="s">
        <v>806</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922</v>
      </c>
      <c r="C65" s="66"/>
      <c r="D65" s="66"/>
      <c r="F65" s="66" t="s">
        <v>5101</v>
      </c>
      <c r="G65" s="66"/>
      <c r="H65" s="66"/>
      <c r="I65" s="66"/>
      <c r="L65" s="104"/>
    </row>
    <row r="66" spans="1:12" ht="12.65" customHeight="1" x14ac:dyDescent="0.35">
      <c r="L66" s="104"/>
    </row>
    <row r="67" spans="1:12" ht="12.65" customHeight="1" x14ac:dyDescent="0.35">
      <c r="B67" s="86"/>
      <c r="C67" s="87" t="str">
        <f>BeademingCV!$Q$2</f>
        <v>Opnamedatum:</v>
      </c>
      <c r="D67" s="56">
        <f>BeademingCV!$V$2</f>
        <v>41827</v>
      </c>
      <c r="E67" s="87" t="str">
        <f>BeademingCV!$C$3</f>
        <v>Naam:</v>
      </c>
      <c r="F67" s="398" t="str">
        <f>BeademingCV!$H$3</f>
        <v>RSV, Bronchio</v>
      </c>
      <c r="G67" s="398"/>
      <c r="H67" s="88" t="s">
        <v>2762</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1348</v>
      </c>
      <c r="I68" s="58" t="str">
        <f>Lengte&amp;" cm"</f>
        <v>70 cm</v>
      </c>
      <c r="J68" s="57"/>
      <c r="L68" s="104"/>
    </row>
    <row r="69" spans="1:12" ht="12.65" customHeight="1" x14ac:dyDescent="0.35">
      <c r="D69" s="57"/>
      <c r="F69" s="57"/>
      <c r="H69" s="88" t="s">
        <v>1361</v>
      </c>
      <c r="I69" s="58" t="str">
        <f>ROUND(POWER(Gewicht/10,0.425)*POWER(((Lengte/100)*100),0.725)*0.007184,2)&amp;" m2"</f>
        <v>0.42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t="str">
        <f>INDEX(tblInfusen,ber_Infusen!E2,1)</f>
        <v>Perifeer infuus 1: SST 1</v>
      </c>
      <c r="H72" s="62"/>
      <c r="I72" s="62"/>
      <c r="J72" s="62"/>
      <c r="L72" s="104" t="str">
        <f t="shared" ref="L72:L77" si="0">IF(C72=0,"D","")</f>
        <v/>
      </c>
    </row>
    <row r="73" spans="1:12" ht="12.65" customHeight="1" x14ac:dyDescent="0.35">
      <c r="B73" s="61">
        <v>2</v>
      </c>
      <c r="C73" s="58" t="str">
        <f>INDEX(tblInfusen,ber_Infusen!E3,1)</f>
        <v>Perifeer infuus 2: SST 2</v>
      </c>
      <c r="H73" s="62"/>
      <c r="I73" s="62"/>
      <c r="J73" s="62"/>
      <c r="L73" s="104" t="str">
        <f t="shared" si="0"/>
        <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2881</v>
      </c>
      <c r="D79" s="399">
        <f>ber_Opm!C3</f>
        <v>0</v>
      </c>
      <c r="E79" s="400"/>
      <c r="F79" s="400"/>
      <c r="G79" s="400"/>
      <c r="H79" s="400"/>
      <c r="I79" s="400"/>
      <c r="J79" s="400"/>
      <c r="L79" s="104"/>
    </row>
    <row r="80" spans="1:12" ht="12.65" customHeight="1" x14ac:dyDescent="0.35">
      <c r="L80" s="104"/>
    </row>
    <row r="81" spans="1:12" ht="12.65" customHeight="1" x14ac:dyDescent="0.35">
      <c r="L81" s="104"/>
    </row>
    <row r="82" spans="1:12" ht="12.65" customHeight="1" x14ac:dyDescent="0.35">
      <c r="A82" s="66"/>
      <c r="B82" s="71" t="s">
        <v>2882</v>
      </c>
      <c r="C82" s="66"/>
      <c r="D82" s="66"/>
      <c r="E82" s="66"/>
      <c r="F82" s="66"/>
      <c r="G82" s="66"/>
      <c r="H82" s="66"/>
      <c r="I82" s="66"/>
      <c r="J82" s="66"/>
      <c r="L82" s="104"/>
    </row>
    <row r="83" spans="1:12" ht="12.65" customHeight="1" x14ac:dyDescent="0.35">
      <c r="B83" s="86"/>
      <c r="C83" s="88" t="s">
        <v>2983</v>
      </c>
      <c r="D83" s="88"/>
      <c r="E83" s="88" t="s">
        <v>999</v>
      </c>
      <c r="F83" s="88"/>
      <c r="G83" s="88" t="s">
        <v>2986</v>
      </c>
      <c r="H83" s="88"/>
      <c r="I83" s="88"/>
      <c r="J83" s="88" t="s">
        <v>1992</v>
      </c>
      <c r="L83" s="104"/>
    </row>
    <row r="84" spans="1:12" ht="12.65" customHeight="1" x14ac:dyDescent="0.35">
      <c r="B84" s="61">
        <v>1</v>
      </c>
      <c r="C84" s="58" t="str">
        <f>MedicatieIV!C8</f>
        <v>midazolam</v>
      </c>
      <c r="E84" s="58" t="str">
        <f>IF(C84&lt;&gt;0,MedicatieIV!D8&amp;" in "&amp;MedicatieIV!E8&amp;IF(AND(ber_IVmed!D5&lt;&gt;4,MedicatieIV!F8&lt;&gt;0)," "&amp;MedicatieIV!F8,""),"")</f>
        <v>50 mg in 50 ml FZ</v>
      </c>
      <c r="G84" s="58" t="str">
        <f>IF(C84&lt;&gt;0,MedicatieIV!G8&amp;" (="&amp;MedicatieIV!H8&amp;")","")</f>
        <v>1.5 ml/uur (=0.15 mg/kg/uur)</v>
      </c>
      <c r="J84" s="58" t="str">
        <f>MedicatieIV!I8</f>
        <v>36 ml</v>
      </c>
      <c r="L84" s="104" t="str">
        <f t="shared" ref="L84:L98" si="1">IF(C84=0,"D","")</f>
        <v/>
      </c>
    </row>
    <row r="85" spans="1:12" ht="12.65" customHeight="1" x14ac:dyDescent="0.35">
      <c r="B85" s="61">
        <v>2</v>
      </c>
      <c r="C85" s="58" t="str">
        <f>MedicatieIV!C9</f>
        <v>morfine</v>
      </c>
      <c r="E85" s="58" t="str">
        <f>IF(C85&lt;&gt;0,MedicatieIV!D9&amp;" in "&amp;MedicatieIV!E9&amp;IF(AND(ber_IVmed!D6&lt;&gt;4,MedicatieIV!F9&lt;&gt;0)," "&amp;MedicatieIV!F9,""),"")</f>
        <v>5 mg in 50 ml FZ</v>
      </c>
      <c r="G85" s="58" t="str">
        <f>IF(C85&lt;&gt;0,MedicatieIV!G9&amp;" (="&amp;MedicatieIV!H9&amp;")","")</f>
        <v>1 ml/uur (=0.24 mg/kg/dag)</v>
      </c>
      <c r="J85" s="58" t="str">
        <f>MedicatieIV!I9</f>
        <v>24 ml</v>
      </c>
      <c r="L85" s="104" t="str">
        <f t="shared" si="1"/>
        <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2881</v>
      </c>
      <c r="D100" s="401">
        <f>ber_Opm!C4</f>
        <v>0</v>
      </c>
      <c r="E100" s="401"/>
      <c r="F100" s="401"/>
      <c r="G100" s="401"/>
      <c r="H100" s="401"/>
      <c r="I100" s="401"/>
      <c r="J100" s="401"/>
      <c r="L100" s="104"/>
    </row>
    <row r="101" spans="1:12" ht="12.65" customHeight="1" x14ac:dyDescent="0.35">
      <c r="D101" s="404"/>
      <c r="E101" s="404"/>
      <c r="F101" s="404"/>
      <c r="G101" s="404"/>
      <c r="H101" s="404"/>
      <c r="I101" s="404"/>
      <c r="J101" s="404"/>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Electrolyt/Glucose mengsel</v>
      </c>
      <c r="E110" s="66" t="str">
        <f>IF(AND(Gewicht/10&gt;50,TPNboven50kg!A27&lt;&gt;""),TPNboven50kg!A27,TPN2tot6kg!A29)</f>
        <v>28 ml/u</v>
      </c>
      <c r="F110" s="66" t="str">
        <f>IF(AND(Gewicht/10&gt;50,TPNboven50kg!G35&lt;&gt;0),TPNboven50kg!G35&amp;" ml",IF(TPN2tot6kg!G36&lt;&gt;0,TPN2tot6kg!G36&amp;" ml",""))</f>
        <v>672 ml</v>
      </c>
      <c r="G110" s="66"/>
      <c r="H110" s="121"/>
      <c r="I110" s="66"/>
      <c r="J110" s="66"/>
      <c r="L110" s="104"/>
    </row>
    <row r="111" spans="1:12" ht="12.65" customHeight="1" x14ac:dyDescent="0.35">
      <c r="B111" s="86"/>
      <c r="C111" s="88"/>
      <c r="D111" s="87" t="str">
        <f>IF(F111&lt;&gt;"",INDEX(tblSSTGlucose,SSTglucose,1),)</f>
        <v>Glucose 5% + NaCl 0,45%</v>
      </c>
      <c r="E111" s="117"/>
      <c r="F111" s="58" t="str">
        <f>IF(AND(OR(TPN=1,AND(TPN=2,SSTglucose&gt;10),Gewicht/10&gt;50),ROUND(ber_TPN!F6,0)&lt;&gt;0,SSTglucose&lt;&gt;2),ROUND(ber_TPN!F6,0)&amp;" ml","")</f>
        <v>672 ml</v>
      </c>
      <c r="L111" s="104" t="str">
        <f>IF(D111=0,"D","")</f>
        <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2881</v>
      </c>
      <c r="D125" s="399">
        <f>ber_Opm!C9</f>
        <v>0</v>
      </c>
      <c r="E125" s="400"/>
      <c r="F125" s="400"/>
      <c r="G125" s="400"/>
      <c r="H125" s="400"/>
      <c r="I125" s="400"/>
      <c r="J125" s="400"/>
      <c r="L125" s="104"/>
    </row>
    <row r="126" spans="1:12" ht="12.65" customHeight="1" x14ac:dyDescent="0.35">
      <c r="L126" s="104"/>
    </row>
    <row r="127" spans="1:12" ht="12.65" customHeight="1" x14ac:dyDescent="0.35">
      <c r="L127" s="104"/>
    </row>
    <row r="128" spans="1:12" ht="12.65" customHeight="1" x14ac:dyDescent="0.35">
      <c r="A128" s="66"/>
      <c r="B128" s="71" t="s">
        <v>3527</v>
      </c>
      <c r="C128" s="68"/>
      <c r="D128" s="66"/>
      <c r="E128" s="66"/>
      <c r="F128" s="66"/>
      <c r="G128" s="66"/>
      <c r="H128" s="66"/>
      <c r="I128" s="66"/>
      <c r="J128" s="66"/>
      <c r="L128" s="104"/>
    </row>
    <row r="129" spans="1:12" ht="12.65" customHeight="1" x14ac:dyDescent="0.35">
      <c r="B129" s="86"/>
      <c r="C129" s="87" t="str">
        <f>Intake!B31</f>
        <v>Vocht</v>
      </c>
      <c r="D129" s="58" t="str">
        <f>Intake!D31</f>
        <v>76 ml/kg</v>
      </c>
      <c r="E129" s="87" t="str">
        <f>Intake!B32</f>
        <v>Calorieen</v>
      </c>
      <c r="F129" s="58" t="str">
        <f>Intake!D32</f>
        <v>15 kCal/kg</v>
      </c>
      <c r="G129" s="87" t="str">
        <f>Intake!B35</f>
        <v>Kalium</v>
      </c>
      <c r="H129" s="58" t="str">
        <f>Intake!D35</f>
        <v>0 mmol/kg</v>
      </c>
      <c r="I129" s="87" t="str">
        <f>Intake!B34</f>
        <v xml:space="preserve">Natrium </v>
      </c>
      <c r="J129" s="58" t="str">
        <f>Intake!D34</f>
        <v>6.1 mmol/kg</v>
      </c>
      <c r="L129" s="104"/>
    </row>
    <row r="130" spans="1:12" ht="12.65" customHeight="1" x14ac:dyDescent="0.35">
      <c r="B130" s="86"/>
      <c r="C130" s="87" t="str">
        <f>Intake!H31</f>
        <v>Eiwit</v>
      </c>
      <c r="D130" s="58" t="str">
        <f>Intake!I31</f>
        <v>0  gram/kg</v>
      </c>
      <c r="E130" s="87" t="str">
        <f>Intake!H32</f>
        <v>Vet</v>
      </c>
      <c r="F130" s="58" t="str">
        <f>Intake!I32</f>
        <v>0.1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3.6 g/kg</v>
      </c>
      <c r="E131" s="90"/>
      <c r="F131" s="66"/>
      <c r="G131" s="91" t="s">
        <v>3118</v>
      </c>
      <c r="H131" s="66" t="str">
        <f>Intake!I34</f>
        <v>0 mmol/kg</v>
      </c>
      <c r="I131" s="90"/>
      <c r="J131" s="66"/>
      <c r="L131" s="104"/>
    </row>
    <row r="132" spans="1:12" ht="12.65" customHeight="1" x14ac:dyDescent="0.35">
      <c r="B132" s="86"/>
      <c r="C132" s="87" t="str">
        <f>BeademingCV!$Q$2</f>
        <v>Opnamedatum:</v>
      </c>
      <c r="D132" s="56">
        <f>BeademingCV!$V$2</f>
        <v>41827</v>
      </c>
      <c r="E132" s="87" t="str">
        <f>BeademingCV!$C$3</f>
        <v>Naam:</v>
      </c>
      <c r="F132" s="398" t="str">
        <f>BeademingCV!$H$3</f>
        <v>RSV, Bronchio</v>
      </c>
      <c r="G132" s="398"/>
      <c r="H132" s="88" t="s">
        <v>2762</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1348</v>
      </c>
      <c r="I133" s="58" t="str">
        <f>Lengte&amp;" cm"</f>
        <v>70 cm</v>
      </c>
      <c r="J133" s="57"/>
      <c r="L133" s="104"/>
    </row>
    <row r="134" spans="1:12" ht="12.65" customHeight="1" x14ac:dyDescent="0.35">
      <c r="D134" s="57"/>
      <c r="F134" s="57"/>
      <c r="H134" s="88" t="s">
        <v>1361</v>
      </c>
      <c r="I134" s="58" t="str">
        <f>ROUND(POWER(Gewicht/10,0.425)*POWER(((Lengte/100)*100),0.725)*0.007184,2)&amp;" m2"</f>
        <v>0.42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44" t="s">
        <v>2697</v>
      </c>
      <c r="G140" s="344" t="s">
        <v>1333</v>
      </c>
      <c r="L140" s="104"/>
    </row>
    <row r="141" spans="1:12" ht="25" customHeight="1" x14ac:dyDescent="0.4">
      <c r="A141" s="396" t="s">
        <v>1331</v>
      </c>
      <c r="B141" s="397"/>
      <c r="C141" s="147" t="s">
        <v>1332</v>
      </c>
      <c r="D141" s="147" t="s">
        <v>1334</v>
      </c>
      <c r="E141" s="396" t="s">
        <v>1336</v>
      </c>
      <c r="F141" s="397"/>
      <c r="G141" s="155" t="s">
        <v>1334</v>
      </c>
      <c r="H141" s="396" t="s">
        <v>1335</v>
      </c>
      <c r="I141" s="397"/>
      <c r="J141" s="155" t="s">
        <v>2437</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1337</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row>
    <row r="3" spans="1:10"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row>
    <row r="4" spans="1:10" x14ac:dyDescent="0.35">
      <c r="A4" s="58"/>
      <c r="B4" s="61"/>
      <c r="C4" s="58"/>
      <c r="D4" s="57"/>
      <c r="E4" s="58"/>
      <c r="F4" s="57"/>
      <c r="G4" s="58"/>
      <c r="H4" s="88" t="s">
        <v>1361</v>
      </c>
      <c r="I4" s="58" t="str">
        <f>ROUND(POWER(Gewicht/10,0.425)*POWER(((Lengte/100)*100),0.725)*0.007184,2)&amp;" m2"</f>
        <v>0.42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3189</v>
      </c>
      <c r="I10" s="88"/>
      <c r="J10" s="58">
        <f>IF(E10&lt;&gt;0,BeademingPLV!P14,)</f>
        <v>0</v>
      </c>
    </row>
    <row r="11" spans="1:10" x14ac:dyDescent="0.35">
      <c r="A11" s="58"/>
      <c r="B11" s="86"/>
      <c r="C11" s="88" t="s">
        <v>3763</v>
      </c>
      <c r="D11" s="88"/>
      <c r="E11" s="58" t="str">
        <f>IF(E10&lt;&gt;0,BeademingPLV!F16,"")</f>
        <v/>
      </c>
      <c r="F11" s="58"/>
      <c r="G11" s="58"/>
      <c r="H11" s="88" t="s">
        <v>2897</v>
      </c>
      <c r="I11" s="88"/>
      <c r="J11" s="57">
        <f>IF(E10&lt;&gt;0,BeademingPLV!P16,)</f>
        <v>0</v>
      </c>
    </row>
    <row r="12" spans="1:10" x14ac:dyDescent="0.35">
      <c r="A12" s="58"/>
      <c r="B12" s="86"/>
      <c r="C12" s="88" t="s">
        <v>3764</v>
      </c>
      <c r="D12" s="88"/>
      <c r="E12" s="58">
        <f>IF(E10&lt;&gt;0,BeademingPLV!F17,)</f>
        <v>0</v>
      </c>
      <c r="F12" s="58"/>
      <c r="G12" s="58"/>
      <c r="H12" s="88" t="s">
        <v>2136</v>
      </c>
      <c r="I12" s="88"/>
      <c r="J12" s="57">
        <f>IF(E10&lt;&gt;0,BeademingPLV!P17,)</f>
        <v>0</v>
      </c>
    </row>
    <row r="13" spans="1:10" x14ac:dyDescent="0.35">
      <c r="A13" s="58"/>
      <c r="B13" s="86"/>
      <c r="C13" s="88" t="s">
        <v>3765</v>
      </c>
      <c r="D13" s="88"/>
      <c r="E13" s="58">
        <f>IF(E10&lt;&gt;0,BeademingPLV!F18,)</f>
        <v>0</v>
      </c>
      <c r="F13" s="58"/>
      <c r="G13" s="58"/>
      <c r="H13" s="58"/>
    </row>
    <row r="14" spans="1:10" x14ac:dyDescent="0.35">
      <c r="A14" s="58"/>
      <c r="B14" s="86"/>
      <c r="C14" s="88" t="s">
        <v>3766</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2881</v>
      </c>
      <c r="D17" s="410">
        <f>ber_Opm!C2</f>
        <v>0</v>
      </c>
      <c r="E17" s="411"/>
      <c r="F17" s="411"/>
      <c r="G17" s="411"/>
      <c r="H17" s="411"/>
      <c r="I17" s="411"/>
      <c r="J17" s="411"/>
    </row>
    <row r="18" spans="1:12" x14ac:dyDescent="0.35">
      <c r="A18" s="58"/>
      <c r="B18" s="86"/>
      <c r="C18" s="88"/>
      <c r="D18" s="411"/>
      <c r="E18" s="411"/>
      <c r="F18" s="411"/>
      <c r="G18" s="411"/>
      <c r="H18" s="411"/>
      <c r="I18" s="411"/>
      <c r="J18" s="411"/>
    </row>
    <row r="19" spans="1:12" ht="7.55" customHeight="1"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v>8</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c r="K2" s="58"/>
    </row>
    <row r="3" spans="1:11"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c r="K3" s="58"/>
    </row>
    <row r="4" spans="1:11" x14ac:dyDescent="0.35">
      <c r="A4" s="58"/>
      <c r="B4" s="61"/>
      <c r="C4" s="58"/>
      <c r="D4" s="57"/>
      <c r="E4" s="58"/>
      <c r="F4" s="57"/>
      <c r="G4" s="58"/>
      <c r="H4" s="88" t="s">
        <v>1361</v>
      </c>
      <c r="I4" s="58" t="str">
        <f>ROUND(POWER(Gewicht/10,0.425)*POWER(((Lengte/100)*100),0.725)*0.007184,2)&amp;" m2"</f>
        <v>0.42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2897</v>
      </c>
      <c r="D12" s="88"/>
      <c r="E12" s="58">
        <f>BeademingHFO!H18</f>
        <v>0</v>
      </c>
      <c r="F12" s="58"/>
    </row>
    <row r="13" spans="1:11" x14ac:dyDescent="0.35">
      <c r="A13" s="58"/>
      <c r="B13" s="86"/>
      <c r="C13" s="88" t="s">
        <v>3762</v>
      </c>
      <c r="D13" s="88"/>
      <c r="E13" s="58">
        <f>BeademingHFO!Q17</f>
        <v>0</v>
      </c>
      <c r="F13" s="58"/>
    </row>
    <row r="14" spans="1:11" x14ac:dyDescent="0.35">
      <c r="A14" s="58"/>
      <c r="B14" s="86"/>
      <c r="C14" s="88" t="s">
        <v>2130</v>
      </c>
      <c r="D14" s="88"/>
      <c r="E14" s="58">
        <f>BeademingHFO!Q18</f>
        <v>0</v>
      </c>
      <c r="F14" s="58"/>
    </row>
    <row r="15" spans="1:11" x14ac:dyDescent="0.35">
      <c r="A15" s="58"/>
      <c r="B15" s="86"/>
      <c r="C15" s="88" t="s">
        <v>3190</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2881</v>
      </c>
      <c r="D17" s="410">
        <f>ber_Opm!C2</f>
        <v>0</v>
      </c>
      <c r="E17" s="411"/>
      <c r="F17" s="411"/>
      <c r="G17" s="411"/>
      <c r="H17" s="411"/>
      <c r="I17" s="411"/>
      <c r="J17" s="411"/>
      <c r="K17" s="61"/>
    </row>
    <row r="18" spans="1:12" x14ac:dyDescent="0.35">
      <c r="A18" s="58"/>
      <c r="B18" s="86"/>
      <c r="C18" s="88"/>
      <c r="D18" s="411"/>
      <c r="E18" s="411"/>
      <c r="F18" s="411"/>
      <c r="G18" s="411"/>
      <c r="H18" s="411"/>
      <c r="I18" s="411"/>
      <c r="J18" s="411"/>
      <c r="K18" s="61"/>
    </row>
    <row r="19" spans="1:12"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t="s">
        <v>327</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35">
      <c r="A2">
        <v>123456</v>
      </c>
      <c r="B2" s="42" t="e">
        <f ca="1">VANDAAG()</f>
        <v>#NAME?</v>
      </c>
      <c r="C2" s="42">
        <v>41827</v>
      </c>
      <c r="D2" t="s">
        <v>5127</v>
      </c>
      <c r="E2" t="s">
        <v>5128</v>
      </c>
      <c r="F2" s="42">
        <v>40909</v>
      </c>
      <c r="G2">
        <v>100</v>
      </c>
      <c r="H2">
        <v>70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v>42186.583599537036</v>
      </c>
    </row>
    <row r="3" spans="1:43" x14ac:dyDescent="0.35">
      <c r="C3" s="7"/>
      <c r="D3" s="7"/>
      <c r="E3" s="7"/>
      <c r="G3" s="7"/>
      <c r="K3">
        <v>20</v>
      </c>
      <c r="L3">
        <v>5</v>
      </c>
    </row>
    <row r="4" spans="1:43" x14ac:dyDescent="0.35">
      <c r="C4" s="7"/>
      <c r="D4" s="7"/>
      <c r="E4" s="7"/>
      <c r="G4" s="7"/>
    </row>
    <row r="12" spans="1:43" x14ac:dyDescent="0.35">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1818</v>
      </c>
      <c r="B1" t="s">
        <v>1819</v>
      </c>
    </row>
    <row r="2" spans="1:2 4305:4305" x14ac:dyDescent="0.35">
      <c r="A2" t="s">
        <v>2174</v>
      </c>
      <c r="B2" t="s">
        <v>5127</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1196</v>
      </c>
      <c r="B6">
        <v>2</v>
      </c>
    </row>
    <row r="7" spans="1:2 4305:4305" x14ac:dyDescent="0.35">
      <c r="A7" t="s">
        <v>1197</v>
      </c>
      <c r="B7">
        <v>10</v>
      </c>
    </row>
    <row r="8" spans="1:2 4305:4305" x14ac:dyDescent="0.35">
      <c r="A8" t="s">
        <v>1198</v>
      </c>
      <c r="B8">
        <v>5</v>
      </c>
    </row>
    <row r="9" spans="1:2 4305:4305" x14ac:dyDescent="0.35">
      <c r="A9" t="s">
        <v>3819</v>
      </c>
      <c r="B9">
        <v>10</v>
      </c>
    </row>
    <row r="10" spans="1:2 4305:4305" x14ac:dyDescent="0.35">
      <c r="A10" t="s">
        <v>4642</v>
      </c>
      <c r="B10">
        <v>1</v>
      </c>
    </row>
    <row r="11" spans="1:2 4305:4305" x14ac:dyDescent="0.35">
      <c r="A11" t="s">
        <v>4635</v>
      </c>
    </row>
    <row r="12" spans="1:2 4305:4305" x14ac:dyDescent="0.35">
      <c r="A12" t="s">
        <v>4636</v>
      </c>
      <c r="B12">
        <v>5</v>
      </c>
    </row>
    <row r="13" spans="1:2 4305:4305" x14ac:dyDescent="0.35">
      <c r="A13" t="s">
        <v>4637</v>
      </c>
    </row>
    <row r="14" spans="1:2 4305:4305" x14ac:dyDescent="0.35">
      <c r="A14" t="s">
        <v>3820</v>
      </c>
      <c r="B14">
        <v>1</v>
      </c>
    </row>
    <row r="15" spans="1:2 4305:4305" x14ac:dyDescent="0.35">
      <c r="A15" t="s">
        <v>4638</v>
      </c>
    </row>
    <row r="16" spans="1:2 4305:4305" x14ac:dyDescent="0.35">
      <c r="A16" t="s">
        <v>4639</v>
      </c>
      <c r="B16">
        <v>50</v>
      </c>
    </row>
    <row r="17" spans="1:2" x14ac:dyDescent="0.35">
      <c r="A17" t="s">
        <v>4640</v>
      </c>
      <c r="B17">
        <v>5</v>
      </c>
    </row>
    <row r="18" spans="1:2" x14ac:dyDescent="0.35">
      <c r="A18" t="s">
        <v>4641</v>
      </c>
      <c r="B18">
        <v>500</v>
      </c>
    </row>
    <row r="19" spans="1:2" x14ac:dyDescent="0.35">
      <c r="A19" t="s">
        <v>3821</v>
      </c>
      <c r="B19">
        <v>10</v>
      </c>
    </row>
    <row r="20" spans="1:2" x14ac:dyDescent="0.35">
      <c r="A20" t="s">
        <v>3822</v>
      </c>
      <c r="B20">
        <v>50</v>
      </c>
    </row>
    <row r="21" spans="1:2" x14ac:dyDescent="0.35">
      <c r="A21" t="s">
        <v>3823</v>
      </c>
      <c r="B21">
        <v>150</v>
      </c>
    </row>
    <row r="22" spans="1:2" x14ac:dyDescent="0.35">
      <c r="A22" t="s">
        <v>3824</v>
      </c>
      <c r="B22">
        <v>2500</v>
      </c>
    </row>
    <row r="23" spans="1:2" x14ac:dyDescent="0.35">
      <c r="A23" t="s">
        <v>3825</v>
      </c>
      <c r="B23">
        <v>200</v>
      </c>
    </row>
    <row r="24" spans="1:2" x14ac:dyDescent="0.35">
      <c r="A24" t="s">
        <v>3826</v>
      </c>
      <c r="B24">
        <v>50</v>
      </c>
    </row>
    <row r="25" spans="1:2" x14ac:dyDescent="0.35">
      <c r="A25" t="s">
        <v>3827</v>
      </c>
      <c r="B25">
        <v>100</v>
      </c>
    </row>
    <row r="26" spans="1:2" x14ac:dyDescent="0.35">
      <c r="A26" t="s">
        <v>2687</v>
      </c>
      <c r="B26">
        <v>1</v>
      </c>
    </row>
    <row r="27" spans="1:2" x14ac:dyDescent="0.35">
      <c r="A27" t="s">
        <v>1173</v>
      </c>
      <c r="B27" t="s">
        <v>3508</v>
      </c>
    </row>
    <row r="28" spans="1:2" x14ac:dyDescent="0.35">
      <c r="A28" t="s">
        <v>3719</v>
      </c>
      <c r="B28" t="b">
        <v>0</v>
      </c>
    </row>
    <row r="29" spans="1:2" x14ac:dyDescent="0.35">
      <c r="A29" t="s">
        <v>3720</v>
      </c>
    </row>
    <row r="30" spans="1:2" x14ac:dyDescent="0.35">
      <c r="A30" t="s">
        <v>2130</v>
      </c>
    </row>
    <row r="31" spans="1:2" x14ac:dyDescent="0.35">
      <c r="A31" t="s">
        <v>2696</v>
      </c>
      <c r="B31" t="b">
        <v>1</v>
      </c>
    </row>
    <row r="32" spans="1:2" x14ac:dyDescent="0.35">
      <c r="A32" t="s">
        <v>3917</v>
      </c>
    </row>
    <row r="33" spans="1:2" x14ac:dyDescent="0.35">
      <c r="A33" t="s">
        <v>3520</v>
      </c>
    </row>
    <row r="34" spans="1:2" x14ac:dyDescent="0.35">
      <c r="A34" t="s">
        <v>3522</v>
      </c>
    </row>
    <row r="35" spans="1:2" x14ac:dyDescent="0.35">
      <c r="A35" t="s">
        <v>3524</v>
      </c>
    </row>
    <row r="36" spans="1:2" x14ac:dyDescent="0.35">
      <c r="A36" t="s">
        <v>3526</v>
      </c>
    </row>
    <row r="37" spans="1:2" x14ac:dyDescent="0.35">
      <c r="A37" t="s">
        <v>3632</v>
      </c>
    </row>
    <row r="38" spans="1:2" x14ac:dyDescent="0.35">
      <c r="A38" t="s">
        <v>3634</v>
      </c>
    </row>
    <row r="39" spans="1:2" x14ac:dyDescent="0.35">
      <c r="A39" t="s">
        <v>3683</v>
      </c>
    </row>
    <row r="40" spans="1:2" x14ac:dyDescent="0.35">
      <c r="A40" t="s">
        <v>3685</v>
      </c>
    </row>
    <row r="41" spans="1:2" x14ac:dyDescent="0.35">
      <c r="A41" t="s">
        <v>3687</v>
      </c>
    </row>
    <row r="42" spans="1:2" x14ac:dyDescent="0.35">
      <c r="A42" t="s">
        <v>3640</v>
      </c>
    </row>
    <row r="43" spans="1:2" x14ac:dyDescent="0.35">
      <c r="A43" t="s">
        <v>3645</v>
      </c>
    </row>
    <row r="44" spans="1:2" x14ac:dyDescent="0.35">
      <c r="A44" t="s">
        <v>460</v>
      </c>
      <c r="B44">
        <v>5</v>
      </c>
    </row>
    <row r="45" spans="1:2" x14ac:dyDescent="0.35">
      <c r="A45" t="s">
        <v>461</v>
      </c>
    </row>
    <row r="46" spans="1:2" x14ac:dyDescent="0.35">
      <c r="A46" t="s">
        <v>462</v>
      </c>
    </row>
    <row r="47" spans="1:2" x14ac:dyDescent="0.35">
      <c r="A47" t="s">
        <v>463</v>
      </c>
    </row>
    <row r="48" spans="1:2" x14ac:dyDescent="0.35">
      <c r="A48" t="s">
        <v>65</v>
      </c>
    </row>
    <row r="49" spans="1:2" x14ac:dyDescent="0.35">
      <c r="A49" t="s">
        <v>66</v>
      </c>
    </row>
    <row r="50" spans="1:2" x14ac:dyDescent="0.35">
      <c r="A50" t="s">
        <v>3428</v>
      </c>
    </row>
    <row r="51" spans="1:2" x14ac:dyDescent="0.35">
      <c r="A51" t="s">
        <v>3429</v>
      </c>
    </row>
    <row r="52" spans="1:2" x14ac:dyDescent="0.35">
      <c r="A52" t="s">
        <v>3430</v>
      </c>
    </row>
    <row r="53" spans="1:2" x14ac:dyDescent="0.35">
      <c r="A53" t="s">
        <v>3431</v>
      </c>
    </row>
    <row r="54" spans="1:2" x14ac:dyDescent="0.35">
      <c r="A54" t="s">
        <v>2194</v>
      </c>
    </row>
    <row r="55" spans="1:2" x14ac:dyDescent="0.35">
      <c r="A55" t="s">
        <v>2195</v>
      </c>
      <c r="B55">
        <v>10</v>
      </c>
    </row>
    <row r="56" spans="1:2" x14ac:dyDescent="0.35">
      <c r="A56" t="s">
        <v>2196</v>
      </c>
    </row>
    <row r="57" spans="1:2" x14ac:dyDescent="0.35">
      <c r="A57" t="s">
        <v>2197</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846</v>
      </c>
    </row>
    <row r="64" spans="1:2" x14ac:dyDescent="0.35">
      <c r="A64" t="s">
        <v>3637</v>
      </c>
      <c r="B64">
        <v>30</v>
      </c>
    </row>
    <row r="65" spans="1:2" x14ac:dyDescent="0.35">
      <c r="A65" t="s">
        <v>3644</v>
      </c>
    </row>
    <row r="66" spans="1:2" x14ac:dyDescent="0.35">
      <c r="A66" t="s">
        <v>1350</v>
      </c>
      <c r="B66">
        <v>1</v>
      </c>
    </row>
    <row r="67" spans="1:2" x14ac:dyDescent="0.35">
      <c r="A67" t="s">
        <v>847</v>
      </c>
      <c r="B67" t="s">
        <v>1844</v>
      </c>
    </row>
    <row r="68" spans="1:2" x14ac:dyDescent="0.35">
      <c r="A68" t="s">
        <v>848</v>
      </c>
    </row>
    <row r="69" spans="1:2" x14ac:dyDescent="0.35">
      <c r="A69" t="s">
        <v>849</v>
      </c>
    </row>
    <row r="70" spans="1:2" x14ac:dyDescent="0.35">
      <c r="A70" t="s">
        <v>850</v>
      </c>
    </row>
    <row r="71" spans="1:2" x14ac:dyDescent="0.35">
      <c r="A71" t="s">
        <v>851</v>
      </c>
    </row>
    <row r="72" spans="1:2" x14ac:dyDescent="0.35">
      <c r="A72" t="s">
        <v>852</v>
      </c>
    </row>
    <row r="73" spans="1:2" x14ac:dyDescent="0.35">
      <c r="A73" t="s">
        <v>853</v>
      </c>
    </row>
    <row r="74" spans="1:2" x14ac:dyDescent="0.35">
      <c r="A74" t="s">
        <v>854</v>
      </c>
    </row>
    <row r="75" spans="1:2" x14ac:dyDescent="0.35">
      <c r="A75" t="s">
        <v>855</v>
      </c>
    </row>
    <row r="76" spans="1:2" x14ac:dyDescent="0.35">
      <c r="A76" t="s">
        <v>856</v>
      </c>
    </row>
    <row r="77" spans="1:2" x14ac:dyDescent="0.35">
      <c r="A77" t="s">
        <v>857</v>
      </c>
    </row>
    <row r="78" spans="1:2" x14ac:dyDescent="0.35">
      <c r="A78" t="s">
        <v>858</v>
      </c>
      <c r="B78" t="s">
        <v>2039</v>
      </c>
    </row>
    <row r="79" spans="1:2" x14ac:dyDescent="0.35">
      <c r="A79" t="s">
        <v>859</v>
      </c>
    </row>
    <row r="80" spans="1:2" x14ac:dyDescent="0.35">
      <c r="A80" t="s">
        <v>860</v>
      </c>
      <c r="B80" t="s">
        <v>1844</v>
      </c>
    </row>
    <row r="81" spans="1:2" x14ac:dyDescent="0.35">
      <c r="A81" t="s">
        <v>861</v>
      </c>
    </row>
    <row r="82" spans="1:2" x14ac:dyDescent="0.35">
      <c r="A82" t="s">
        <v>862</v>
      </c>
    </row>
    <row r="83" spans="1:2" x14ac:dyDescent="0.35">
      <c r="A83" t="s">
        <v>863</v>
      </c>
    </row>
    <row r="84" spans="1:2" x14ac:dyDescent="0.35">
      <c r="A84" t="s">
        <v>2260</v>
      </c>
    </row>
    <row r="85" spans="1:2" x14ac:dyDescent="0.35">
      <c r="A85" t="s">
        <v>2261</v>
      </c>
    </row>
    <row r="86" spans="1:2" x14ac:dyDescent="0.35">
      <c r="A86" t="s">
        <v>2328</v>
      </c>
    </row>
    <row r="87" spans="1:2" x14ac:dyDescent="0.35">
      <c r="A87" t="s">
        <v>2331</v>
      </c>
      <c r="B87">
        <v>30</v>
      </c>
    </row>
    <row r="88" spans="1:2" x14ac:dyDescent="0.35">
      <c r="A88" t="s">
        <v>3651</v>
      </c>
      <c r="B88">
        <v>30</v>
      </c>
    </row>
    <row r="89" spans="1:2" x14ac:dyDescent="0.35">
      <c r="A89" t="s">
        <v>3638</v>
      </c>
    </row>
    <row r="90" spans="1:2" x14ac:dyDescent="0.35">
      <c r="A90" t="s">
        <v>3642</v>
      </c>
    </row>
    <row r="91" spans="1:2" x14ac:dyDescent="0.35">
      <c r="A91" t="s">
        <v>1602</v>
      </c>
      <c r="B91">
        <v>6</v>
      </c>
    </row>
    <row r="92" spans="1:2" x14ac:dyDescent="0.35">
      <c r="A92" t="s">
        <v>1603</v>
      </c>
    </row>
    <row r="93" spans="1:2" x14ac:dyDescent="0.35">
      <c r="A93" t="s">
        <v>1604</v>
      </c>
    </row>
    <row r="94" spans="1:2" x14ac:dyDescent="0.35">
      <c r="A94" t="s">
        <v>1605</v>
      </c>
    </row>
    <row r="95" spans="1:2" x14ac:dyDescent="0.35">
      <c r="A95" t="s">
        <v>2176</v>
      </c>
      <c r="B95">
        <v>40909</v>
      </c>
    </row>
    <row r="96" spans="1:2" x14ac:dyDescent="0.35">
      <c r="A96" t="s">
        <v>2762</v>
      </c>
      <c r="B96">
        <v>100</v>
      </c>
    </row>
    <row r="97" spans="1:2" x14ac:dyDescent="0.35">
      <c r="A97" t="s">
        <v>2686</v>
      </c>
      <c r="B97" t="b">
        <v>0</v>
      </c>
    </row>
    <row r="98" spans="1:2" x14ac:dyDescent="0.35">
      <c r="A98" t="s">
        <v>1570</v>
      </c>
      <c r="B98">
        <v>24</v>
      </c>
    </row>
    <row r="99" spans="1:2" x14ac:dyDescent="0.35">
      <c r="A99" t="s">
        <v>1571</v>
      </c>
      <c r="B99">
        <v>29</v>
      </c>
    </row>
    <row r="100" spans="1:2" x14ac:dyDescent="0.35">
      <c r="A100" t="s">
        <v>1572</v>
      </c>
      <c r="B100">
        <v>1</v>
      </c>
    </row>
    <row r="101" spans="1:2" x14ac:dyDescent="0.35">
      <c r="A101" t="s">
        <v>1573</v>
      </c>
      <c r="B101">
        <v>1</v>
      </c>
    </row>
    <row r="102" spans="1:2" x14ac:dyDescent="0.35">
      <c r="A102" t="s">
        <v>1574</v>
      </c>
      <c r="B102">
        <v>1</v>
      </c>
    </row>
    <row r="103" spans="1:2" x14ac:dyDescent="0.35">
      <c r="A103" t="s">
        <v>3773</v>
      </c>
      <c r="B103">
        <v>1</v>
      </c>
    </row>
    <row r="104" spans="1:2" x14ac:dyDescent="0.35">
      <c r="A104" t="s">
        <v>3643</v>
      </c>
    </row>
    <row r="105" spans="1:2" x14ac:dyDescent="0.35">
      <c r="A105" t="s">
        <v>3774</v>
      </c>
      <c r="B105">
        <v>5</v>
      </c>
    </row>
    <row r="106" spans="1:2" x14ac:dyDescent="0.35">
      <c r="A106" t="s">
        <v>3775</v>
      </c>
      <c r="B106">
        <v>20</v>
      </c>
    </row>
    <row r="107" spans="1:2" x14ac:dyDescent="0.35">
      <c r="A107" t="s">
        <v>3776</v>
      </c>
      <c r="B107">
        <v>15</v>
      </c>
    </row>
    <row r="108" spans="1:2" x14ac:dyDescent="0.35">
      <c r="A108" t="s">
        <v>3777</v>
      </c>
      <c r="B108">
        <v>10</v>
      </c>
    </row>
    <row r="109" spans="1:2" x14ac:dyDescent="0.35">
      <c r="A109" t="s">
        <v>3778</v>
      </c>
      <c r="B109">
        <v>10</v>
      </c>
    </row>
    <row r="110" spans="1:2" x14ac:dyDescent="0.35">
      <c r="A110" t="s">
        <v>2660</v>
      </c>
      <c r="B110">
        <v>10</v>
      </c>
    </row>
    <row r="111" spans="1:2" x14ac:dyDescent="0.35">
      <c r="A111" t="s">
        <v>2661</v>
      </c>
      <c r="B111">
        <v>30</v>
      </c>
    </row>
    <row r="112" spans="1:2" x14ac:dyDescent="0.35">
      <c r="A112" t="s">
        <v>2662</v>
      </c>
      <c r="B112">
        <v>240</v>
      </c>
    </row>
    <row r="113" spans="1:2" x14ac:dyDescent="0.35">
      <c r="A113" t="s">
        <v>5091</v>
      </c>
    </row>
    <row r="114" spans="1:2" x14ac:dyDescent="0.35">
      <c r="A114" t="s">
        <v>5092</v>
      </c>
      <c r="B114">
        <v>10</v>
      </c>
    </row>
    <row r="115" spans="1:2" x14ac:dyDescent="0.35">
      <c r="A115" t="s">
        <v>5093</v>
      </c>
    </row>
    <row r="116" spans="1:2" x14ac:dyDescent="0.35">
      <c r="A116" t="s">
        <v>3779</v>
      </c>
      <c r="B116">
        <v>10</v>
      </c>
    </row>
    <row r="117" spans="1:2" x14ac:dyDescent="0.35">
      <c r="A117" t="s">
        <v>4643</v>
      </c>
    </row>
    <row r="118" spans="1:2" x14ac:dyDescent="0.35">
      <c r="A118" t="s">
        <v>4644</v>
      </c>
      <c r="B118">
        <v>6</v>
      </c>
    </row>
    <row r="119" spans="1:2" x14ac:dyDescent="0.35">
      <c r="A119" t="s">
        <v>5089</v>
      </c>
      <c r="B119">
        <v>2</v>
      </c>
    </row>
    <row r="120" spans="1:2" x14ac:dyDescent="0.35">
      <c r="A120" t="s">
        <v>5090</v>
      </c>
      <c r="B120">
        <v>70</v>
      </c>
    </row>
    <row r="121" spans="1:2" x14ac:dyDescent="0.35">
      <c r="A121" t="s">
        <v>3780</v>
      </c>
      <c r="B121">
        <v>5</v>
      </c>
    </row>
    <row r="122" spans="1:2" x14ac:dyDescent="0.35">
      <c r="A122" t="s">
        <v>3781</v>
      </c>
      <c r="B122">
        <v>25</v>
      </c>
    </row>
    <row r="123" spans="1:2" x14ac:dyDescent="0.35">
      <c r="A123" t="s">
        <v>3782</v>
      </c>
      <c r="B123">
        <v>100</v>
      </c>
    </row>
    <row r="124" spans="1:2" x14ac:dyDescent="0.35">
      <c r="A124" t="s">
        <v>3783</v>
      </c>
      <c r="B124">
        <v>10</v>
      </c>
    </row>
    <row r="125" spans="1:2" x14ac:dyDescent="0.35">
      <c r="A125" t="s">
        <v>3784</v>
      </c>
      <c r="B125">
        <v>5</v>
      </c>
    </row>
    <row r="126" spans="1:2" x14ac:dyDescent="0.35">
      <c r="A126" t="s">
        <v>3785</v>
      </c>
      <c r="B126">
        <v>10</v>
      </c>
    </row>
    <row r="127" spans="1:2" x14ac:dyDescent="0.35">
      <c r="A127" t="s">
        <v>2184</v>
      </c>
      <c r="B127">
        <v>5</v>
      </c>
    </row>
    <row r="128" spans="1:2" x14ac:dyDescent="0.35">
      <c r="A128" t="s">
        <v>4082</v>
      </c>
      <c r="B128">
        <v>10</v>
      </c>
    </row>
    <row r="129" spans="1:2" x14ac:dyDescent="0.35">
      <c r="A129" t="s">
        <v>4083</v>
      </c>
      <c r="B129">
        <v>10</v>
      </c>
    </row>
    <row r="130" spans="1:2" x14ac:dyDescent="0.35">
      <c r="A130" t="s">
        <v>4084</v>
      </c>
      <c r="B130">
        <v>10</v>
      </c>
    </row>
    <row r="131" spans="1:2" x14ac:dyDescent="0.35">
      <c r="A131" t="s">
        <v>4085</v>
      </c>
      <c r="B131">
        <v>10</v>
      </c>
    </row>
    <row r="132" spans="1:2" x14ac:dyDescent="0.35">
      <c r="A132" t="s">
        <v>4086</v>
      </c>
      <c r="B132">
        <v>10</v>
      </c>
    </row>
    <row r="133" spans="1:2" x14ac:dyDescent="0.35">
      <c r="A133" t="s">
        <v>3210</v>
      </c>
      <c r="B133">
        <v>10</v>
      </c>
    </row>
    <row r="134" spans="1:2" x14ac:dyDescent="0.35">
      <c r="A134" t="s">
        <v>3211</v>
      </c>
      <c r="B134">
        <v>10</v>
      </c>
    </row>
    <row r="135" spans="1:2" x14ac:dyDescent="0.35">
      <c r="A135" t="s">
        <v>2659</v>
      </c>
      <c r="B135">
        <v>10</v>
      </c>
    </row>
    <row r="136" spans="1:2" x14ac:dyDescent="0.35">
      <c r="A136" t="s">
        <v>5098</v>
      </c>
    </row>
    <row r="137" spans="1:2" x14ac:dyDescent="0.35">
      <c r="A137" t="s">
        <v>5099</v>
      </c>
      <c r="B137">
        <v>10</v>
      </c>
    </row>
    <row r="138" spans="1:2" x14ac:dyDescent="0.35">
      <c r="A138" t="s">
        <v>5100</v>
      </c>
    </row>
    <row r="139" spans="1:2" x14ac:dyDescent="0.35">
      <c r="A139" t="s">
        <v>4087</v>
      </c>
      <c r="B139">
        <v>10</v>
      </c>
    </row>
    <row r="140" spans="1:2" x14ac:dyDescent="0.35">
      <c r="A140" t="s">
        <v>5094</v>
      </c>
    </row>
    <row r="141" spans="1:2" x14ac:dyDescent="0.35">
      <c r="A141" t="s">
        <v>5095</v>
      </c>
      <c r="B141">
        <v>10</v>
      </c>
    </row>
    <row r="142" spans="1:2" x14ac:dyDescent="0.35">
      <c r="A142" t="s">
        <v>5096</v>
      </c>
      <c r="B142">
        <v>10</v>
      </c>
    </row>
    <row r="143" spans="1:2" x14ac:dyDescent="0.35">
      <c r="A143" t="s">
        <v>5097</v>
      </c>
      <c r="B143">
        <v>10</v>
      </c>
    </row>
    <row r="144" spans="1:2" x14ac:dyDescent="0.35">
      <c r="A144" t="s">
        <v>4088</v>
      </c>
      <c r="B144">
        <v>10</v>
      </c>
    </row>
    <row r="145" spans="1:2" x14ac:dyDescent="0.35">
      <c r="A145" t="s">
        <v>1678</v>
      </c>
      <c r="B145">
        <v>10</v>
      </c>
    </row>
    <row r="146" spans="1:2" x14ac:dyDescent="0.35">
      <c r="A146" t="s">
        <v>2215</v>
      </c>
      <c r="B146">
        <v>10</v>
      </c>
    </row>
    <row r="147" spans="1:2" x14ac:dyDescent="0.35">
      <c r="A147" t="s">
        <v>3219</v>
      </c>
      <c r="B147">
        <v>10</v>
      </c>
    </row>
    <row r="148" spans="1:2" x14ac:dyDescent="0.35">
      <c r="A148" t="s">
        <v>3222</v>
      </c>
      <c r="B148">
        <v>10</v>
      </c>
    </row>
    <row r="149" spans="1:2" x14ac:dyDescent="0.35">
      <c r="A149" t="s">
        <v>464</v>
      </c>
      <c r="B149">
        <v>10</v>
      </c>
    </row>
    <row r="150" spans="1:2" x14ac:dyDescent="0.35">
      <c r="A150" t="s">
        <v>465</v>
      </c>
      <c r="B150">
        <v>10</v>
      </c>
    </row>
    <row r="151" spans="1:2" x14ac:dyDescent="0.35">
      <c r="A151" t="s">
        <v>1380</v>
      </c>
      <c r="B151" t="b">
        <v>1</v>
      </c>
    </row>
    <row r="152" spans="1:2" x14ac:dyDescent="0.35">
      <c r="A152" t="s">
        <v>3588</v>
      </c>
    </row>
    <row r="153" spans="1:2" x14ac:dyDescent="0.35">
      <c r="A153" t="s">
        <v>1381</v>
      </c>
    </row>
    <row r="154" spans="1:2" x14ac:dyDescent="0.35">
      <c r="A154" t="s">
        <v>3589</v>
      </c>
    </row>
    <row r="155" spans="1:2" x14ac:dyDescent="0.35">
      <c r="A155" t="s">
        <v>1606</v>
      </c>
      <c r="B155">
        <v>3</v>
      </c>
    </row>
    <row r="156" spans="1:2" x14ac:dyDescent="0.35">
      <c r="A156" t="s">
        <v>1607</v>
      </c>
    </row>
    <row r="157" spans="1:2" x14ac:dyDescent="0.35">
      <c r="A157" t="s">
        <v>1608</v>
      </c>
    </row>
    <row r="158" spans="1:2" x14ac:dyDescent="0.35">
      <c r="A158" t="s">
        <v>1609</v>
      </c>
    </row>
    <row r="159" spans="1:2" x14ac:dyDescent="0.35">
      <c r="A159" t="s">
        <v>3117</v>
      </c>
      <c r="B159" t="b">
        <v>0</v>
      </c>
    </row>
    <row r="160" spans="1:2" x14ac:dyDescent="0.35">
      <c r="A160" t="s">
        <v>381</v>
      </c>
    </row>
    <row r="161" spans="1:3" x14ac:dyDescent="0.35">
      <c r="A161" t="s">
        <v>3828</v>
      </c>
      <c r="B161" t="b">
        <v>0</v>
      </c>
      <c r="C161" t="s">
        <v>2330</v>
      </c>
    </row>
    <row r="162" spans="1:3" x14ac:dyDescent="0.35">
      <c r="A162" t="s">
        <v>3836</v>
      </c>
      <c r="B162" t="b">
        <v>0</v>
      </c>
      <c r="C162" t="s">
        <v>2330</v>
      </c>
    </row>
    <row r="163" spans="1:3" x14ac:dyDescent="0.35">
      <c r="A163" t="s">
        <v>3837</v>
      </c>
      <c r="C163" t="s">
        <v>2330</v>
      </c>
    </row>
    <row r="164" spans="1:3" x14ac:dyDescent="0.35">
      <c r="A164" t="s">
        <v>1566</v>
      </c>
      <c r="B164" t="b">
        <v>0</v>
      </c>
      <c r="C164" t="s">
        <v>2330</v>
      </c>
    </row>
    <row r="165" spans="1:3" x14ac:dyDescent="0.35">
      <c r="A165" t="s">
        <v>1567</v>
      </c>
      <c r="B165" t="b">
        <v>0</v>
      </c>
      <c r="C165" t="s">
        <v>2330</v>
      </c>
    </row>
    <row r="166" spans="1:3" x14ac:dyDescent="0.35">
      <c r="A166" t="s">
        <v>1568</v>
      </c>
      <c r="C166" t="s">
        <v>2330</v>
      </c>
    </row>
    <row r="167" spans="1:3" x14ac:dyDescent="0.35">
      <c r="A167" t="s">
        <v>1569</v>
      </c>
      <c r="C167" t="s">
        <v>2330</v>
      </c>
    </row>
    <row r="168" spans="1:3" x14ac:dyDescent="0.35">
      <c r="A168" t="s">
        <v>2911</v>
      </c>
      <c r="C168" t="s">
        <v>2330</v>
      </c>
    </row>
    <row r="169" spans="1:3" x14ac:dyDescent="0.35">
      <c r="A169" t="s">
        <v>2912</v>
      </c>
      <c r="C169" t="s">
        <v>2330</v>
      </c>
    </row>
    <row r="170" spans="1:3" x14ac:dyDescent="0.35">
      <c r="A170" t="s">
        <v>3829</v>
      </c>
      <c r="C170" t="s">
        <v>2330</v>
      </c>
    </row>
    <row r="171" spans="1:3" x14ac:dyDescent="0.35">
      <c r="A171" t="s">
        <v>3830</v>
      </c>
      <c r="C171" t="s">
        <v>2330</v>
      </c>
    </row>
    <row r="172" spans="1:3" x14ac:dyDescent="0.35">
      <c r="A172" t="s">
        <v>3831</v>
      </c>
      <c r="C172" t="s">
        <v>2330</v>
      </c>
    </row>
    <row r="173" spans="1:3" x14ac:dyDescent="0.35">
      <c r="A173" t="s">
        <v>3832</v>
      </c>
      <c r="C173" t="s">
        <v>2330</v>
      </c>
    </row>
    <row r="174" spans="1:3" x14ac:dyDescent="0.35">
      <c r="A174" t="s">
        <v>3833</v>
      </c>
      <c r="C174" t="s">
        <v>2330</v>
      </c>
    </row>
    <row r="175" spans="1:3" x14ac:dyDescent="0.35">
      <c r="A175" t="s">
        <v>3834</v>
      </c>
      <c r="C175" t="s">
        <v>2330</v>
      </c>
    </row>
    <row r="176" spans="1:3" x14ac:dyDescent="0.35">
      <c r="A176" t="s">
        <v>3835</v>
      </c>
      <c r="C176" t="s">
        <v>2330</v>
      </c>
    </row>
    <row r="177" spans="1:3" x14ac:dyDescent="0.35">
      <c r="A177" t="s">
        <v>1145</v>
      </c>
      <c r="C177" t="s">
        <v>2330</v>
      </c>
    </row>
    <row r="178" spans="1:3" x14ac:dyDescent="0.35">
      <c r="A178" t="s">
        <v>1146</v>
      </c>
      <c r="C178" t="s">
        <v>2330</v>
      </c>
    </row>
    <row r="179" spans="1:3" x14ac:dyDescent="0.35">
      <c r="A179" t="s">
        <v>1147</v>
      </c>
      <c r="C179" t="s">
        <v>2330</v>
      </c>
    </row>
    <row r="180" spans="1:3" x14ac:dyDescent="0.35">
      <c r="A180" t="s">
        <v>1148</v>
      </c>
      <c r="C180" t="s">
        <v>2330</v>
      </c>
    </row>
    <row r="181" spans="1:3" x14ac:dyDescent="0.35">
      <c r="A181" t="s">
        <v>1149</v>
      </c>
      <c r="C181" t="s">
        <v>2330</v>
      </c>
    </row>
    <row r="182" spans="1:3" x14ac:dyDescent="0.35">
      <c r="A182" t="s">
        <v>1150</v>
      </c>
      <c r="C182" t="s">
        <v>2330</v>
      </c>
    </row>
    <row r="183" spans="1:3" x14ac:dyDescent="0.35">
      <c r="A183" t="s">
        <v>1151</v>
      </c>
      <c r="C183" t="s">
        <v>2330</v>
      </c>
    </row>
    <row r="184" spans="1:3" x14ac:dyDescent="0.35">
      <c r="A184" t="s">
        <v>1152</v>
      </c>
      <c r="C184" t="s">
        <v>2330</v>
      </c>
    </row>
    <row r="185" spans="1:3" x14ac:dyDescent="0.35">
      <c r="A185" t="s">
        <v>1153</v>
      </c>
      <c r="C185" t="s">
        <v>2330</v>
      </c>
    </row>
    <row r="186" spans="1:3" x14ac:dyDescent="0.35">
      <c r="A186" t="s">
        <v>1154</v>
      </c>
      <c r="C186" t="s">
        <v>2330</v>
      </c>
    </row>
    <row r="187" spans="1:3" x14ac:dyDescent="0.35">
      <c r="A187" t="s">
        <v>1155</v>
      </c>
      <c r="C187" t="s">
        <v>2330</v>
      </c>
    </row>
    <row r="188" spans="1:3" x14ac:dyDescent="0.35">
      <c r="A188" t="s">
        <v>1156</v>
      </c>
      <c r="B188" t="b">
        <v>1</v>
      </c>
      <c r="C188" t="s">
        <v>241</v>
      </c>
    </row>
    <row r="189" spans="1:3" x14ac:dyDescent="0.35">
      <c r="A189" t="s">
        <v>1157</v>
      </c>
      <c r="B189" t="b">
        <v>1</v>
      </c>
      <c r="C189" t="s">
        <v>242</v>
      </c>
    </row>
    <row r="190" spans="1:3" x14ac:dyDescent="0.35">
      <c r="A190" t="s">
        <v>1158</v>
      </c>
      <c r="C190" t="s">
        <v>2330</v>
      </c>
    </row>
    <row r="191" spans="1:3" x14ac:dyDescent="0.35">
      <c r="A191" t="s">
        <v>1159</v>
      </c>
      <c r="B191" t="b">
        <v>1</v>
      </c>
      <c r="C191" t="s">
        <v>243</v>
      </c>
    </row>
    <row r="192" spans="1:3" x14ac:dyDescent="0.35">
      <c r="A192" t="s">
        <v>1160</v>
      </c>
      <c r="B192" t="b">
        <v>0</v>
      </c>
      <c r="C192" t="s">
        <v>2330</v>
      </c>
    </row>
    <row r="193" spans="1:3" x14ac:dyDescent="0.35">
      <c r="A193" t="s">
        <v>2580</v>
      </c>
      <c r="C193" t="s">
        <v>2330</v>
      </c>
    </row>
    <row r="194" spans="1:3" x14ac:dyDescent="0.35">
      <c r="A194" t="s">
        <v>2581</v>
      </c>
      <c r="C194" t="s">
        <v>2330</v>
      </c>
    </row>
    <row r="195" spans="1:3" x14ac:dyDescent="0.35">
      <c r="A195" t="s">
        <v>2582</v>
      </c>
      <c r="C195" t="s">
        <v>2330</v>
      </c>
    </row>
    <row r="196" spans="1:3" x14ac:dyDescent="0.35">
      <c r="A196" t="s">
        <v>2583</v>
      </c>
      <c r="C196" t="s">
        <v>2330</v>
      </c>
    </row>
    <row r="197" spans="1:3" x14ac:dyDescent="0.35">
      <c r="A197" t="s">
        <v>2584</v>
      </c>
      <c r="C197" t="s">
        <v>2330</v>
      </c>
    </row>
    <row r="198" spans="1:3" x14ac:dyDescent="0.35">
      <c r="A198" t="s">
        <v>2585</v>
      </c>
      <c r="C198" t="s">
        <v>2330</v>
      </c>
    </row>
    <row r="199" spans="1:3" x14ac:dyDescent="0.35">
      <c r="A199" t="s">
        <v>2586</v>
      </c>
      <c r="C199" t="s">
        <v>2330</v>
      </c>
    </row>
    <row r="200" spans="1:3" x14ac:dyDescent="0.35">
      <c r="A200" t="s">
        <v>2587</v>
      </c>
      <c r="C200" t="s">
        <v>2330</v>
      </c>
    </row>
    <row r="201" spans="1:3" x14ac:dyDescent="0.35">
      <c r="A201" t="s">
        <v>2588</v>
      </c>
      <c r="C201" t="s">
        <v>2330</v>
      </c>
    </row>
    <row r="202" spans="1:3" x14ac:dyDescent="0.35">
      <c r="A202" t="s">
        <v>2589</v>
      </c>
      <c r="C202" t="s">
        <v>2330</v>
      </c>
    </row>
    <row r="203" spans="1:3" x14ac:dyDescent="0.35">
      <c r="A203" t="s">
        <v>2590</v>
      </c>
      <c r="C203" t="s">
        <v>2330</v>
      </c>
    </row>
    <row r="204" spans="1:3" x14ac:dyDescent="0.35">
      <c r="A204" t="s">
        <v>2591</v>
      </c>
      <c r="C204" t="s">
        <v>2330</v>
      </c>
    </row>
    <row r="205" spans="1:3" x14ac:dyDescent="0.35">
      <c r="A205" t="s">
        <v>2592</v>
      </c>
      <c r="C205" t="s">
        <v>2330</v>
      </c>
    </row>
    <row r="206" spans="1:3" x14ac:dyDescent="0.35">
      <c r="A206" t="s">
        <v>2593</v>
      </c>
      <c r="C206" t="s">
        <v>2330</v>
      </c>
    </row>
    <row r="207" spans="1:3" x14ac:dyDescent="0.35">
      <c r="A207" t="s">
        <v>2594</v>
      </c>
      <c r="C207" t="s">
        <v>2330</v>
      </c>
    </row>
    <row r="208" spans="1:3" x14ac:dyDescent="0.35">
      <c r="A208" t="s">
        <v>2595</v>
      </c>
      <c r="C208" t="s">
        <v>2330</v>
      </c>
    </row>
    <row r="209" spans="1:3" x14ac:dyDescent="0.35">
      <c r="A209" t="s">
        <v>2596</v>
      </c>
      <c r="C209" t="s">
        <v>2330</v>
      </c>
    </row>
    <row r="210" spans="1:3" x14ac:dyDescent="0.35">
      <c r="A210" t="s">
        <v>2597</v>
      </c>
      <c r="C210" t="s">
        <v>2330</v>
      </c>
    </row>
    <row r="211" spans="1:3" x14ac:dyDescent="0.35">
      <c r="A211" t="s">
        <v>2598</v>
      </c>
      <c r="C211" t="s">
        <v>2330</v>
      </c>
    </row>
    <row r="212" spans="1:3" x14ac:dyDescent="0.35">
      <c r="A212" t="s">
        <v>2599</v>
      </c>
      <c r="C212" t="s">
        <v>2330</v>
      </c>
    </row>
    <row r="213" spans="1:3" x14ac:dyDescent="0.35">
      <c r="A213" t="s">
        <v>2600</v>
      </c>
      <c r="C213" t="s">
        <v>2330</v>
      </c>
    </row>
    <row r="214" spans="1:3" x14ac:dyDescent="0.35">
      <c r="A214" t="s">
        <v>2601</v>
      </c>
      <c r="C214" t="s">
        <v>2330</v>
      </c>
    </row>
    <row r="215" spans="1:3" x14ac:dyDescent="0.35">
      <c r="A215" t="s">
        <v>2602</v>
      </c>
      <c r="C215" t="s">
        <v>2330</v>
      </c>
    </row>
    <row r="216" spans="1:3" x14ac:dyDescent="0.35">
      <c r="A216" t="s">
        <v>2603</v>
      </c>
      <c r="C216" t="s">
        <v>2330</v>
      </c>
    </row>
    <row r="217" spans="1:3" x14ac:dyDescent="0.35">
      <c r="A217" t="s">
        <v>2604</v>
      </c>
      <c r="C217" t="s">
        <v>2330</v>
      </c>
    </row>
    <row r="218" spans="1:3" x14ac:dyDescent="0.35">
      <c r="A218" t="s">
        <v>2605</v>
      </c>
      <c r="C218" t="s">
        <v>2330</v>
      </c>
    </row>
    <row r="219" spans="1:3" x14ac:dyDescent="0.35">
      <c r="A219" t="s">
        <v>2606</v>
      </c>
      <c r="C219" t="s">
        <v>2330</v>
      </c>
    </row>
    <row r="220" spans="1:3" x14ac:dyDescent="0.35">
      <c r="A220" t="s">
        <v>2607</v>
      </c>
      <c r="C220" t="s">
        <v>2330</v>
      </c>
    </row>
    <row r="221" spans="1:3" x14ac:dyDescent="0.35">
      <c r="A221" t="s">
        <v>2608</v>
      </c>
      <c r="C221" t="s">
        <v>2330</v>
      </c>
    </row>
    <row r="222" spans="1:3" x14ac:dyDescent="0.35">
      <c r="A222" t="s">
        <v>2609</v>
      </c>
      <c r="C222" t="s">
        <v>2330</v>
      </c>
    </row>
    <row r="223" spans="1:3" x14ac:dyDescent="0.35">
      <c r="A223" t="s">
        <v>2610</v>
      </c>
      <c r="C223" t="s">
        <v>2330</v>
      </c>
    </row>
    <row r="224" spans="1:3" x14ac:dyDescent="0.35">
      <c r="A224" t="s">
        <v>2611</v>
      </c>
      <c r="C224" t="s">
        <v>2330</v>
      </c>
    </row>
    <row r="225" spans="1:3" x14ac:dyDescent="0.35">
      <c r="A225" t="s">
        <v>2612</v>
      </c>
      <c r="C225" t="s">
        <v>2330</v>
      </c>
    </row>
    <row r="226" spans="1:3" x14ac:dyDescent="0.35">
      <c r="A226" t="s">
        <v>2613</v>
      </c>
      <c r="C226" t="s">
        <v>2330</v>
      </c>
    </row>
    <row r="227" spans="1:3" x14ac:dyDescent="0.35">
      <c r="A227" t="s">
        <v>2614</v>
      </c>
      <c r="C227" t="s">
        <v>2330</v>
      </c>
    </row>
    <row r="228" spans="1:3" x14ac:dyDescent="0.35">
      <c r="A228" t="s">
        <v>2615</v>
      </c>
      <c r="C228" t="s">
        <v>2330</v>
      </c>
    </row>
    <row r="229" spans="1:3" x14ac:dyDescent="0.35">
      <c r="A229" t="s">
        <v>2616</v>
      </c>
      <c r="C229" t="s">
        <v>2330</v>
      </c>
    </row>
    <row r="230" spans="1:3" x14ac:dyDescent="0.35">
      <c r="A230" t="s">
        <v>2617</v>
      </c>
      <c r="C230" t="s">
        <v>2330</v>
      </c>
    </row>
    <row r="231" spans="1:3" x14ac:dyDescent="0.35">
      <c r="A231" t="s">
        <v>2618</v>
      </c>
      <c r="C231" t="s">
        <v>2330</v>
      </c>
    </row>
    <row r="232" spans="1:3" x14ac:dyDescent="0.35">
      <c r="A232" t="s">
        <v>2619</v>
      </c>
      <c r="C232" t="s">
        <v>2330</v>
      </c>
    </row>
    <row r="233" spans="1:3" x14ac:dyDescent="0.35">
      <c r="A233" t="s">
        <v>2620</v>
      </c>
      <c r="C233" t="s">
        <v>2330</v>
      </c>
    </row>
    <row r="234" spans="1:3" x14ac:dyDescent="0.35">
      <c r="A234" t="s">
        <v>2621</v>
      </c>
      <c r="C234" t="s">
        <v>2330</v>
      </c>
    </row>
    <row r="235" spans="1:3" x14ac:dyDescent="0.35">
      <c r="A235" t="s">
        <v>2622</v>
      </c>
      <c r="C235" t="s">
        <v>2330</v>
      </c>
    </row>
    <row r="236" spans="1:3" x14ac:dyDescent="0.35">
      <c r="A236" t="s">
        <v>2623</v>
      </c>
      <c r="C236" t="s">
        <v>2330</v>
      </c>
    </row>
    <row r="237" spans="1:3" x14ac:dyDescent="0.35">
      <c r="A237" t="s">
        <v>2624</v>
      </c>
      <c r="C237" t="s">
        <v>2330</v>
      </c>
    </row>
    <row r="238" spans="1:3" x14ac:dyDescent="0.35">
      <c r="A238" t="s">
        <v>2625</v>
      </c>
      <c r="C238" t="s">
        <v>2330</v>
      </c>
    </row>
    <row r="239" spans="1:3" x14ac:dyDescent="0.35">
      <c r="A239" t="s">
        <v>2626</v>
      </c>
      <c r="C239" t="s">
        <v>2330</v>
      </c>
    </row>
    <row r="240" spans="1:3" x14ac:dyDescent="0.35">
      <c r="A240" t="s">
        <v>2627</v>
      </c>
      <c r="C240" t="s">
        <v>2330</v>
      </c>
    </row>
    <row r="241" spans="1:3" x14ac:dyDescent="0.35">
      <c r="A241" t="s">
        <v>2628</v>
      </c>
      <c r="C241" t="s">
        <v>2330</v>
      </c>
    </row>
    <row r="242" spans="1:3" x14ac:dyDescent="0.35">
      <c r="A242" t="s">
        <v>2629</v>
      </c>
    </row>
    <row r="243" spans="1:3" x14ac:dyDescent="0.35">
      <c r="A243" t="s">
        <v>2630</v>
      </c>
    </row>
    <row r="244" spans="1:3" x14ac:dyDescent="0.35">
      <c r="A244" t="s">
        <v>2631</v>
      </c>
    </row>
    <row r="245" spans="1:3" x14ac:dyDescent="0.35">
      <c r="A245" t="s">
        <v>2632</v>
      </c>
    </row>
    <row r="246" spans="1:3" x14ac:dyDescent="0.35">
      <c r="A246" t="s">
        <v>2633</v>
      </c>
    </row>
    <row r="247" spans="1:3" x14ac:dyDescent="0.35">
      <c r="A247" t="s">
        <v>2634</v>
      </c>
    </row>
    <row r="248" spans="1:3" x14ac:dyDescent="0.35">
      <c r="A248" t="s">
        <v>2635</v>
      </c>
    </row>
    <row r="249" spans="1:3" x14ac:dyDescent="0.35">
      <c r="A249" t="s">
        <v>2636</v>
      </c>
    </row>
    <row r="250" spans="1:3" x14ac:dyDescent="0.35">
      <c r="A250" t="s">
        <v>2637</v>
      </c>
    </row>
    <row r="251" spans="1:3" x14ac:dyDescent="0.35">
      <c r="A251" t="s">
        <v>2638</v>
      </c>
    </row>
    <row r="252" spans="1:3" x14ac:dyDescent="0.35">
      <c r="A252" t="s">
        <v>2639</v>
      </c>
    </row>
    <row r="253" spans="1:3" x14ac:dyDescent="0.35">
      <c r="A253" t="s">
        <v>2640</v>
      </c>
    </row>
    <row r="254" spans="1:3" x14ac:dyDescent="0.35">
      <c r="A254" t="s">
        <v>2641</v>
      </c>
    </row>
    <row r="255" spans="1:3" x14ac:dyDescent="0.35">
      <c r="A255" t="s">
        <v>2642</v>
      </c>
    </row>
    <row r="256" spans="1:3" x14ac:dyDescent="0.35">
      <c r="A256" t="s">
        <v>2643</v>
      </c>
    </row>
    <row r="257" spans="1:1" x14ac:dyDescent="0.35">
      <c r="A257" t="s">
        <v>2644</v>
      </c>
    </row>
    <row r="258" spans="1:1" x14ac:dyDescent="0.35">
      <c r="A258" t="s">
        <v>2645</v>
      </c>
    </row>
    <row r="259" spans="1:1" x14ac:dyDescent="0.35">
      <c r="A259" t="s">
        <v>2646</v>
      </c>
    </row>
    <row r="260" spans="1:1" x14ac:dyDescent="0.35">
      <c r="A260" t="s">
        <v>1439</v>
      </c>
    </row>
    <row r="261" spans="1:1" x14ac:dyDescent="0.35">
      <c r="A261" t="s">
        <v>1440</v>
      </c>
    </row>
    <row r="262" spans="1:1" x14ac:dyDescent="0.35">
      <c r="A262" t="s">
        <v>1441</v>
      </c>
    </row>
    <row r="263" spans="1:1" x14ac:dyDescent="0.35">
      <c r="A263" t="s">
        <v>1442</v>
      </c>
    </row>
    <row r="264" spans="1:1" x14ac:dyDescent="0.35">
      <c r="A264" t="s">
        <v>1443</v>
      </c>
    </row>
    <row r="265" spans="1:1" x14ac:dyDescent="0.35">
      <c r="A265" t="s">
        <v>1444</v>
      </c>
    </row>
    <row r="266" spans="1:1" x14ac:dyDescent="0.35">
      <c r="A266" t="s">
        <v>1445</v>
      </c>
    </row>
    <row r="267" spans="1:1" x14ac:dyDescent="0.35">
      <c r="A267" t="s">
        <v>1446</v>
      </c>
    </row>
    <row r="268" spans="1:1" x14ac:dyDescent="0.35">
      <c r="A268" t="s">
        <v>1447</v>
      </c>
    </row>
    <row r="269" spans="1:1" x14ac:dyDescent="0.35">
      <c r="A269" t="s">
        <v>3475</v>
      </c>
    </row>
    <row r="270" spans="1:1" x14ac:dyDescent="0.35">
      <c r="A270" t="s">
        <v>868</v>
      </c>
    </row>
    <row r="271" spans="1:1" x14ac:dyDescent="0.35">
      <c r="A271" t="s">
        <v>877</v>
      </c>
    </row>
    <row r="272" spans="1:1" x14ac:dyDescent="0.35">
      <c r="A272" t="s">
        <v>878</v>
      </c>
    </row>
    <row r="273" spans="1:1" x14ac:dyDescent="0.35">
      <c r="A273" t="s">
        <v>879</v>
      </c>
    </row>
    <row r="274" spans="1:1" x14ac:dyDescent="0.35">
      <c r="A274" t="s">
        <v>880</v>
      </c>
    </row>
    <row r="275" spans="1:1" x14ac:dyDescent="0.35">
      <c r="A275" t="s">
        <v>881</v>
      </c>
    </row>
    <row r="276" spans="1:1" x14ac:dyDescent="0.35">
      <c r="A276" t="s">
        <v>882</v>
      </c>
    </row>
    <row r="277" spans="1:1" x14ac:dyDescent="0.35">
      <c r="A277" t="s">
        <v>883</v>
      </c>
    </row>
    <row r="278" spans="1:1" x14ac:dyDescent="0.35">
      <c r="A278" t="s">
        <v>3476</v>
      </c>
    </row>
    <row r="279" spans="1:1" x14ac:dyDescent="0.35">
      <c r="A279" t="s">
        <v>3477</v>
      </c>
    </row>
    <row r="280" spans="1:1" x14ac:dyDescent="0.35">
      <c r="A280" t="s">
        <v>3478</v>
      </c>
    </row>
    <row r="281" spans="1:1" x14ac:dyDescent="0.35">
      <c r="A281" t="s">
        <v>3479</v>
      </c>
    </row>
    <row r="282" spans="1:1" x14ac:dyDescent="0.35">
      <c r="A282" t="s">
        <v>3480</v>
      </c>
    </row>
    <row r="283" spans="1:1" x14ac:dyDescent="0.35">
      <c r="A283" t="s">
        <v>3481</v>
      </c>
    </row>
    <row r="284" spans="1:1" x14ac:dyDescent="0.35">
      <c r="A284" t="s">
        <v>864</v>
      </c>
    </row>
    <row r="285" spans="1:1" x14ac:dyDescent="0.35">
      <c r="A285" t="s">
        <v>865</v>
      </c>
    </row>
    <row r="286" spans="1:1" x14ac:dyDescent="0.35">
      <c r="A286" t="s">
        <v>866</v>
      </c>
    </row>
    <row r="287" spans="1:1" x14ac:dyDescent="0.35">
      <c r="A287" t="s">
        <v>867</v>
      </c>
    </row>
    <row r="288" spans="1:1" x14ac:dyDescent="0.35">
      <c r="A288" t="s">
        <v>869</v>
      </c>
    </row>
    <row r="289" spans="1:1" x14ac:dyDescent="0.35">
      <c r="A289" t="s">
        <v>870</v>
      </c>
    </row>
    <row r="290" spans="1:1" x14ac:dyDescent="0.35">
      <c r="A290" t="s">
        <v>871</v>
      </c>
    </row>
    <row r="291" spans="1:1" x14ac:dyDescent="0.35">
      <c r="A291" t="s">
        <v>872</v>
      </c>
    </row>
    <row r="292" spans="1:1" x14ac:dyDescent="0.35">
      <c r="A292" t="s">
        <v>873</v>
      </c>
    </row>
    <row r="293" spans="1:1" x14ac:dyDescent="0.35">
      <c r="A293" t="s">
        <v>874</v>
      </c>
    </row>
    <row r="294" spans="1:1" x14ac:dyDescent="0.35">
      <c r="A294" t="s">
        <v>875</v>
      </c>
    </row>
    <row r="295" spans="1:1" x14ac:dyDescent="0.35">
      <c r="A295" t="s">
        <v>876</v>
      </c>
    </row>
    <row r="296" spans="1:1" x14ac:dyDescent="0.35">
      <c r="A296" t="s">
        <v>1041</v>
      </c>
    </row>
    <row r="297" spans="1:1" x14ac:dyDescent="0.35">
      <c r="A297" t="s">
        <v>1051</v>
      </c>
    </row>
    <row r="298" spans="1:1" x14ac:dyDescent="0.35">
      <c r="A298" t="s">
        <v>1052</v>
      </c>
    </row>
    <row r="299" spans="1:1" x14ac:dyDescent="0.35">
      <c r="A299" t="s">
        <v>1053</v>
      </c>
    </row>
    <row r="300" spans="1:1" x14ac:dyDescent="0.35">
      <c r="A300" t="s">
        <v>1054</v>
      </c>
    </row>
    <row r="301" spans="1:1" x14ac:dyDescent="0.35">
      <c r="A301" t="s">
        <v>1055</v>
      </c>
    </row>
    <row r="302" spans="1:1" x14ac:dyDescent="0.35">
      <c r="A302" t="s">
        <v>1056</v>
      </c>
    </row>
    <row r="303" spans="1:1" x14ac:dyDescent="0.35">
      <c r="A303" t="s">
        <v>1057</v>
      </c>
    </row>
    <row r="304" spans="1:1" x14ac:dyDescent="0.35">
      <c r="A304" t="s">
        <v>1058</v>
      </c>
    </row>
    <row r="305" spans="1:1" x14ac:dyDescent="0.35">
      <c r="A305" t="s">
        <v>1042</v>
      </c>
    </row>
    <row r="306" spans="1:1" x14ac:dyDescent="0.35">
      <c r="A306" t="s">
        <v>1043</v>
      </c>
    </row>
    <row r="307" spans="1:1" x14ac:dyDescent="0.35">
      <c r="A307" t="s">
        <v>1044</v>
      </c>
    </row>
    <row r="308" spans="1:1" x14ac:dyDescent="0.35">
      <c r="A308" t="s">
        <v>1045</v>
      </c>
    </row>
    <row r="309" spans="1:1" x14ac:dyDescent="0.35">
      <c r="A309" t="s">
        <v>1046</v>
      </c>
    </row>
    <row r="310" spans="1:1" x14ac:dyDescent="0.35">
      <c r="A310" t="s">
        <v>1047</v>
      </c>
    </row>
    <row r="311" spans="1:1" x14ac:dyDescent="0.35">
      <c r="A311" t="s">
        <v>1048</v>
      </c>
    </row>
    <row r="312" spans="1:1" x14ac:dyDescent="0.35">
      <c r="A312" t="s">
        <v>1049</v>
      </c>
    </row>
    <row r="313" spans="1:1" x14ac:dyDescent="0.35">
      <c r="A313" t="s">
        <v>1050</v>
      </c>
    </row>
    <row r="314" spans="1:1" x14ac:dyDescent="0.35">
      <c r="A314" t="s">
        <v>884</v>
      </c>
    </row>
    <row r="315" spans="1:1" x14ac:dyDescent="0.35">
      <c r="A315" t="s">
        <v>885</v>
      </c>
    </row>
    <row r="316" spans="1:1" x14ac:dyDescent="0.35">
      <c r="A316" t="s">
        <v>886</v>
      </c>
    </row>
    <row r="317" spans="1:1" x14ac:dyDescent="0.35">
      <c r="A317" t="s">
        <v>887</v>
      </c>
    </row>
    <row r="318" spans="1:1" x14ac:dyDescent="0.35">
      <c r="A318" t="s">
        <v>888</v>
      </c>
    </row>
    <row r="319" spans="1:1" x14ac:dyDescent="0.35">
      <c r="A319" t="s">
        <v>889</v>
      </c>
    </row>
    <row r="320" spans="1:1" x14ac:dyDescent="0.35">
      <c r="A320" t="s">
        <v>890</v>
      </c>
    </row>
    <row r="321" spans="1:1" x14ac:dyDescent="0.35">
      <c r="A321" t="s">
        <v>891</v>
      </c>
    </row>
    <row r="322" spans="1:1" x14ac:dyDescent="0.35">
      <c r="A322" t="s">
        <v>2412</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2413</v>
      </c>
    </row>
    <row r="342" spans="1:2" x14ac:dyDescent="0.35">
      <c r="A342" t="s">
        <v>2414</v>
      </c>
    </row>
    <row r="343" spans="1:2" x14ac:dyDescent="0.35">
      <c r="A343" t="s">
        <v>2415</v>
      </c>
    </row>
    <row r="344" spans="1:2" x14ac:dyDescent="0.35">
      <c r="A344" t="s">
        <v>2416</v>
      </c>
    </row>
    <row r="345" spans="1:2" x14ac:dyDescent="0.35">
      <c r="A345" t="s">
        <v>2417</v>
      </c>
    </row>
    <row r="346" spans="1:2" x14ac:dyDescent="0.35">
      <c r="A346" t="s">
        <v>2418</v>
      </c>
    </row>
    <row r="347" spans="1:2" x14ac:dyDescent="0.35">
      <c r="A347" t="s">
        <v>2419</v>
      </c>
    </row>
    <row r="348" spans="1:2" x14ac:dyDescent="0.35">
      <c r="A348" t="s">
        <v>2420</v>
      </c>
    </row>
    <row r="349" spans="1:2" x14ac:dyDescent="0.35">
      <c r="A349" t="s">
        <v>2421</v>
      </c>
    </row>
    <row r="350" spans="1:2" x14ac:dyDescent="0.35">
      <c r="A350" t="s">
        <v>1348</v>
      </c>
      <c r="B350">
        <v>70</v>
      </c>
    </row>
    <row r="351" spans="1:2" x14ac:dyDescent="0.35">
      <c r="A351" t="s">
        <v>3403</v>
      </c>
      <c r="B351">
        <v>0</v>
      </c>
    </row>
    <row r="352" spans="1:2" x14ac:dyDescent="0.35">
      <c r="A352" t="s">
        <v>453</v>
      </c>
      <c r="B352">
        <v>5</v>
      </c>
    </row>
    <row r="353" spans="1:2" x14ac:dyDescent="0.35">
      <c r="A353" t="s">
        <v>454</v>
      </c>
    </row>
    <row r="354" spans="1:2" x14ac:dyDescent="0.35">
      <c r="A354" t="s">
        <v>1736</v>
      </c>
    </row>
    <row r="355" spans="1:2" x14ac:dyDescent="0.35">
      <c r="A355" t="s">
        <v>1611</v>
      </c>
    </row>
    <row r="356" spans="1:2" x14ac:dyDescent="0.35">
      <c r="A356" t="s">
        <v>1612</v>
      </c>
    </row>
    <row r="357" spans="1:2" x14ac:dyDescent="0.35">
      <c r="A357" t="s">
        <v>1613</v>
      </c>
    </row>
    <row r="358" spans="1:2" x14ac:dyDescent="0.35">
      <c r="A358" t="s">
        <v>729</v>
      </c>
    </row>
    <row r="359" spans="1:2" x14ac:dyDescent="0.35">
      <c r="A359" t="s">
        <v>730</v>
      </c>
    </row>
    <row r="360" spans="1:2" x14ac:dyDescent="0.35">
      <c r="A360" t="s">
        <v>731</v>
      </c>
    </row>
    <row r="361" spans="1:2" x14ac:dyDescent="0.35">
      <c r="A361" t="s">
        <v>3324</v>
      </c>
    </row>
    <row r="362" spans="1:2" x14ac:dyDescent="0.35">
      <c r="A362" t="s">
        <v>3325</v>
      </c>
    </row>
    <row r="363" spans="1:2" x14ac:dyDescent="0.35">
      <c r="A363" t="s">
        <v>3326</v>
      </c>
      <c r="B363">
        <v>10</v>
      </c>
    </row>
    <row r="364" spans="1:2" x14ac:dyDescent="0.35">
      <c r="A364" t="s">
        <v>3327</v>
      </c>
    </row>
    <row r="365" spans="1:2" x14ac:dyDescent="0.35">
      <c r="A365" t="s">
        <v>3328</v>
      </c>
      <c r="B365">
        <v>7</v>
      </c>
    </row>
    <row r="366" spans="1:2" x14ac:dyDescent="0.35">
      <c r="A366" t="s">
        <v>2546</v>
      </c>
    </row>
    <row r="367" spans="1:2" x14ac:dyDescent="0.35">
      <c r="A367" t="s">
        <v>2547</v>
      </c>
    </row>
    <row r="368" spans="1:2" x14ac:dyDescent="0.35">
      <c r="A368" t="s">
        <v>2548</v>
      </c>
    </row>
    <row r="369" spans="1:2" x14ac:dyDescent="0.35">
      <c r="A369" t="s">
        <v>2549</v>
      </c>
    </row>
    <row r="370" spans="1:2" x14ac:dyDescent="0.35">
      <c r="A370" t="s">
        <v>2888</v>
      </c>
    </row>
    <row r="371" spans="1:2" x14ac:dyDescent="0.35">
      <c r="A371" t="s">
        <v>2889</v>
      </c>
    </row>
    <row r="372" spans="1:2" x14ac:dyDescent="0.35">
      <c r="A372" t="s">
        <v>1650</v>
      </c>
    </row>
    <row r="373" spans="1:2" x14ac:dyDescent="0.35">
      <c r="A373" t="s">
        <v>1651</v>
      </c>
    </row>
    <row r="374" spans="1:2" x14ac:dyDescent="0.35">
      <c r="A374" t="s">
        <v>1652</v>
      </c>
    </row>
    <row r="375" spans="1:2" x14ac:dyDescent="0.35">
      <c r="A375" t="s">
        <v>1653</v>
      </c>
    </row>
    <row r="376" spans="1:2" x14ac:dyDescent="0.35">
      <c r="A376" t="s">
        <v>1654</v>
      </c>
    </row>
    <row r="377" spans="1:2" x14ac:dyDescent="0.35">
      <c r="A377" t="s">
        <v>1655</v>
      </c>
    </row>
    <row r="378" spans="1:2" x14ac:dyDescent="0.35">
      <c r="A378" t="s">
        <v>3329</v>
      </c>
    </row>
    <row r="379" spans="1:2" x14ac:dyDescent="0.35">
      <c r="A379" t="s">
        <v>3330</v>
      </c>
    </row>
    <row r="380" spans="1:2" x14ac:dyDescent="0.35">
      <c r="A380" t="s">
        <v>3331</v>
      </c>
    </row>
    <row r="381" spans="1:2" x14ac:dyDescent="0.35">
      <c r="A381" t="s">
        <v>3332</v>
      </c>
    </row>
    <row r="382" spans="1:2" x14ac:dyDescent="0.35">
      <c r="A382" t="s">
        <v>2262</v>
      </c>
    </row>
    <row r="383" spans="1:2" x14ac:dyDescent="0.35">
      <c r="A383" t="s">
        <v>2263</v>
      </c>
      <c r="B383">
        <v>0</v>
      </c>
    </row>
    <row r="384" spans="1:2" x14ac:dyDescent="0.35">
      <c r="A384" t="s">
        <v>2264</v>
      </c>
    </row>
    <row r="385" spans="1:2" x14ac:dyDescent="0.35">
      <c r="A385" t="s">
        <v>4207</v>
      </c>
    </row>
    <row r="386" spans="1:2" x14ac:dyDescent="0.35">
      <c r="A386" t="s">
        <v>1748</v>
      </c>
      <c r="B386">
        <v>0</v>
      </c>
    </row>
    <row r="387" spans="1:2" x14ac:dyDescent="0.35">
      <c r="A387" t="s">
        <v>1749</v>
      </c>
    </row>
    <row r="388" spans="1:2" x14ac:dyDescent="0.35">
      <c r="A388" t="s">
        <v>1750</v>
      </c>
    </row>
    <row r="389" spans="1:2" x14ac:dyDescent="0.35">
      <c r="A389" t="s">
        <v>3870</v>
      </c>
    </row>
    <row r="390" spans="1:2" x14ac:dyDescent="0.35">
      <c r="A390" t="s">
        <v>3871</v>
      </c>
    </row>
    <row r="391" spans="1:2" x14ac:dyDescent="0.35">
      <c r="A391" t="s">
        <v>3872</v>
      </c>
    </row>
    <row r="392" spans="1:2" x14ac:dyDescent="0.35">
      <c r="A392" t="s">
        <v>3873</v>
      </c>
      <c r="B392">
        <v>15</v>
      </c>
    </row>
    <row r="393" spans="1:2" x14ac:dyDescent="0.35">
      <c r="A393" t="s">
        <v>3874</v>
      </c>
      <c r="B393">
        <v>1</v>
      </c>
    </row>
    <row r="394" spans="1:2" x14ac:dyDescent="0.35">
      <c r="A394" t="s">
        <v>3875</v>
      </c>
    </row>
    <row r="395" spans="1:2" x14ac:dyDescent="0.35">
      <c r="A395" t="s">
        <v>3876</v>
      </c>
    </row>
    <row r="396" spans="1:2" x14ac:dyDescent="0.35">
      <c r="A396" t="s">
        <v>3877</v>
      </c>
    </row>
    <row r="397" spans="1:2" x14ac:dyDescent="0.35">
      <c r="A397" t="s">
        <v>4022</v>
      </c>
    </row>
    <row r="398" spans="1:2" x14ac:dyDescent="0.35">
      <c r="A398" t="s">
        <v>4023</v>
      </c>
    </row>
    <row r="399" spans="1:2" x14ac:dyDescent="0.35">
      <c r="A399" t="s">
        <v>4024</v>
      </c>
      <c r="B399">
        <v>17</v>
      </c>
    </row>
    <row r="400" spans="1:2" x14ac:dyDescent="0.35">
      <c r="A400" t="s">
        <v>4025</v>
      </c>
      <c r="B400">
        <v>1</v>
      </c>
    </row>
    <row r="401" spans="1:2" x14ac:dyDescent="0.35">
      <c r="A401" t="s">
        <v>4026</v>
      </c>
      <c r="B401">
        <v>1</v>
      </c>
    </row>
    <row r="402" spans="1:2" x14ac:dyDescent="0.35">
      <c r="A402" t="s">
        <v>4027</v>
      </c>
      <c r="B402">
        <v>1</v>
      </c>
    </row>
    <row r="403" spans="1:2" x14ac:dyDescent="0.35">
      <c r="A403" t="s">
        <v>4028</v>
      </c>
      <c r="B403">
        <v>1</v>
      </c>
    </row>
    <row r="404" spans="1:2" x14ac:dyDescent="0.35">
      <c r="A404" t="s">
        <v>2316</v>
      </c>
      <c r="B404">
        <v>1</v>
      </c>
    </row>
    <row r="405" spans="1:2" x14ac:dyDescent="0.35">
      <c r="A405" t="s">
        <v>2317</v>
      </c>
      <c r="B405">
        <v>1</v>
      </c>
    </row>
    <row r="406" spans="1:2" x14ac:dyDescent="0.35">
      <c r="A406" t="s">
        <v>2318</v>
      </c>
      <c r="B406">
        <v>1</v>
      </c>
    </row>
    <row r="407" spans="1:2" x14ac:dyDescent="0.35">
      <c r="A407" t="s">
        <v>2319</v>
      </c>
    </row>
    <row r="408" spans="1:2" x14ac:dyDescent="0.35">
      <c r="A408" t="s">
        <v>2320</v>
      </c>
    </row>
    <row r="409" spans="1:2" x14ac:dyDescent="0.35">
      <c r="A409" t="s">
        <v>2321</v>
      </c>
    </row>
    <row r="410" spans="1:2" x14ac:dyDescent="0.35">
      <c r="A410" t="s">
        <v>2322</v>
      </c>
    </row>
    <row r="411" spans="1:2" x14ac:dyDescent="0.35">
      <c r="A411" t="s">
        <v>2323</v>
      </c>
    </row>
    <row r="412" spans="1:2" x14ac:dyDescent="0.35">
      <c r="A412" t="s">
        <v>2324</v>
      </c>
    </row>
    <row r="413" spans="1:2" x14ac:dyDescent="0.35">
      <c r="A413" t="s">
        <v>2325</v>
      </c>
      <c r="B413">
        <v>50</v>
      </c>
    </row>
    <row r="414" spans="1:2" x14ac:dyDescent="0.35">
      <c r="A414" t="s">
        <v>2326</v>
      </c>
      <c r="B414">
        <v>50</v>
      </c>
    </row>
    <row r="415" spans="1:2" x14ac:dyDescent="0.35">
      <c r="A415" t="s">
        <v>2348</v>
      </c>
      <c r="B415">
        <v>50</v>
      </c>
    </row>
    <row r="416" spans="1:2" x14ac:dyDescent="0.35">
      <c r="A416" t="s">
        <v>4190</v>
      </c>
      <c r="B416">
        <v>50</v>
      </c>
    </row>
    <row r="417" spans="1:2" x14ac:dyDescent="0.35">
      <c r="A417" t="s">
        <v>4191</v>
      </c>
      <c r="B417">
        <v>50</v>
      </c>
    </row>
    <row r="418" spans="1:2" x14ac:dyDescent="0.35">
      <c r="A418" t="s">
        <v>676</v>
      </c>
      <c r="B418">
        <v>50</v>
      </c>
    </row>
    <row r="419" spans="1:2" x14ac:dyDescent="0.35">
      <c r="A419" t="s">
        <v>677</v>
      </c>
      <c r="B419">
        <v>50</v>
      </c>
    </row>
    <row r="420" spans="1:2" x14ac:dyDescent="0.35">
      <c r="A420" t="s">
        <v>3209</v>
      </c>
      <c r="B420">
        <v>50</v>
      </c>
    </row>
    <row r="421" spans="1:2" x14ac:dyDescent="0.35">
      <c r="A421" t="s">
        <v>116</v>
      </c>
    </row>
    <row r="422" spans="1:2" x14ac:dyDescent="0.35">
      <c r="A422" t="s">
        <v>117</v>
      </c>
      <c r="B422">
        <v>50</v>
      </c>
    </row>
    <row r="423" spans="1:2" x14ac:dyDescent="0.35">
      <c r="A423" t="s">
        <v>118</v>
      </c>
    </row>
    <row r="424" spans="1:2" x14ac:dyDescent="0.35">
      <c r="A424" t="s">
        <v>2727</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2728</v>
      </c>
      <c r="B429">
        <v>1</v>
      </c>
    </row>
    <row r="430" spans="1:2" x14ac:dyDescent="0.35">
      <c r="A430" t="s">
        <v>2729</v>
      </c>
      <c r="B430">
        <v>50</v>
      </c>
    </row>
    <row r="431" spans="1:2" x14ac:dyDescent="0.35">
      <c r="A431" t="s">
        <v>4183</v>
      </c>
      <c r="B431">
        <v>50</v>
      </c>
    </row>
    <row r="432" spans="1:2" x14ac:dyDescent="0.35">
      <c r="A432" t="s">
        <v>2497</v>
      </c>
      <c r="B432">
        <v>50</v>
      </c>
    </row>
    <row r="433" spans="1:2" x14ac:dyDescent="0.35">
      <c r="A433" t="s">
        <v>2498</v>
      </c>
      <c r="B433">
        <v>50</v>
      </c>
    </row>
    <row r="434" spans="1:2" x14ac:dyDescent="0.35">
      <c r="A434" t="s">
        <v>2499</v>
      </c>
      <c r="B434">
        <v>50</v>
      </c>
    </row>
    <row r="435" spans="1:2" x14ac:dyDescent="0.35">
      <c r="A435" t="s">
        <v>3722</v>
      </c>
      <c r="B435">
        <v>50</v>
      </c>
    </row>
    <row r="436" spans="1:2" x14ac:dyDescent="0.35">
      <c r="A436" t="s">
        <v>3723</v>
      </c>
      <c r="B436">
        <v>1</v>
      </c>
    </row>
    <row r="437" spans="1:2" x14ac:dyDescent="0.35">
      <c r="A437" t="s">
        <v>3724</v>
      </c>
      <c r="B437">
        <v>4</v>
      </c>
    </row>
    <row r="438" spans="1:2" x14ac:dyDescent="0.35">
      <c r="A438" t="s">
        <v>3725</v>
      </c>
      <c r="B438">
        <v>4</v>
      </c>
    </row>
    <row r="439" spans="1:2" x14ac:dyDescent="0.35">
      <c r="A439" t="s">
        <v>3313</v>
      </c>
      <c r="B439">
        <v>4</v>
      </c>
    </row>
    <row r="440" spans="1:2" x14ac:dyDescent="0.35">
      <c r="A440" t="s">
        <v>3624</v>
      </c>
      <c r="B440">
        <v>4</v>
      </c>
    </row>
    <row r="441" spans="1:2" x14ac:dyDescent="0.35">
      <c r="A441" t="s">
        <v>3625</v>
      </c>
      <c r="B441">
        <v>4</v>
      </c>
    </row>
    <row r="442" spans="1:2" x14ac:dyDescent="0.35">
      <c r="A442" t="s">
        <v>3626</v>
      </c>
      <c r="B442">
        <v>4</v>
      </c>
    </row>
    <row r="443" spans="1:2" x14ac:dyDescent="0.35">
      <c r="A443" t="s">
        <v>3627</v>
      </c>
      <c r="B443">
        <v>1</v>
      </c>
    </row>
    <row r="444" spans="1:2" x14ac:dyDescent="0.35">
      <c r="A444" t="s">
        <v>3311</v>
      </c>
      <c r="B444">
        <v>4</v>
      </c>
    </row>
    <row r="445" spans="1:2" x14ac:dyDescent="0.35">
      <c r="A445" t="s">
        <v>3312</v>
      </c>
      <c r="B445">
        <v>4</v>
      </c>
    </row>
    <row r="446" spans="1:2" x14ac:dyDescent="0.35">
      <c r="A446" t="s">
        <v>3298</v>
      </c>
      <c r="B446">
        <v>4</v>
      </c>
    </row>
    <row r="447" spans="1:2" x14ac:dyDescent="0.35">
      <c r="A447" t="s">
        <v>3299</v>
      </c>
      <c r="B447">
        <v>4</v>
      </c>
    </row>
    <row r="448" spans="1:2" x14ac:dyDescent="0.35">
      <c r="A448" t="s">
        <v>3300</v>
      </c>
      <c r="B448">
        <v>4</v>
      </c>
    </row>
    <row r="449" spans="1:2" x14ac:dyDescent="0.35">
      <c r="A449" t="s">
        <v>3199</v>
      </c>
      <c r="B449">
        <v>4</v>
      </c>
    </row>
    <row r="450" spans="1:2" x14ac:dyDescent="0.35">
      <c r="A450" t="s">
        <v>3200</v>
      </c>
      <c r="B450">
        <v>4</v>
      </c>
    </row>
    <row r="451" spans="1:2" x14ac:dyDescent="0.35">
      <c r="A451" t="s">
        <v>3201</v>
      </c>
      <c r="B451">
        <v>15</v>
      </c>
    </row>
    <row r="452" spans="1:2" x14ac:dyDescent="0.35">
      <c r="A452" t="s">
        <v>3202</v>
      </c>
    </row>
    <row r="453" spans="1:2" x14ac:dyDescent="0.35">
      <c r="A453" t="s">
        <v>3203</v>
      </c>
    </row>
    <row r="454" spans="1:2" x14ac:dyDescent="0.35">
      <c r="A454" t="s">
        <v>3975</v>
      </c>
    </row>
    <row r="455" spans="1:2" x14ac:dyDescent="0.35">
      <c r="A455" t="s">
        <v>3976</v>
      </c>
    </row>
    <row r="456" spans="1:2" x14ac:dyDescent="0.35">
      <c r="A456" t="s">
        <v>3977</v>
      </c>
    </row>
    <row r="457" spans="1:2" x14ac:dyDescent="0.35">
      <c r="A457" t="s">
        <v>3978</v>
      </c>
    </row>
    <row r="458" spans="1:2" x14ac:dyDescent="0.35">
      <c r="A458" t="s">
        <v>3979</v>
      </c>
      <c r="B458">
        <v>10</v>
      </c>
    </row>
    <row r="459" spans="1:2" x14ac:dyDescent="0.35">
      <c r="A459" t="s">
        <v>3980</v>
      </c>
    </row>
    <row r="460" spans="1:2" x14ac:dyDescent="0.35">
      <c r="A460" t="s">
        <v>3981</v>
      </c>
    </row>
    <row r="461" spans="1:2" x14ac:dyDescent="0.35">
      <c r="A461" t="s">
        <v>3982</v>
      </c>
    </row>
    <row r="462" spans="1:2" x14ac:dyDescent="0.35">
      <c r="A462" t="s">
        <v>3983</v>
      </c>
    </row>
    <row r="463" spans="1:2" x14ac:dyDescent="0.35">
      <c r="A463" t="s">
        <v>3984</v>
      </c>
    </row>
    <row r="464" spans="1:2" x14ac:dyDescent="0.35">
      <c r="A464" t="s">
        <v>3985</v>
      </c>
    </row>
    <row r="465" spans="1:2" x14ac:dyDescent="0.35">
      <c r="A465" t="s">
        <v>3986</v>
      </c>
    </row>
    <row r="466" spans="1:2" x14ac:dyDescent="0.35">
      <c r="A466" t="s">
        <v>3987</v>
      </c>
    </row>
    <row r="467" spans="1:2" x14ac:dyDescent="0.35">
      <c r="A467" t="s">
        <v>2836</v>
      </c>
    </row>
    <row r="468" spans="1:2" x14ac:dyDescent="0.35">
      <c r="A468" t="s">
        <v>2837</v>
      </c>
    </row>
    <row r="469" spans="1:2" x14ac:dyDescent="0.35">
      <c r="A469" t="s">
        <v>2838</v>
      </c>
    </row>
    <row r="470" spans="1:2" x14ac:dyDescent="0.35">
      <c r="A470" t="s">
        <v>1226</v>
      </c>
    </row>
    <row r="471" spans="1:2" x14ac:dyDescent="0.35">
      <c r="A471" t="s">
        <v>1227</v>
      </c>
      <c r="B471" t="s">
        <v>4932</v>
      </c>
    </row>
    <row r="472" spans="1:2" x14ac:dyDescent="0.35">
      <c r="A472" t="s">
        <v>1228</v>
      </c>
    </row>
    <row r="473" spans="1:2" x14ac:dyDescent="0.35">
      <c r="A473" t="s">
        <v>1229</v>
      </c>
    </row>
    <row r="474" spans="1:2" x14ac:dyDescent="0.35">
      <c r="A474" t="s">
        <v>1230</v>
      </c>
    </row>
    <row r="475" spans="1:2" x14ac:dyDescent="0.35">
      <c r="A475" t="s">
        <v>1231</v>
      </c>
    </row>
    <row r="476" spans="1:2" x14ac:dyDescent="0.35">
      <c r="A476" t="s">
        <v>2839</v>
      </c>
    </row>
    <row r="477" spans="1:2" x14ac:dyDescent="0.35">
      <c r="A477" t="s">
        <v>2840</v>
      </c>
    </row>
    <row r="478" spans="1:2" x14ac:dyDescent="0.35">
      <c r="A478" t="s">
        <v>2841</v>
      </c>
    </row>
    <row r="479" spans="1:2" x14ac:dyDescent="0.35">
      <c r="A479" t="s">
        <v>1947</v>
      </c>
    </row>
    <row r="480" spans="1:2" x14ac:dyDescent="0.35">
      <c r="A480" t="s">
        <v>1948</v>
      </c>
    </row>
    <row r="481" spans="1:2" x14ac:dyDescent="0.35">
      <c r="A481" t="s">
        <v>1949</v>
      </c>
    </row>
    <row r="482" spans="1:2" x14ac:dyDescent="0.35">
      <c r="A482" t="s">
        <v>1950</v>
      </c>
      <c r="B482" t="s">
        <v>5129</v>
      </c>
    </row>
    <row r="483" spans="1:2" x14ac:dyDescent="0.35">
      <c r="A483" t="s">
        <v>1951</v>
      </c>
    </row>
    <row r="484" spans="1:2" x14ac:dyDescent="0.35">
      <c r="A484" t="s">
        <v>1952</v>
      </c>
      <c r="B484" t="s">
        <v>5130</v>
      </c>
    </row>
    <row r="485" spans="1:2" x14ac:dyDescent="0.35">
      <c r="A485" t="s">
        <v>1953</v>
      </c>
    </row>
    <row r="486" spans="1:2" x14ac:dyDescent="0.35">
      <c r="A486" t="s">
        <v>1954</v>
      </c>
    </row>
    <row r="487" spans="1:2" x14ac:dyDescent="0.35">
      <c r="A487" t="s">
        <v>1955</v>
      </c>
    </row>
    <row r="488" spans="1:2" x14ac:dyDescent="0.35">
      <c r="A488" t="s">
        <v>1956</v>
      </c>
    </row>
    <row r="489" spans="1:2" x14ac:dyDescent="0.35">
      <c r="A489" t="s">
        <v>1957</v>
      </c>
    </row>
    <row r="490" spans="1:2" x14ac:dyDescent="0.35">
      <c r="A490" t="s">
        <v>1958</v>
      </c>
    </row>
    <row r="491" spans="1:2" x14ac:dyDescent="0.35">
      <c r="A491" t="s">
        <v>1959</v>
      </c>
    </row>
    <row r="492" spans="1:2" x14ac:dyDescent="0.35">
      <c r="A492" t="s">
        <v>1960</v>
      </c>
    </row>
    <row r="493" spans="1:2" x14ac:dyDescent="0.35">
      <c r="A493" t="s">
        <v>1961</v>
      </c>
    </row>
    <row r="494" spans="1:2" x14ac:dyDescent="0.35">
      <c r="A494" t="s">
        <v>1962</v>
      </c>
    </row>
    <row r="495" spans="1:2" x14ac:dyDescent="0.35">
      <c r="A495" t="s">
        <v>1963</v>
      </c>
    </row>
    <row r="496" spans="1:2" x14ac:dyDescent="0.35">
      <c r="A496" t="s">
        <v>1964</v>
      </c>
    </row>
    <row r="497" spans="1:2" x14ac:dyDescent="0.35">
      <c r="A497" t="s">
        <v>1965</v>
      </c>
    </row>
    <row r="498" spans="1:2" x14ac:dyDescent="0.35">
      <c r="A498" t="s">
        <v>2963</v>
      </c>
    </row>
    <row r="499" spans="1:2" x14ac:dyDescent="0.35">
      <c r="A499" t="s">
        <v>2964</v>
      </c>
    </row>
    <row r="500" spans="1:2" x14ac:dyDescent="0.35">
      <c r="A500" t="s">
        <v>3897</v>
      </c>
    </row>
    <row r="501" spans="1:2" x14ac:dyDescent="0.35">
      <c r="A501" t="s">
        <v>2478</v>
      </c>
    </row>
    <row r="502" spans="1:2" x14ac:dyDescent="0.35">
      <c r="A502" t="s">
        <v>2479</v>
      </c>
      <c r="B502">
        <v>0</v>
      </c>
    </row>
    <row r="503" spans="1:2" x14ac:dyDescent="0.35">
      <c r="A503" t="s">
        <v>1836</v>
      </c>
    </row>
    <row r="504" spans="1:2" x14ac:dyDescent="0.35">
      <c r="A504" t="s">
        <v>1837</v>
      </c>
    </row>
    <row r="505" spans="1:2" x14ac:dyDescent="0.35">
      <c r="A505" t="s">
        <v>1838</v>
      </c>
      <c r="B505">
        <v>0</v>
      </c>
    </row>
    <row r="506" spans="1:2" x14ac:dyDescent="0.35">
      <c r="A506" t="s">
        <v>1839</v>
      </c>
    </row>
    <row r="507" spans="1:2" x14ac:dyDescent="0.35">
      <c r="A507" t="s">
        <v>1840</v>
      </c>
    </row>
    <row r="508" spans="1:2" x14ac:dyDescent="0.35">
      <c r="A508" t="s">
        <v>1232</v>
      </c>
    </row>
    <row r="509" spans="1:2" x14ac:dyDescent="0.35">
      <c r="A509" t="s">
        <v>4184</v>
      </c>
    </row>
    <row r="510" spans="1:2" x14ac:dyDescent="0.35">
      <c r="A510" t="s">
        <v>4185</v>
      </c>
    </row>
    <row r="511" spans="1:2" x14ac:dyDescent="0.35">
      <c r="A511" t="s">
        <v>4186</v>
      </c>
    </row>
    <row r="512" spans="1:2" x14ac:dyDescent="0.35">
      <c r="A512" t="s">
        <v>4187</v>
      </c>
    </row>
    <row r="513" spans="1:2" x14ac:dyDescent="0.35">
      <c r="A513" t="s">
        <v>4188</v>
      </c>
    </row>
    <row r="514" spans="1:2" x14ac:dyDescent="0.35">
      <c r="A514" t="s">
        <v>4189</v>
      </c>
    </row>
    <row r="515" spans="1:2" x14ac:dyDescent="0.35">
      <c r="A515" t="s">
        <v>442</v>
      </c>
    </row>
    <row r="516" spans="1:2" x14ac:dyDescent="0.35">
      <c r="A516" t="s">
        <v>443</v>
      </c>
    </row>
    <row r="517" spans="1:2" x14ac:dyDescent="0.35">
      <c r="A517" t="s">
        <v>444</v>
      </c>
    </row>
    <row r="518" spans="1:2" x14ac:dyDescent="0.35">
      <c r="A518" t="s">
        <v>445</v>
      </c>
    </row>
    <row r="519" spans="1:2" x14ac:dyDescent="0.35">
      <c r="A519" t="s">
        <v>446</v>
      </c>
    </row>
    <row r="520" spans="1:2" x14ac:dyDescent="0.35">
      <c r="A520" t="s">
        <v>447</v>
      </c>
    </row>
    <row r="521" spans="1:2" x14ac:dyDescent="0.35">
      <c r="A521" t="s">
        <v>1379</v>
      </c>
    </row>
    <row r="522" spans="1:2" x14ac:dyDescent="0.35">
      <c r="A522" t="s">
        <v>841</v>
      </c>
      <c r="B522">
        <v>0</v>
      </c>
    </row>
    <row r="523" spans="1:2" x14ac:dyDescent="0.35">
      <c r="A523" t="s">
        <v>842</v>
      </c>
    </row>
    <row r="524" spans="1:2" x14ac:dyDescent="0.35">
      <c r="A524" t="s">
        <v>286</v>
      </c>
    </row>
    <row r="525" spans="1:2" x14ac:dyDescent="0.35">
      <c r="A525" t="s">
        <v>287</v>
      </c>
      <c r="B525">
        <v>0</v>
      </c>
    </row>
    <row r="526" spans="1:2" x14ac:dyDescent="0.35">
      <c r="A526" t="s">
        <v>3180</v>
      </c>
    </row>
    <row r="527" spans="1:2" x14ac:dyDescent="0.35">
      <c r="A527" t="s">
        <v>3181</v>
      </c>
    </row>
    <row r="528" spans="1:2" x14ac:dyDescent="0.35">
      <c r="A528" t="s">
        <v>3182</v>
      </c>
    </row>
    <row r="529" spans="1:2" x14ac:dyDescent="0.35">
      <c r="A529" t="s">
        <v>2909</v>
      </c>
    </row>
    <row r="530" spans="1:2" x14ac:dyDescent="0.35">
      <c r="A530" t="s">
        <v>3100</v>
      </c>
    </row>
    <row r="531" spans="1:2" x14ac:dyDescent="0.35">
      <c r="A531" t="s">
        <v>3101</v>
      </c>
      <c r="B531">
        <v>1500</v>
      </c>
    </row>
    <row r="532" spans="1:2" x14ac:dyDescent="0.35">
      <c r="A532" t="s">
        <v>3102</v>
      </c>
      <c r="B532">
        <v>1500</v>
      </c>
    </row>
    <row r="533" spans="1:2" x14ac:dyDescent="0.35">
      <c r="A533" t="s">
        <v>3103</v>
      </c>
      <c r="B533">
        <v>1500</v>
      </c>
    </row>
    <row r="534" spans="1:2" x14ac:dyDescent="0.35">
      <c r="A534" t="s">
        <v>423</v>
      </c>
      <c r="B534">
        <v>1500</v>
      </c>
    </row>
    <row r="535" spans="1:2" x14ac:dyDescent="0.35">
      <c r="A535" t="s">
        <v>424</v>
      </c>
      <c r="B535">
        <v>1500</v>
      </c>
    </row>
    <row r="536" spans="1:2" x14ac:dyDescent="0.35">
      <c r="A536" t="s">
        <v>681</v>
      </c>
      <c r="B536">
        <v>1500</v>
      </c>
    </row>
    <row r="537" spans="1:2" x14ac:dyDescent="0.35">
      <c r="A537" t="s">
        <v>682</v>
      </c>
      <c r="B537">
        <v>1500</v>
      </c>
    </row>
    <row r="538" spans="1:2" x14ac:dyDescent="0.35">
      <c r="A538" t="s">
        <v>2481</v>
      </c>
      <c r="B538">
        <v>1500</v>
      </c>
    </row>
    <row r="539" spans="1:2" x14ac:dyDescent="0.35">
      <c r="A539" t="s">
        <v>2491</v>
      </c>
      <c r="B539">
        <v>1500</v>
      </c>
    </row>
    <row r="540" spans="1:2" x14ac:dyDescent="0.35">
      <c r="A540" t="s">
        <v>2492</v>
      </c>
      <c r="B540">
        <v>1500</v>
      </c>
    </row>
    <row r="541" spans="1:2" x14ac:dyDescent="0.35">
      <c r="A541" t="s">
        <v>2493</v>
      </c>
      <c r="B541">
        <v>1500</v>
      </c>
    </row>
    <row r="542" spans="1:2" x14ac:dyDescent="0.35">
      <c r="A542" t="s">
        <v>2494</v>
      </c>
      <c r="B542">
        <v>1500</v>
      </c>
    </row>
    <row r="543" spans="1:2" x14ac:dyDescent="0.35">
      <c r="A543" t="s">
        <v>2495</v>
      </c>
      <c r="B543">
        <v>1500</v>
      </c>
    </row>
    <row r="544" spans="1:2" x14ac:dyDescent="0.35">
      <c r="A544" t="s">
        <v>2496</v>
      </c>
      <c r="B544">
        <v>1500</v>
      </c>
    </row>
    <row r="545" spans="1:2" x14ac:dyDescent="0.35">
      <c r="A545" t="s">
        <v>2490</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1875</v>
      </c>
      <c r="B549">
        <v>1500</v>
      </c>
    </row>
    <row r="550" spans="1:2" x14ac:dyDescent="0.35">
      <c r="A550" t="s">
        <v>1876</v>
      </c>
      <c r="B550">
        <v>1500</v>
      </c>
    </row>
    <row r="551" spans="1:2" x14ac:dyDescent="0.35">
      <c r="A551" t="s">
        <v>2458</v>
      </c>
      <c r="B551">
        <v>7</v>
      </c>
    </row>
    <row r="552" spans="1:2" x14ac:dyDescent="0.35">
      <c r="A552" t="s">
        <v>2459</v>
      </c>
      <c r="B552">
        <v>1</v>
      </c>
    </row>
    <row r="553" spans="1:2" x14ac:dyDescent="0.35">
      <c r="A553" t="s">
        <v>2460</v>
      </c>
      <c r="B553">
        <v>1</v>
      </c>
    </row>
    <row r="554" spans="1:2" x14ac:dyDescent="0.35">
      <c r="A554" t="s">
        <v>2461</v>
      </c>
      <c r="B554">
        <v>1</v>
      </c>
    </row>
    <row r="555" spans="1:2" x14ac:dyDescent="0.35">
      <c r="A555" t="s">
        <v>3949</v>
      </c>
      <c r="B555">
        <v>1</v>
      </c>
    </row>
    <row r="556" spans="1:2" x14ac:dyDescent="0.35">
      <c r="A556" t="s">
        <v>3950</v>
      </c>
      <c r="B556">
        <v>1</v>
      </c>
    </row>
    <row r="557" spans="1:2" x14ac:dyDescent="0.35">
      <c r="A557" t="s">
        <v>3951</v>
      </c>
      <c r="B557">
        <v>1</v>
      </c>
    </row>
    <row r="558" spans="1:2" x14ac:dyDescent="0.35">
      <c r="A558" t="s">
        <v>3952</v>
      </c>
      <c r="B558">
        <v>1</v>
      </c>
    </row>
    <row r="559" spans="1:2" x14ac:dyDescent="0.35">
      <c r="A559" t="s">
        <v>3953</v>
      </c>
      <c r="B559">
        <v>1</v>
      </c>
    </row>
    <row r="560" spans="1:2" x14ac:dyDescent="0.35">
      <c r="A560" t="s">
        <v>3988</v>
      </c>
      <c r="B560">
        <v>1</v>
      </c>
    </row>
    <row r="561" spans="1:2" x14ac:dyDescent="0.35">
      <c r="A561" t="s">
        <v>3989</v>
      </c>
      <c r="B561">
        <v>1</v>
      </c>
    </row>
    <row r="562" spans="1:2" x14ac:dyDescent="0.35">
      <c r="A562" t="s">
        <v>3990</v>
      </c>
      <c r="B562">
        <v>4</v>
      </c>
    </row>
    <row r="563" spans="1:2" x14ac:dyDescent="0.35">
      <c r="A563" t="s">
        <v>3991</v>
      </c>
      <c r="B563">
        <v>1</v>
      </c>
    </row>
    <row r="564" spans="1:2" x14ac:dyDescent="0.35">
      <c r="A564" t="s">
        <v>3992</v>
      </c>
      <c r="B564">
        <v>4</v>
      </c>
    </row>
    <row r="565" spans="1:2" x14ac:dyDescent="0.35">
      <c r="A565" t="s">
        <v>3993</v>
      </c>
      <c r="B565">
        <v>1</v>
      </c>
    </row>
    <row r="566" spans="1:2" x14ac:dyDescent="0.35">
      <c r="A566" t="s">
        <v>3994</v>
      </c>
      <c r="B566">
        <v>1</v>
      </c>
    </row>
    <row r="567" spans="1:2" x14ac:dyDescent="0.35">
      <c r="A567" t="s">
        <v>3351</v>
      </c>
      <c r="B567">
        <v>1</v>
      </c>
    </row>
    <row r="568" spans="1:2" x14ac:dyDescent="0.35">
      <c r="A568" t="s">
        <v>3664</v>
      </c>
      <c r="B568">
        <v>1</v>
      </c>
    </row>
    <row r="569" spans="1:2" x14ac:dyDescent="0.35">
      <c r="A569" t="s">
        <v>3665</v>
      </c>
      <c r="B569">
        <v>1</v>
      </c>
    </row>
    <row r="570" spans="1:2" x14ac:dyDescent="0.35">
      <c r="A570" t="s">
        <v>3666</v>
      </c>
      <c r="B570">
        <v>1</v>
      </c>
    </row>
    <row r="571" spans="1:2" x14ac:dyDescent="0.35">
      <c r="A571" t="s">
        <v>3667</v>
      </c>
      <c r="B571" t="s">
        <v>1111</v>
      </c>
    </row>
    <row r="572" spans="1:2" x14ac:dyDescent="0.35">
      <c r="A572" t="s">
        <v>3668</v>
      </c>
    </row>
    <row r="573" spans="1:2" x14ac:dyDescent="0.35">
      <c r="A573" t="s">
        <v>1987</v>
      </c>
    </row>
    <row r="574" spans="1:2" x14ac:dyDescent="0.35">
      <c r="A574" t="s">
        <v>2483</v>
      </c>
    </row>
    <row r="575" spans="1:2" x14ac:dyDescent="0.35">
      <c r="A575" t="s">
        <v>2484</v>
      </c>
    </row>
    <row r="576" spans="1:2" x14ac:dyDescent="0.35">
      <c r="A576" t="s">
        <v>2485</v>
      </c>
    </row>
    <row r="577" spans="1:2" x14ac:dyDescent="0.35">
      <c r="A577" t="s">
        <v>2486</v>
      </c>
    </row>
    <row r="578" spans="1:2" x14ac:dyDescent="0.35">
      <c r="A578" t="s">
        <v>2487</v>
      </c>
    </row>
    <row r="579" spans="1:2" x14ac:dyDescent="0.35">
      <c r="A579" t="s">
        <v>2488</v>
      </c>
    </row>
    <row r="580" spans="1:2" x14ac:dyDescent="0.35">
      <c r="A580" t="s">
        <v>3544</v>
      </c>
    </row>
    <row r="581" spans="1:2" x14ac:dyDescent="0.35">
      <c r="A581" t="s">
        <v>3469</v>
      </c>
    </row>
    <row r="582" spans="1:2" x14ac:dyDescent="0.35">
      <c r="A582" t="s">
        <v>3470</v>
      </c>
      <c r="B582" t="s">
        <v>2141</v>
      </c>
    </row>
    <row r="583" spans="1:2" x14ac:dyDescent="0.35">
      <c r="A583" t="s">
        <v>3471</v>
      </c>
    </row>
    <row r="584" spans="1:2" x14ac:dyDescent="0.35">
      <c r="A584" t="s">
        <v>3472</v>
      </c>
      <c r="B584" t="s">
        <v>1111</v>
      </c>
    </row>
    <row r="585" spans="1:2" x14ac:dyDescent="0.35">
      <c r="A585" t="s">
        <v>3883</v>
      </c>
    </row>
    <row r="586" spans="1:2" x14ac:dyDescent="0.35">
      <c r="A586" t="s">
        <v>4078</v>
      </c>
    </row>
    <row r="587" spans="1:2" x14ac:dyDescent="0.35">
      <c r="A587" t="s">
        <v>4079</v>
      </c>
    </row>
    <row r="588" spans="1:2" x14ac:dyDescent="0.35">
      <c r="A588" t="s">
        <v>4080</v>
      </c>
    </row>
    <row r="589" spans="1:2" x14ac:dyDescent="0.35">
      <c r="A589" t="s">
        <v>4081</v>
      </c>
    </row>
    <row r="590" spans="1:2" x14ac:dyDescent="0.35">
      <c r="A590" t="s">
        <v>1218</v>
      </c>
    </row>
    <row r="591" spans="1:2" x14ac:dyDescent="0.35">
      <c r="A591" t="s">
        <v>1777</v>
      </c>
      <c r="B591" t="b">
        <v>0</v>
      </c>
    </row>
    <row r="592" spans="1:2" x14ac:dyDescent="0.35">
      <c r="A592" t="s">
        <v>1778</v>
      </c>
    </row>
    <row r="593" spans="1:2" x14ac:dyDescent="0.35">
      <c r="A593" t="s">
        <v>2688</v>
      </c>
      <c r="B593">
        <v>6</v>
      </c>
    </row>
    <row r="594" spans="1:2" x14ac:dyDescent="0.35">
      <c r="A594" t="s">
        <v>1779</v>
      </c>
      <c r="B594" t="b">
        <v>0</v>
      </c>
    </row>
    <row r="595" spans="1:2" x14ac:dyDescent="0.35">
      <c r="A595" t="s">
        <v>214</v>
      </c>
    </row>
    <row r="596" spans="1:2" x14ac:dyDescent="0.35">
      <c r="A596" t="s">
        <v>3905</v>
      </c>
      <c r="B596">
        <v>20</v>
      </c>
    </row>
    <row r="597" spans="1:2" x14ac:dyDescent="0.35">
      <c r="A597" t="s">
        <v>215</v>
      </c>
    </row>
    <row r="598" spans="1:2" x14ac:dyDescent="0.35">
      <c r="A598" t="s">
        <v>4238</v>
      </c>
    </row>
    <row r="599" spans="1:2" x14ac:dyDescent="0.35">
      <c r="A599" t="s">
        <v>1250</v>
      </c>
    </row>
    <row r="600" spans="1:2" x14ac:dyDescent="0.35">
      <c r="A600" t="s">
        <v>1251</v>
      </c>
    </row>
    <row r="601" spans="1:2" x14ac:dyDescent="0.35">
      <c r="A601" t="s">
        <v>2972</v>
      </c>
    </row>
    <row r="602" spans="1:2" x14ac:dyDescent="0.35">
      <c r="A602" t="s">
        <v>2973</v>
      </c>
    </row>
    <row r="603" spans="1:2" x14ac:dyDescent="0.35">
      <c r="A603" t="s">
        <v>2974</v>
      </c>
    </row>
    <row r="604" spans="1:2" x14ac:dyDescent="0.35">
      <c r="A604" t="s">
        <v>1666</v>
      </c>
    </row>
    <row r="605" spans="1:2" x14ac:dyDescent="0.35">
      <c r="A605" t="s">
        <v>1667</v>
      </c>
    </row>
    <row r="606" spans="1:2" x14ac:dyDescent="0.35">
      <c r="A606" t="s">
        <v>1668</v>
      </c>
    </row>
    <row r="607" spans="1:2" x14ac:dyDescent="0.35">
      <c r="A607" t="s">
        <v>1669</v>
      </c>
    </row>
    <row r="608" spans="1:2" x14ac:dyDescent="0.35">
      <c r="A608" t="s">
        <v>1670</v>
      </c>
    </row>
    <row r="609" spans="1:1" x14ac:dyDescent="0.35">
      <c r="A609" t="s">
        <v>2183</v>
      </c>
    </row>
    <row r="610" spans="1:1" x14ac:dyDescent="0.35">
      <c r="A610" t="s">
        <v>1787</v>
      </c>
    </row>
    <row r="611" spans="1:1" x14ac:dyDescent="0.35">
      <c r="A611" t="s">
        <v>1788</v>
      </c>
    </row>
    <row r="612" spans="1:1" x14ac:dyDescent="0.35">
      <c r="A612" t="s">
        <v>1789</v>
      </c>
    </row>
    <row r="613" spans="1:1" x14ac:dyDescent="0.35">
      <c r="A613" t="s">
        <v>1713</v>
      </c>
    </row>
    <row r="614" spans="1:1" x14ac:dyDescent="0.35">
      <c r="A614" t="s">
        <v>1714</v>
      </c>
    </row>
    <row r="615" spans="1:1" x14ac:dyDescent="0.35">
      <c r="A615" t="s">
        <v>3317</v>
      </c>
    </row>
    <row r="616" spans="1:1" x14ac:dyDescent="0.35">
      <c r="A616" t="s">
        <v>3318</v>
      </c>
    </row>
    <row r="617" spans="1:1" x14ac:dyDescent="0.35">
      <c r="A617" t="s">
        <v>2959</v>
      </c>
    </row>
    <row r="618" spans="1:1" x14ac:dyDescent="0.35">
      <c r="A618" t="s">
        <v>2960</v>
      </c>
    </row>
    <row r="619" spans="1:1" x14ac:dyDescent="0.35">
      <c r="A619" t="s">
        <v>2961</v>
      </c>
    </row>
    <row r="620" spans="1:1" x14ac:dyDescent="0.35">
      <c r="A620" t="s">
        <v>1303</v>
      </c>
    </row>
    <row r="621" spans="1:1" x14ac:dyDescent="0.35">
      <c r="A621" t="s">
        <v>1304</v>
      </c>
    </row>
    <row r="622" spans="1:1" x14ac:dyDescent="0.35">
      <c r="A622" t="s">
        <v>1305</v>
      </c>
    </row>
    <row r="623" spans="1:1" x14ac:dyDescent="0.35">
      <c r="A623" t="s">
        <v>1306</v>
      </c>
    </row>
    <row r="624" spans="1:1" x14ac:dyDescent="0.35">
      <c r="A624" t="s">
        <v>1307</v>
      </c>
    </row>
    <row r="625" spans="1:2" x14ac:dyDescent="0.35">
      <c r="A625" t="s">
        <v>1852</v>
      </c>
    </row>
    <row r="626" spans="1:2" x14ac:dyDescent="0.35">
      <c r="A626" t="s">
        <v>1847</v>
      </c>
    </row>
    <row r="627" spans="1:2" x14ac:dyDescent="0.35">
      <c r="A627" t="s">
        <v>1848</v>
      </c>
    </row>
    <row r="628" spans="1:2" x14ac:dyDescent="0.35">
      <c r="A628" t="s">
        <v>1849</v>
      </c>
    </row>
    <row r="629" spans="1:2" x14ac:dyDescent="0.35">
      <c r="A629" t="s">
        <v>1850</v>
      </c>
    </row>
    <row r="630" spans="1:2" x14ac:dyDescent="0.35">
      <c r="A630" t="s">
        <v>1851</v>
      </c>
    </row>
    <row r="631" spans="1:2" x14ac:dyDescent="0.35">
      <c r="A631" t="s">
        <v>2993</v>
      </c>
    </row>
    <row r="632" spans="1:2" x14ac:dyDescent="0.35">
      <c r="A632" t="s">
        <v>3530</v>
      </c>
    </row>
    <row r="633" spans="1:2" x14ac:dyDescent="0.35">
      <c r="A633" t="s">
        <v>2173</v>
      </c>
      <c r="B633">
        <v>41827</v>
      </c>
    </row>
    <row r="634" spans="1:2" x14ac:dyDescent="0.35">
      <c r="A634" t="s">
        <v>1036</v>
      </c>
      <c r="B634">
        <v>1</v>
      </c>
    </row>
    <row r="635" spans="1:2" x14ac:dyDescent="0.35">
      <c r="A635" t="s">
        <v>3409</v>
      </c>
      <c r="B635">
        <v>1</v>
      </c>
    </row>
    <row r="636" spans="1:2" x14ac:dyDescent="0.35">
      <c r="A636" t="s">
        <v>3411</v>
      </c>
      <c r="B636">
        <v>1</v>
      </c>
    </row>
    <row r="637" spans="1:2" x14ac:dyDescent="0.35">
      <c r="A637" t="s">
        <v>3413</v>
      </c>
      <c r="B637">
        <v>1</v>
      </c>
    </row>
    <row r="638" spans="1:2" x14ac:dyDescent="0.35">
      <c r="A638" t="s">
        <v>3415</v>
      </c>
      <c r="B638">
        <v>1</v>
      </c>
    </row>
    <row r="639" spans="1:2" x14ac:dyDescent="0.35">
      <c r="A639" t="s">
        <v>3417</v>
      </c>
      <c r="B639">
        <v>1</v>
      </c>
    </row>
    <row r="640" spans="1:2" x14ac:dyDescent="0.35">
      <c r="A640" t="s">
        <v>3809</v>
      </c>
      <c r="B640">
        <v>123456</v>
      </c>
    </row>
    <row r="641" spans="1:2" x14ac:dyDescent="0.35">
      <c r="A641" t="s">
        <v>3063</v>
      </c>
    </row>
    <row r="642" spans="1:2" x14ac:dyDescent="0.35">
      <c r="A642" t="s">
        <v>2332</v>
      </c>
      <c r="B642">
        <v>5</v>
      </c>
    </row>
    <row r="643" spans="1:2" x14ac:dyDescent="0.35">
      <c r="A643" t="s">
        <v>2544</v>
      </c>
    </row>
    <row r="644" spans="1:2" x14ac:dyDescent="0.35">
      <c r="A644" t="s">
        <v>671</v>
      </c>
    </row>
    <row r="645" spans="1:2" x14ac:dyDescent="0.35">
      <c r="A645" t="s">
        <v>674</v>
      </c>
    </row>
    <row r="646" spans="1:2" x14ac:dyDescent="0.35">
      <c r="A646" t="s">
        <v>673</v>
      </c>
    </row>
    <row r="647" spans="1:2" x14ac:dyDescent="0.35">
      <c r="A647" t="s">
        <v>670</v>
      </c>
    </row>
    <row r="648" spans="1:2" x14ac:dyDescent="0.35">
      <c r="A648" t="s">
        <v>669</v>
      </c>
    </row>
    <row r="649" spans="1:2" x14ac:dyDescent="0.35">
      <c r="A649" t="s">
        <v>672</v>
      </c>
    </row>
    <row r="650" spans="1:2" x14ac:dyDescent="0.35">
      <c r="A650" t="s">
        <v>675</v>
      </c>
    </row>
    <row r="651" spans="1:2" x14ac:dyDescent="0.35">
      <c r="A651" t="s">
        <v>3005</v>
      </c>
    </row>
    <row r="652" spans="1:2" x14ac:dyDescent="0.35">
      <c r="A652" t="s">
        <v>3654</v>
      </c>
    </row>
    <row r="653" spans="1:2" x14ac:dyDescent="0.35">
      <c r="A653" t="s">
        <v>2555</v>
      </c>
      <c r="B653">
        <v>168</v>
      </c>
    </row>
    <row r="654" spans="1:2" x14ac:dyDescent="0.35">
      <c r="A654" t="s">
        <v>2557</v>
      </c>
    </row>
    <row r="655" spans="1:2" x14ac:dyDescent="0.35">
      <c r="A655" t="s">
        <v>2559</v>
      </c>
    </row>
    <row r="656" spans="1:2" x14ac:dyDescent="0.35">
      <c r="A656" t="s">
        <v>2561</v>
      </c>
    </row>
    <row r="657" spans="1:2" x14ac:dyDescent="0.35">
      <c r="A657" t="s">
        <v>4133</v>
      </c>
    </row>
    <row r="658" spans="1:2" x14ac:dyDescent="0.35">
      <c r="A658" t="s">
        <v>4135</v>
      </c>
    </row>
    <row r="659" spans="1:2" x14ac:dyDescent="0.35">
      <c r="A659" t="s">
        <v>4137</v>
      </c>
    </row>
    <row r="660" spans="1:2" x14ac:dyDescent="0.35">
      <c r="A660" t="s">
        <v>4139</v>
      </c>
    </row>
    <row r="661" spans="1:2" x14ac:dyDescent="0.35">
      <c r="A661" t="s">
        <v>2341</v>
      </c>
    </row>
    <row r="662" spans="1:2" x14ac:dyDescent="0.35">
      <c r="A662" t="s">
        <v>3885</v>
      </c>
    </row>
    <row r="663" spans="1:2" x14ac:dyDescent="0.35">
      <c r="A663" t="s">
        <v>3887</v>
      </c>
    </row>
    <row r="664" spans="1:2" x14ac:dyDescent="0.35">
      <c r="A664" t="s">
        <v>3889</v>
      </c>
      <c r="B664">
        <v>441</v>
      </c>
    </row>
    <row r="665" spans="1:2" x14ac:dyDescent="0.35">
      <c r="A665" t="s">
        <v>2281</v>
      </c>
    </row>
    <row r="666" spans="1:2" x14ac:dyDescent="0.35">
      <c r="A666" t="s">
        <v>2283</v>
      </c>
      <c r="B666">
        <v>920</v>
      </c>
    </row>
    <row r="667" spans="1:2" x14ac:dyDescent="0.35">
      <c r="A667" t="s">
        <v>2285</v>
      </c>
      <c r="B667">
        <v>0</v>
      </c>
    </row>
    <row r="668" spans="1:2" x14ac:dyDescent="0.35">
      <c r="A668" t="s">
        <v>2287</v>
      </c>
    </row>
    <row r="669" spans="1:2" x14ac:dyDescent="0.35">
      <c r="A669" t="s">
        <v>2289</v>
      </c>
    </row>
    <row r="670" spans="1:2" x14ac:dyDescent="0.35">
      <c r="A670" t="s">
        <v>2291</v>
      </c>
    </row>
    <row r="671" spans="1:2" x14ac:dyDescent="0.35">
      <c r="A671" t="s">
        <v>2293</v>
      </c>
    </row>
    <row r="672" spans="1:2" x14ac:dyDescent="0.35">
      <c r="A672" t="s">
        <v>2295</v>
      </c>
    </row>
    <row r="673" spans="1:2" x14ac:dyDescent="0.35">
      <c r="A673" t="s">
        <v>2334</v>
      </c>
      <c r="B673">
        <v>5</v>
      </c>
    </row>
    <row r="674" spans="1:2" x14ac:dyDescent="0.35">
      <c r="A674" t="s">
        <v>2117</v>
      </c>
      <c r="B674" t="b">
        <v>0</v>
      </c>
    </row>
    <row r="675" spans="1:2" x14ac:dyDescent="0.35">
      <c r="A675" t="s">
        <v>3906</v>
      </c>
      <c r="B675">
        <v>1</v>
      </c>
    </row>
    <row r="676" spans="1:2" x14ac:dyDescent="0.35">
      <c r="A676" t="s">
        <v>2138</v>
      </c>
      <c r="B676">
        <v>2</v>
      </c>
    </row>
    <row r="677" spans="1:2" x14ac:dyDescent="0.35">
      <c r="A677" t="s">
        <v>3088</v>
      </c>
    </row>
    <row r="678" spans="1:2" x14ac:dyDescent="0.35">
      <c r="A678" t="s">
        <v>3089</v>
      </c>
    </row>
    <row r="679" spans="1:2" x14ac:dyDescent="0.35">
      <c r="A679" t="s">
        <v>3090</v>
      </c>
    </row>
    <row r="680" spans="1:2" x14ac:dyDescent="0.35">
      <c r="A680" t="s">
        <v>3091</v>
      </c>
    </row>
    <row r="681" spans="1:2" x14ac:dyDescent="0.35">
      <c r="A681" t="s">
        <v>3092</v>
      </c>
    </row>
    <row r="682" spans="1:2" x14ac:dyDescent="0.35">
      <c r="A682" t="s">
        <v>3093</v>
      </c>
    </row>
    <row r="683" spans="1:2" x14ac:dyDescent="0.35">
      <c r="A683" t="s">
        <v>1966</v>
      </c>
    </row>
    <row r="684" spans="1:2" x14ac:dyDescent="0.35">
      <c r="A684" t="s">
        <v>3973</v>
      </c>
    </row>
    <row r="685" spans="1:2" x14ac:dyDescent="0.35">
      <c r="A685" t="s">
        <v>3974</v>
      </c>
    </row>
    <row r="686" spans="1:2" x14ac:dyDescent="0.35">
      <c r="A686" t="s">
        <v>3043</v>
      </c>
      <c r="B686">
        <v>0</v>
      </c>
    </row>
    <row r="687" spans="1:2" x14ac:dyDescent="0.35">
      <c r="A687" t="s">
        <v>2885</v>
      </c>
      <c r="B687">
        <v>11</v>
      </c>
    </row>
    <row r="688" spans="1:2" x14ac:dyDescent="0.35">
      <c r="A688" t="s">
        <v>4128</v>
      </c>
      <c r="B688">
        <v>1</v>
      </c>
    </row>
    <row r="689" spans="1:2" x14ac:dyDescent="0.35">
      <c r="A689" t="s">
        <v>3907</v>
      </c>
      <c r="B689">
        <v>73</v>
      </c>
    </row>
    <row r="690" spans="1:2" x14ac:dyDescent="0.35">
      <c r="A690" t="s">
        <v>1737</v>
      </c>
      <c r="B690">
        <v>50</v>
      </c>
    </row>
    <row r="691" spans="1:2" x14ac:dyDescent="0.35">
      <c r="A691" t="s">
        <v>1738</v>
      </c>
    </row>
    <row r="692" spans="1:2" x14ac:dyDescent="0.35">
      <c r="A692" t="s">
        <v>1739</v>
      </c>
    </row>
    <row r="693" spans="1:2" x14ac:dyDescent="0.35">
      <c r="A693" t="s">
        <v>1740</v>
      </c>
    </row>
    <row r="694" spans="1:2" x14ac:dyDescent="0.35">
      <c r="A694" t="s">
        <v>1741</v>
      </c>
    </row>
    <row r="695" spans="1:2" x14ac:dyDescent="0.35">
      <c r="A695" t="s">
        <v>1742</v>
      </c>
    </row>
    <row r="696" spans="1:2" x14ac:dyDescent="0.35">
      <c r="A696" t="s">
        <v>1743</v>
      </c>
    </row>
    <row r="697" spans="1:2" x14ac:dyDescent="0.35">
      <c r="A697" t="s">
        <v>1744</v>
      </c>
    </row>
    <row r="698" spans="1:2" x14ac:dyDescent="0.35">
      <c r="A698" t="s">
        <v>1745</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4239</v>
      </c>
      <c r="B710">
        <v>1500</v>
      </c>
    </row>
    <row r="711" spans="1:2" x14ac:dyDescent="0.35">
      <c r="A711" t="s">
        <v>4240</v>
      </c>
      <c r="B711">
        <v>1500</v>
      </c>
    </row>
    <row r="712" spans="1:2" x14ac:dyDescent="0.35">
      <c r="A712" t="s">
        <v>4241</v>
      </c>
      <c r="B712">
        <v>1500</v>
      </c>
    </row>
    <row r="713" spans="1:2" x14ac:dyDescent="0.35">
      <c r="A713" t="s">
        <v>4242</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1911</v>
      </c>
      <c r="B719">
        <v>1500</v>
      </c>
    </row>
    <row r="720" spans="1:2" x14ac:dyDescent="0.35">
      <c r="A720" t="s">
        <v>1912</v>
      </c>
      <c r="B720">
        <v>1500</v>
      </c>
    </row>
    <row r="721" spans="1:2" x14ac:dyDescent="0.35">
      <c r="A721" t="s">
        <v>1913</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2666</v>
      </c>
      <c r="B726">
        <v>1500</v>
      </c>
    </row>
    <row r="727" spans="1:2" x14ac:dyDescent="0.35">
      <c r="A727" t="s">
        <v>2667</v>
      </c>
      <c r="B727">
        <v>1500</v>
      </c>
    </row>
    <row r="728" spans="1:2" x14ac:dyDescent="0.35">
      <c r="A728" t="s">
        <v>2668</v>
      </c>
      <c r="B728">
        <v>1500</v>
      </c>
    </row>
    <row r="729" spans="1:2" x14ac:dyDescent="0.35">
      <c r="A729" t="s">
        <v>2669</v>
      </c>
      <c r="B729">
        <v>1500</v>
      </c>
    </row>
    <row r="730" spans="1:2" x14ac:dyDescent="0.35">
      <c r="A730" t="s">
        <v>3647</v>
      </c>
    </row>
    <row r="731" spans="1:2" x14ac:dyDescent="0.35">
      <c r="A731" t="s">
        <v>3653</v>
      </c>
      <c r="B731">
        <v>40</v>
      </c>
    </row>
    <row r="732" spans="1:2" x14ac:dyDescent="0.35">
      <c r="A732" t="s">
        <v>3652</v>
      </c>
      <c r="B732">
        <v>80</v>
      </c>
    </row>
    <row r="733" spans="1:2" x14ac:dyDescent="0.35">
      <c r="A733" t="s">
        <v>3641</v>
      </c>
    </row>
    <row r="734" spans="1:2" x14ac:dyDescent="0.35">
      <c r="A734" t="s">
        <v>3639</v>
      </c>
    </row>
    <row r="735" spans="1:2" x14ac:dyDescent="0.35">
      <c r="A735" t="s">
        <v>3646</v>
      </c>
    </row>
    <row r="736" spans="1:2" x14ac:dyDescent="0.35">
      <c r="A736" t="s">
        <v>3621</v>
      </c>
      <c r="B736">
        <v>1</v>
      </c>
    </row>
    <row r="737" spans="1:2" x14ac:dyDescent="0.35">
      <c r="A737" t="s">
        <v>2333</v>
      </c>
      <c r="B737">
        <v>0</v>
      </c>
    </row>
    <row r="738" spans="1:2" x14ac:dyDescent="0.35">
      <c r="A738" t="s">
        <v>2230</v>
      </c>
      <c r="B738">
        <v>1</v>
      </c>
    </row>
    <row r="739" spans="1:2" x14ac:dyDescent="0.35">
      <c r="A739" t="s">
        <v>3908</v>
      </c>
    </row>
    <row r="740" spans="1:2" x14ac:dyDescent="0.35">
      <c r="A740" t="s">
        <v>2335</v>
      </c>
      <c r="B740">
        <v>17</v>
      </c>
    </row>
    <row r="741" spans="1:2" x14ac:dyDescent="0.35">
      <c r="A741" t="s">
        <v>3648</v>
      </c>
      <c r="B741">
        <v>18</v>
      </c>
    </row>
    <row r="742" spans="1:2" x14ac:dyDescent="0.35">
      <c r="A742" t="s">
        <v>2177</v>
      </c>
      <c r="B742">
        <v>60</v>
      </c>
    </row>
    <row r="743" spans="1:2" x14ac:dyDescent="0.35">
      <c r="A743" t="s">
        <v>3909</v>
      </c>
      <c r="B743" t="b">
        <v>0</v>
      </c>
    </row>
    <row r="744" spans="1:2" x14ac:dyDescent="0.35">
      <c r="A744" t="s">
        <v>3910</v>
      </c>
      <c r="B744">
        <v>1</v>
      </c>
    </row>
    <row r="745" spans="1:2" x14ac:dyDescent="0.35">
      <c r="A745" t="s">
        <v>1610</v>
      </c>
      <c r="B745">
        <v>50</v>
      </c>
    </row>
    <row r="746" spans="1:2" x14ac:dyDescent="0.35">
      <c r="A746" t="s">
        <v>3423</v>
      </c>
    </row>
    <row r="747" spans="1:2" x14ac:dyDescent="0.35">
      <c r="A747" t="s">
        <v>3424</v>
      </c>
    </row>
    <row r="748" spans="1:2" x14ac:dyDescent="0.35">
      <c r="A748" t="s">
        <v>2185</v>
      </c>
    </row>
    <row r="749" spans="1:2" x14ac:dyDescent="0.35">
      <c r="A749" t="s">
        <v>2175</v>
      </c>
      <c r="B749" t="s">
        <v>5128</v>
      </c>
    </row>
    <row r="750" spans="1:2" x14ac:dyDescent="0.35">
      <c r="A750" t="s">
        <v>2967</v>
      </c>
      <c r="B750" t="b">
        <v>0</v>
      </c>
    </row>
    <row r="751" spans="1:2" x14ac:dyDescent="0.35">
      <c r="A751" t="s">
        <v>4236</v>
      </c>
      <c r="B751">
        <v>1</v>
      </c>
    </row>
    <row r="752" spans="1:2" x14ac:dyDescent="0.35">
      <c r="A752" t="s">
        <v>4965</v>
      </c>
      <c r="B752" t="b">
        <v>0</v>
      </c>
    </row>
    <row r="753" spans="1:2" x14ac:dyDescent="0.35">
      <c r="A753" t="s">
        <v>4966</v>
      </c>
      <c r="B753">
        <v>30</v>
      </c>
    </row>
    <row r="754" spans="1:2" x14ac:dyDescent="0.35">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1818</v>
      </c>
      <c r="B1" t="s">
        <v>1819</v>
      </c>
      <c r="C1" s="78" t="s">
        <v>2441</v>
      </c>
      <c r="T1">
        <v>2.9</v>
      </c>
    </row>
    <row r="2" spans="1:20" x14ac:dyDescent="0.35">
      <c r="A2" s="25" t="s">
        <v>2174</v>
      </c>
      <c r="B2" s="78" t="s">
        <v>5127</v>
      </c>
      <c r="C2" s="78" t="s">
        <v>2674</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1196</v>
      </c>
      <c r="B6" s="78">
        <v>2</v>
      </c>
      <c r="C6" s="78">
        <v>2</v>
      </c>
      <c r="D6">
        <v>2</v>
      </c>
    </row>
    <row r="7" spans="1:20" x14ac:dyDescent="0.35">
      <c r="A7" s="25" t="s">
        <v>1197</v>
      </c>
      <c r="B7" s="78">
        <v>10</v>
      </c>
      <c r="C7" s="78">
        <v>10</v>
      </c>
      <c r="D7">
        <v>5</v>
      </c>
    </row>
    <row r="8" spans="1:20" x14ac:dyDescent="0.35">
      <c r="A8" s="25" t="s">
        <v>1198</v>
      </c>
      <c r="B8" s="78">
        <v>5</v>
      </c>
      <c r="C8" s="78">
        <v>5</v>
      </c>
      <c r="D8">
        <v>50</v>
      </c>
    </row>
    <row r="9" spans="1:20" x14ac:dyDescent="0.35">
      <c r="A9" s="25" t="s">
        <v>3819</v>
      </c>
      <c r="B9" s="78">
        <v>10</v>
      </c>
      <c r="C9" s="78">
        <v>10</v>
      </c>
      <c r="D9">
        <v>1</v>
      </c>
    </row>
    <row r="10" spans="1:20" x14ac:dyDescent="0.35">
      <c r="A10" s="25" t="s">
        <v>4642</v>
      </c>
      <c r="B10" s="78">
        <v>1</v>
      </c>
      <c r="C10" s="78">
        <v>10</v>
      </c>
      <c r="D10">
        <v>1</v>
      </c>
    </row>
    <row r="11" spans="1:20" x14ac:dyDescent="0.35">
      <c r="A11" t="s">
        <v>4635</v>
      </c>
      <c r="C11"/>
    </row>
    <row r="12" spans="1:20" x14ac:dyDescent="0.35">
      <c r="A12" t="s">
        <v>4636</v>
      </c>
      <c r="B12">
        <v>5</v>
      </c>
      <c r="C12">
        <v>5</v>
      </c>
      <c r="D12">
        <v>1</v>
      </c>
    </row>
    <row r="13" spans="1:20" x14ac:dyDescent="0.35">
      <c r="A13" t="s">
        <v>4637</v>
      </c>
      <c r="C13"/>
    </row>
    <row r="14" spans="1:20" x14ac:dyDescent="0.35">
      <c r="A14" s="25" t="s">
        <v>3820</v>
      </c>
      <c r="B14" s="78">
        <v>1</v>
      </c>
      <c r="C14" s="78">
        <v>1</v>
      </c>
      <c r="D14">
        <v>0.1</v>
      </c>
    </row>
    <row r="15" spans="1:20" x14ac:dyDescent="0.35">
      <c r="A15" t="s">
        <v>4638</v>
      </c>
      <c r="C15"/>
    </row>
    <row r="16" spans="1:20" x14ac:dyDescent="0.35">
      <c r="A16" t="s">
        <v>4639</v>
      </c>
      <c r="B16">
        <v>50</v>
      </c>
      <c r="C16">
        <v>50</v>
      </c>
      <c r="D16">
        <v>10</v>
      </c>
    </row>
    <row r="17" spans="1:4" x14ac:dyDescent="0.35">
      <c r="A17" t="s">
        <v>4640</v>
      </c>
      <c r="B17">
        <v>5</v>
      </c>
      <c r="C17">
        <v>5</v>
      </c>
      <c r="D17">
        <v>1</v>
      </c>
    </row>
    <row r="18" spans="1:4" x14ac:dyDescent="0.35">
      <c r="A18" t="s">
        <v>4641</v>
      </c>
      <c r="B18">
        <v>500</v>
      </c>
      <c r="C18">
        <v>500</v>
      </c>
      <c r="D18">
        <v>100</v>
      </c>
    </row>
    <row r="19" spans="1:4" x14ac:dyDescent="0.35">
      <c r="A19" s="25" t="s">
        <v>3821</v>
      </c>
      <c r="B19" s="78">
        <v>10</v>
      </c>
      <c r="C19" s="78">
        <v>10</v>
      </c>
      <c r="D19">
        <v>10</v>
      </c>
    </row>
    <row r="20" spans="1:4" x14ac:dyDescent="0.35">
      <c r="A20" s="25" t="s">
        <v>3822</v>
      </c>
      <c r="B20" s="78">
        <v>50</v>
      </c>
      <c r="C20" s="78">
        <v>50</v>
      </c>
      <c r="D20">
        <v>0.5</v>
      </c>
    </row>
    <row r="21" spans="1:4" x14ac:dyDescent="0.35">
      <c r="A21" s="25" t="s">
        <v>3823</v>
      </c>
      <c r="B21" s="78">
        <v>150</v>
      </c>
      <c r="C21" s="78">
        <v>150</v>
      </c>
      <c r="D21">
        <v>0.15</v>
      </c>
    </row>
    <row r="22" spans="1:4" x14ac:dyDescent="0.35">
      <c r="A22" s="25" t="s">
        <v>3824</v>
      </c>
      <c r="B22" s="78">
        <v>2500</v>
      </c>
      <c r="C22" s="78">
        <v>2500</v>
      </c>
      <c r="D22">
        <v>12.5</v>
      </c>
    </row>
    <row r="23" spans="1:4" x14ac:dyDescent="0.35">
      <c r="A23" s="25" t="s">
        <v>3825</v>
      </c>
      <c r="B23" s="78">
        <v>200</v>
      </c>
      <c r="C23" s="78">
        <v>200</v>
      </c>
      <c r="D23">
        <v>40</v>
      </c>
    </row>
    <row r="24" spans="1:4" x14ac:dyDescent="0.35">
      <c r="A24" s="25" t="s">
        <v>3826</v>
      </c>
      <c r="B24" s="78">
        <v>50</v>
      </c>
      <c r="C24" s="78">
        <v>50</v>
      </c>
      <c r="D24">
        <v>5</v>
      </c>
    </row>
    <row r="25" spans="1:4" x14ac:dyDescent="0.35">
      <c r="A25" s="25" t="s">
        <v>3827</v>
      </c>
      <c r="B25" s="78">
        <v>100</v>
      </c>
      <c r="C25" s="78">
        <v>100</v>
      </c>
      <c r="D25">
        <v>25</v>
      </c>
    </row>
    <row r="26" spans="1:4" x14ac:dyDescent="0.35">
      <c r="A26" s="25" t="s">
        <v>2687</v>
      </c>
      <c r="B26" s="78">
        <v>1</v>
      </c>
      <c r="C26" s="78">
        <v>1</v>
      </c>
    </row>
    <row r="27" spans="1:4" x14ac:dyDescent="0.35">
      <c r="A27" s="25" t="s">
        <v>1173</v>
      </c>
      <c r="B27" s="78" t="s">
        <v>3508</v>
      </c>
      <c r="C27" s="78" t="s">
        <v>3508</v>
      </c>
    </row>
    <row r="28" spans="1:4" x14ac:dyDescent="0.35">
      <c r="A28" s="25" t="s">
        <v>3719</v>
      </c>
      <c r="B28" s="78" t="b">
        <v>0</v>
      </c>
      <c r="C28" s="78" t="b">
        <v>0</v>
      </c>
    </row>
    <row r="29" spans="1:4" x14ac:dyDescent="0.35">
      <c r="A29" s="25" t="s">
        <v>3720</v>
      </c>
      <c r="B29" s="78"/>
    </row>
    <row r="30" spans="1:4" x14ac:dyDescent="0.35">
      <c r="A30" s="25" t="s">
        <v>2130</v>
      </c>
      <c r="B30" s="78"/>
    </row>
    <row r="31" spans="1:4" x14ac:dyDescent="0.35">
      <c r="A31" s="25" t="s">
        <v>2696</v>
      </c>
      <c r="B31" t="b">
        <v>1</v>
      </c>
      <c r="C31" t="b">
        <v>1</v>
      </c>
    </row>
    <row r="32" spans="1:4" x14ac:dyDescent="0.35">
      <c r="A32" s="106" t="s">
        <v>3917</v>
      </c>
      <c r="C32"/>
    </row>
    <row r="33" spans="1:3" x14ac:dyDescent="0.35">
      <c r="A33" s="106" t="s">
        <v>3520</v>
      </c>
      <c r="C33"/>
    </row>
    <row r="34" spans="1:3" x14ac:dyDescent="0.35">
      <c r="A34" s="106" t="s">
        <v>3522</v>
      </c>
      <c r="C34"/>
    </row>
    <row r="35" spans="1:3" x14ac:dyDescent="0.35">
      <c r="A35" s="106" t="s">
        <v>3524</v>
      </c>
      <c r="C35"/>
    </row>
    <row r="36" spans="1:3" x14ac:dyDescent="0.35">
      <c r="A36" s="106" t="s">
        <v>3526</v>
      </c>
      <c r="C36"/>
    </row>
    <row r="37" spans="1:3" x14ac:dyDescent="0.35">
      <c r="A37" s="106" t="s">
        <v>3632</v>
      </c>
      <c r="C37"/>
    </row>
    <row r="38" spans="1:3" x14ac:dyDescent="0.35">
      <c r="A38" s="106" t="s">
        <v>3634</v>
      </c>
      <c r="C38"/>
    </row>
    <row r="39" spans="1:3" x14ac:dyDescent="0.35">
      <c r="A39" s="106" t="s">
        <v>3683</v>
      </c>
      <c r="C39"/>
    </row>
    <row r="40" spans="1:3" x14ac:dyDescent="0.35">
      <c r="A40" s="106" t="s">
        <v>3685</v>
      </c>
      <c r="C40"/>
    </row>
    <row r="41" spans="1:3" x14ac:dyDescent="0.35">
      <c r="A41" s="106" t="s">
        <v>3687</v>
      </c>
      <c r="C41"/>
    </row>
    <row r="42" spans="1:3" x14ac:dyDescent="0.35">
      <c r="A42" s="25" t="s">
        <v>3640</v>
      </c>
      <c r="B42" s="78"/>
    </row>
    <row r="43" spans="1:3" x14ac:dyDescent="0.35">
      <c r="A43" s="25" t="s">
        <v>3645</v>
      </c>
      <c r="B43" s="78"/>
    </row>
    <row r="44" spans="1:3" x14ac:dyDescent="0.35">
      <c r="A44" s="25" t="s">
        <v>460</v>
      </c>
      <c r="B44" s="78">
        <v>5</v>
      </c>
    </row>
    <row r="45" spans="1:3" x14ac:dyDescent="0.35">
      <c r="A45" s="25" t="s">
        <v>461</v>
      </c>
      <c r="B45" s="78"/>
    </row>
    <row r="46" spans="1:3" x14ac:dyDescent="0.35">
      <c r="A46" s="25" t="s">
        <v>462</v>
      </c>
      <c r="B46" s="78"/>
    </row>
    <row r="47" spans="1:3" x14ac:dyDescent="0.35">
      <c r="A47" s="25" t="s">
        <v>463</v>
      </c>
      <c r="B47" s="78"/>
    </row>
    <row r="48" spans="1:3" x14ac:dyDescent="0.35">
      <c r="A48" s="25" t="s">
        <v>65</v>
      </c>
      <c r="B48" s="78"/>
    </row>
    <row r="49" spans="1:3" x14ac:dyDescent="0.35">
      <c r="A49" s="25" t="s">
        <v>66</v>
      </c>
      <c r="B49" s="78"/>
    </row>
    <row r="50" spans="1:3" x14ac:dyDescent="0.35">
      <c r="A50" s="25" t="s">
        <v>3428</v>
      </c>
      <c r="B50" s="78"/>
    </row>
    <row r="51" spans="1:3" x14ac:dyDescent="0.35">
      <c r="A51" s="25" t="s">
        <v>3429</v>
      </c>
      <c r="B51" s="78"/>
    </row>
    <row r="52" spans="1:3" x14ac:dyDescent="0.35">
      <c r="A52" s="25" t="s">
        <v>3430</v>
      </c>
      <c r="B52" s="78"/>
    </row>
    <row r="53" spans="1:3" x14ac:dyDescent="0.35">
      <c r="A53" s="25" t="s">
        <v>3431</v>
      </c>
      <c r="B53" s="78"/>
    </row>
    <row r="54" spans="1:3" x14ac:dyDescent="0.35">
      <c r="A54" s="25" t="s">
        <v>2194</v>
      </c>
      <c r="B54" s="78"/>
    </row>
    <row r="55" spans="1:3" x14ac:dyDescent="0.35">
      <c r="A55" s="25" t="s">
        <v>2195</v>
      </c>
      <c r="B55" s="78">
        <v>10</v>
      </c>
    </row>
    <row r="56" spans="1:3" x14ac:dyDescent="0.35">
      <c r="A56" s="25" t="s">
        <v>2196</v>
      </c>
      <c r="B56" s="78"/>
    </row>
    <row r="57" spans="1:3" x14ac:dyDescent="0.35">
      <c r="A57" s="25" t="s">
        <v>2197</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846</v>
      </c>
      <c r="B63" s="78"/>
    </row>
    <row r="64" spans="1:3" x14ac:dyDescent="0.35">
      <c r="A64" s="25" t="s">
        <v>3637</v>
      </c>
      <c r="B64" s="78">
        <v>30</v>
      </c>
      <c r="C64" s="78">
        <v>30</v>
      </c>
    </row>
    <row r="65" spans="1:3" x14ac:dyDescent="0.35">
      <c r="A65" s="25" t="s">
        <v>3644</v>
      </c>
      <c r="B65" s="78"/>
    </row>
    <row r="66" spans="1:3" x14ac:dyDescent="0.35">
      <c r="A66" s="25" t="s">
        <v>1350</v>
      </c>
      <c r="B66" s="78">
        <v>1</v>
      </c>
      <c r="C66" s="78">
        <v>1</v>
      </c>
    </row>
    <row r="67" spans="1:3" x14ac:dyDescent="0.35">
      <c r="A67" s="25" t="s">
        <v>847</v>
      </c>
      <c r="B67" s="78" t="s">
        <v>1844</v>
      </c>
    </row>
    <row r="68" spans="1:3" x14ac:dyDescent="0.35">
      <c r="A68" s="25" t="s">
        <v>848</v>
      </c>
      <c r="B68" s="78"/>
    </row>
    <row r="69" spans="1:3" x14ac:dyDescent="0.35">
      <c r="A69" s="25" t="s">
        <v>849</v>
      </c>
      <c r="B69" s="78"/>
    </row>
    <row r="70" spans="1:3" x14ac:dyDescent="0.35">
      <c r="A70" s="25" t="s">
        <v>850</v>
      </c>
      <c r="B70" s="78"/>
    </row>
    <row r="71" spans="1:3" x14ac:dyDescent="0.35">
      <c r="A71" s="25" t="s">
        <v>851</v>
      </c>
      <c r="B71" s="78"/>
    </row>
    <row r="72" spans="1:3" x14ac:dyDescent="0.35">
      <c r="A72" s="25" t="s">
        <v>852</v>
      </c>
      <c r="B72" s="78"/>
    </row>
    <row r="73" spans="1:3" x14ac:dyDescent="0.35">
      <c r="A73" s="25" t="s">
        <v>853</v>
      </c>
      <c r="B73" s="78"/>
    </row>
    <row r="74" spans="1:3" x14ac:dyDescent="0.35">
      <c r="A74" s="25" t="s">
        <v>854</v>
      </c>
      <c r="B74" s="78"/>
    </row>
    <row r="75" spans="1:3" x14ac:dyDescent="0.35">
      <c r="A75" s="25" t="s">
        <v>855</v>
      </c>
      <c r="B75" s="78"/>
    </row>
    <row r="76" spans="1:3" x14ac:dyDescent="0.35">
      <c r="A76" s="25" t="s">
        <v>856</v>
      </c>
      <c r="B76" s="78"/>
    </row>
    <row r="77" spans="1:3" x14ac:dyDescent="0.35">
      <c r="A77" s="25" t="s">
        <v>857</v>
      </c>
      <c r="B77" s="78"/>
    </row>
    <row r="78" spans="1:3" x14ac:dyDescent="0.35">
      <c r="A78" s="25" t="s">
        <v>858</v>
      </c>
      <c r="B78" s="78" t="s">
        <v>2039</v>
      </c>
    </row>
    <row r="79" spans="1:3" x14ac:dyDescent="0.35">
      <c r="A79" s="25" t="s">
        <v>859</v>
      </c>
      <c r="B79" s="78"/>
    </row>
    <row r="80" spans="1:3" x14ac:dyDescent="0.35">
      <c r="A80" s="25" t="s">
        <v>860</v>
      </c>
      <c r="B80" s="78" t="s">
        <v>1844</v>
      </c>
    </row>
    <row r="81" spans="1:3" x14ac:dyDescent="0.35">
      <c r="A81" s="25" t="s">
        <v>861</v>
      </c>
      <c r="B81" s="78"/>
    </row>
    <row r="82" spans="1:3" x14ac:dyDescent="0.35">
      <c r="A82" s="25" t="s">
        <v>862</v>
      </c>
      <c r="B82" s="78"/>
    </row>
    <row r="83" spans="1:3" x14ac:dyDescent="0.35">
      <c r="A83" s="25" t="s">
        <v>863</v>
      </c>
      <c r="B83" s="78"/>
    </row>
    <row r="84" spans="1:3" x14ac:dyDescent="0.35">
      <c r="A84" s="25" t="s">
        <v>2260</v>
      </c>
      <c r="B84" s="78"/>
    </row>
    <row r="85" spans="1:3" x14ac:dyDescent="0.35">
      <c r="A85" s="25" t="s">
        <v>2261</v>
      </c>
      <c r="B85" s="78"/>
    </row>
    <row r="86" spans="1:3" x14ac:dyDescent="0.35">
      <c r="A86" s="25" t="s">
        <v>2328</v>
      </c>
      <c r="B86" s="78"/>
    </row>
    <row r="87" spans="1:3" x14ac:dyDescent="0.35">
      <c r="A87" s="25" t="s">
        <v>2331</v>
      </c>
      <c r="B87" s="78">
        <v>30</v>
      </c>
      <c r="C87" s="78">
        <v>30</v>
      </c>
    </row>
    <row r="88" spans="1:3" x14ac:dyDescent="0.35">
      <c r="A88" s="25" t="s">
        <v>3651</v>
      </c>
      <c r="B88" s="78">
        <v>30</v>
      </c>
      <c r="C88" s="78">
        <v>30</v>
      </c>
    </row>
    <row r="89" spans="1:3" x14ac:dyDescent="0.35">
      <c r="A89" s="25" t="s">
        <v>3638</v>
      </c>
      <c r="B89" s="78"/>
    </row>
    <row r="90" spans="1:3" x14ac:dyDescent="0.35">
      <c r="A90" s="25" t="s">
        <v>3642</v>
      </c>
      <c r="B90" s="78"/>
    </row>
    <row r="91" spans="1:3" x14ac:dyDescent="0.35">
      <c r="A91" s="74" t="s">
        <v>1602</v>
      </c>
      <c r="B91" s="78">
        <v>6</v>
      </c>
      <c r="C91" s="78">
        <v>1</v>
      </c>
    </row>
    <row r="92" spans="1:3" x14ac:dyDescent="0.35">
      <c r="A92" s="74" t="s">
        <v>1603</v>
      </c>
      <c r="B92" s="78"/>
    </row>
    <row r="93" spans="1:3" x14ac:dyDescent="0.35">
      <c r="A93" s="74" t="s">
        <v>1604</v>
      </c>
      <c r="B93" s="78"/>
    </row>
    <row r="94" spans="1:3" x14ac:dyDescent="0.35">
      <c r="A94" s="74" t="s">
        <v>1605</v>
      </c>
      <c r="B94" s="78"/>
    </row>
    <row r="95" spans="1:3" x14ac:dyDescent="0.35">
      <c r="A95" s="25" t="s">
        <v>2176</v>
      </c>
      <c r="B95" s="79">
        <v>40909</v>
      </c>
      <c r="C95" s="79">
        <v>40909</v>
      </c>
    </row>
    <row r="96" spans="1:3" x14ac:dyDescent="0.35">
      <c r="A96" s="25" t="s">
        <v>2762</v>
      </c>
      <c r="B96" s="78">
        <v>100</v>
      </c>
      <c r="C96" s="78">
        <v>100</v>
      </c>
    </row>
    <row r="97" spans="1:3" x14ac:dyDescent="0.35">
      <c r="A97" s="25" t="s">
        <v>2686</v>
      </c>
      <c r="B97" s="78" t="b">
        <v>0</v>
      </c>
      <c r="C97" s="78" t="b">
        <v>0</v>
      </c>
    </row>
    <row r="98" spans="1:3" x14ac:dyDescent="0.35">
      <c r="A98" s="25" t="s">
        <v>1570</v>
      </c>
      <c r="B98" s="78">
        <v>24</v>
      </c>
      <c r="C98" s="78">
        <v>1</v>
      </c>
    </row>
    <row r="99" spans="1:3" x14ac:dyDescent="0.35">
      <c r="A99" s="25" t="s">
        <v>1571</v>
      </c>
      <c r="B99" s="78">
        <v>29</v>
      </c>
      <c r="C99" s="78">
        <v>1</v>
      </c>
    </row>
    <row r="100" spans="1:3" x14ac:dyDescent="0.35">
      <c r="A100" s="25" t="s">
        <v>1572</v>
      </c>
      <c r="B100" s="78">
        <v>1</v>
      </c>
      <c r="C100" s="78">
        <v>1</v>
      </c>
    </row>
    <row r="101" spans="1:3" x14ac:dyDescent="0.35">
      <c r="A101" s="25" t="s">
        <v>1573</v>
      </c>
      <c r="B101" s="78">
        <v>1</v>
      </c>
      <c r="C101" s="78">
        <v>1</v>
      </c>
    </row>
    <row r="102" spans="1:3" x14ac:dyDescent="0.35">
      <c r="A102" s="25" t="s">
        <v>1574</v>
      </c>
      <c r="B102" s="78">
        <v>1</v>
      </c>
      <c r="C102" s="78">
        <v>1</v>
      </c>
    </row>
    <row r="103" spans="1:3" x14ac:dyDescent="0.35">
      <c r="A103" s="25" t="s">
        <v>3773</v>
      </c>
      <c r="B103" s="78">
        <v>1</v>
      </c>
      <c r="C103" s="78">
        <v>1</v>
      </c>
    </row>
    <row r="104" spans="1:3" x14ac:dyDescent="0.35">
      <c r="A104" s="25" t="s">
        <v>3643</v>
      </c>
      <c r="B104" s="78"/>
    </row>
    <row r="105" spans="1:3" x14ac:dyDescent="0.35">
      <c r="A105" s="25" t="s">
        <v>3774</v>
      </c>
      <c r="B105" s="78">
        <v>5</v>
      </c>
      <c r="C105" s="78">
        <v>5</v>
      </c>
    </row>
    <row r="106" spans="1:3" x14ac:dyDescent="0.35">
      <c r="A106" s="25" t="s">
        <v>3775</v>
      </c>
      <c r="B106" s="78">
        <v>20</v>
      </c>
      <c r="C106" s="78">
        <v>20</v>
      </c>
    </row>
    <row r="107" spans="1:3" x14ac:dyDescent="0.35">
      <c r="A107" s="25" t="s">
        <v>3776</v>
      </c>
      <c r="B107" s="78">
        <v>15</v>
      </c>
      <c r="C107" s="78">
        <v>15</v>
      </c>
    </row>
    <row r="108" spans="1:3" x14ac:dyDescent="0.35">
      <c r="A108" s="25" t="s">
        <v>3777</v>
      </c>
      <c r="B108" s="78">
        <v>10</v>
      </c>
      <c r="C108" s="78">
        <v>10</v>
      </c>
    </row>
    <row r="109" spans="1:3" x14ac:dyDescent="0.35">
      <c r="A109" s="25" t="s">
        <v>3778</v>
      </c>
      <c r="B109" s="78">
        <v>10</v>
      </c>
      <c r="C109" s="78">
        <v>10</v>
      </c>
    </row>
    <row r="110" spans="1:3" x14ac:dyDescent="0.35">
      <c r="A110" t="s">
        <v>2660</v>
      </c>
      <c r="B110">
        <v>10</v>
      </c>
      <c r="C110">
        <v>10</v>
      </c>
    </row>
    <row r="111" spans="1:3" x14ac:dyDescent="0.35">
      <c r="A111" t="s">
        <v>2661</v>
      </c>
      <c r="B111">
        <v>30</v>
      </c>
      <c r="C111">
        <v>30</v>
      </c>
    </row>
    <row r="112" spans="1:3" x14ac:dyDescent="0.35">
      <c r="A112" t="s">
        <v>2662</v>
      </c>
      <c r="B112">
        <v>240</v>
      </c>
      <c r="C112">
        <v>250</v>
      </c>
    </row>
    <row r="113" spans="1:3" x14ac:dyDescent="0.35">
      <c r="A113" t="s">
        <v>5091</v>
      </c>
      <c r="C113"/>
    </row>
    <row r="114" spans="1:3" x14ac:dyDescent="0.35">
      <c r="A114" t="s">
        <v>5092</v>
      </c>
      <c r="B114">
        <v>10</v>
      </c>
      <c r="C114">
        <v>10</v>
      </c>
    </row>
    <row r="115" spans="1:3" x14ac:dyDescent="0.35">
      <c r="A115" t="s">
        <v>5093</v>
      </c>
      <c r="C115"/>
    </row>
    <row r="116" spans="1:3" x14ac:dyDescent="0.35">
      <c r="A116" s="25" t="s">
        <v>3779</v>
      </c>
      <c r="B116" s="78">
        <v>10</v>
      </c>
      <c r="C116" s="78">
        <v>10</v>
      </c>
    </row>
    <row r="117" spans="1:3" x14ac:dyDescent="0.35">
      <c r="A117" s="25" t="s">
        <v>4643</v>
      </c>
      <c r="B117" s="78"/>
    </row>
    <row r="118" spans="1:3" x14ac:dyDescent="0.35">
      <c r="A118" s="25" t="s">
        <v>4644</v>
      </c>
      <c r="B118" s="78">
        <v>6</v>
      </c>
      <c r="C118" s="78">
        <v>6</v>
      </c>
    </row>
    <row r="119" spans="1:3" x14ac:dyDescent="0.35">
      <c r="A119" s="25" t="s">
        <v>5089</v>
      </c>
      <c r="B119" s="78">
        <v>2</v>
      </c>
      <c r="C119" s="78">
        <v>2</v>
      </c>
    </row>
    <row r="120" spans="1:3" x14ac:dyDescent="0.35">
      <c r="A120" s="25" t="s">
        <v>5090</v>
      </c>
      <c r="B120" s="78">
        <v>70</v>
      </c>
      <c r="C120" s="78">
        <v>70</v>
      </c>
    </row>
    <row r="121" spans="1:3" x14ac:dyDescent="0.35">
      <c r="A121" s="25" t="s">
        <v>3780</v>
      </c>
      <c r="B121" s="78">
        <v>5</v>
      </c>
      <c r="C121" s="78">
        <v>5</v>
      </c>
    </row>
    <row r="122" spans="1:3" x14ac:dyDescent="0.35">
      <c r="A122" s="25" t="s">
        <v>3781</v>
      </c>
      <c r="B122" s="78">
        <v>25</v>
      </c>
      <c r="C122" s="78">
        <v>25</v>
      </c>
    </row>
    <row r="123" spans="1:3" x14ac:dyDescent="0.35">
      <c r="A123" s="25" t="s">
        <v>3782</v>
      </c>
      <c r="B123" s="78">
        <v>100</v>
      </c>
      <c r="C123" s="78">
        <v>100</v>
      </c>
    </row>
    <row r="124" spans="1:3" x14ac:dyDescent="0.35">
      <c r="A124" s="25" t="s">
        <v>3783</v>
      </c>
      <c r="B124" s="78">
        <v>10</v>
      </c>
      <c r="C124" s="78">
        <v>10</v>
      </c>
    </row>
    <row r="125" spans="1:3" x14ac:dyDescent="0.35">
      <c r="A125" s="25" t="s">
        <v>3784</v>
      </c>
      <c r="B125" s="78">
        <v>5</v>
      </c>
      <c r="C125" s="78">
        <v>5</v>
      </c>
    </row>
    <row r="126" spans="1:3" x14ac:dyDescent="0.35">
      <c r="A126" s="25" t="s">
        <v>3785</v>
      </c>
      <c r="B126" s="78">
        <v>10</v>
      </c>
      <c r="C126" s="78">
        <v>10</v>
      </c>
    </row>
    <row r="127" spans="1:3" x14ac:dyDescent="0.35">
      <c r="A127" s="25" t="s">
        <v>2184</v>
      </c>
      <c r="B127" s="78">
        <v>5</v>
      </c>
      <c r="C127" s="78">
        <v>5</v>
      </c>
    </row>
    <row r="128" spans="1:3" x14ac:dyDescent="0.35">
      <c r="A128" s="25" t="s">
        <v>4082</v>
      </c>
      <c r="B128" s="78">
        <v>10</v>
      </c>
      <c r="C128" s="78">
        <v>10</v>
      </c>
    </row>
    <row r="129" spans="1:3" x14ac:dyDescent="0.35">
      <c r="A129" s="25" t="s">
        <v>4083</v>
      </c>
      <c r="B129" s="78">
        <v>10</v>
      </c>
      <c r="C129" s="78">
        <v>10</v>
      </c>
    </row>
    <row r="130" spans="1:3" x14ac:dyDescent="0.35">
      <c r="A130" s="25" t="s">
        <v>4084</v>
      </c>
      <c r="B130" s="78">
        <v>10</v>
      </c>
      <c r="C130" s="78">
        <v>10</v>
      </c>
    </row>
    <row r="131" spans="1:3" x14ac:dyDescent="0.35">
      <c r="A131" s="25" t="s">
        <v>4085</v>
      </c>
      <c r="B131" s="78">
        <v>10</v>
      </c>
      <c r="C131" s="78">
        <v>10</v>
      </c>
    </row>
    <row r="132" spans="1:3" x14ac:dyDescent="0.35">
      <c r="A132" s="25" t="s">
        <v>4086</v>
      </c>
      <c r="B132" s="78">
        <v>10</v>
      </c>
      <c r="C132" s="78">
        <v>10</v>
      </c>
    </row>
    <row r="133" spans="1:3" x14ac:dyDescent="0.35">
      <c r="A133" t="s">
        <v>3210</v>
      </c>
      <c r="B133">
        <v>10</v>
      </c>
      <c r="C133">
        <v>10</v>
      </c>
    </row>
    <row r="134" spans="1:3" x14ac:dyDescent="0.35">
      <c r="A134" t="s">
        <v>3211</v>
      </c>
      <c r="B134">
        <v>10</v>
      </c>
      <c r="C134">
        <v>10</v>
      </c>
    </row>
    <row r="135" spans="1:3" x14ac:dyDescent="0.35">
      <c r="A135" t="s">
        <v>2659</v>
      </c>
      <c r="B135">
        <v>10</v>
      </c>
      <c r="C135">
        <v>10</v>
      </c>
    </row>
    <row r="136" spans="1:3" x14ac:dyDescent="0.35">
      <c r="A136" t="s">
        <v>5098</v>
      </c>
      <c r="C136"/>
    </row>
    <row r="137" spans="1:3" x14ac:dyDescent="0.35">
      <c r="A137" t="s">
        <v>5099</v>
      </c>
      <c r="B137">
        <v>10</v>
      </c>
      <c r="C137">
        <v>10</v>
      </c>
    </row>
    <row r="138" spans="1:3" x14ac:dyDescent="0.35">
      <c r="A138" t="s">
        <v>5100</v>
      </c>
      <c r="C138"/>
    </row>
    <row r="139" spans="1:3" x14ac:dyDescent="0.35">
      <c r="A139" s="25" t="s">
        <v>4087</v>
      </c>
      <c r="B139" s="78">
        <v>10</v>
      </c>
      <c r="C139" s="78">
        <v>10</v>
      </c>
    </row>
    <row r="140" spans="1:3" x14ac:dyDescent="0.35">
      <c r="A140" s="25" t="s">
        <v>5094</v>
      </c>
      <c r="B140" s="78"/>
    </row>
    <row r="141" spans="1:3" x14ac:dyDescent="0.35">
      <c r="A141" s="25" t="s">
        <v>5095</v>
      </c>
      <c r="B141" s="78">
        <v>10</v>
      </c>
      <c r="C141" s="78">
        <v>10</v>
      </c>
    </row>
    <row r="142" spans="1:3" x14ac:dyDescent="0.35">
      <c r="A142" s="25" t="s">
        <v>5096</v>
      </c>
      <c r="B142" s="78">
        <v>10</v>
      </c>
      <c r="C142" s="78">
        <v>10</v>
      </c>
    </row>
    <row r="143" spans="1:3" x14ac:dyDescent="0.35">
      <c r="A143" s="25" t="s">
        <v>5097</v>
      </c>
      <c r="B143" s="78">
        <v>10</v>
      </c>
      <c r="C143" s="78">
        <v>10</v>
      </c>
    </row>
    <row r="144" spans="1:3" x14ac:dyDescent="0.35">
      <c r="A144" s="25" t="s">
        <v>4088</v>
      </c>
      <c r="B144" s="78">
        <v>10</v>
      </c>
      <c r="C144" s="78">
        <v>10</v>
      </c>
    </row>
    <row r="145" spans="1:8" x14ac:dyDescent="0.35">
      <c r="A145" s="25" t="s">
        <v>1678</v>
      </c>
      <c r="B145" s="78">
        <v>10</v>
      </c>
      <c r="C145" s="78">
        <v>10</v>
      </c>
    </row>
    <row r="146" spans="1:8" x14ac:dyDescent="0.35">
      <c r="A146" s="25" t="s">
        <v>2215</v>
      </c>
      <c r="B146" s="78">
        <v>10</v>
      </c>
      <c r="C146" s="78">
        <v>10</v>
      </c>
    </row>
    <row r="147" spans="1:8" x14ac:dyDescent="0.35">
      <c r="A147" s="25" t="s">
        <v>3219</v>
      </c>
      <c r="B147" s="78">
        <v>10</v>
      </c>
      <c r="C147" s="78">
        <v>10</v>
      </c>
    </row>
    <row r="148" spans="1:8" x14ac:dyDescent="0.35">
      <c r="A148" s="25" t="s">
        <v>3222</v>
      </c>
      <c r="B148" s="78">
        <v>10</v>
      </c>
      <c r="C148" s="78">
        <v>10</v>
      </c>
    </row>
    <row r="149" spans="1:8" x14ac:dyDescent="0.35">
      <c r="A149" s="25" t="s">
        <v>464</v>
      </c>
      <c r="B149" s="78">
        <v>10</v>
      </c>
      <c r="C149" s="78">
        <v>10</v>
      </c>
    </row>
    <row r="150" spans="1:8" x14ac:dyDescent="0.35">
      <c r="A150" s="25" t="s">
        <v>465</v>
      </c>
      <c r="B150" s="78">
        <v>10</v>
      </c>
      <c r="C150" s="78">
        <v>10</v>
      </c>
    </row>
    <row r="151" spans="1:8" x14ac:dyDescent="0.35">
      <c r="A151" s="25" t="s">
        <v>1380</v>
      </c>
      <c r="B151" s="78" t="b">
        <v>1</v>
      </c>
      <c r="C151" s="78" t="b">
        <v>0</v>
      </c>
    </row>
    <row r="152" spans="1:8" x14ac:dyDescent="0.35">
      <c r="A152" s="25" t="s">
        <v>3588</v>
      </c>
      <c r="C152"/>
    </row>
    <row r="153" spans="1:8" x14ac:dyDescent="0.35">
      <c r="A153" s="25" t="s">
        <v>1381</v>
      </c>
      <c r="B153" s="78"/>
    </row>
    <row r="154" spans="1:8" x14ac:dyDescent="0.35">
      <c r="A154" s="25" t="s">
        <v>3589</v>
      </c>
      <c r="C154"/>
    </row>
    <row r="155" spans="1:8" x14ac:dyDescent="0.35">
      <c r="A155" s="74" t="s">
        <v>1606</v>
      </c>
      <c r="B155" s="78">
        <v>3</v>
      </c>
      <c r="C155" s="78">
        <v>1</v>
      </c>
    </row>
    <row r="156" spans="1:8" x14ac:dyDescent="0.35">
      <c r="A156" s="74" t="s">
        <v>1607</v>
      </c>
      <c r="B156" s="78"/>
    </row>
    <row r="157" spans="1:8" x14ac:dyDescent="0.35">
      <c r="A157" s="74" t="s">
        <v>1608</v>
      </c>
      <c r="B157" s="78"/>
      <c r="G157" s="25"/>
      <c r="H157" s="25"/>
    </row>
    <row r="158" spans="1:8" x14ac:dyDescent="0.35">
      <c r="A158" s="74" t="s">
        <v>1609</v>
      </c>
      <c r="B158" s="78"/>
      <c r="G158" s="25"/>
      <c r="H158" s="25"/>
    </row>
    <row r="159" spans="1:8" x14ac:dyDescent="0.35">
      <c r="A159" s="25" t="s">
        <v>3117</v>
      </c>
      <c r="B159" s="78" t="b">
        <v>0</v>
      </c>
      <c r="C159" s="78" t="b">
        <v>0</v>
      </c>
      <c r="G159" s="25"/>
      <c r="H159" s="25"/>
    </row>
    <row r="160" spans="1:8" x14ac:dyDescent="0.35">
      <c r="A160" s="25" t="s">
        <v>381</v>
      </c>
      <c r="B160" s="78"/>
      <c r="G160" s="25"/>
      <c r="H160" s="25"/>
    </row>
    <row r="161" spans="1:8" x14ac:dyDescent="0.35">
      <c r="A161" s="25" t="s">
        <v>3828</v>
      </c>
      <c r="B161" s="78" t="b">
        <v>0</v>
      </c>
      <c r="G161" s="25"/>
      <c r="H161" s="25"/>
    </row>
    <row r="162" spans="1:8" x14ac:dyDescent="0.35">
      <c r="A162" s="25" t="s">
        <v>3836</v>
      </c>
      <c r="B162" s="78" t="b">
        <v>0</v>
      </c>
      <c r="G162" s="25"/>
      <c r="H162" s="25"/>
    </row>
    <row r="163" spans="1:8" x14ac:dyDescent="0.35">
      <c r="A163" s="25" t="s">
        <v>3837</v>
      </c>
      <c r="B163" s="78"/>
      <c r="G163" s="25"/>
      <c r="H163" s="25"/>
    </row>
    <row r="164" spans="1:8" x14ac:dyDescent="0.35">
      <c r="A164" s="25" t="s">
        <v>1566</v>
      </c>
      <c r="B164" s="78" t="b">
        <v>0</v>
      </c>
      <c r="G164" s="25"/>
      <c r="H164" s="25"/>
    </row>
    <row r="165" spans="1:8" x14ac:dyDescent="0.35">
      <c r="A165" s="25" t="s">
        <v>1567</v>
      </c>
      <c r="B165" s="78" t="b">
        <v>0</v>
      </c>
      <c r="G165" s="25"/>
      <c r="H165" s="25"/>
    </row>
    <row r="166" spans="1:8" x14ac:dyDescent="0.35">
      <c r="A166" s="25" t="s">
        <v>1568</v>
      </c>
      <c r="B166" s="78"/>
      <c r="G166" s="25"/>
      <c r="H166" s="25"/>
    </row>
    <row r="167" spans="1:8" x14ac:dyDescent="0.35">
      <c r="A167" s="25" t="s">
        <v>1569</v>
      </c>
      <c r="B167" s="78"/>
      <c r="G167" s="25"/>
      <c r="H167" s="25"/>
    </row>
    <row r="168" spans="1:8" x14ac:dyDescent="0.35">
      <c r="A168" s="25" t="s">
        <v>2911</v>
      </c>
      <c r="B168" s="78"/>
      <c r="G168" s="25"/>
      <c r="H168" s="25"/>
    </row>
    <row r="169" spans="1:8" x14ac:dyDescent="0.35">
      <c r="A169" s="25" t="s">
        <v>2912</v>
      </c>
      <c r="B169" s="78"/>
      <c r="G169" s="25"/>
      <c r="H169" s="25"/>
    </row>
    <row r="170" spans="1:8" x14ac:dyDescent="0.35">
      <c r="A170" s="25" t="s">
        <v>3829</v>
      </c>
      <c r="B170" s="78"/>
      <c r="G170" s="25"/>
      <c r="H170" s="25"/>
    </row>
    <row r="171" spans="1:8" x14ac:dyDescent="0.35">
      <c r="A171" s="25" t="s">
        <v>3830</v>
      </c>
      <c r="B171" s="78"/>
      <c r="G171" s="25"/>
      <c r="H171" s="25"/>
    </row>
    <row r="172" spans="1:8" x14ac:dyDescent="0.35">
      <c r="A172" s="25" t="s">
        <v>3831</v>
      </c>
      <c r="B172" s="78"/>
      <c r="G172" s="25"/>
      <c r="H172" s="25"/>
    </row>
    <row r="173" spans="1:8" x14ac:dyDescent="0.35">
      <c r="A173" s="25" t="s">
        <v>3832</v>
      </c>
      <c r="B173" s="78"/>
      <c r="G173" s="25"/>
      <c r="H173" s="25"/>
    </row>
    <row r="174" spans="1:8" x14ac:dyDescent="0.35">
      <c r="A174" s="25" t="s">
        <v>3833</v>
      </c>
      <c r="B174" s="78"/>
      <c r="G174" s="25"/>
      <c r="H174" s="25"/>
    </row>
    <row r="175" spans="1:8" x14ac:dyDescent="0.35">
      <c r="A175" s="25" t="s">
        <v>3834</v>
      </c>
      <c r="B175" s="78"/>
      <c r="G175" s="25"/>
      <c r="H175" s="25"/>
    </row>
    <row r="176" spans="1:8" x14ac:dyDescent="0.35">
      <c r="A176" s="25" t="s">
        <v>3835</v>
      </c>
      <c r="B176" s="78"/>
      <c r="G176" s="25"/>
      <c r="H176" s="25"/>
    </row>
    <row r="177" spans="1:8" x14ac:dyDescent="0.35">
      <c r="A177" s="25" t="s">
        <v>1145</v>
      </c>
      <c r="B177" s="78"/>
      <c r="G177" s="25"/>
      <c r="H177" s="25"/>
    </row>
    <row r="178" spans="1:8" x14ac:dyDescent="0.35">
      <c r="A178" s="25" t="s">
        <v>1146</v>
      </c>
      <c r="B178" s="78"/>
      <c r="G178" s="25"/>
      <c r="H178" s="25"/>
    </row>
    <row r="179" spans="1:8" x14ac:dyDescent="0.35">
      <c r="A179" s="25" t="s">
        <v>1147</v>
      </c>
      <c r="B179" s="78"/>
      <c r="G179" s="25"/>
      <c r="H179" s="25"/>
    </row>
    <row r="180" spans="1:8" x14ac:dyDescent="0.35">
      <c r="A180" s="25" t="s">
        <v>1148</v>
      </c>
      <c r="B180" s="78"/>
      <c r="G180" s="25"/>
      <c r="H180" s="25"/>
    </row>
    <row r="181" spans="1:8" x14ac:dyDescent="0.35">
      <c r="A181" s="25" t="s">
        <v>1149</v>
      </c>
      <c r="B181" s="78"/>
      <c r="G181" s="25"/>
      <c r="H181" s="25"/>
    </row>
    <row r="182" spans="1:8" x14ac:dyDescent="0.35">
      <c r="A182" s="25" t="s">
        <v>1150</v>
      </c>
      <c r="B182" s="78"/>
      <c r="G182" s="25"/>
      <c r="H182" s="25"/>
    </row>
    <row r="183" spans="1:8" x14ac:dyDescent="0.35">
      <c r="A183" s="25" t="s">
        <v>1151</v>
      </c>
      <c r="B183" s="78"/>
      <c r="G183" s="25"/>
      <c r="H183" s="25"/>
    </row>
    <row r="184" spans="1:8" x14ac:dyDescent="0.35">
      <c r="A184" s="25" t="s">
        <v>1152</v>
      </c>
      <c r="B184" s="78"/>
      <c r="G184" s="25"/>
      <c r="H184" s="25"/>
    </row>
    <row r="185" spans="1:8" x14ac:dyDescent="0.35">
      <c r="A185" s="25" t="s">
        <v>1153</v>
      </c>
      <c r="B185" s="78"/>
      <c r="G185" s="25"/>
      <c r="H185" s="25"/>
    </row>
    <row r="186" spans="1:8" x14ac:dyDescent="0.35">
      <c r="A186" s="25" t="s">
        <v>1154</v>
      </c>
      <c r="B186" s="78"/>
      <c r="G186" s="25"/>
      <c r="H186" s="25"/>
    </row>
    <row r="187" spans="1:8" x14ac:dyDescent="0.35">
      <c r="A187" s="25" t="s">
        <v>1155</v>
      </c>
      <c r="B187" s="78"/>
      <c r="G187" s="25"/>
      <c r="H187" s="25"/>
    </row>
    <row r="188" spans="1:8" x14ac:dyDescent="0.35">
      <c r="A188" s="25" t="s">
        <v>1156</v>
      </c>
      <c r="B188" s="78" t="b">
        <v>1</v>
      </c>
      <c r="G188" s="25"/>
      <c r="H188" s="25"/>
    </row>
    <row r="189" spans="1:8" x14ac:dyDescent="0.35">
      <c r="A189" s="25" t="s">
        <v>1157</v>
      </c>
      <c r="B189" s="78" t="b">
        <v>1</v>
      </c>
      <c r="G189" s="25"/>
      <c r="H189" s="25"/>
    </row>
    <row r="190" spans="1:8" x14ac:dyDescent="0.35">
      <c r="A190" s="25" t="s">
        <v>1158</v>
      </c>
      <c r="B190" s="78"/>
      <c r="G190" s="25"/>
      <c r="H190" s="25"/>
    </row>
    <row r="191" spans="1:8" x14ac:dyDescent="0.35">
      <c r="A191" s="25" t="s">
        <v>1159</v>
      </c>
      <c r="B191" s="78" t="b">
        <v>1</v>
      </c>
      <c r="G191" s="25"/>
      <c r="H191" s="25"/>
    </row>
    <row r="192" spans="1:8" x14ac:dyDescent="0.35">
      <c r="A192" s="25" t="s">
        <v>1160</v>
      </c>
      <c r="B192" s="78" t="b">
        <v>0</v>
      </c>
      <c r="G192" s="25"/>
      <c r="H192" s="25"/>
    </row>
    <row r="193" spans="1:8" x14ac:dyDescent="0.35">
      <c r="A193" s="25" t="s">
        <v>2580</v>
      </c>
      <c r="B193" s="78"/>
      <c r="G193" s="25"/>
      <c r="H193" s="25"/>
    </row>
    <row r="194" spans="1:8" x14ac:dyDescent="0.35">
      <c r="A194" s="25" t="s">
        <v>2581</v>
      </c>
      <c r="B194" s="78"/>
      <c r="G194" s="25"/>
      <c r="H194" s="25"/>
    </row>
    <row r="195" spans="1:8" x14ac:dyDescent="0.35">
      <c r="A195" s="25" t="s">
        <v>2582</v>
      </c>
      <c r="B195" s="78"/>
      <c r="G195" s="25"/>
      <c r="H195" s="25"/>
    </row>
    <row r="196" spans="1:8" x14ac:dyDescent="0.35">
      <c r="A196" s="25" t="s">
        <v>2583</v>
      </c>
      <c r="B196" s="78"/>
      <c r="G196" s="25"/>
      <c r="H196" s="25"/>
    </row>
    <row r="197" spans="1:8" x14ac:dyDescent="0.35">
      <c r="A197" s="25" t="s">
        <v>2584</v>
      </c>
      <c r="B197" s="78"/>
      <c r="G197" s="25"/>
      <c r="H197" s="25"/>
    </row>
    <row r="198" spans="1:8" x14ac:dyDescent="0.35">
      <c r="A198" s="25" t="s">
        <v>2585</v>
      </c>
      <c r="B198" s="78"/>
      <c r="G198" s="25"/>
      <c r="H198" s="25"/>
    </row>
    <row r="199" spans="1:8" x14ac:dyDescent="0.35">
      <c r="A199" s="25" t="s">
        <v>2586</v>
      </c>
      <c r="B199" s="78"/>
      <c r="G199" s="25"/>
      <c r="H199" s="25"/>
    </row>
    <row r="200" spans="1:8" x14ac:dyDescent="0.35">
      <c r="A200" s="25" t="s">
        <v>2587</v>
      </c>
      <c r="B200" s="78"/>
      <c r="G200" s="25"/>
      <c r="H200" s="25"/>
    </row>
    <row r="201" spans="1:8" x14ac:dyDescent="0.35">
      <c r="A201" s="25" t="s">
        <v>2588</v>
      </c>
      <c r="B201" s="78"/>
      <c r="G201" s="25"/>
      <c r="H201" s="25"/>
    </row>
    <row r="202" spans="1:8" x14ac:dyDescent="0.35">
      <c r="A202" s="25" t="s">
        <v>2589</v>
      </c>
      <c r="B202" s="78"/>
      <c r="G202" s="25"/>
      <c r="H202" s="25"/>
    </row>
    <row r="203" spans="1:8" x14ac:dyDescent="0.35">
      <c r="A203" s="25" t="s">
        <v>2590</v>
      </c>
      <c r="B203" s="78"/>
      <c r="G203" s="25"/>
      <c r="H203" s="25"/>
    </row>
    <row r="204" spans="1:8" x14ac:dyDescent="0.35">
      <c r="A204" s="25" t="s">
        <v>2591</v>
      </c>
      <c r="B204" s="78"/>
      <c r="G204" s="25"/>
      <c r="H204" s="25"/>
    </row>
    <row r="205" spans="1:8" x14ac:dyDescent="0.35">
      <c r="A205" s="25" t="s">
        <v>2592</v>
      </c>
      <c r="B205" s="78"/>
      <c r="G205" s="25"/>
      <c r="H205" s="25"/>
    </row>
    <row r="206" spans="1:8" x14ac:dyDescent="0.35">
      <c r="A206" s="25" t="s">
        <v>2593</v>
      </c>
      <c r="B206" s="78"/>
      <c r="G206" s="25"/>
      <c r="H206" s="25"/>
    </row>
    <row r="207" spans="1:8" x14ac:dyDescent="0.35">
      <c r="A207" s="25" t="s">
        <v>2594</v>
      </c>
      <c r="B207" s="78"/>
      <c r="G207" s="25"/>
      <c r="H207" s="25"/>
    </row>
    <row r="208" spans="1:8" x14ac:dyDescent="0.35">
      <c r="A208" s="25" t="s">
        <v>2595</v>
      </c>
      <c r="B208" s="78"/>
      <c r="G208" s="25"/>
      <c r="H208" s="25"/>
    </row>
    <row r="209" spans="1:8" x14ac:dyDescent="0.35">
      <c r="A209" s="25" t="s">
        <v>2596</v>
      </c>
      <c r="B209" s="78"/>
      <c r="G209" s="25"/>
      <c r="H209" s="25"/>
    </row>
    <row r="210" spans="1:8" x14ac:dyDescent="0.35">
      <c r="A210" s="25" t="s">
        <v>2597</v>
      </c>
      <c r="B210" s="78"/>
      <c r="G210" s="25"/>
      <c r="H210" s="25"/>
    </row>
    <row r="211" spans="1:8" x14ac:dyDescent="0.35">
      <c r="A211" s="25" t="s">
        <v>2598</v>
      </c>
      <c r="B211" s="78"/>
      <c r="G211" s="25"/>
      <c r="H211" s="25"/>
    </row>
    <row r="212" spans="1:8" x14ac:dyDescent="0.35">
      <c r="A212" s="25" t="s">
        <v>2599</v>
      </c>
      <c r="B212" s="78"/>
      <c r="G212" s="25"/>
      <c r="H212" s="25"/>
    </row>
    <row r="213" spans="1:8" x14ac:dyDescent="0.35">
      <c r="A213" s="25" t="s">
        <v>2600</v>
      </c>
      <c r="B213" s="78"/>
      <c r="G213" s="25"/>
      <c r="H213" s="25"/>
    </row>
    <row r="214" spans="1:8" x14ac:dyDescent="0.35">
      <c r="A214" s="25" t="s">
        <v>2601</v>
      </c>
      <c r="B214" s="78"/>
      <c r="G214" s="25"/>
      <c r="H214" s="25"/>
    </row>
    <row r="215" spans="1:8" x14ac:dyDescent="0.35">
      <c r="A215" s="25" t="s">
        <v>2602</v>
      </c>
      <c r="B215" s="78"/>
      <c r="G215" s="25"/>
      <c r="H215" s="25"/>
    </row>
    <row r="216" spans="1:8" x14ac:dyDescent="0.35">
      <c r="A216" s="25" t="s">
        <v>2603</v>
      </c>
      <c r="B216" s="78"/>
      <c r="G216" s="25"/>
      <c r="H216" s="25"/>
    </row>
    <row r="217" spans="1:8" x14ac:dyDescent="0.35">
      <c r="A217" s="25" t="s">
        <v>2604</v>
      </c>
      <c r="B217" s="78"/>
      <c r="G217" s="25"/>
      <c r="H217" s="25"/>
    </row>
    <row r="218" spans="1:8" x14ac:dyDescent="0.35">
      <c r="A218" s="25" t="s">
        <v>2605</v>
      </c>
      <c r="B218" s="78"/>
      <c r="G218" s="25"/>
      <c r="H218" s="25"/>
    </row>
    <row r="219" spans="1:8" x14ac:dyDescent="0.35">
      <c r="A219" s="25" t="s">
        <v>2606</v>
      </c>
      <c r="B219" s="78"/>
      <c r="G219" s="25"/>
      <c r="H219" s="25"/>
    </row>
    <row r="220" spans="1:8" x14ac:dyDescent="0.35">
      <c r="A220" s="25" t="s">
        <v>2607</v>
      </c>
      <c r="B220" s="78"/>
      <c r="G220" s="25"/>
      <c r="H220" s="25"/>
    </row>
    <row r="221" spans="1:8" x14ac:dyDescent="0.35">
      <c r="A221" s="25" t="s">
        <v>2608</v>
      </c>
      <c r="B221" s="78"/>
      <c r="G221" s="25"/>
      <c r="H221" s="25"/>
    </row>
    <row r="222" spans="1:8" x14ac:dyDescent="0.35">
      <c r="A222" s="25" t="s">
        <v>2609</v>
      </c>
      <c r="B222" s="78"/>
      <c r="G222" s="25"/>
      <c r="H222" s="25"/>
    </row>
    <row r="223" spans="1:8" x14ac:dyDescent="0.35">
      <c r="A223" s="25" t="s">
        <v>2610</v>
      </c>
      <c r="B223" s="78"/>
      <c r="G223" s="25"/>
      <c r="H223" s="25"/>
    </row>
    <row r="224" spans="1:8" x14ac:dyDescent="0.35">
      <c r="A224" s="25" t="s">
        <v>2611</v>
      </c>
      <c r="B224" s="78"/>
      <c r="G224" s="25"/>
      <c r="H224" s="25"/>
    </row>
    <row r="225" spans="1:8" x14ac:dyDescent="0.35">
      <c r="A225" s="25" t="s">
        <v>2612</v>
      </c>
      <c r="B225" s="78"/>
      <c r="G225" s="25"/>
      <c r="H225" s="25"/>
    </row>
    <row r="226" spans="1:8" x14ac:dyDescent="0.35">
      <c r="A226" s="25" t="s">
        <v>2613</v>
      </c>
      <c r="B226" s="78"/>
      <c r="G226" s="25"/>
      <c r="H226" s="25"/>
    </row>
    <row r="227" spans="1:8" x14ac:dyDescent="0.35">
      <c r="A227" s="25" t="s">
        <v>2614</v>
      </c>
      <c r="B227" s="78"/>
      <c r="G227" s="25"/>
      <c r="H227" s="25"/>
    </row>
    <row r="228" spans="1:8" x14ac:dyDescent="0.35">
      <c r="A228" s="25" t="s">
        <v>2615</v>
      </c>
      <c r="B228" s="78"/>
      <c r="G228" s="25"/>
      <c r="H228" s="25"/>
    </row>
    <row r="229" spans="1:8" x14ac:dyDescent="0.35">
      <c r="A229" s="25" t="s">
        <v>2616</v>
      </c>
      <c r="B229" s="78"/>
      <c r="G229" s="25"/>
      <c r="H229" s="25"/>
    </row>
    <row r="230" spans="1:8" x14ac:dyDescent="0.35">
      <c r="A230" s="25" t="s">
        <v>2617</v>
      </c>
      <c r="B230" s="78"/>
      <c r="G230" s="25"/>
      <c r="H230" s="25"/>
    </row>
    <row r="231" spans="1:8" x14ac:dyDescent="0.35">
      <c r="A231" s="25" t="s">
        <v>2618</v>
      </c>
      <c r="B231" s="78"/>
      <c r="G231" s="25"/>
      <c r="H231" s="25"/>
    </row>
    <row r="232" spans="1:8" x14ac:dyDescent="0.35">
      <c r="A232" s="25" t="s">
        <v>2619</v>
      </c>
      <c r="B232" s="78"/>
      <c r="G232" s="25"/>
      <c r="H232" s="25"/>
    </row>
    <row r="233" spans="1:8" x14ac:dyDescent="0.35">
      <c r="A233" s="25" t="s">
        <v>2620</v>
      </c>
      <c r="B233" s="78"/>
      <c r="G233" s="25"/>
      <c r="H233" s="25"/>
    </row>
    <row r="234" spans="1:8" x14ac:dyDescent="0.35">
      <c r="A234" s="25" t="s">
        <v>2621</v>
      </c>
      <c r="B234" s="78"/>
      <c r="G234" s="25"/>
      <c r="H234" s="25"/>
    </row>
    <row r="235" spans="1:8" x14ac:dyDescent="0.35">
      <c r="A235" s="25" t="s">
        <v>2622</v>
      </c>
      <c r="B235" s="78"/>
      <c r="G235" s="25"/>
      <c r="H235" s="25"/>
    </row>
    <row r="236" spans="1:8" x14ac:dyDescent="0.35">
      <c r="A236" s="25" t="s">
        <v>2623</v>
      </c>
      <c r="B236" s="78"/>
      <c r="G236" s="25"/>
      <c r="H236" s="25"/>
    </row>
    <row r="237" spans="1:8" x14ac:dyDescent="0.35">
      <c r="A237" s="25" t="s">
        <v>2624</v>
      </c>
      <c r="B237" s="78"/>
      <c r="G237" s="25"/>
      <c r="H237" s="25"/>
    </row>
    <row r="238" spans="1:8" x14ac:dyDescent="0.35">
      <c r="A238" s="25" t="s">
        <v>2625</v>
      </c>
      <c r="B238" s="78"/>
      <c r="G238" s="25"/>
      <c r="H238" s="25"/>
    </row>
    <row r="239" spans="1:8" x14ac:dyDescent="0.35">
      <c r="A239" s="25" t="s">
        <v>2626</v>
      </c>
      <c r="B239" s="78"/>
      <c r="G239" s="25"/>
      <c r="H239" s="25"/>
    </row>
    <row r="240" spans="1:8" x14ac:dyDescent="0.35">
      <c r="A240" s="25" t="s">
        <v>2627</v>
      </c>
      <c r="B240" s="78"/>
      <c r="G240" s="25"/>
      <c r="H240" s="25"/>
    </row>
    <row r="241" spans="1:8" x14ac:dyDescent="0.35">
      <c r="A241" s="25" t="s">
        <v>2628</v>
      </c>
      <c r="B241" s="78"/>
      <c r="G241" s="25"/>
      <c r="H241" s="25"/>
    </row>
    <row r="242" spans="1:8" x14ac:dyDescent="0.35">
      <c r="A242" s="25" t="s">
        <v>2629</v>
      </c>
      <c r="B242" s="78"/>
      <c r="G242" s="25"/>
      <c r="H242" s="25"/>
    </row>
    <row r="243" spans="1:8" x14ac:dyDescent="0.35">
      <c r="A243" s="25" t="s">
        <v>2630</v>
      </c>
      <c r="B243" s="78"/>
      <c r="G243" s="25"/>
      <c r="H243" s="25"/>
    </row>
    <row r="244" spans="1:8" x14ac:dyDescent="0.35">
      <c r="A244" s="25" t="s">
        <v>2631</v>
      </c>
      <c r="B244" s="78"/>
      <c r="G244" s="25"/>
      <c r="H244" s="25"/>
    </row>
    <row r="245" spans="1:8" x14ac:dyDescent="0.35">
      <c r="A245" s="25" t="s">
        <v>2632</v>
      </c>
      <c r="B245" s="78"/>
      <c r="G245" s="25"/>
      <c r="H245" s="25"/>
    </row>
    <row r="246" spans="1:8" x14ac:dyDescent="0.35">
      <c r="A246" s="25" t="s">
        <v>2633</v>
      </c>
      <c r="B246" s="78"/>
      <c r="G246" s="25"/>
      <c r="H246" s="25"/>
    </row>
    <row r="247" spans="1:8" x14ac:dyDescent="0.35">
      <c r="A247" s="25" t="s">
        <v>2634</v>
      </c>
      <c r="B247" s="78"/>
      <c r="G247" s="25"/>
      <c r="H247" s="25"/>
    </row>
    <row r="248" spans="1:8" x14ac:dyDescent="0.35">
      <c r="A248" s="25" t="s">
        <v>2635</v>
      </c>
      <c r="B248" s="78"/>
      <c r="G248" s="25"/>
      <c r="H248" s="25"/>
    </row>
    <row r="249" spans="1:8" x14ac:dyDescent="0.35">
      <c r="A249" s="25" t="s">
        <v>2636</v>
      </c>
      <c r="B249" s="78"/>
      <c r="G249" s="25"/>
      <c r="H249" s="25"/>
    </row>
    <row r="250" spans="1:8" x14ac:dyDescent="0.35">
      <c r="A250" s="25" t="s">
        <v>2637</v>
      </c>
      <c r="B250" s="78"/>
      <c r="G250" s="25"/>
      <c r="H250" s="25"/>
    </row>
    <row r="251" spans="1:8" x14ac:dyDescent="0.35">
      <c r="A251" s="25" t="s">
        <v>2638</v>
      </c>
      <c r="B251" s="78"/>
      <c r="G251" s="25"/>
      <c r="H251" s="25"/>
    </row>
    <row r="252" spans="1:8" x14ac:dyDescent="0.35">
      <c r="A252" s="25" t="s">
        <v>2639</v>
      </c>
      <c r="B252" s="78"/>
      <c r="G252" s="25"/>
      <c r="H252" s="25"/>
    </row>
    <row r="253" spans="1:8" x14ac:dyDescent="0.35">
      <c r="A253" s="25" t="s">
        <v>2640</v>
      </c>
      <c r="B253" s="78"/>
      <c r="G253" s="25"/>
      <c r="H253" s="25"/>
    </row>
    <row r="254" spans="1:8" x14ac:dyDescent="0.35">
      <c r="A254" s="25" t="s">
        <v>2641</v>
      </c>
      <c r="B254" s="78"/>
      <c r="G254" s="25"/>
      <c r="H254" s="25"/>
    </row>
    <row r="255" spans="1:8" x14ac:dyDescent="0.35">
      <c r="A255" s="25" t="s">
        <v>2642</v>
      </c>
      <c r="B255" s="78"/>
      <c r="G255" s="25"/>
      <c r="H255" s="25"/>
    </row>
    <row r="256" spans="1:8" x14ac:dyDescent="0.35">
      <c r="A256" s="25" t="s">
        <v>2643</v>
      </c>
      <c r="B256" s="78"/>
      <c r="G256" s="25"/>
      <c r="H256" s="25"/>
    </row>
    <row r="257" spans="1:8" x14ac:dyDescent="0.35">
      <c r="A257" s="25" t="s">
        <v>2644</v>
      </c>
      <c r="B257" s="78"/>
      <c r="G257" s="25"/>
      <c r="H257" s="25"/>
    </row>
    <row r="258" spans="1:8" x14ac:dyDescent="0.35">
      <c r="A258" s="25" t="s">
        <v>2645</v>
      </c>
      <c r="B258" s="78"/>
      <c r="G258" s="25"/>
      <c r="H258" s="25"/>
    </row>
    <row r="259" spans="1:8" x14ac:dyDescent="0.35">
      <c r="A259" s="25" t="s">
        <v>2646</v>
      </c>
      <c r="B259" s="78"/>
      <c r="G259" s="25"/>
      <c r="H259" s="25"/>
    </row>
    <row r="260" spans="1:8" x14ac:dyDescent="0.35">
      <c r="A260" s="25" t="s">
        <v>1439</v>
      </c>
      <c r="B260" s="78"/>
      <c r="G260" s="25"/>
      <c r="H260" s="25"/>
    </row>
    <row r="261" spans="1:8" x14ac:dyDescent="0.35">
      <c r="A261" s="25" t="s">
        <v>1440</v>
      </c>
      <c r="B261" s="78"/>
      <c r="G261" s="25"/>
      <c r="H261" s="25"/>
    </row>
    <row r="262" spans="1:8" x14ac:dyDescent="0.35">
      <c r="A262" s="25" t="s">
        <v>1441</v>
      </c>
      <c r="B262" s="78"/>
      <c r="G262" s="25"/>
      <c r="H262" s="25"/>
    </row>
    <row r="263" spans="1:8" x14ac:dyDescent="0.35">
      <c r="A263" s="25" t="s">
        <v>1442</v>
      </c>
      <c r="B263" s="78"/>
      <c r="G263" s="25"/>
      <c r="H263" s="25"/>
    </row>
    <row r="264" spans="1:8" x14ac:dyDescent="0.35">
      <c r="A264" s="25" t="s">
        <v>1443</v>
      </c>
      <c r="B264" s="78"/>
      <c r="G264" s="25"/>
      <c r="H264" s="25"/>
    </row>
    <row r="265" spans="1:8" x14ac:dyDescent="0.35">
      <c r="A265" s="25" t="s">
        <v>1444</v>
      </c>
      <c r="B265" s="78"/>
      <c r="G265" s="25"/>
      <c r="H265" s="25"/>
    </row>
    <row r="266" spans="1:8" x14ac:dyDescent="0.35">
      <c r="A266" s="25" t="s">
        <v>1445</v>
      </c>
      <c r="B266" s="78"/>
      <c r="G266" s="25"/>
      <c r="H266" s="25"/>
    </row>
    <row r="267" spans="1:8" x14ac:dyDescent="0.35">
      <c r="A267" s="25" t="s">
        <v>1446</v>
      </c>
      <c r="B267" s="78"/>
      <c r="G267" s="25"/>
      <c r="H267" s="25"/>
    </row>
    <row r="268" spans="1:8" x14ac:dyDescent="0.35">
      <c r="A268" s="25" t="s">
        <v>1447</v>
      </c>
      <c r="B268" s="78"/>
      <c r="G268" s="25"/>
      <c r="H268" s="25"/>
    </row>
    <row r="269" spans="1:8" x14ac:dyDescent="0.35">
      <c r="A269" s="25" t="s">
        <v>3475</v>
      </c>
      <c r="B269" s="78"/>
      <c r="G269" s="25"/>
      <c r="H269" s="25"/>
    </row>
    <row r="270" spans="1:8" x14ac:dyDescent="0.35">
      <c r="A270" s="25" t="s">
        <v>868</v>
      </c>
      <c r="B270" s="78"/>
      <c r="G270" s="25"/>
      <c r="H270" s="25"/>
    </row>
    <row r="271" spans="1:8" x14ac:dyDescent="0.35">
      <c r="A271" s="25" t="s">
        <v>877</v>
      </c>
      <c r="B271" s="78"/>
      <c r="G271" s="25"/>
      <c r="H271" s="25"/>
    </row>
    <row r="272" spans="1:8" x14ac:dyDescent="0.35">
      <c r="A272" s="25" t="s">
        <v>878</v>
      </c>
      <c r="B272" s="78"/>
      <c r="G272" s="25"/>
      <c r="H272" s="25"/>
    </row>
    <row r="273" spans="1:8" x14ac:dyDescent="0.35">
      <c r="A273" s="25" t="s">
        <v>879</v>
      </c>
      <c r="B273" s="78"/>
      <c r="G273" s="25"/>
      <c r="H273" s="25"/>
    </row>
    <row r="274" spans="1:8" x14ac:dyDescent="0.35">
      <c r="A274" s="25" t="s">
        <v>880</v>
      </c>
      <c r="B274" s="78"/>
      <c r="G274" s="25"/>
      <c r="H274" s="25"/>
    </row>
    <row r="275" spans="1:8" x14ac:dyDescent="0.35">
      <c r="A275" s="25" t="s">
        <v>881</v>
      </c>
      <c r="B275" s="78"/>
      <c r="G275" s="25"/>
      <c r="H275" s="25"/>
    </row>
    <row r="276" spans="1:8" x14ac:dyDescent="0.35">
      <c r="A276" s="25" t="s">
        <v>882</v>
      </c>
      <c r="B276" s="78"/>
      <c r="G276" s="25"/>
      <c r="H276" s="25"/>
    </row>
    <row r="277" spans="1:8" x14ac:dyDescent="0.35">
      <c r="A277" s="25" t="s">
        <v>883</v>
      </c>
      <c r="B277" s="78"/>
      <c r="G277" s="25"/>
      <c r="H277" s="25"/>
    </row>
    <row r="278" spans="1:8" x14ac:dyDescent="0.35">
      <c r="A278" s="25" t="s">
        <v>3476</v>
      </c>
      <c r="B278" s="78"/>
      <c r="G278" s="25"/>
      <c r="H278" s="25"/>
    </row>
    <row r="279" spans="1:8" x14ac:dyDescent="0.35">
      <c r="A279" s="25" t="s">
        <v>3477</v>
      </c>
      <c r="B279" s="78"/>
      <c r="G279" s="25"/>
      <c r="H279" s="25"/>
    </row>
    <row r="280" spans="1:8" x14ac:dyDescent="0.35">
      <c r="A280" s="25" t="s">
        <v>3478</v>
      </c>
      <c r="B280" s="78"/>
      <c r="G280" s="25"/>
      <c r="H280" s="25"/>
    </row>
    <row r="281" spans="1:8" x14ac:dyDescent="0.35">
      <c r="A281" s="25" t="s">
        <v>3479</v>
      </c>
      <c r="B281" s="78"/>
      <c r="G281" s="25"/>
      <c r="H281" s="25"/>
    </row>
    <row r="282" spans="1:8" x14ac:dyDescent="0.35">
      <c r="A282" s="25" t="s">
        <v>3480</v>
      </c>
      <c r="B282" s="78"/>
      <c r="G282" s="25"/>
      <c r="H282" s="25"/>
    </row>
    <row r="283" spans="1:8" x14ac:dyDescent="0.35">
      <c r="A283" s="25" t="s">
        <v>3481</v>
      </c>
      <c r="B283" s="78"/>
      <c r="G283" s="25"/>
      <c r="H283" s="25"/>
    </row>
    <row r="284" spans="1:8" x14ac:dyDescent="0.35">
      <c r="A284" s="25" t="s">
        <v>864</v>
      </c>
      <c r="B284" s="78"/>
      <c r="G284" s="25"/>
      <c r="H284" s="25"/>
    </row>
    <row r="285" spans="1:8" x14ac:dyDescent="0.35">
      <c r="A285" s="25" t="s">
        <v>865</v>
      </c>
      <c r="B285" s="78"/>
      <c r="G285" s="25"/>
      <c r="H285" s="25"/>
    </row>
    <row r="286" spans="1:8" x14ac:dyDescent="0.35">
      <c r="A286" s="25" t="s">
        <v>866</v>
      </c>
      <c r="B286" s="78"/>
      <c r="G286" s="25"/>
      <c r="H286" s="25"/>
    </row>
    <row r="287" spans="1:8" x14ac:dyDescent="0.35">
      <c r="A287" s="25" t="s">
        <v>867</v>
      </c>
      <c r="B287" s="78"/>
      <c r="G287" s="25"/>
      <c r="H287" s="25"/>
    </row>
    <row r="288" spans="1:8" x14ac:dyDescent="0.35">
      <c r="A288" s="25" t="s">
        <v>869</v>
      </c>
      <c r="B288" s="78"/>
      <c r="G288" s="25"/>
      <c r="H288" s="25"/>
    </row>
    <row r="289" spans="1:8" x14ac:dyDescent="0.35">
      <c r="A289" s="25" t="s">
        <v>870</v>
      </c>
      <c r="B289" s="78"/>
      <c r="G289" s="25"/>
      <c r="H289" s="25"/>
    </row>
    <row r="290" spans="1:8" x14ac:dyDescent="0.35">
      <c r="A290" s="25" t="s">
        <v>871</v>
      </c>
      <c r="B290" s="78"/>
      <c r="G290" s="25"/>
      <c r="H290" s="25"/>
    </row>
    <row r="291" spans="1:8" x14ac:dyDescent="0.35">
      <c r="A291" s="25" t="s">
        <v>872</v>
      </c>
      <c r="B291" s="78"/>
      <c r="G291" s="25"/>
      <c r="H291" s="25"/>
    </row>
    <row r="292" spans="1:8" x14ac:dyDescent="0.35">
      <c r="A292" s="25" t="s">
        <v>873</v>
      </c>
      <c r="B292" s="78"/>
      <c r="G292" s="25"/>
      <c r="H292" s="25"/>
    </row>
    <row r="293" spans="1:8" x14ac:dyDescent="0.35">
      <c r="A293" s="25" t="s">
        <v>874</v>
      </c>
      <c r="B293" s="78"/>
      <c r="G293" s="25"/>
      <c r="H293" s="25"/>
    </row>
    <row r="294" spans="1:8" x14ac:dyDescent="0.35">
      <c r="A294" s="25" t="s">
        <v>875</v>
      </c>
      <c r="B294" s="78"/>
      <c r="G294" s="25"/>
      <c r="H294" s="25"/>
    </row>
    <row r="295" spans="1:8" x14ac:dyDescent="0.35">
      <c r="A295" s="25" t="s">
        <v>876</v>
      </c>
      <c r="B295" s="78"/>
      <c r="G295" s="25"/>
      <c r="H295" s="25"/>
    </row>
    <row r="296" spans="1:8" x14ac:dyDescent="0.35">
      <c r="A296" s="25" t="s">
        <v>1041</v>
      </c>
      <c r="B296" s="78"/>
      <c r="G296" s="25"/>
      <c r="H296" s="25"/>
    </row>
    <row r="297" spans="1:8" x14ac:dyDescent="0.35">
      <c r="A297" s="25" t="s">
        <v>1051</v>
      </c>
      <c r="B297" s="78"/>
      <c r="G297" s="25"/>
      <c r="H297" s="25"/>
    </row>
    <row r="298" spans="1:8" x14ac:dyDescent="0.35">
      <c r="A298" s="25" t="s">
        <v>1052</v>
      </c>
      <c r="B298" s="78"/>
      <c r="G298" s="25"/>
      <c r="H298" s="25"/>
    </row>
    <row r="299" spans="1:8" x14ac:dyDescent="0.35">
      <c r="A299" s="25" t="s">
        <v>1053</v>
      </c>
      <c r="B299" s="78"/>
      <c r="G299" s="25"/>
      <c r="H299" s="25"/>
    </row>
    <row r="300" spans="1:8" x14ac:dyDescent="0.35">
      <c r="A300" s="25" t="s">
        <v>1054</v>
      </c>
      <c r="B300" s="78"/>
      <c r="G300" s="25"/>
      <c r="H300" s="25"/>
    </row>
    <row r="301" spans="1:8" x14ac:dyDescent="0.35">
      <c r="A301" s="25" t="s">
        <v>1055</v>
      </c>
      <c r="B301" s="78"/>
      <c r="G301" s="25"/>
      <c r="H301" s="25"/>
    </row>
    <row r="302" spans="1:8" x14ac:dyDescent="0.35">
      <c r="A302" s="25" t="s">
        <v>1056</v>
      </c>
      <c r="B302" s="78"/>
      <c r="G302" s="25"/>
      <c r="H302" s="25"/>
    </row>
    <row r="303" spans="1:8" x14ac:dyDescent="0.35">
      <c r="A303" s="25" t="s">
        <v>1057</v>
      </c>
      <c r="B303" s="78"/>
      <c r="G303" s="25"/>
      <c r="H303" s="25"/>
    </row>
    <row r="304" spans="1:8" x14ac:dyDescent="0.35">
      <c r="A304" s="25" t="s">
        <v>1058</v>
      </c>
      <c r="B304" s="78"/>
      <c r="G304" s="25"/>
      <c r="H304" s="25"/>
    </row>
    <row r="305" spans="1:8" x14ac:dyDescent="0.35">
      <c r="A305" s="25" t="s">
        <v>1042</v>
      </c>
      <c r="B305" s="78"/>
      <c r="G305" s="25"/>
      <c r="H305" s="25"/>
    </row>
    <row r="306" spans="1:8" x14ac:dyDescent="0.35">
      <c r="A306" s="25" t="s">
        <v>1043</v>
      </c>
      <c r="B306" s="78"/>
      <c r="G306" s="25"/>
      <c r="H306" s="25"/>
    </row>
    <row r="307" spans="1:8" x14ac:dyDescent="0.35">
      <c r="A307" s="25" t="s">
        <v>1044</v>
      </c>
      <c r="B307" s="78"/>
      <c r="G307" s="25"/>
      <c r="H307" s="25"/>
    </row>
    <row r="308" spans="1:8" x14ac:dyDescent="0.35">
      <c r="A308" s="25" t="s">
        <v>1045</v>
      </c>
      <c r="B308" s="78"/>
      <c r="G308" s="25"/>
      <c r="H308" s="25"/>
    </row>
    <row r="309" spans="1:8" x14ac:dyDescent="0.35">
      <c r="A309" s="25" t="s">
        <v>1046</v>
      </c>
      <c r="B309" s="78"/>
      <c r="G309" s="25"/>
      <c r="H309" s="25"/>
    </row>
    <row r="310" spans="1:8" x14ac:dyDescent="0.35">
      <c r="A310" s="25" t="s">
        <v>1047</v>
      </c>
      <c r="B310" s="78"/>
      <c r="G310" s="25"/>
      <c r="H310" s="25"/>
    </row>
    <row r="311" spans="1:8" x14ac:dyDescent="0.35">
      <c r="A311" s="25" t="s">
        <v>1048</v>
      </c>
      <c r="B311" s="78"/>
      <c r="G311" s="25"/>
      <c r="H311" s="25"/>
    </row>
    <row r="312" spans="1:8" x14ac:dyDescent="0.35">
      <c r="A312" s="25" t="s">
        <v>1049</v>
      </c>
      <c r="B312" s="78"/>
      <c r="G312" s="25"/>
      <c r="H312" s="25"/>
    </row>
    <row r="313" spans="1:8" x14ac:dyDescent="0.35">
      <c r="A313" s="25" t="s">
        <v>1050</v>
      </c>
      <c r="B313" s="78"/>
      <c r="G313" s="25"/>
      <c r="H313" s="25"/>
    </row>
    <row r="314" spans="1:8" x14ac:dyDescent="0.35">
      <c r="A314" s="25" t="s">
        <v>884</v>
      </c>
      <c r="B314" s="78"/>
      <c r="G314" s="25"/>
      <c r="H314" s="25"/>
    </row>
    <row r="315" spans="1:8" x14ac:dyDescent="0.35">
      <c r="A315" s="25" t="s">
        <v>885</v>
      </c>
      <c r="B315" s="78"/>
      <c r="G315" s="25"/>
      <c r="H315" s="25"/>
    </row>
    <row r="316" spans="1:8" x14ac:dyDescent="0.35">
      <c r="A316" s="25" t="s">
        <v>886</v>
      </c>
      <c r="B316" s="78"/>
      <c r="G316" s="25"/>
      <c r="H316" s="25"/>
    </row>
    <row r="317" spans="1:8" x14ac:dyDescent="0.35">
      <c r="A317" s="25" t="s">
        <v>887</v>
      </c>
      <c r="B317" s="78"/>
      <c r="G317" s="25"/>
      <c r="H317" s="25"/>
    </row>
    <row r="318" spans="1:8" x14ac:dyDescent="0.35">
      <c r="A318" s="25" t="s">
        <v>888</v>
      </c>
      <c r="B318" s="78"/>
      <c r="G318" s="25"/>
      <c r="H318" s="25"/>
    </row>
    <row r="319" spans="1:8" x14ac:dyDescent="0.35">
      <c r="A319" s="25" t="s">
        <v>889</v>
      </c>
      <c r="B319" s="78"/>
      <c r="G319" s="25"/>
      <c r="H319" s="25"/>
    </row>
    <row r="320" spans="1:8" x14ac:dyDescent="0.35">
      <c r="A320" s="25" t="s">
        <v>890</v>
      </c>
      <c r="B320" s="78"/>
      <c r="G320" s="25"/>
      <c r="H320" s="25"/>
    </row>
    <row r="321" spans="1:8" x14ac:dyDescent="0.35">
      <c r="A321" s="25" t="s">
        <v>891</v>
      </c>
      <c r="B321" s="78"/>
      <c r="G321" s="25"/>
      <c r="H321" s="25"/>
    </row>
    <row r="322" spans="1:8" x14ac:dyDescent="0.35">
      <c r="A322" s="25" t="s">
        <v>2412</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2413</v>
      </c>
      <c r="B341" s="78"/>
      <c r="G341" s="25"/>
      <c r="H341" s="25"/>
    </row>
    <row r="342" spans="1:8" x14ac:dyDescent="0.35">
      <c r="A342" s="25" t="s">
        <v>2414</v>
      </c>
      <c r="B342" s="78"/>
      <c r="G342" s="25"/>
      <c r="H342" s="25"/>
    </row>
    <row r="343" spans="1:8" x14ac:dyDescent="0.35">
      <c r="A343" s="25" t="s">
        <v>2415</v>
      </c>
      <c r="B343" s="78"/>
      <c r="G343" s="25"/>
      <c r="H343" s="25"/>
    </row>
    <row r="344" spans="1:8" x14ac:dyDescent="0.35">
      <c r="A344" s="25" t="s">
        <v>2416</v>
      </c>
      <c r="B344" s="78"/>
      <c r="G344" s="25"/>
      <c r="H344" s="25"/>
    </row>
    <row r="345" spans="1:8" x14ac:dyDescent="0.35">
      <c r="A345" s="25" t="s">
        <v>2417</v>
      </c>
      <c r="B345" s="78"/>
      <c r="G345" s="25"/>
      <c r="H345" s="25"/>
    </row>
    <row r="346" spans="1:8" x14ac:dyDescent="0.35">
      <c r="A346" s="25" t="s">
        <v>2418</v>
      </c>
      <c r="B346" s="78"/>
      <c r="G346" s="25"/>
      <c r="H346" s="25"/>
    </row>
    <row r="347" spans="1:8" x14ac:dyDescent="0.35">
      <c r="A347" s="25" t="s">
        <v>2419</v>
      </c>
      <c r="B347" s="78"/>
      <c r="G347" s="25"/>
      <c r="H347" s="25"/>
    </row>
    <row r="348" spans="1:8" x14ac:dyDescent="0.35">
      <c r="A348" s="25" t="s">
        <v>2420</v>
      </c>
      <c r="B348" s="78"/>
      <c r="G348" s="25"/>
      <c r="H348" s="25"/>
    </row>
    <row r="349" spans="1:8" x14ac:dyDescent="0.35">
      <c r="A349" s="25" t="s">
        <v>2421</v>
      </c>
      <c r="B349" s="78"/>
      <c r="G349" s="25"/>
      <c r="H349" s="25"/>
    </row>
    <row r="350" spans="1:8" x14ac:dyDescent="0.35">
      <c r="A350" s="25" t="s">
        <v>1348</v>
      </c>
      <c r="B350" s="78">
        <v>70</v>
      </c>
      <c r="C350" s="78">
        <v>80</v>
      </c>
      <c r="G350" s="25"/>
      <c r="H350" s="25"/>
    </row>
    <row r="351" spans="1:8" x14ac:dyDescent="0.35">
      <c r="A351" s="25" t="s">
        <v>3403</v>
      </c>
      <c r="B351" s="78">
        <v>0</v>
      </c>
      <c r="C351" s="78">
        <v>0</v>
      </c>
      <c r="G351" s="25"/>
      <c r="H351" s="25"/>
    </row>
    <row r="352" spans="1:8" x14ac:dyDescent="0.35">
      <c r="A352" s="25" t="s">
        <v>453</v>
      </c>
      <c r="B352" s="78">
        <v>5</v>
      </c>
      <c r="G352" s="25"/>
      <c r="H352" s="25"/>
    </row>
    <row r="353" spans="1:8" x14ac:dyDescent="0.35">
      <c r="A353" s="25" t="s">
        <v>454</v>
      </c>
      <c r="B353" s="78"/>
      <c r="G353" s="25"/>
      <c r="H353" s="25"/>
    </row>
    <row r="354" spans="1:8" x14ac:dyDescent="0.35">
      <c r="A354" s="25" t="s">
        <v>1736</v>
      </c>
      <c r="B354" s="78"/>
      <c r="G354" s="25"/>
      <c r="H354" s="25"/>
    </row>
    <row r="355" spans="1:8" x14ac:dyDescent="0.35">
      <c r="A355" s="25" t="s">
        <v>1611</v>
      </c>
      <c r="B355" s="78"/>
      <c r="G355" s="25"/>
      <c r="H355" s="25"/>
    </row>
    <row r="356" spans="1:8" x14ac:dyDescent="0.35">
      <c r="A356" s="25" t="s">
        <v>1612</v>
      </c>
      <c r="B356" s="78"/>
      <c r="G356" s="25"/>
      <c r="H356" s="25"/>
    </row>
    <row r="357" spans="1:8" x14ac:dyDescent="0.35">
      <c r="A357" s="25" t="s">
        <v>1613</v>
      </c>
      <c r="B357" s="78"/>
      <c r="G357" s="25"/>
      <c r="H357" s="25"/>
    </row>
    <row r="358" spans="1:8" x14ac:dyDescent="0.35">
      <c r="A358" s="25" t="s">
        <v>729</v>
      </c>
      <c r="B358" s="78"/>
      <c r="G358" s="25"/>
      <c r="H358" s="25"/>
    </row>
    <row r="359" spans="1:8" x14ac:dyDescent="0.35">
      <c r="A359" s="25" t="s">
        <v>730</v>
      </c>
      <c r="B359" s="78"/>
      <c r="G359" s="25"/>
      <c r="H359" s="25"/>
    </row>
    <row r="360" spans="1:8" x14ac:dyDescent="0.35">
      <c r="A360" s="25" t="s">
        <v>731</v>
      </c>
      <c r="B360" s="78"/>
      <c r="G360" s="25"/>
      <c r="H360" s="25"/>
    </row>
    <row r="361" spans="1:8" x14ac:dyDescent="0.35">
      <c r="A361" s="25" t="s">
        <v>3324</v>
      </c>
      <c r="B361" s="78"/>
      <c r="G361" s="25"/>
      <c r="H361" s="25"/>
    </row>
    <row r="362" spans="1:8" x14ac:dyDescent="0.35">
      <c r="A362" s="25" t="s">
        <v>3325</v>
      </c>
      <c r="B362" s="78"/>
      <c r="G362" s="25"/>
      <c r="H362" s="25"/>
    </row>
    <row r="363" spans="1:8" x14ac:dyDescent="0.35">
      <c r="A363" s="25" t="s">
        <v>3326</v>
      </c>
      <c r="B363" s="78">
        <v>10</v>
      </c>
      <c r="G363" s="25"/>
      <c r="H363" s="25"/>
    </row>
    <row r="364" spans="1:8" x14ac:dyDescent="0.35">
      <c r="A364" s="25" t="s">
        <v>3327</v>
      </c>
      <c r="B364" s="78"/>
      <c r="G364" s="25"/>
      <c r="H364" s="25"/>
    </row>
    <row r="365" spans="1:8" x14ac:dyDescent="0.35">
      <c r="A365" s="25" t="s">
        <v>3328</v>
      </c>
      <c r="B365" s="78">
        <v>7</v>
      </c>
      <c r="G365" s="25"/>
      <c r="H365" s="25"/>
    </row>
    <row r="366" spans="1:8" x14ac:dyDescent="0.35">
      <c r="A366" s="25" t="s">
        <v>2546</v>
      </c>
      <c r="B366" s="78"/>
      <c r="G366" s="25"/>
      <c r="H366" s="25"/>
    </row>
    <row r="367" spans="1:8" x14ac:dyDescent="0.35">
      <c r="A367" s="25" t="s">
        <v>2547</v>
      </c>
      <c r="B367" s="78"/>
      <c r="G367" s="25"/>
      <c r="H367" s="25"/>
    </row>
    <row r="368" spans="1:8" x14ac:dyDescent="0.35">
      <c r="A368" s="25" t="s">
        <v>2548</v>
      </c>
      <c r="B368" s="78"/>
      <c r="G368" s="25"/>
      <c r="H368" s="25"/>
    </row>
    <row r="369" spans="1:8" x14ac:dyDescent="0.35">
      <c r="A369" s="25" t="s">
        <v>2549</v>
      </c>
      <c r="B369" s="78"/>
      <c r="G369" s="25"/>
      <c r="H369" s="25"/>
    </row>
    <row r="370" spans="1:8" x14ac:dyDescent="0.35">
      <c r="A370" s="25" t="s">
        <v>2888</v>
      </c>
      <c r="B370" s="78"/>
      <c r="G370" s="25"/>
      <c r="H370" s="25"/>
    </row>
    <row r="371" spans="1:8" x14ac:dyDescent="0.35">
      <c r="A371" s="25" t="s">
        <v>2889</v>
      </c>
      <c r="B371" s="78"/>
      <c r="G371" s="25"/>
      <c r="H371" s="25"/>
    </row>
    <row r="372" spans="1:8" x14ac:dyDescent="0.35">
      <c r="A372" s="25" t="s">
        <v>1650</v>
      </c>
      <c r="B372" s="78"/>
      <c r="G372" s="25"/>
      <c r="H372" s="25"/>
    </row>
    <row r="373" spans="1:8" x14ac:dyDescent="0.35">
      <c r="A373" s="25" t="s">
        <v>1651</v>
      </c>
      <c r="B373" s="78"/>
      <c r="G373" s="25"/>
      <c r="H373" s="25"/>
    </row>
    <row r="374" spans="1:8" x14ac:dyDescent="0.35">
      <c r="A374" s="25" t="s">
        <v>1652</v>
      </c>
      <c r="B374" s="78"/>
      <c r="G374" s="25"/>
      <c r="H374" s="25"/>
    </row>
    <row r="375" spans="1:8" x14ac:dyDescent="0.35">
      <c r="A375" s="25" t="s">
        <v>1653</v>
      </c>
      <c r="B375" s="78"/>
      <c r="G375" s="25"/>
      <c r="H375" s="25"/>
    </row>
    <row r="376" spans="1:8" x14ac:dyDescent="0.35">
      <c r="A376" s="25" t="s">
        <v>1654</v>
      </c>
      <c r="B376" s="78"/>
      <c r="G376" s="25"/>
      <c r="H376" s="25"/>
    </row>
    <row r="377" spans="1:8" x14ac:dyDescent="0.35">
      <c r="A377" s="25" t="s">
        <v>1655</v>
      </c>
      <c r="B377" s="78"/>
      <c r="G377" s="25"/>
      <c r="H377" s="25"/>
    </row>
    <row r="378" spans="1:8" x14ac:dyDescent="0.35">
      <c r="A378" s="25" t="s">
        <v>3329</v>
      </c>
      <c r="B378" s="78"/>
      <c r="G378" s="25"/>
      <c r="H378" s="25"/>
    </row>
    <row r="379" spans="1:8" x14ac:dyDescent="0.35">
      <c r="A379" s="25" t="s">
        <v>3330</v>
      </c>
      <c r="B379" s="78"/>
      <c r="G379" s="25"/>
      <c r="H379" s="25"/>
    </row>
    <row r="380" spans="1:8" x14ac:dyDescent="0.35">
      <c r="A380" s="25" t="s">
        <v>3331</v>
      </c>
      <c r="B380" s="78"/>
      <c r="G380" s="25"/>
      <c r="H380" s="25"/>
    </row>
    <row r="381" spans="1:8" x14ac:dyDescent="0.35">
      <c r="A381" s="25" t="s">
        <v>3332</v>
      </c>
      <c r="B381" s="78"/>
      <c r="G381" s="25"/>
      <c r="H381" s="25"/>
    </row>
    <row r="382" spans="1:8" x14ac:dyDescent="0.35">
      <c r="A382" s="25" t="s">
        <v>2262</v>
      </c>
      <c r="B382" s="78"/>
      <c r="G382" s="25"/>
      <c r="H382" s="25"/>
    </row>
    <row r="383" spans="1:8" x14ac:dyDescent="0.35">
      <c r="A383" s="25" t="s">
        <v>2263</v>
      </c>
      <c r="B383" s="78">
        <v>0</v>
      </c>
      <c r="G383" s="25"/>
      <c r="H383" s="25"/>
    </row>
    <row r="384" spans="1:8" x14ac:dyDescent="0.35">
      <c r="A384" s="25" t="s">
        <v>2264</v>
      </c>
      <c r="B384" s="78"/>
      <c r="G384" s="25"/>
      <c r="H384" s="25"/>
    </row>
    <row r="385" spans="1:8" x14ac:dyDescent="0.35">
      <c r="A385" s="25" t="s">
        <v>4207</v>
      </c>
      <c r="B385" s="78"/>
      <c r="G385" s="25"/>
      <c r="H385" s="25"/>
    </row>
    <row r="386" spans="1:8" x14ac:dyDescent="0.35">
      <c r="A386" s="25" t="s">
        <v>1748</v>
      </c>
      <c r="B386" s="78">
        <v>0</v>
      </c>
      <c r="G386" s="25"/>
      <c r="H386" s="25"/>
    </row>
    <row r="387" spans="1:8" x14ac:dyDescent="0.35">
      <c r="A387" s="25" t="s">
        <v>1749</v>
      </c>
      <c r="B387" s="78"/>
      <c r="G387" s="25"/>
      <c r="H387" s="25"/>
    </row>
    <row r="388" spans="1:8" x14ac:dyDescent="0.35">
      <c r="A388" s="25" t="s">
        <v>1750</v>
      </c>
      <c r="B388" s="78"/>
      <c r="G388" s="25"/>
      <c r="H388" s="25"/>
    </row>
    <row r="389" spans="1:8" x14ac:dyDescent="0.35">
      <c r="A389" s="25" t="s">
        <v>3870</v>
      </c>
      <c r="B389" s="78"/>
      <c r="G389" s="25"/>
      <c r="H389" s="25"/>
    </row>
    <row r="390" spans="1:8" x14ac:dyDescent="0.35">
      <c r="A390" s="25" t="s">
        <v>3871</v>
      </c>
      <c r="B390" s="78"/>
      <c r="G390" s="25"/>
      <c r="H390" s="25"/>
    </row>
    <row r="391" spans="1:8" x14ac:dyDescent="0.35">
      <c r="A391" s="25" t="s">
        <v>3872</v>
      </c>
      <c r="B391" s="78"/>
      <c r="G391" s="25"/>
      <c r="H391" s="25"/>
    </row>
    <row r="392" spans="1:8" x14ac:dyDescent="0.35">
      <c r="A392" s="25" t="s">
        <v>3873</v>
      </c>
      <c r="B392" s="78">
        <v>15</v>
      </c>
      <c r="C392" s="78">
        <v>1</v>
      </c>
      <c r="G392" s="25"/>
      <c r="H392" s="25"/>
    </row>
    <row r="393" spans="1:8" x14ac:dyDescent="0.35">
      <c r="A393" s="25" t="s">
        <v>3874</v>
      </c>
      <c r="B393" s="78">
        <v>1</v>
      </c>
      <c r="C393" s="78">
        <v>1</v>
      </c>
      <c r="G393" s="25"/>
      <c r="H393" s="25"/>
    </row>
    <row r="394" spans="1:8" x14ac:dyDescent="0.35">
      <c r="A394" s="25" t="s">
        <v>3875</v>
      </c>
      <c r="B394" s="78"/>
      <c r="G394" s="25"/>
      <c r="H394" s="25"/>
    </row>
    <row r="395" spans="1:8" x14ac:dyDescent="0.35">
      <c r="A395" s="25" t="s">
        <v>3876</v>
      </c>
      <c r="B395" s="78"/>
      <c r="G395" s="25"/>
      <c r="H395" s="25"/>
    </row>
    <row r="396" spans="1:8" x14ac:dyDescent="0.35">
      <c r="A396" s="25" t="s">
        <v>3877</v>
      </c>
      <c r="B396" s="78"/>
      <c r="G396" s="25"/>
      <c r="H396" s="25"/>
    </row>
    <row r="397" spans="1:8" x14ac:dyDescent="0.35">
      <c r="A397" s="25" t="s">
        <v>4022</v>
      </c>
      <c r="B397" s="78"/>
      <c r="G397" s="25"/>
      <c r="H397" s="25"/>
    </row>
    <row r="398" spans="1:8" x14ac:dyDescent="0.35">
      <c r="A398" s="25" t="s">
        <v>4023</v>
      </c>
      <c r="B398" s="78"/>
      <c r="G398" s="25"/>
      <c r="H398" s="25"/>
    </row>
    <row r="399" spans="1:8" x14ac:dyDescent="0.35">
      <c r="A399" s="25" t="s">
        <v>4024</v>
      </c>
      <c r="B399" s="78">
        <v>17</v>
      </c>
      <c r="C399" s="78">
        <v>1</v>
      </c>
      <c r="G399" s="25"/>
      <c r="H399" s="25"/>
    </row>
    <row r="400" spans="1:8" x14ac:dyDescent="0.35">
      <c r="A400" s="25" t="s">
        <v>4025</v>
      </c>
      <c r="B400" s="78">
        <v>1</v>
      </c>
      <c r="C400" s="78">
        <v>1</v>
      </c>
      <c r="G400" s="25"/>
      <c r="H400" s="25"/>
    </row>
    <row r="401" spans="1:8" x14ac:dyDescent="0.35">
      <c r="A401" s="25" t="s">
        <v>4026</v>
      </c>
      <c r="B401" s="78">
        <v>1</v>
      </c>
      <c r="C401" s="78">
        <v>1</v>
      </c>
      <c r="G401" s="25"/>
      <c r="H401" s="25"/>
    </row>
    <row r="402" spans="1:8" x14ac:dyDescent="0.35">
      <c r="A402" s="25" t="s">
        <v>4027</v>
      </c>
      <c r="B402" s="78">
        <v>1</v>
      </c>
      <c r="C402" s="78">
        <v>1</v>
      </c>
      <c r="G402" s="25"/>
      <c r="H402" s="25"/>
    </row>
    <row r="403" spans="1:8" x14ac:dyDescent="0.35">
      <c r="A403" s="25" t="s">
        <v>4028</v>
      </c>
      <c r="B403" s="78">
        <v>1</v>
      </c>
      <c r="C403" s="78">
        <v>1</v>
      </c>
      <c r="G403" s="25"/>
      <c r="H403" s="25"/>
    </row>
    <row r="404" spans="1:8" x14ac:dyDescent="0.35">
      <c r="A404" s="25" t="s">
        <v>2316</v>
      </c>
      <c r="B404" s="78">
        <v>1</v>
      </c>
      <c r="C404" s="78">
        <v>1</v>
      </c>
      <c r="G404" s="25"/>
      <c r="H404" s="25"/>
    </row>
    <row r="405" spans="1:8" x14ac:dyDescent="0.35">
      <c r="A405" s="25" t="s">
        <v>2317</v>
      </c>
      <c r="B405" s="78">
        <v>1</v>
      </c>
      <c r="C405" s="78">
        <v>1</v>
      </c>
      <c r="G405" s="25"/>
      <c r="H405" s="25"/>
    </row>
    <row r="406" spans="1:8" x14ac:dyDescent="0.35">
      <c r="A406" s="25" t="s">
        <v>2318</v>
      </c>
      <c r="B406" s="78">
        <v>1</v>
      </c>
      <c r="C406" s="78">
        <v>1</v>
      </c>
      <c r="G406" s="25"/>
      <c r="H406" s="25"/>
    </row>
    <row r="407" spans="1:8" x14ac:dyDescent="0.35">
      <c r="A407" s="25" t="s">
        <v>2319</v>
      </c>
      <c r="B407" s="78"/>
      <c r="G407" s="25"/>
      <c r="H407" s="25"/>
    </row>
    <row r="408" spans="1:8" x14ac:dyDescent="0.35">
      <c r="A408" s="25" t="s">
        <v>2320</v>
      </c>
      <c r="B408" s="78"/>
      <c r="G408" s="25"/>
      <c r="H408" s="25"/>
    </row>
    <row r="409" spans="1:8" x14ac:dyDescent="0.35">
      <c r="A409" s="25" t="s">
        <v>2321</v>
      </c>
      <c r="B409" s="78"/>
      <c r="G409" s="25"/>
      <c r="H409" s="25"/>
    </row>
    <row r="410" spans="1:8" x14ac:dyDescent="0.35">
      <c r="A410" s="25" t="s">
        <v>2322</v>
      </c>
      <c r="B410" s="78"/>
      <c r="G410" s="25"/>
      <c r="H410" s="25"/>
    </row>
    <row r="411" spans="1:8" x14ac:dyDescent="0.35">
      <c r="A411" s="25" t="s">
        <v>2323</v>
      </c>
      <c r="B411" s="78"/>
      <c r="G411" s="25"/>
      <c r="H411" s="25"/>
    </row>
    <row r="412" spans="1:8" x14ac:dyDescent="0.35">
      <c r="A412" s="25" t="s">
        <v>2324</v>
      </c>
      <c r="B412" s="78"/>
      <c r="G412" s="25"/>
      <c r="H412" s="25"/>
    </row>
    <row r="413" spans="1:8" x14ac:dyDescent="0.35">
      <c r="A413" s="25" t="s">
        <v>2325</v>
      </c>
      <c r="B413" s="78">
        <v>50</v>
      </c>
      <c r="C413" s="78">
        <v>50</v>
      </c>
      <c r="G413" s="25"/>
      <c r="H413" s="25"/>
    </row>
    <row r="414" spans="1:8" x14ac:dyDescent="0.35">
      <c r="A414" s="25" t="s">
        <v>2326</v>
      </c>
      <c r="B414" s="78">
        <v>50</v>
      </c>
      <c r="C414" s="78">
        <v>50</v>
      </c>
      <c r="G414" s="25"/>
      <c r="H414" s="25"/>
    </row>
    <row r="415" spans="1:8" x14ac:dyDescent="0.35">
      <c r="A415" s="25" t="s">
        <v>2348</v>
      </c>
      <c r="B415" s="78">
        <v>50</v>
      </c>
      <c r="C415" s="78">
        <v>50</v>
      </c>
      <c r="G415" s="25"/>
      <c r="H415" s="25"/>
    </row>
    <row r="416" spans="1:8" x14ac:dyDescent="0.35">
      <c r="A416" s="25" t="s">
        <v>4190</v>
      </c>
      <c r="B416" s="78">
        <v>50</v>
      </c>
      <c r="C416" s="78">
        <v>50</v>
      </c>
      <c r="G416" s="25"/>
      <c r="H416" s="25"/>
    </row>
    <row r="417" spans="1:8" x14ac:dyDescent="0.35">
      <c r="A417" s="25" t="s">
        <v>4191</v>
      </c>
      <c r="B417" s="78">
        <v>50</v>
      </c>
      <c r="C417" s="78">
        <v>50</v>
      </c>
      <c r="G417" s="25"/>
      <c r="H417" s="25"/>
    </row>
    <row r="418" spans="1:8" x14ac:dyDescent="0.35">
      <c r="A418" t="s">
        <v>676</v>
      </c>
      <c r="B418" s="78">
        <v>50</v>
      </c>
      <c r="C418" s="78">
        <v>50</v>
      </c>
      <c r="G418" s="25"/>
      <c r="H418" s="25"/>
    </row>
    <row r="419" spans="1:8" x14ac:dyDescent="0.35">
      <c r="A419" t="s">
        <v>677</v>
      </c>
      <c r="B419" s="78">
        <v>50</v>
      </c>
      <c r="C419" s="78">
        <v>50</v>
      </c>
      <c r="G419" s="25"/>
      <c r="H419" s="25"/>
    </row>
    <row r="420" spans="1:8" x14ac:dyDescent="0.35">
      <c r="A420" t="s">
        <v>3209</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2727</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2728</v>
      </c>
      <c r="B429" s="78">
        <v>1</v>
      </c>
      <c r="C429" s="78">
        <v>1</v>
      </c>
      <c r="G429" s="25"/>
      <c r="H429" s="25"/>
    </row>
    <row r="430" spans="1:8" x14ac:dyDescent="0.35">
      <c r="A430" s="25" t="s">
        <v>2729</v>
      </c>
      <c r="B430" s="78">
        <v>50</v>
      </c>
      <c r="C430" s="78">
        <v>50</v>
      </c>
      <c r="G430" s="25"/>
      <c r="H430" s="25"/>
    </row>
    <row r="431" spans="1:8" x14ac:dyDescent="0.35">
      <c r="A431" s="25" t="s">
        <v>4183</v>
      </c>
      <c r="B431" s="78">
        <v>50</v>
      </c>
      <c r="C431" s="78">
        <v>50</v>
      </c>
      <c r="G431" s="25"/>
      <c r="H431" s="25"/>
    </row>
    <row r="432" spans="1:8" x14ac:dyDescent="0.35">
      <c r="A432" s="25" t="s">
        <v>2497</v>
      </c>
      <c r="B432" s="78">
        <v>50</v>
      </c>
      <c r="C432" s="78">
        <v>50</v>
      </c>
      <c r="G432" s="25"/>
      <c r="H432" s="25"/>
    </row>
    <row r="433" spans="1:8" x14ac:dyDescent="0.35">
      <c r="A433" s="25" t="s">
        <v>2498</v>
      </c>
      <c r="B433" s="78">
        <v>50</v>
      </c>
      <c r="C433" s="78">
        <v>50</v>
      </c>
      <c r="G433" s="25"/>
      <c r="H433" s="25"/>
    </row>
    <row r="434" spans="1:8" x14ac:dyDescent="0.35">
      <c r="A434" s="25" t="s">
        <v>2499</v>
      </c>
      <c r="B434" s="78">
        <v>50</v>
      </c>
      <c r="C434" s="78">
        <v>50</v>
      </c>
      <c r="G434" s="25"/>
      <c r="H434" s="25"/>
    </row>
    <row r="435" spans="1:8" x14ac:dyDescent="0.35">
      <c r="A435" s="25" t="s">
        <v>3722</v>
      </c>
      <c r="B435" s="78">
        <v>50</v>
      </c>
      <c r="C435" s="78">
        <v>50</v>
      </c>
      <c r="G435" s="25"/>
      <c r="H435" s="25"/>
    </row>
    <row r="436" spans="1:8" x14ac:dyDescent="0.35">
      <c r="A436" s="25" t="s">
        <v>3723</v>
      </c>
      <c r="B436" s="78">
        <v>1</v>
      </c>
      <c r="C436" s="78">
        <v>4</v>
      </c>
      <c r="G436" s="25"/>
      <c r="H436" s="25"/>
    </row>
    <row r="437" spans="1:8" x14ac:dyDescent="0.35">
      <c r="A437" s="25" t="s">
        <v>3724</v>
      </c>
      <c r="B437" s="78">
        <v>4</v>
      </c>
      <c r="C437" s="78">
        <v>4</v>
      </c>
      <c r="G437" s="25"/>
      <c r="H437" s="25"/>
    </row>
    <row r="438" spans="1:8" x14ac:dyDescent="0.35">
      <c r="A438" s="25" t="s">
        <v>3725</v>
      </c>
      <c r="B438" s="78">
        <v>4</v>
      </c>
      <c r="C438" s="78">
        <v>4</v>
      </c>
      <c r="G438" s="25"/>
      <c r="H438" s="25"/>
    </row>
    <row r="439" spans="1:8" x14ac:dyDescent="0.35">
      <c r="A439" s="25" t="s">
        <v>3313</v>
      </c>
      <c r="B439" s="78">
        <v>4</v>
      </c>
      <c r="C439" s="78">
        <v>4</v>
      </c>
      <c r="G439" s="25"/>
      <c r="H439" s="25"/>
    </row>
    <row r="440" spans="1:8" x14ac:dyDescent="0.35">
      <c r="A440" s="25" t="s">
        <v>3624</v>
      </c>
      <c r="B440" s="78">
        <v>4</v>
      </c>
      <c r="C440" s="78">
        <v>4</v>
      </c>
      <c r="G440" s="25"/>
      <c r="H440" s="25"/>
    </row>
    <row r="441" spans="1:8" x14ac:dyDescent="0.35">
      <c r="A441" s="25" t="s">
        <v>3625</v>
      </c>
      <c r="B441" s="78">
        <v>4</v>
      </c>
      <c r="C441" s="78">
        <v>4</v>
      </c>
      <c r="G441" s="25"/>
      <c r="H441" s="25"/>
    </row>
    <row r="442" spans="1:8" x14ac:dyDescent="0.35">
      <c r="A442" s="25" t="s">
        <v>3626</v>
      </c>
      <c r="B442" s="78">
        <v>4</v>
      </c>
      <c r="C442" s="78">
        <v>4</v>
      </c>
      <c r="G442" s="25"/>
      <c r="H442" s="25"/>
    </row>
    <row r="443" spans="1:8" x14ac:dyDescent="0.35">
      <c r="A443" s="25" t="s">
        <v>3627</v>
      </c>
      <c r="B443" s="78">
        <v>1</v>
      </c>
      <c r="C443" s="78">
        <v>4</v>
      </c>
      <c r="G443" s="25"/>
      <c r="H443" s="25"/>
    </row>
    <row r="444" spans="1:8" x14ac:dyDescent="0.35">
      <c r="A444" s="25" t="s">
        <v>3311</v>
      </c>
      <c r="B444" s="78">
        <v>4</v>
      </c>
      <c r="C444" s="78">
        <v>4</v>
      </c>
      <c r="G444" s="25"/>
      <c r="H444" s="25"/>
    </row>
    <row r="445" spans="1:8" x14ac:dyDescent="0.35">
      <c r="A445" s="25" t="s">
        <v>3312</v>
      </c>
      <c r="B445" s="78">
        <v>4</v>
      </c>
      <c r="C445" s="78">
        <v>4</v>
      </c>
      <c r="G445" s="25"/>
      <c r="H445" s="25"/>
    </row>
    <row r="446" spans="1:8" x14ac:dyDescent="0.35">
      <c r="A446" s="25" t="s">
        <v>3298</v>
      </c>
      <c r="B446" s="78">
        <v>4</v>
      </c>
      <c r="C446" s="78">
        <v>4</v>
      </c>
      <c r="G446" s="25"/>
      <c r="H446" s="25"/>
    </row>
    <row r="447" spans="1:8" x14ac:dyDescent="0.35">
      <c r="A447" s="25" t="s">
        <v>3299</v>
      </c>
      <c r="B447" s="78">
        <v>4</v>
      </c>
      <c r="C447" s="78">
        <v>4</v>
      </c>
      <c r="G447" s="25"/>
      <c r="H447" s="25"/>
    </row>
    <row r="448" spans="1:8" x14ac:dyDescent="0.35">
      <c r="A448" s="25" t="s">
        <v>3300</v>
      </c>
      <c r="B448" s="78">
        <v>4</v>
      </c>
      <c r="C448" s="78">
        <v>4</v>
      </c>
      <c r="G448" s="25"/>
      <c r="H448" s="25"/>
    </row>
    <row r="449" spans="1:8" x14ac:dyDescent="0.35">
      <c r="A449" s="25" t="s">
        <v>3199</v>
      </c>
      <c r="B449" s="78">
        <v>4</v>
      </c>
      <c r="C449" s="78">
        <v>4</v>
      </c>
      <c r="G449" s="25"/>
      <c r="H449" s="25"/>
    </row>
    <row r="450" spans="1:8" x14ac:dyDescent="0.35">
      <c r="A450" s="25" t="s">
        <v>3200</v>
      </c>
      <c r="B450" s="78">
        <v>4</v>
      </c>
      <c r="C450" s="78">
        <v>4</v>
      </c>
      <c r="G450" s="25"/>
      <c r="H450" s="25"/>
    </row>
    <row r="451" spans="1:8" x14ac:dyDescent="0.35">
      <c r="A451" s="25" t="s">
        <v>3201</v>
      </c>
      <c r="B451" s="78">
        <v>15</v>
      </c>
      <c r="C451" s="78">
        <v>1</v>
      </c>
      <c r="G451" s="25"/>
      <c r="H451" s="25"/>
    </row>
    <row r="452" spans="1:8" x14ac:dyDescent="0.35">
      <c r="A452" s="25" t="s">
        <v>3202</v>
      </c>
      <c r="B452" s="78"/>
      <c r="G452" s="25"/>
      <c r="H452" s="25"/>
    </row>
    <row r="453" spans="1:8" x14ac:dyDescent="0.35">
      <c r="A453" s="25" t="s">
        <v>3203</v>
      </c>
      <c r="B453" s="78"/>
      <c r="G453" s="25"/>
      <c r="H453" s="25"/>
    </row>
    <row r="454" spans="1:8" x14ac:dyDescent="0.35">
      <c r="A454" s="25" t="s">
        <v>3975</v>
      </c>
      <c r="B454" s="78"/>
      <c r="G454" s="25"/>
      <c r="H454" s="25"/>
    </row>
    <row r="455" spans="1:8" x14ac:dyDescent="0.35">
      <c r="A455" s="25" t="s">
        <v>3976</v>
      </c>
      <c r="B455" s="78"/>
      <c r="G455" s="25"/>
      <c r="H455" s="25"/>
    </row>
    <row r="456" spans="1:8" x14ac:dyDescent="0.35">
      <c r="A456" s="25" t="s">
        <v>3977</v>
      </c>
      <c r="B456" s="78"/>
      <c r="G456" s="25"/>
      <c r="H456" s="25"/>
    </row>
    <row r="457" spans="1:8" x14ac:dyDescent="0.35">
      <c r="A457" s="25" t="s">
        <v>3978</v>
      </c>
      <c r="B457" s="78"/>
      <c r="G457" s="25"/>
      <c r="H457" s="25"/>
    </row>
    <row r="458" spans="1:8" x14ac:dyDescent="0.35">
      <c r="A458" s="25" t="s">
        <v>3979</v>
      </c>
      <c r="B458" s="78">
        <v>10</v>
      </c>
      <c r="G458" s="25"/>
      <c r="H458" s="25"/>
    </row>
    <row r="459" spans="1:8" x14ac:dyDescent="0.35">
      <c r="A459" s="25" t="s">
        <v>3980</v>
      </c>
      <c r="B459" s="78"/>
      <c r="G459" s="25"/>
      <c r="H459" s="25"/>
    </row>
    <row r="460" spans="1:8" x14ac:dyDescent="0.35">
      <c r="A460" s="25" t="s">
        <v>3981</v>
      </c>
      <c r="B460" s="78"/>
      <c r="G460" s="25"/>
      <c r="H460" s="25"/>
    </row>
    <row r="461" spans="1:8" x14ac:dyDescent="0.35">
      <c r="A461" s="25" t="s">
        <v>3982</v>
      </c>
      <c r="B461" s="78"/>
      <c r="G461" s="25"/>
      <c r="H461" s="25"/>
    </row>
    <row r="462" spans="1:8" x14ac:dyDescent="0.35">
      <c r="A462" s="25" t="s">
        <v>3983</v>
      </c>
      <c r="B462" s="78"/>
      <c r="G462" s="25"/>
      <c r="H462" s="25"/>
    </row>
    <row r="463" spans="1:8" x14ac:dyDescent="0.35">
      <c r="A463" s="25" t="s">
        <v>3984</v>
      </c>
      <c r="B463" s="78"/>
      <c r="G463" s="25"/>
      <c r="H463" s="25"/>
    </row>
    <row r="464" spans="1:8" x14ac:dyDescent="0.35">
      <c r="A464" s="25" t="s">
        <v>3985</v>
      </c>
      <c r="B464" s="78"/>
      <c r="G464" s="25"/>
      <c r="H464" s="25"/>
    </row>
    <row r="465" spans="1:8" x14ac:dyDescent="0.35">
      <c r="A465" s="25" t="s">
        <v>3986</v>
      </c>
      <c r="B465" s="78"/>
      <c r="G465" s="25"/>
      <c r="H465" s="25"/>
    </row>
    <row r="466" spans="1:8" x14ac:dyDescent="0.35">
      <c r="A466" s="25" t="s">
        <v>3987</v>
      </c>
      <c r="B466" s="78"/>
      <c r="G466" s="25"/>
      <c r="H466" s="25"/>
    </row>
    <row r="467" spans="1:8" x14ac:dyDescent="0.35">
      <c r="A467" s="25" t="s">
        <v>2836</v>
      </c>
      <c r="B467" s="78"/>
      <c r="G467" s="25"/>
      <c r="H467" s="25"/>
    </row>
    <row r="468" spans="1:8" x14ac:dyDescent="0.35">
      <c r="A468" s="25" t="s">
        <v>2837</v>
      </c>
      <c r="B468" s="78"/>
      <c r="G468" s="25"/>
      <c r="H468" s="25"/>
    </row>
    <row r="469" spans="1:8" x14ac:dyDescent="0.35">
      <c r="A469" s="25" t="s">
        <v>2838</v>
      </c>
      <c r="B469" s="78"/>
      <c r="G469" s="25"/>
      <c r="H469" s="25"/>
    </row>
    <row r="470" spans="1:8" x14ac:dyDescent="0.35">
      <c r="A470" s="25" t="s">
        <v>1226</v>
      </c>
      <c r="B470" s="78"/>
      <c r="G470" s="25"/>
      <c r="H470" s="25"/>
    </row>
    <row r="471" spans="1:8" x14ac:dyDescent="0.35">
      <c r="A471" s="25" t="s">
        <v>1227</v>
      </c>
      <c r="B471" s="78" t="s">
        <v>4932</v>
      </c>
      <c r="G471" s="25"/>
      <c r="H471" s="25"/>
    </row>
    <row r="472" spans="1:8" x14ac:dyDescent="0.35">
      <c r="A472" s="25" t="s">
        <v>1228</v>
      </c>
      <c r="B472" s="78"/>
      <c r="G472" s="25"/>
      <c r="H472" s="25"/>
    </row>
    <row r="473" spans="1:8" x14ac:dyDescent="0.35">
      <c r="A473" s="25" t="s">
        <v>1229</v>
      </c>
      <c r="B473" s="78"/>
      <c r="G473" s="25"/>
      <c r="H473" s="25"/>
    </row>
    <row r="474" spans="1:8" x14ac:dyDescent="0.35">
      <c r="A474" s="25" t="s">
        <v>1230</v>
      </c>
      <c r="B474" s="78"/>
      <c r="G474" s="25"/>
      <c r="H474" s="25"/>
    </row>
    <row r="475" spans="1:8" x14ac:dyDescent="0.35">
      <c r="A475" s="25" t="s">
        <v>1231</v>
      </c>
      <c r="B475" s="78"/>
      <c r="G475" s="25"/>
      <c r="H475" s="25"/>
    </row>
    <row r="476" spans="1:8" x14ac:dyDescent="0.35">
      <c r="A476" s="25" t="s">
        <v>2839</v>
      </c>
      <c r="B476" s="78"/>
      <c r="D476" s="78">
        <v>50</v>
      </c>
      <c r="G476" s="25"/>
      <c r="H476" s="25"/>
    </row>
    <row r="477" spans="1:8" x14ac:dyDescent="0.35">
      <c r="A477" s="25" t="s">
        <v>2840</v>
      </c>
      <c r="B477" s="78"/>
      <c r="D477" s="78">
        <v>50</v>
      </c>
      <c r="G477" s="25"/>
      <c r="H477" s="25"/>
    </row>
    <row r="478" spans="1:8" x14ac:dyDescent="0.35">
      <c r="A478" s="25" t="s">
        <v>2841</v>
      </c>
      <c r="B478" s="78"/>
      <c r="D478" s="78">
        <v>50</v>
      </c>
      <c r="G478" s="25"/>
      <c r="H478" s="25"/>
    </row>
    <row r="479" spans="1:8" x14ac:dyDescent="0.35">
      <c r="A479" s="25" t="s">
        <v>1947</v>
      </c>
      <c r="B479" s="78"/>
      <c r="D479" s="78">
        <v>50</v>
      </c>
      <c r="G479" s="25"/>
      <c r="H479" s="25"/>
    </row>
    <row r="480" spans="1:8" x14ac:dyDescent="0.35">
      <c r="A480" s="25" t="s">
        <v>1948</v>
      </c>
      <c r="B480" s="78"/>
      <c r="D480" s="78">
        <v>50</v>
      </c>
      <c r="G480" s="25"/>
      <c r="H480" s="25"/>
    </row>
    <row r="481" spans="1:8" x14ac:dyDescent="0.35">
      <c r="A481" s="25" t="s">
        <v>1949</v>
      </c>
      <c r="B481" s="78"/>
      <c r="D481" s="78">
        <v>50</v>
      </c>
      <c r="G481" s="25"/>
      <c r="H481" s="25"/>
    </row>
    <row r="482" spans="1:8" x14ac:dyDescent="0.35">
      <c r="A482" s="25" t="s">
        <v>1950</v>
      </c>
      <c r="B482" s="78" t="s">
        <v>5129</v>
      </c>
      <c r="D482" s="78">
        <v>50</v>
      </c>
      <c r="G482" s="25"/>
      <c r="H482" s="25"/>
    </row>
    <row r="483" spans="1:8" x14ac:dyDescent="0.35">
      <c r="A483" s="25" t="s">
        <v>1951</v>
      </c>
      <c r="B483" s="78"/>
      <c r="D483" s="78">
        <v>50</v>
      </c>
      <c r="G483" s="25"/>
      <c r="H483" s="25"/>
    </row>
    <row r="484" spans="1:8" x14ac:dyDescent="0.35">
      <c r="A484" s="25" t="s">
        <v>1952</v>
      </c>
      <c r="B484" s="78" t="s">
        <v>5130</v>
      </c>
      <c r="D484" s="78"/>
      <c r="G484" s="25"/>
      <c r="H484" s="25"/>
    </row>
    <row r="485" spans="1:8" x14ac:dyDescent="0.35">
      <c r="A485" s="25" t="s">
        <v>1953</v>
      </c>
      <c r="B485" s="78"/>
      <c r="D485" s="78">
        <v>50</v>
      </c>
      <c r="G485" s="25"/>
      <c r="H485" s="25"/>
    </row>
    <row r="486" spans="1:8" x14ac:dyDescent="0.35">
      <c r="A486" s="25" t="s">
        <v>1954</v>
      </c>
      <c r="B486" s="78"/>
      <c r="D486" s="78"/>
      <c r="G486" s="25"/>
      <c r="H486" s="25"/>
    </row>
    <row r="487" spans="1:8" x14ac:dyDescent="0.35">
      <c r="A487" s="25" t="s">
        <v>1955</v>
      </c>
      <c r="B487" s="78"/>
      <c r="D487" s="78">
        <v>50</v>
      </c>
      <c r="G487" s="25"/>
      <c r="H487" s="25"/>
    </row>
    <row r="488" spans="1:8" x14ac:dyDescent="0.35">
      <c r="A488" s="25" t="s">
        <v>1956</v>
      </c>
      <c r="B488" s="78"/>
      <c r="D488" s="78"/>
      <c r="G488" s="25"/>
      <c r="H488" s="25"/>
    </row>
    <row r="489" spans="1:8" x14ac:dyDescent="0.35">
      <c r="A489" s="25" t="s">
        <v>1957</v>
      </c>
      <c r="B489" s="78"/>
      <c r="D489" s="78">
        <v>50</v>
      </c>
      <c r="G489" s="25"/>
      <c r="H489" s="25"/>
    </row>
    <row r="490" spans="1:8" x14ac:dyDescent="0.35">
      <c r="A490" s="25" t="s">
        <v>1958</v>
      </c>
      <c r="B490" s="78"/>
      <c r="D490" s="78">
        <v>50</v>
      </c>
      <c r="G490" s="25"/>
      <c r="H490" s="25"/>
    </row>
    <row r="491" spans="1:8" x14ac:dyDescent="0.35">
      <c r="A491" s="25" t="s">
        <v>1959</v>
      </c>
      <c r="B491" s="78"/>
      <c r="D491" s="78">
        <v>50</v>
      </c>
      <c r="G491" s="25"/>
      <c r="H491" s="25"/>
    </row>
    <row r="492" spans="1:8" x14ac:dyDescent="0.35">
      <c r="A492" s="25" t="s">
        <v>1960</v>
      </c>
      <c r="B492" s="78"/>
      <c r="D492" s="78">
        <v>50</v>
      </c>
      <c r="G492" s="25"/>
      <c r="H492" s="25"/>
    </row>
    <row r="493" spans="1:8" x14ac:dyDescent="0.35">
      <c r="A493" s="25" t="s">
        <v>1961</v>
      </c>
      <c r="B493" s="78"/>
      <c r="D493" s="78">
        <v>50</v>
      </c>
      <c r="G493" s="25"/>
      <c r="H493" s="25"/>
    </row>
    <row r="494" spans="1:8" x14ac:dyDescent="0.35">
      <c r="A494" s="25" t="s">
        <v>1962</v>
      </c>
      <c r="B494" s="78"/>
      <c r="D494" s="78">
        <v>50</v>
      </c>
      <c r="G494" s="25"/>
      <c r="H494" s="25"/>
    </row>
    <row r="495" spans="1:8" x14ac:dyDescent="0.35">
      <c r="A495" s="25" t="s">
        <v>1963</v>
      </c>
      <c r="B495" s="78"/>
      <c r="D495" s="78">
        <v>50</v>
      </c>
      <c r="G495" s="25"/>
      <c r="H495" s="25"/>
    </row>
    <row r="496" spans="1:8" x14ac:dyDescent="0.35">
      <c r="A496" s="25" t="s">
        <v>1964</v>
      </c>
      <c r="B496" s="78"/>
      <c r="D496" s="78">
        <v>50</v>
      </c>
      <c r="G496" s="25"/>
      <c r="H496" s="25"/>
    </row>
    <row r="497" spans="1:8" x14ac:dyDescent="0.35">
      <c r="A497" s="25" t="s">
        <v>1965</v>
      </c>
      <c r="B497" s="78"/>
      <c r="D497" s="78">
        <v>50</v>
      </c>
      <c r="G497" s="25"/>
      <c r="H497" s="25"/>
    </row>
    <row r="498" spans="1:8" x14ac:dyDescent="0.35">
      <c r="A498" s="25" t="s">
        <v>2963</v>
      </c>
      <c r="B498" s="78"/>
      <c r="D498" s="78">
        <v>50</v>
      </c>
      <c r="G498" s="25"/>
      <c r="H498" s="25"/>
    </row>
    <row r="499" spans="1:8" x14ac:dyDescent="0.35">
      <c r="A499" s="25" t="s">
        <v>2964</v>
      </c>
      <c r="B499" s="78"/>
      <c r="G499" s="25"/>
      <c r="H499" s="25"/>
    </row>
    <row r="500" spans="1:8" x14ac:dyDescent="0.35">
      <c r="A500" s="25" t="s">
        <v>3897</v>
      </c>
      <c r="B500" s="78"/>
      <c r="G500" s="25"/>
      <c r="H500" s="25"/>
    </row>
    <row r="501" spans="1:8" x14ac:dyDescent="0.35">
      <c r="A501" s="25" t="s">
        <v>2478</v>
      </c>
      <c r="B501" s="78"/>
      <c r="G501" s="25"/>
      <c r="H501" s="25"/>
    </row>
    <row r="502" spans="1:8" x14ac:dyDescent="0.35">
      <c r="A502" s="25" t="s">
        <v>2479</v>
      </c>
      <c r="B502" s="78">
        <v>0</v>
      </c>
      <c r="G502" s="25"/>
      <c r="H502" s="25"/>
    </row>
    <row r="503" spans="1:8" x14ac:dyDescent="0.35">
      <c r="A503" s="25" t="s">
        <v>1836</v>
      </c>
      <c r="B503" s="78"/>
      <c r="G503" s="25"/>
      <c r="H503" s="25"/>
    </row>
    <row r="504" spans="1:8" x14ac:dyDescent="0.35">
      <c r="A504" s="25" t="s">
        <v>1837</v>
      </c>
      <c r="B504" s="78"/>
      <c r="G504" s="25"/>
      <c r="H504" s="25"/>
    </row>
    <row r="505" spans="1:8" x14ac:dyDescent="0.35">
      <c r="A505" s="25" t="s">
        <v>1838</v>
      </c>
      <c r="B505" s="78">
        <v>0</v>
      </c>
      <c r="G505" s="25"/>
      <c r="H505" s="25"/>
    </row>
    <row r="506" spans="1:8" x14ac:dyDescent="0.35">
      <c r="A506" s="25" t="s">
        <v>1839</v>
      </c>
      <c r="B506" s="78"/>
      <c r="G506" s="25"/>
      <c r="H506" s="25"/>
    </row>
    <row r="507" spans="1:8" x14ac:dyDescent="0.35">
      <c r="A507" s="25" t="s">
        <v>1840</v>
      </c>
      <c r="B507" s="78"/>
      <c r="G507" s="25"/>
      <c r="H507" s="25"/>
    </row>
    <row r="508" spans="1:8" x14ac:dyDescent="0.35">
      <c r="A508" s="25" t="s">
        <v>1232</v>
      </c>
      <c r="B508" s="78"/>
      <c r="G508" s="25"/>
      <c r="H508" s="25"/>
    </row>
    <row r="509" spans="1:8" x14ac:dyDescent="0.35">
      <c r="A509" s="25" t="s">
        <v>4184</v>
      </c>
      <c r="B509" s="78"/>
      <c r="G509" s="25"/>
      <c r="H509" s="25"/>
    </row>
    <row r="510" spans="1:8" x14ac:dyDescent="0.35">
      <c r="A510" s="25" t="s">
        <v>4185</v>
      </c>
      <c r="B510" s="78"/>
      <c r="G510" s="25"/>
      <c r="H510" s="25"/>
    </row>
    <row r="511" spans="1:8" x14ac:dyDescent="0.35">
      <c r="A511" s="25" t="s">
        <v>4186</v>
      </c>
      <c r="B511" s="78"/>
      <c r="G511" s="25"/>
      <c r="H511" s="25"/>
    </row>
    <row r="512" spans="1:8" x14ac:dyDescent="0.35">
      <c r="A512" s="25" t="s">
        <v>4187</v>
      </c>
      <c r="B512" s="78"/>
      <c r="G512" s="25"/>
      <c r="H512" s="25"/>
    </row>
    <row r="513" spans="1:8" x14ac:dyDescent="0.35">
      <c r="A513" s="25" t="s">
        <v>4188</v>
      </c>
      <c r="B513" s="78"/>
      <c r="G513" s="25"/>
      <c r="H513" s="25"/>
    </row>
    <row r="514" spans="1:8" x14ac:dyDescent="0.35">
      <c r="A514" s="25" t="s">
        <v>4189</v>
      </c>
      <c r="B514" s="78"/>
      <c r="G514" s="25"/>
      <c r="H514" s="25"/>
    </row>
    <row r="515" spans="1:8" x14ac:dyDescent="0.35">
      <c r="A515" s="25" t="s">
        <v>442</v>
      </c>
      <c r="B515" s="78"/>
      <c r="G515" s="25"/>
      <c r="H515" s="25"/>
    </row>
    <row r="516" spans="1:8" x14ac:dyDescent="0.35">
      <c r="A516" s="25" t="s">
        <v>443</v>
      </c>
      <c r="B516" s="78"/>
      <c r="G516" s="25"/>
      <c r="H516" s="25"/>
    </row>
    <row r="517" spans="1:8" x14ac:dyDescent="0.35">
      <c r="A517" s="25" t="s">
        <v>444</v>
      </c>
      <c r="B517" s="78"/>
      <c r="G517" s="25"/>
      <c r="H517" s="25"/>
    </row>
    <row r="518" spans="1:8" x14ac:dyDescent="0.35">
      <c r="A518" s="25" t="s">
        <v>445</v>
      </c>
      <c r="B518" s="78"/>
      <c r="G518" s="25"/>
      <c r="H518" s="25"/>
    </row>
    <row r="519" spans="1:8" x14ac:dyDescent="0.35">
      <c r="A519" s="25" t="s">
        <v>446</v>
      </c>
      <c r="B519" s="78"/>
      <c r="G519" s="25"/>
      <c r="H519" s="25"/>
    </row>
    <row r="520" spans="1:8" x14ac:dyDescent="0.35">
      <c r="A520" s="25" t="s">
        <v>447</v>
      </c>
      <c r="B520" s="78"/>
      <c r="G520" s="25"/>
      <c r="H520" s="25"/>
    </row>
    <row r="521" spans="1:8" x14ac:dyDescent="0.35">
      <c r="A521" s="25" t="s">
        <v>1379</v>
      </c>
      <c r="B521" s="78"/>
      <c r="G521" s="25"/>
      <c r="H521" s="25"/>
    </row>
    <row r="522" spans="1:8" x14ac:dyDescent="0.35">
      <c r="A522" s="25" t="s">
        <v>841</v>
      </c>
      <c r="B522" s="78">
        <v>0</v>
      </c>
      <c r="G522" s="25"/>
      <c r="H522" s="25"/>
    </row>
    <row r="523" spans="1:8" x14ac:dyDescent="0.35">
      <c r="A523" s="25" t="s">
        <v>842</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3180</v>
      </c>
      <c r="B526" s="78"/>
      <c r="G526" s="25"/>
      <c r="H526" s="25"/>
    </row>
    <row r="527" spans="1:8" x14ac:dyDescent="0.35">
      <c r="A527" s="25" t="s">
        <v>3181</v>
      </c>
      <c r="B527" s="78"/>
      <c r="G527" s="25"/>
      <c r="H527" s="25"/>
    </row>
    <row r="528" spans="1:8" x14ac:dyDescent="0.35">
      <c r="A528" s="25" t="s">
        <v>3182</v>
      </c>
      <c r="B528" s="78"/>
      <c r="G528" s="25"/>
      <c r="H528" s="25"/>
    </row>
    <row r="529" spans="1:8" x14ac:dyDescent="0.35">
      <c r="A529" s="25" t="s">
        <v>2909</v>
      </c>
      <c r="B529" s="78"/>
      <c r="G529" s="25"/>
      <c r="H529" s="25"/>
    </row>
    <row r="530" spans="1:8" x14ac:dyDescent="0.35">
      <c r="A530" s="25" t="s">
        <v>3100</v>
      </c>
      <c r="B530" s="78"/>
      <c r="G530" s="25"/>
      <c r="H530" s="25"/>
    </row>
    <row r="531" spans="1:8" x14ac:dyDescent="0.35">
      <c r="A531" s="25" t="s">
        <v>3101</v>
      </c>
      <c r="B531" s="78">
        <v>1500</v>
      </c>
      <c r="C531" s="78">
        <v>1500</v>
      </c>
      <c r="G531" s="25"/>
      <c r="H531" s="25"/>
    </row>
    <row r="532" spans="1:8" x14ac:dyDescent="0.35">
      <c r="A532" s="25" t="s">
        <v>3102</v>
      </c>
      <c r="B532" s="78">
        <v>1500</v>
      </c>
      <c r="C532" s="78">
        <v>1500</v>
      </c>
      <c r="G532" s="25"/>
      <c r="H532" s="25"/>
    </row>
    <row r="533" spans="1:8" x14ac:dyDescent="0.35">
      <c r="A533" s="25" t="s">
        <v>3103</v>
      </c>
      <c r="B533" s="78">
        <v>1500</v>
      </c>
      <c r="C533" s="78">
        <v>1500</v>
      </c>
      <c r="G533" s="25"/>
      <c r="H533" s="25"/>
    </row>
    <row r="534" spans="1:8" x14ac:dyDescent="0.35">
      <c r="A534" s="25" t="s">
        <v>423</v>
      </c>
      <c r="B534" s="78">
        <v>1500</v>
      </c>
      <c r="C534" s="78">
        <v>1500</v>
      </c>
      <c r="G534" s="25"/>
      <c r="H534" s="25"/>
    </row>
    <row r="535" spans="1:8" x14ac:dyDescent="0.35">
      <c r="A535" s="25" t="s">
        <v>424</v>
      </c>
      <c r="B535" s="78">
        <v>1500</v>
      </c>
      <c r="C535" s="78">
        <v>1500</v>
      </c>
      <c r="G535" s="25"/>
      <c r="H535" s="25"/>
    </row>
    <row r="536" spans="1:8" x14ac:dyDescent="0.35">
      <c r="A536" s="25" t="s">
        <v>681</v>
      </c>
      <c r="B536" s="78">
        <v>1500</v>
      </c>
      <c r="C536" s="78">
        <v>1500</v>
      </c>
      <c r="G536" s="25"/>
      <c r="H536" s="25"/>
    </row>
    <row r="537" spans="1:8" x14ac:dyDescent="0.35">
      <c r="A537" s="25" t="s">
        <v>682</v>
      </c>
      <c r="B537" s="78">
        <v>1500</v>
      </c>
      <c r="C537" s="78">
        <v>1500</v>
      </c>
      <c r="G537" s="25"/>
      <c r="H537" s="25"/>
    </row>
    <row r="538" spans="1:8" x14ac:dyDescent="0.35">
      <c r="A538" s="25" t="s">
        <v>2481</v>
      </c>
      <c r="B538" s="78">
        <v>1500</v>
      </c>
      <c r="C538" s="78">
        <v>1500</v>
      </c>
      <c r="G538" s="25"/>
      <c r="H538" s="25"/>
    </row>
    <row r="539" spans="1:8" x14ac:dyDescent="0.35">
      <c r="A539" s="25" t="s">
        <v>2491</v>
      </c>
      <c r="B539" s="78">
        <v>1500</v>
      </c>
      <c r="C539" s="78">
        <v>1500</v>
      </c>
      <c r="G539" s="25"/>
      <c r="H539" s="25"/>
    </row>
    <row r="540" spans="1:8" x14ac:dyDescent="0.35">
      <c r="A540" s="25" t="s">
        <v>2492</v>
      </c>
      <c r="B540" s="78">
        <v>1500</v>
      </c>
      <c r="C540" s="78">
        <v>1500</v>
      </c>
      <c r="G540" s="25"/>
      <c r="H540" s="25"/>
    </row>
    <row r="541" spans="1:8" x14ac:dyDescent="0.35">
      <c r="A541" s="25" t="s">
        <v>2493</v>
      </c>
      <c r="B541" s="78">
        <v>1500</v>
      </c>
      <c r="C541" s="78">
        <v>1500</v>
      </c>
      <c r="G541" s="25"/>
      <c r="H541" s="25"/>
    </row>
    <row r="542" spans="1:8" x14ac:dyDescent="0.35">
      <c r="A542" s="25" t="s">
        <v>2494</v>
      </c>
      <c r="B542" s="78">
        <v>1500</v>
      </c>
      <c r="C542" s="78">
        <v>1500</v>
      </c>
      <c r="G542" s="25"/>
      <c r="H542" s="25"/>
    </row>
    <row r="543" spans="1:8" x14ac:dyDescent="0.35">
      <c r="A543" s="25" t="s">
        <v>2495</v>
      </c>
      <c r="B543" s="78">
        <v>1500</v>
      </c>
      <c r="C543" s="78">
        <v>1500</v>
      </c>
      <c r="G543" s="25"/>
      <c r="H543" s="25"/>
    </row>
    <row r="544" spans="1:8" x14ac:dyDescent="0.35">
      <c r="A544" s="25" t="s">
        <v>2496</v>
      </c>
      <c r="B544" s="78">
        <v>1500</v>
      </c>
      <c r="C544" s="78">
        <v>1500</v>
      </c>
      <c r="G544" s="25"/>
      <c r="H544" s="25"/>
    </row>
    <row r="545" spans="1:8" x14ac:dyDescent="0.35">
      <c r="A545" s="25" t="s">
        <v>2490</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1875</v>
      </c>
      <c r="B549" s="78">
        <v>1500</v>
      </c>
      <c r="C549" s="78">
        <v>1500</v>
      </c>
      <c r="G549" s="25"/>
      <c r="H549" s="25"/>
    </row>
    <row r="550" spans="1:8" x14ac:dyDescent="0.35">
      <c r="A550" s="25" t="s">
        <v>1876</v>
      </c>
      <c r="B550" s="78">
        <v>1500</v>
      </c>
      <c r="C550" s="78">
        <v>1500</v>
      </c>
      <c r="G550" s="25"/>
      <c r="H550" s="25"/>
    </row>
    <row r="551" spans="1:8" x14ac:dyDescent="0.35">
      <c r="A551" s="25" t="s">
        <v>2458</v>
      </c>
      <c r="B551" s="78">
        <v>7</v>
      </c>
      <c r="C551" s="78">
        <v>1</v>
      </c>
      <c r="G551" s="25"/>
      <c r="H551" s="25"/>
    </row>
    <row r="552" spans="1:8" x14ac:dyDescent="0.35">
      <c r="A552" s="25" t="s">
        <v>2459</v>
      </c>
      <c r="B552" s="78">
        <v>1</v>
      </c>
      <c r="C552" s="78">
        <v>1</v>
      </c>
      <c r="G552" s="25"/>
      <c r="H552" s="25"/>
    </row>
    <row r="553" spans="1:8" x14ac:dyDescent="0.35">
      <c r="A553" s="25" t="s">
        <v>2460</v>
      </c>
      <c r="B553" s="78">
        <v>1</v>
      </c>
      <c r="C553" s="78">
        <v>1</v>
      </c>
      <c r="G553" s="25"/>
      <c r="H553" s="25"/>
    </row>
    <row r="554" spans="1:8" x14ac:dyDescent="0.35">
      <c r="A554" s="25" t="s">
        <v>2461</v>
      </c>
      <c r="B554" s="78">
        <v>1</v>
      </c>
      <c r="C554" s="78">
        <v>1</v>
      </c>
      <c r="G554" s="25"/>
      <c r="H554" s="25"/>
    </row>
    <row r="555" spans="1:8" x14ac:dyDescent="0.35">
      <c r="A555" s="25" t="s">
        <v>3949</v>
      </c>
      <c r="B555" s="78">
        <v>1</v>
      </c>
      <c r="C555" s="78">
        <v>1</v>
      </c>
      <c r="G555" s="25"/>
      <c r="H555" s="25"/>
    </row>
    <row r="556" spans="1:8" x14ac:dyDescent="0.35">
      <c r="A556" s="25" t="s">
        <v>3950</v>
      </c>
      <c r="B556" s="78">
        <v>1</v>
      </c>
      <c r="C556" s="78">
        <v>1</v>
      </c>
      <c r="G556" s="25"/>
      <c r="H556" s="25"/>
    </row>
    <row r="557" spans="1:8" x14ac:dyDescent="0.35">
      <c r="A557" s="25" t="s">
        <v>3951</v>
      </c>
      <c r="B557" s="78">
        <v>1</v>
      </c>
      <c r="C557" s="78">
        <v>1</v>
      </c>
      <c r="G557" s="25"/>
      <c r="H557" s="25"/>
    </row>
    <row r="558" spans="1:8" x14ac:dyDescent="0.35">
      <c r="A558" s="25" t="s">
        <v>3952</v>
      </c>
      <c r="B558" s="78">
        <v>1</v>
      </c>
      <c r="C558" s="78">
        <v>1</v>
      </c>
      <c r="G558" s="25"/>
      <c r="H558" s="25"/>
    </row>
    <row r="559" spans="1:8" x14ac:dyDescent="0.35">
      <c r="A559" s="25" t="s">
        <v>3953</v>
      </c>
      <c r="B559" s="78">
        <v>1</v>
      </c>
      <c r="C559" s="78">
        <v>1</v>
      </c>
      <c r="G559" s="25"/>
      <c r="H559" s="25"/>
    </row>
    <row r="560" spans="1:8" x14ac:dyDescent="0.35">
      <c r="A560" s="25" t="s">
        <v>3988</v>
      </c>
      <c r="B560" s="78">
        <v>1</v>
      </c>
      <c r="C560" s="78">
        <v>1</v>
      </c>
      <c r="G560" s="25"/>
      <c r="H560" s="25"/>
    </row>
    <row r="561" spans="1:8" x14ac:dyDescent="0.35">
      <c r="A561" s="25" t="s">
        <v>3989</v>
      </c>
      <c r="B561" s="78">
        <v>1</v>
      </c>
      <c r="C561" s="78">
        <v>1</v>
      </c>
      <c r="G561" s="25"/>
      <c r="H561" s="25"/>
    </row>
    <row r="562" spans="1:8" x14ac:dyDescent="0.35">
      <c r="A562" s="25" t="s">
        <v>3990</v>
      </c>
      <c r="B562" s="78">
        <v>4</v>
      </c>
      <c r="C562" s="78">
        <v>1</v>
      </c>
      <c r="G562" s="25"/>
      <c r="H562" s="25"/>
    </row>
    <row r="563" spans="1:8" x14ac:dyDescent="0.35">
      <c r="A563" s="73" t="s">
        <v>3991</v>
      </c>
      <c r="B563" s="78">
        <v>1</v>
      </c>
      <c r="C563" s="78">
        <v>1</v>
      </c>
      <c r="G563" s="25"/>
      <c r="H563" s="25"/>
    </row>
    <row r="564" spans="1:8" x14ac:dyDescent="0.35">
      <c r="A564" s="73" t="s">
        <v>3992</v>
      </c>
      <c r="B564" s="78">
        <v>4</v>
      </c>
      <c r="C564" s="78">
        <v>1</v>
      </c>
      <c r="G564" s="25"/>
      <c r="H564" s="25"/>
    </row>
    <row r="565" spans="1:8" x14ac:dyDescent="0.35">
      <c r="A565" s="73" t="s">
        <v>3993</v>
      </c>
      <c r="B565" s="78">
        <v>1</v>
      </c>
      <c r="C565" s="78">
        <v>1</v>
      </c>
      <c r="G565" s="25"/>
      <c r="H565" s="25"/>
    </row>
    <row r="566" spans="1:8" x14ac:dyDescent="0.35">
      <c r="A566" s="73" t="s">
        <v>3994</v>
      </c>
      <c r="B566" s="78">
        <v>1</v>
      </c>
      <c r="C566" s="78">
        <v>1</v>
      </c>
      <c r="G566" s="25"/>
      <c r="H566" s="25"/>
    </row>
    <row r="567" spans="1:8" x14ac:dyDescent="0.35">
      <c r="A567" s="73" t="s">
        <v>3351</v>
      </c>
      <c r="B567" s="78">
        <v>1</v>
      </c>
      <c r="C567" s="78">
        <v>1</v>
      </c>
      <c r="G567" s="25"/>
      <c r="H567" s="25"/>
    </row>
    <row r="568" spans="1:8" x14ac:dyDescent="0.35">
      <c r="A568" s="73" t="s">
        <v>3664</v>
      </c>
      <c r="B568" s="78">
        <v>1</v>
      </c>
      <c r="C568" s="78">
        <v>1</v>
      </c>
      <c r="G568" s="25"/>
      <c r="H568" s="25"/>
    </row>
    <row r="569" spans="1:8" x14ac:dyDescent="0.35">
      <c r="A569" s="73" t="s">
        <v>3665</v>
      </c>
      <c r="B569" s="78">
        <v>1</v>
      </c>
      <c r="C569" s="78">
        <v>1</v>
      </c>
      <c r="G569" s="25"/>
      <c r="H569" s="25"/>
    </row>
    <row r="570" spans="1:8" x14ac:dyDescent="0.35">
      <c r="A570" s="73" t="s">
        <v>3666</v>
      </c>
      <c r="B570" s="78">
        <v>1</v>
      </c>
      <c r="C570" s="78">
        <v>1</v>
      </c>
      <c r="G570" s="25"/>
      <c r="H570" s="25"/>
    </row>
    <row r="571" spans="1:8" x14ac:dyDescent="0.35">
      <c r="A571" s="25" t="s">
        <v>3667</v>
      </c>
      <c r="B571" s="78" t="s">
        <v>1111</v>
      </c>
      <c r="G571" s="25"/>
      <c r="H571" s="25"/>
    </row>
    <row r="572" spans="1:8" x14ac:dyDescent="0.35">
      <c r="A572" s="25" t="s">
        <v>3668</v>
      </c>
      <c r="B572" s="78"/>
      <c r="G572" s="25"/>
      <c r="H572" s="25"/>
    </row>
    <row r="573" spans="1:8" x14ac:dyDescent="0.35">
      <c r="A573" s="25" t="s">
        <v>1987</v>
      </c>
      <c r="B573" s="78"/>
      <c r="G573" s="25"/>
      <c r="H573" s="25"/>
    </row>
    <row r="574" spans="1:8" x14ac:dyDescent="0.35">
      <c r="A574" s="25" t="s">
        <v>2483</v>
      </c>
      <c r="B574" s="78"/>
      <c r="G574" s="25"/>
      <c r="H574" s="25"/>
    </row>
    <row r="575" spans="1:8" x14ac:dyDescent="0.35">
      <c r="A575" s="25" t="s">
        <v>2484</v>
      </c>
      <c r="B575" s="78"/>
      <c r="G575" s="25"/>
      <c r="H575" s="25"/>
    </row>
    <row r="576" spans="1:8" x14ac:dyDescent="0.35">
      <c r="A576" s="25" t="s">
        <v>2485</v>
      </c>
      <c r="B576" s="78"/>
      <c r="G576" s="25"/>
      <c r="H576" s="25"/>
    </row>
    <row r="577" spans="1:8" x14ac:dyDescent="0.35">
      <c r="A577" s="25" t="s">
        <v>2486</v>
      </c>
      <c r="B577" s="78"/>
      <c r="G577" s="25"/>
      <c r="H577" s="25"/>
    </row>
    <row r="578" spans="1:8" x14ac:dyDescent="0.35">
      <c r="A578" s="25" t="s">
        <v>2487</v>
      </c>
      <c r="B578" s="78"/>
      <c r="G578" s="25"/>
      <c r="H578" s="25"/>
    </row>
    <row r="579" spans="1:8" x14ac:dyDescent="0.35">
      <c r="A579" s="25" t="s">
        <v>2488</v>
      </c>
      <c r="B579" s="78"/>
      <c r="G579" s="25"/>
      <c r="H579" s="25"/>
    </row>
    <row r="580" spans="1:8" x14ac:dyDescent="0.35">
      <c r="A580" s="25" t="s">
        <v>3544</v>
      </c>
      <c r="B580" s="78"/>
      <c r="G580" s="25"/>
      <c r="H580" s="25"/>
    </row>
    <row r="581" spans="1:8" x14ac:dyDescent="0.35">
      <c r="A581" s="25" t="s">
        <v>3469</v>
      </c>
      <c r="B581" s="78"/>
      <c r="G581" s="25"/>
      <c r="H581" s="25"/>
    </row>
    <row r="582" spans="1:8" x14ac:dyDescent="0.35">
      <c r="A582" s="25" t="s">
        <v>3470</v>
      </c>
      <c r="B582" s="78" t="s">
        <v>2141</v>
      </c>
      <c r="G582" s="25"/>
      <c r="H582" s="25"/>
    </row>
    <row r="583" spans="1:8" x14ac:dyDescent="0.35">
      <c r="A583" s="25" t="s">
        <v>3471</v>
      </c>
      <c r="B583" s="78"/>
      <c r="G583" s="25"/>
      <c r="H583" s="25"/>
    </row>
    <row r="584" spans="1:8" x14ac:dyDescent="0.35">
      <c r="A584" s="25" t="s">
        <v>3472</v>
      </c>
      <c r="B584" s="78" t="s">
        <v>1111</v>
      </c>
      <c r="G584" s="25"/>
      <c r="H584" s="25"/>
    </row>
    <row r="585" spans="1:8" x14ac:dyDescent="0.35">
      <c r="A585" s="25" t="s">
        <v>3883</v>
      </c>
      <c r="B585" s="78"/>
      <c r="G585" s="25"/>
      <c r="H585" s="25"/>
    </row>
    <row r="586" spans="1:8" x14ac:dyDescent="0.35">
      <c r="A586" s="25" t="s">
        <v>4078</v>
      </c>
      <c r="B586" s="78"/>
      <c r="G586" s="25"/>
      <c r="H586" s="25"/>
    </row>
    <row r="587" spans="1:8" x14ac:dyDescent="0.35">
      <c r="A587" s="25" t="s">
        <v>4079</v>
      </c>
      <c r="B587" s="78"/>
      <c r="G587" s="25"/>
      <c r="H587" s="25"/>
    </row>
    <row r="588" spans="1:8" x14ac:dyDescent="0.35">
      <c r="A588" s="74" t="s">
        <v>4080</v>
      </c>
      <c r="B588" s="78"/>
      <c r="G588" s="25"/>
      <c r="H588" s="25"/>
    </row>
    <row r="589" spans="1:8" x14ac:dyDescent="0.35">
      <c r="A589" s="74" t="s">
        <v>4081</v>
      </c>
      <c r="B589" s="78"/>
      <c r="G589" s="25"/>
      <c r="H589" s="25"/>
    </row>
    <row r="590" spans="1:8" x14ac:dyDescent="0.35">
      <c r="A590" s="74" t="s">
        <v>1218</v>
      </c>
      <c r="B590" s="78"/>
      <c r="G590" s="25"/>
      <c r="H590" s="25"/>
    </row>
    <row r="591" spans="1:8" x14ac:dyDescent="0.35">
      <c r="A591" s="74" t="s">
        <v>1777</v>
      </c>
      <c r="B591" s="78" t="b">
        <v>0</v>
      </c>
      <c r="C591" s="78" t="b">
        <v>0</v>
      </c>
      <c r="G591" s="25"/>
      <c r="H591" s="25"/>
    </row>
    <row r="592" spans="1:8" x14ac:dyDescent="0.35">
      <c r="A592" s="74" t="s">
        <v>1778</v>
      </c>
      <c r="B592" s="78"/>
      <c r="G592" s="25"/>
      <c r="H592" s="25"/>
    </row>
    <row r="593" spans="1:8" x14ac:dyDescent="0.35">
      <c r="A593" s="74" t="s">
        <v>2688</v>
      </c>
      <c r="B593" s="78">
        <v>6</v>
      </c>
      <c r="C593" s="78">
        <v>6</v>
      </c>
      <c r="G593" s="25"/>
      <c r="H593" s="25"/>
    </row>
    <row r="594" spans="1:8" x14ac:dyDescent="0.35">
      <c r="A594" s="74" t="s">
        <v>1779</v>
      </c>
      <c r="B594" s="78" t="b">
        <v>0</v>
      </c>
      <c r="C594" s="78" t="b">
        <v>0</v>
      </c>
      <c r="G594" s="25"/>
      <c r="H594" s="25"/>
    </row>
    <row r="595" spans="1:8" x14ac:dyDescent="0.35">
      <c r="A595" s="74" t="s">
        <v>214</v>
      </c>
      <c r="B595" s="78"/>
      <c r="G595" s="25"/>
      <c r="H595" s="25"/>
    </row>
    <row r="596" spans="1:8" x14ac:dyDescent="0.35">
      <c r="A596" s="25" t="s">
        <v>3905</v>
      </c>
      <c r="B596" s="78">
        <v>20</v>
      </c>
      <c r="G596" s="25"/>
      <c r="H596" s="25"/>
    </row>
    <row r="597" spans="1:8" x14ac:dyDescent="0.35">
      <c r="A597" s="25" t="s">
        <v>215</v>
      </c>
      <c r="B597" s="78"/>
      <c r="G597" s="25"/>
      <c r="H597" s="25"/>
    </row>
    <row r="598" spans="1:8" x14ac:dyDescent="0.35">
      <c r="A598" s="25" t="s">
        <v>4238</v>
      </c>
      <c r="B598" s="78"/>
      <c r="G598" s="25"/>
      <c r="H598" s="25"/>
    </row>
    <row r="599" spans="1:8" x14ac:dyDescent="0.35">
      <c r="A599" s="74" t="s">
        <v>1250</v>
      </c>
      <c r="B599" s="78"/>
      <c r="G599" s="25"/>
      <c r="H599" s="25"/>
    </row>
    <row r="600" spans="1:8" x14ac:dyDescent="0.35">
      <c r="A600" s="74" t="s">
        <v>1251</v>
      </c>
      <c r="B600" s="78"/>
      <c r="G600" s="25"/>
      <c r="H600" s="25"/>
    </row>
    <row r="601" spans="1:8" x14ac:dyDescent="0.35">
      <c r="A601" s="74" t="s">
        <v>2972</v>
      </c>
      <c r="B601" s="78"/>
      <c r="G601" s="25"/>
      <c r="H601" s="25"/>
    </row>
    <row r="602" spans="1:8" x14ac:dyDescent="0.35">
      <c r="A602" s="74" t="s">
        <v>2973</v>
      </c>
      <c r="B602" s="78"/>
      <c r="G602" s="25"/>
      <c r="H602" s="25"/>
    </row>
    <row r="603" spans="1:8" x14ac:dyDescent="0.35">
      <c r="A603" s="74" t="s">
        <v>2974</v>
      </c>
      <c r="B603" s="78"/>
      <c r="G603" s="25"/>
      <c r="H603" s="25"/>
    </row>
    <row r="604" spans="1:8" x14ac:dyDescent="0.35">
      <c r="A604" s="74" t="s">
        <v>1666</v>
      </c>
      <c r="B604" s="78"/>
      <c r="G604" s="25"/>
      <c r="H604" s="25"/>
    </row>
    <row r="605" spans="1:8" x14ac:dyDescent="0.35">
      <c r="A605" s="74" t="s">
        <v>1667</v>
      </c>
      <c r="B605" s="78"/>
      <c r="G605" s="25"/>
      <c r="H605" s="25"/>
    </row>
    <row r="606" spans="1:8" x14ac:dyDescent="0.35">
      <c r="A606" s="74" t="s">
        <v>1668</v>
      </c>
      <c r="B606" s="78"/>
      <c r="G606" s="25"/>
      <c r="H606" s="25"/>
    </row>
    <row r="607" spans="1:8" x14ac:dyDescent="0.35">
      <c r="A607" s="74" t="s">
        <v>1669</v>
      </c>
      <c r="B607" s="78"/>
      <c r="G607" s="25"/>
      <c r="H607" s="25"/>
    </row>
    <row r="608" spans="1:8" x14ac:dyDescent="0.35">
      <c r="A608" s="74" t="s">
        <v>1670</v>
      </c>
      <c r="B608" s="78"/>
      <c r="G608" s="25"/>
      <c r="H608" s="25"/>
    </row>
    <row r="609" spans="1:8" x14ac:dyDescent="0.35">
      <c r="A609" s="74" t="s">
        <v>2183</v>
      </c>
      <c r="B609" s="78"/>
      <c r="G609" s="25"/>
      <c r="H609" s="25"/>
    </row>
    <row r="610" spans="1:8" x14ac:dyDescent="0.35">
      <c r="A610" s="74" t="s">
        <v>1787</v>
      </c>
      <c r="B610" s="78"/>
      <c r="G610" s="25"/>
      <c r="H610" s="25"/>
    </row>
    <row r="611" spans="1:8" x14ac:dyDescent="0.35">
      <c r="A611" s="74" t="s">
        <v>1788</v>
      </c>
      <c r="B611" s="78"/>
      <c r="G611" s="25"/>
      <c r="H611" s="25"/>
    </row>
    <row r="612" spans="1:8" x14ac:dyDescent="0.35">
      <c r="A612" s="74" t="s">
        <v>1789</v>
      </c>
      <c r="B612" s="78"/>
      <c r="G612" s="25"/>
      <c r="H612" s="25"/>
    </row>
    <row r="613" spans="1:8" x14ac:dyDescent="0.35">
      <c r="A613" s="74" t="s">
        <v>1713</v>
      </c>
      <c r="B613" s="78"/>
      <c r="G613" s="25"/>
      <c r="H613" s="25"/>
    </row>
    <row r="614" spans="1:8" x14ac:dyDescent="0.35">
      <c r="A614" s="74" t="s">
        <v>1714</v>
      </c>
      <c r="B614" s="78"/>
      <c r="G614" s="25"/>
      <c r="H614" s="25"/>
    </row>
    <row r="615" spans="1:8" x14ac:dyDescent="0.35">
      <c r="A615" s="74" t="s">
        <v>3317</v>
      </c>
      <c r="B615" s="78"/>
      <c r="G615" s="25"/>
      <c r="H615" s="25"/>
    </row>
    <row r="616" spans="1:8" x14ac:dyDescent="0.35">
      <c r="A616" s="74" t="s">
        <v>3318</v>
      </c>
      <c r="B616" s="78"/>
      <c r="G616" s="25"/>
      <c r="H616" s="25"/>
    </row>
    <row r="617" spans="1:8" x14ac:dyDescent="0.35">
      <c r="A617" s="74" t="s">
        <v>2959</v>
      </c>
      <c r="B617" s="78"/>
      <c r="G617" s="25"/>
      <c r="H617" s="25"/>
    </row>
    <row r="618" spans="1:8" x14ac:dyDescent="0.35">
      <c r="A618" s="74" t="s">
        <v>2960</v>
      </c>
      <c r="B618" s="78"/>
      <c r="G618" s="25"/>
      <c r="H618" s="25"/>
    </row>
    <row r="619" spans="1:8" x14ac:dyDescent="0.35">
      <c r="A619" s="74" t="s">
        <v>2961</v>
      </c>
      <c r="B619" s="78"/>
      <c r="G619" s="25"/>
      <c r="H619" s="25"/>
    </row>
    <row r="620" spans="1:8" x14ac:dyDescent="0.35">
      <c r="A620" s="74" t="s">
        <v>1303</v>
      </c>
      <c r="B620" s="78"/>
      <c r="G620" s="25"/>
      <c r="H620" s="25"/>
    </row>
    <row r="621" spans="1:8" x14ac:dyDescent="0.35">
      <c r="A621" s="74" t="s">
        <v>1304</v>
      </c>
      <c r="B621" s="78"/>
      <c r="G621" s="25"/>
      <c r="H621" s="25"/>
    </row>
    <row r="622" spans="1:8" x14ac:dyDescent="0.35">
      <c r="A622" s="74" t="s">
        <v>1305</v>
      </c>
      <c r="B622" s="78"/>
      <c r="G622" s="25"/>
      <c r="H622" s="25"/>
    </row>
    <row r="623" spans="1:8" x14ac:dyDescent="0.35">
      <c r="A623" s="74" t="s">
        <v>1306</v>
      </c>
      <c r="B623" s="78"/>
      <c r="G623" s="25"/>
      <c r="H623" s="25"/>
    </row>
    <row r="624" spans="1:8" x14ac:dyDescent="0.35">
      <c r="A624" s="74" t="s">
        <v>1307</v>
      </c>
      <c r="B624" s="78"/>
      <c r="G624" s="25"/>
      <c r="H624" s="25"/>
    </row>
    <row r="625" spans="1:8" x14ac:dyDescent="0.35">
      <c r="A625" s="74" t="s">
        <v>1852</v>
      </c>
      <c r="B625" s="78"/>
      <c r="G625" s="25"/>
      <c r="H625" s="25"/>
    </row>
    <row r="626" spans="1:8" x14ac:dyDescent="0.35">
      <c r="A626" s="74" t="s">
        <v>1847</v>
      </c>
      <c r="B626" s="78"/>
      <c r="G626" s="25"/>
      <c r="H626" s="25"/>
    </row>
    <row r="627" spans="1:8" x14ac:dyDescent="0.35">
      <c r="A627" s="74" t="s">
        <v>1848</v>
      </c>
      <c r="B627" s="78"/>
      <c r="G627" s="25"/>
      <c r="H627" s="25"/>
    </row>
    <row r="628" spans="1:8" x14ac:dyDescent="0.35">
      <c r="A628" s="74" t="s">
        <v>1849</v>
      </c>
      <c r="B628" s="78"/>
      <c r="G628" s="25"/>
      <c r="H628" s="25"/>
    </row>
    <row r="629" spans="1:8" x14ac:dyDescent="0.35">
      <c r="A629" s="74" t="s">
        <v>1850</v>
      </c>
      <c r="B629" s="78"/>
      <c r="G629" s="25"/>
      <c r="H629" s="25"/>
    </row>
    <row r="630" spans="1:8" x14ac:dyDescent="0.35">
      <c r="A630" s="74" t="s">
        <v>1851</v>
      </c>
      <c r="B630" s="78"/>
      <c r="G630" s="25"/>
      <c r="H630" s="25"/>
    </row>
    <row r="631" spans="1:8" x14ac:dyDescent="0.35">
      <c r="A631" s="74" t="s">
        <v>2993</v>
      </c>
      <c r="B631" s="78"/>
      <c r="G631" s="25"/>
      <c r="H631" s="25"/>
    </row>
    <row r="632" spans="1:8" x14ac:dyDescent="0.35">
      <c r="A632" s="74" t="s">
        <v>3530</v>
      </c>
      <c r="B632" s="78"/>
      <c r="G632" s="25"/>
      <c r="H632" s="25"/>
    </row>
    <row r="633" spans="1:8" x14ac:dyDescent="0.35">
      <c r="A633" s="25" t="s">
        <v>2173</v>
      </c>
      <c r="B633" s="78">
        <v>41827</v>
      </c>
      <c r="C633" s="78">
        <v>41363</v>
      </c>
      <c r="G633" s="25"/>
      <c r="H633" s="25"/>
    </row>
    <row r="634" spans="1:8" x14ac:dyDescent="0.35">
      <c r="A634" s="106" t="s">
        <v>1036</v>
      </c>
      <c r="B634" s="78">
        <v>1</v>
      </c>
      <c r="C634" s="78">
        <v>1</v>
      </c>
      <c r="G634" s="25"/>
      <c r="H634" s="25"/>
    </row>
    <row r="635" spans="1:8" x14ac:dyDescent="0.35">
      <c r="A635" s="106" t="s">
        <v>3409</v>
      </c>
      <c r="B635" s="78">
        <v>1</v>
      </c>
      <c r="C635" s="78">
        <v>1</v>
      </c>
      <c r="G635" s="25"/>
      <c r="H635" s="25"/>
    </row>
    <row r="636" spans="1:8" x14ac:dyDescent="0.35">
      <c r="A636" s="106" t="s">
        <v>3411</v>
      </c>
      <c r="B636" s="78">
        <v>1</v>
      </c>
      <c r="C636" s="78">
        <v>1</v>
      </c>
      <c r="G636" s="25"/>
      <c r="H636" s="25"/>
    </row>
    <row r="637" spans="1:8" x14ac:dyDescent="0.35">
      <c r="A637" s="106" t="s">
        <v>3413</v>
      </c>
      <c r="B637" s="78">
        <v>1</v>
      </c>
      <c r="C637" s="78">
        <v>1</v>
      </c>
      <c r="G637" s="25"/>
      <c r="H637" s="25"/>
    </row>
    <row r="638" spans="1:8" x14ac:dyDescent="0.35">
      <c r="A638" s="106" t="s">
        <v>3415</v>
      </c>
      <c r="B638" s="78">
        <v>1</v>
      </c>
      <c r="C638" s="78">
        <v>1</v>
      </c>
      <c r="G638" s="25"/>
      <c r="H638" s="25"/>
    </row>
    <row r="639" spans="1:8" x14ac:dyDescent="0.35">
      <c r="A639" s="106" t="s">
        <v>3417</v>
      </c>
      <c r="B639" s="78">
        <v>1</v>
      </c>
      <c r="C639" s="78">
        <v>1</v>
      </c>
      <c r="G639" s="25"/>
      <c r="H639" s="25"/>
    </row>
    <row r="640" spans="1:8" x14ac:dyDescent="0.35">
      <c r="A640" s="25" t="s">
        <v>3809</v>
      </c>
      <c r="B640" s="78">
        <v>123456</v>
      </c>
      <c r="G640" s="25"/>
      <c r="H640" s="25"/>
    </row>
    <row r="641" spans="1:8" x14ac:dyDescent="0.35">
      <c r="A641" t="s">
        <v>3063</v>
      </c>
      <c r="B641" s="78"/>
      <c r="G641" s="25"/>
      <c r="H641" s="25"/>
    </row>
    <row r="642" spans="1:8" x14ac:dyDescent="0.35">
      <c r="A642" s="25" t="s">
        <v>2332</v>
      </c>
      <c r="B642" s="78">
        <v>5</v>
      </c>
      <c r="C642" s="78">
        <v>5</v>
      </c>
      <c r="G642" s="25"/>
      <c r="H642" s="25"/>
    </row>
    <row r="643" spans="1:8" x14ac:dyDescent="0.35">
      <c r="A643" t="s">
        <v>2544</v>
      </c>
      <c r="B643" s="78"/>
      <c r="G643" s="25"/>
      <c r="H643" s="25"/>
    </row>
    <row r="644" spans="1:8" x14ac:dyDescent="0.35">
      <c r="A644" t="s">
        <v>671</v>
      </c>
      <c r="B644" s="78"/>
      <c r="G644" s="25"/>
      <c r="H644" s="25"/>
    </row>
    <row r="645" spans="1:8" x14ac:dyDescent="0.35">
      <c r="A645" t="s">
        <v>674</v>
      </c>
      <c r="B645" s="78"/>
      <c r="G645" s="25"/>
      <c r="H645" s="25"/>
    </row>
    <row r="646" spans="1:8" x14ac:dyDescent="0.35">
      <c r="A646" t="s">
        <v>673</v>
      </c>
      <c r="B646" s="78"/>
      <c r="G646" s="25"/>
      <c r="H646" s="25"/>
    </row>
    <row r="647" spans="1:8" x14ac:dyDescent="0.35">
      <c r="A647" t="s">
        <v>670</v>
      </c>
      <c r="B647" s="78"/>
      <c r="G647" s="25"/>
      <c r="H647" s="25"/>
    </row>
    <row r="648" spans="1:8" x14ac:dyDescent="0.35">
      <c r="A648" t="s">
        <v>669</v>
      </c>
      <c r="B648" s="78"/>
      <c r="G648" s="25"/>
      <c r="H648" s="25"/>
    </row>
    <row r="649" spans="1:8" x14ac:dyDescent="0.35">
      <c r="A649" t="s">
        <v>672</v>
      </c>
      <c r="B649" s="78"/>
      <c r="G649" s="25"/>
      <c r="H649" s="25"/>
    </row>
    <row r="650" spans="1:8" x14ac:dyDescent="0.35">
      <c r="A650" t="s">
        <v>675</v>
      </c>
      <c r="B650" s="78"/>
      <c r="G650" s="25"/>
      <c r="H650" s="25"/>
    </row>
    <row r="651" spans="1:8" x14ac:dyDescent="0.35">
      <c r="A651" s="25" t="s">
        <v>3005</v>
      </c>
      <c r="B651" s="78"/>
      <c r="G651" s="25"/>
      <c r="H651" s="25"/>
    </row>
    <row r="652" spans="1:8" x14ac:dyDescent="0.35">
      <c r="A652" s="25" t="s">
        <v>3654</v>
      </c>
      <c r="B652" s="78"/>
      <c r="G652" s="25"/>
      <c r="H652" s="25"/>
    </row>
    <row r="653" spans="1:8" x14ac:dyDescent="0.35">
      <c r="A653" t="s">
        <v>2555</v>
      </c>
      <c r="B653" s="78">
        <v>168</v>
      </c>
      <c r="G653" s="25"/>
      <c r="H653" s="25"/>
    </row>
    <row r="654" spans="1:8" x14ac:dyDescent="0.35">
      <c r="A654" t="s">
        <v>2557</v>
      </c>
      <c r="B654" s="78"/>
      <c r="G654" s="25"/>
      <c r="H654" s="25"/>
    </row>
    <row r="655" spans="1:8" x14ac:dyDescent="0.35">
      <c r="A655" t="s">
        <v>2559</v>
      </c>
      <c r="B655" s="78"/>
      <c r="G655" s="25"/>
      <c r="H655" s="25"/>
    </row>
    <row r="656" spans="1:8" x14ac:dyDescent="0.35">
      <c r="A656" t="s">
        <v>2561</v>
      </c>
      <c r="B656" s="78"/>
      <c r="G656" s="25"/>
      <c r="H656" s="25"/>
    </row>
    <row r="657" spans="1:8" x14ac:dyDescent="0.35">
      <c r="A657" t="s">
        <v>4133</v>
      </c>
      <c r="B657" s="78"/>
      <c r="G657" s="25"/>
      <c r="H657" s="25"/>
    </row>
    <row r="658" spans="1:8" x14ac:dyDescent="0.35">
      <c r="A658" t="s">
        <v>4135</v>
      </c>
      <c r="C658"/>
      <c r="G658" s="25"/>
      <c r="H658" s="25"/>
    </row>
    <row r="659" spans="1:8" x14ac:dyDescent="0.35">
      <c r="A659" t="s">
        <v>4137</v>
      </c>
      <c r="B659" s="78"/>
      <c r="G659" s="25"/>
      <c r="H659" s="25"/>
    </row>
    <row r="660" spans="1:8" x14ac:dyDescent="0.35">
      <c r="A660" t="s">
        <v>4139</v>
      </c>
      <c r="C660"/>
      <c r="G660" s="25"/>
      <c r="H660" s="25"/>
    </row>
    <row r="661" spans="1:8" x14ac:dyDescent="0.35">
      <c r="A661" t="s">
        <v>2341</v>
      </c>
      <c r="B661" s="78"/>
      <c r="G661" s="25"/>
      <c r="H661" s="25"/>
    </row>
    <row r="662" spans="1:8" x14ac:dyDescent="0.35">
      <c r="A662" t="s">
        <v>3885</v>
      </c>
      <c r="B662" s="78"/>
      <c r="G662" s="25"/>
      <c r="H662" s="25"/>
    </row>
    <row r="663" spans="1:8" x14ac:dyDescent="0.35">
      <c r="A663" t="s">
        <v>3887</v>
      </c>
      <c r="B663" s="78"/>
      <c r="G663" s="25"/>
      <c r="H663" s="25"/>
    </row>
    <row r="664" spans="1:8" x14ac:dyDescent="0.35">
      <c r="A664" t="s">
        <v>3889</v>
      </c>
      <c r="B664" s="78">
        <v>441</v>
      </c>
      <c r="G664" s="25"/>
      <c r="H664" s="25"/>
    </row>
    <row r="665" spans="1:8" x14ac:dyDescent="0.35">
      <c r="A665" t="s">
        <v>2281</v>
      </c>
      <c r="B665" s="78"/>
      <c r="G665" s="25"/>
      <c r="H665" s="25"/>
    </row>
    <row r="666" spans="1:8" x14ac:dyDescent="0.35">
      <c r="A666" t="s">
        <v>2283</v>
      </c>
      <c r="B666" s="78">
        <v>920</v>
      </c>
      <c r="G666" s="25"/>
      <c r="H666" s="25"/>
    </row>
    <row r="667" spans="1:8" x14ac:dyDescent="0.35">
      <c r="A667" t="s">
        <v>2285</v>
      </c>
      <c r="B667" s="78">
        <v>0</v>
      </c>
      <c r="G667" s="25"/>
      <c r="H667" s="25"/>
    </row>
    <row r="668" spans="1:8" x14ac:dyDescent="0.35">
      <c r="A668" t="s">
        <v>2287</v>
      </c>
      <c r="B668" s="78"/>
      <c r="G668" s="25"/>
      <c r="H668" s="25"/>
    </row>
    <row r="669" spans="1:8" x14ac:dyDescent="0.35">
      <c r="A669" t="s">
        <v>2289</v>
      </c>
      <c r="B669" s="78"/>
      <c r="G669" s="25"/>
      <c r="H669" s="25"/>
    </row>
    <row r="670" spans="1:8" x14ac:dyDescent="0.35">
      <c r="A670" t="s">
        <v>2291</v>
      </c>
      <c r="B670" s="78"/>
      <c r="G670" s="25"/>
      <c r="H670" s="25"/>
    </row>
    <row r="671" spans="1:8" x14ac:dyDescent="0.35">
      <c r="A671" t="s">
        <v>2293</v>
      </c>
      <c r="B671" s="78"/>
      <c r="G671" s="25"/>
      <c r="H671" s="25"/>
    </row>
    <row r="672" spans="1:8" x14ac:dyDescent="0.35">
      <c r="A672" t="s">
        <v>2295</v>
      </c>
      <c r="B672" s="78"/>
      <c r="G672" s="25"/>
      <c r="H672" s="25"/>
    </row>
    <row r="673" spans="1:8" x14ac:dyDescent="0.35">
      <c r="A673" s="25" t="s">
        <v>2334</v>
      </c>
      <c r="B673" s="78">
        <v>5</v>
      </c>
      <c r="C673" s="78">
        <v>5</v>
      </c>
      <c r="G673" s="25"/>
      <c r="H673" s="25"/>
    </row>
    <row r="674" spans="1:8" x14ac:dyDescent="0.35">
      <c r="A674" s="25" t="s">
        <v>2117</v>
      </c>
      <c r="B674" s="78" t="b">
        <v>0</v>
      </c>
      <c r="C674" s="78" t="b">
        <v>0</v>
      </c>
      <c r="G674" s="25"/>
      <c r="H674" s="25"/>
    </row>
    <row r="675" spans="1:8" x14ac:dyDescent="0.35">
      <c r="A675" s="25" t="s">
        <v>3906</v>
      </c>
      <c r="B675" s="78">
        <v>1</v>
      </c>
      <c r="C675" s="78">
        <v>1</v>
      </c>
      <c r="G675" s="25"/>
      <c r="H675" s="25"/>
    </row>
    <row r="676" spans="1:8" x14ac:dyDescent="0.35">
      <c r="A676" s="25" t="s">
        <v>2138</v>
      </c>
      <c r="B676" s="78">
        <v>2</v>
      </c>
      <c r="C676" s="78">
        <v>1</v>
      </c>
      <c r="G676" s="25"/>
      <c r="H676" s="25"/>
    </row>
    <row r="677" spans="1:8" x14ac:dyDescent="0.35">
      <c r="A677" s="25" t="s">
        <v>3088</v>
      </c>
      <c r="B677" s="78"/>
      <c r="G677" s="25"/>
      <c r="H677" s="25"/>
    </row>
    <row r="678" spans="1:8" x14ac:dyDescent="0.35">
      <c r="A678" s="25" t="s">
        <v>3089</v>
      </c>
      <c r="B678" s="78"/>
      <c r="G678" s="25"/>
      <c r="H678" s="25"/>
    </row>
    <row r="679" spans="1:8" x14ac:dyDescent="0.35">
      <c r="A679" s="25" t="s">
        <v>3090</v>
      </c>
      <c r="B679" s="78"/>
      <c r="G679" s="25"/>
      <c r="H679" s="25"/>
    </row>
    <row r="680" spans="1:8" x14ac:dyDescent="0.35">
      <c r="A680" s="25" t="s">
        <v>3091</v>
      </c>
      <c r="B680" s="78"/>
      <c r="G680" s="25"/>
      <c r="H680" s="25"/>
    </row>
    <row r="681" spans="1:8" x14ac:dyDescent="0.35">
      <c r="A681" s="25" t="s">
        <v>3092</v>
      </c>
      <c r="B681" s="78"/>
      <c r="G681" s="25"/>
      <c r="H681" s="25"/>
    </row>
    <row r="682" spans="1:8" x14ac:dyDescent="0.35">
      <c r="A682" s="25" t="s">
        <v>3093</v>
      </c>
      <c r="B682" s="78"/>
      <c r="G682" s="25"/>
      <c r="H682" s="25"/>
    </row>
    <row r="683" spans="1:8" x14ac:dyDescent="0.35">
      <c r="A683" s="25" t="s">
        <v>1966</v>
      </c>
      <c r="B683" s="78"/>
      <c r="G683" s="25"/>
      <c r="H683" s="25"/>
    </row>
    <row r="684" spans="1:8" x14ac:dyDescent="0.35">
      <c r="A684" s="25" t="s">
        <v>3973</v>
      </c>
      <c r="B684" s="78"/>
      <c r="G684" s="25"/>
      <c r="H684" s="25"/>
    </row>
    <row r="685" spans="1:8" x14ac:dyDescent="0.35">
      <c r="A685" s="25" t="s">
        <v>3974</v>
      </c>
      <c r="B685" s="78"/>
      <c r="G685" s="25"/>
      <c r="H685" s="25"/>
    </row>
    <row r="686" spans="1:8" x14ac:dyDescent="0.35">
      <c r="A686" t="s">
        <v>3043</v>
      </c>
      <c r="B686" s="78">
        <v>0</v>
      </c>
      <c r="C686" s="78">
        <v>0</v>
      </c>
      <c r="G686" s="25"/>
      <c r="H686" s="25"/>
    </row>
    <row r="687" spans="1:8" x14ac:dyDescent="0.35">
      <c r="A687" s="25" t="s">
        <v>2885</v>
      </c>
      <c r="B687" s="78">
        <v>11</v>
      </c>
      <c r="C687" s="78">
        <v>1</v>
      </c>
      <c r="G687" s="25"/>
      <c r="H687" s="25"/>
    </row>
    <row r="688" spans="1:8" x14ac:dyDescent="0.35">
      <c r="A688" s="25" t="s">
        <v>4128</v>
      </c>
      <c r="B688" s="78">
        <v>1</v>
      </c>
      <c r="C688" s="78">
        <v>1</v>
      </c>
      <c r="G688" s="25"/>
      <c r="H688" s="25"/>
    </row>
    <row r="689" spans="1:8" x14ac:dyDescent="0.35">
      <c r="A689" s="25" t="s">
        <v>3907</v>
      </c>
      <c r="B689" s="78">
        <v>73</v>
      </c>
      <c r="G689" s="25"/>
      <c r="H689" s="25"/>
    </row>
    <row r="690" spans="1:8" x14ac:dyDescent="0.35">
      <c r="A690" s="25" t="s">
        <v>1737</v>
      </c>
      <c r="B690" s="78">
        <v>50</v>
      </c>
      <c r="G690" s="25"/>
      <c r="H690" s="25"/>
    </row>
    <row r="691" spans="1:8" x14ac:dyDescent="0.35">
      <c r="A691" s="25" t="s">
        <v>1738</v>
      </c>
      <c r="B691" s="78"/>
      <c r="G691" s="25"/>
      <c r="H691" s="25"/>
    </row>
    <row r="692" spans="1:8" x14ac:dyDescent="0.35">
      <c r="A692" s="25" t="s">
        <v>1739</v>
      </c>
      <c r="B692" s="78"/>
      <c r="G692" s="25"/>
      <c r="H692" s="25"/>
    </row>
    <row r="693" spans="1:8" x14ac:dyDescent="0.35">
      <c r="A693" s="25" t="s">
        <v>1740</v>
      </c>
      <c r="B693" s="78"/>
      <c r="G693" s="25"/>
      <c r="H693" s="25"/>
    </row>
    <row r="694" spans="1:8" x14ac:dyDescent="0.35">
      <c r="A694" s="25" t="s">
        <v>1741</v>
      </c>
      <c r="B694" s="78"/>
      <c r="G694" s="25"/>
      <c r="H694" s="25"/>
    </row>
    <row r="695" spans="1:8" x14ac:dyDescent="0.35">
      <c r="A695" s="25" t="s">
        <v>1742</v>
      </c>
      <c r="B695" s="78"/>
      <c r="G695" s="25"/>
      <c r="H695" s="25"/>
    </row>
    <row r="696" spans="1:8" x14ac:dyDescent="0.35">
      <c r="A696" s="25" t="s">
        <v>1743</v>
      </c>
      <c r="B696" s="79"/>
      <c r="C696" s="79"/>
      <c r="G696" s="25"/>
      <c r="H696" s="25"/>
    </row>
    <row r="697" spans="1:8" x14ac:dyDescent="0.35">
      <c r="A697" s="25" t="s">
        <v>1744</v>
      </c>
      <c r="C697"/>
      <c r="G697" s="25"/>
      <c r="H697" s="25"/>
    </row>
    <row r="698" spans="1:8" x14ac:dyDescent="0.35">
      <c r="A698" s="25" t="s">
        <v>1745</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4239</v>
      </c>
      <c r="B710">
        <v>1500</v>
      </c>
      <c r="C710">
        <v>1500</v>
      </c>
      <c r="G710" s="25"/>
      <c r="H710" s="25"/>
    </row>
    <row r="711" spans="1:8" x14ac:dyDescent="0.35">
      <c r="A711" s="25" t="s">
        <v>4240</v>
      </c>
      <c r="B711">
        <v>1500</v>
      </c>
      <c r="C711">
        <v>1500</v>
      </c>
      <c r="G711" s="25"/>
      <c r="H711" s="25"/>
    </row>
    <row r="712" spans="1:8" x14ac:dyDescent="0.35">
      <c r="A712" s="25" t="s">
        <v>4241</v>
      </c>
      <c r="B712">
        <v>1500</v>
      </c>
      <c r="C712">
        <v>1500</v>
      </c>
      <c r="G712" s="25"/>
      <c r="H712" s="25"/>
    </row>
    <row r="713" spans="1:8" x14ac:dyDescent="0.35">
      <c r="A713" s="25" t="s">
        <v>4242</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1911</v>
      </c>
      <c r="B719">
        <v>1500</v>
      </c>
      <c r="C719">
        <v>1500</v>
      </c>
      <c r="G719" s="25"/>
      <c r="H719" s="25"/>
    </row>
    <row r="720" spans="1:8" x14ac:dyDescent="0.35">
      <c r="A720" s="25" t="s">
        <v>1912</v>
      </c>
      <c r="B720">
        <v>1500</v>
      </c>
      <c r="C720">
        <v>1500</v>
      </c>
      <c r="G720" s="25"/>
      <c r="H720" s="25"/>
    </row>
    <row r="721" spans="1:8" x14ac:dyDescent="0.35">
      <c r="A721" s="25" t="s">
        <v>1913</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2666</v>
      </c>
      <c r="B726">
        <v>1500</v>
      </c>
      <c r="C726">
        <v>1500</v>
      </c>
      <c r="G726" s="25"/>
      <c r="H726" s="25"/>
    </row>
    <row r="727" spans="1:8" x14ac:dyDescent="0.35">
      <c r="A727" s="25" t="s">
        <v>2667</v>
      </c>
      <c r="B727">
        <v>1500</v>
      </c>
      <c r="C727">
        <v>1500</v>
      </c>
      <c r="G727" s="25"/>
      <c r="H727" s="25"/>
    </row>
    <row r="728" spans="1:8" x14ac:dyDescent="0.35">
      <c r="A728" s="25" t="s">
        <v>2668</v>
      </c>
      <c r="B728">
        <v>1500</v>
      </c>
      <c r="C728">
        <v>1500</v>
      </c>
      <c r="G728" s="25"/>
      <c r="H728" s="25"/>
    </row>
    <row r="729" spans="1:8" x14ac:dyDescent="0.35">
      <c r="A729" s="25" t="s">
        <v>2669</v>
      </c>
      <c r="B729">
        <v>1500</v>
      </c>
      <c r="C729">
        <v>1500</v>
      </c>
      <c r="G729" s="25"/>
      <c r="H729" s="25"/>
    </row>
    <row r="730" spans="1:8" x14ac:dyDescent="0.35">
      <c r="A730" s="25" t="s">
        <v>3647</v>
      </c>
      <c r="C730"/>
      <c r="G730" s="25"/>
      <c r="H730" s="25"/>
    </row>
    <row r="731" spans="1:8" x14ac:dyDescent="0.35">
      <c r="A731" s="25" t="s">
        <v>3653</v>
      </c>
      <c r="B731">
        <v>40</v>
      </c>
      <c r="C731">
        <v>40</v>
      </c>
      <c r="G731" s="25"/>
      <c r="H731" s="25"/>
    </row>
    <row r="732" spans="1:8" x14ac:dyDescent="0.35">
      <c r="A732" s="25" t="s">
        <v>3652</v>
      </c>
      <c r="B732">
        <v>80</v>
      </c>
      <c r="C732">
        <v>80</v>
      </c>
      <c r="G732" s="25"/>
      <c r="H732" s="25"/>
    </row>
    <row r="733" spans="1:8" x14ac:dyDescent="0.35">
      <c r="A733" s="25" t="s">
        <v>3641</v>
      </c>
      <c r="C733"/>
      <c r="G733" s="25"/>
      <c r="H733" s="25"/>
    </row>
    <row r="734" spans="1:8" x14ac:dyDescent="0.35">
      <c r="A734" s="25" t="s">
        <v>3639</v>
      </c>
      <c r="C734"/>
      <c r="G734" s="25"/>
      <c r="H734" s="25"/>
    </row>
    <row r="735" spans="1:8" x14ac:dyDescent="0.35">
      <c r="A735" s="25" t="s">
        <v>3646</v>
      </c>
      <c r="C735"/>
      <c r="G735" s="25"/>
      <c r="H735" s="25"/>
    </row>
    <row r="736" spans="1:8" x14ac:dyDescent="0.35">
      <c r="A736" s="25" t="s">
        <v>3621</v>
      </c>
      <c r="B736" s="78">
        <v>1</v>
      </c>
      <c r="C736" s="78">
        <v>1</v>
      </c>
      <c r="G736" s="25"/>
      <c r="H736" s="25"/>
    </row>
    <row r="737" spans="1:8" x14ac:dyDescent="0.35">
      <c r="A737" s="25" t="s">
        <v>2333</v>
      </c>
      <c r="B737" s="78">
        <v>0</v>
      </c>
      <c r="C737" s="78">
        <v>0</v>
      </c>
      <c r="G737" s="25"/>
      <c r="H737" s="25"/>
    </row>
    <row r="738" spans="1:8" x14ac:dyDescent="0.35">
      <c r="A738" s="25" t="s">
        <v>2230</v>
      </c>
      <c r="B738" s="78">
        <v>1</v>
      </c>
      <c r="C738" s="78">
        <v>1</v>
      </c>
      <c r="G738" s="25"/>
      <c r="H738" s="25"/>
    </row>
    <row r="739" spans="1:8" x14ac:dyDescent="0.35">
      <c r="A739" s="25" t="s">
        <v>3908</v>
      </c>
      <c r="B739" s="78"/>
      <c r="G739" s="25"/>
      <c r="H739" s="25"/>
    </row>
    <row r="740" spans="1:8" x14ac:dyDescent="0.35">
      <c r="A740" s="25" t="s">
        <v>2335</v>
      </c>
      <c r="B740" s="78">
        <v>17</v>
      </c>
      <c r="C740" s="78">
        <v>17</v>
      </c>
      <c r="G740" s="25"/>
      <c r="H740" s="25"/>
    </row>
    <row r="741" spans="1:8" x14ac:dyDescent="0.35">
      <c r="A741" s="25" t="s">
        <v>3648</v>
      </c>
      <c r="B741" s="78">
        <v>18</v>
      </c>
      <c r="C741" s="78">
        <v>18</v>
      </c>
      <c r="G741" s="25"/>
      <c r="H741" s="25"/>
    </row>
    <row r="742" spans="1:8" x14ac:dyDescent="0.35">
      <c r="A742" s="25" t="s">
        <v>2177</v>
      </c>
      <c r="B742" s="78">
        <v>60</v>
      </c>
      <c r="C742" s="78">
        <v>60</v>
      </c>
      <c r="G742" s="25"/>
      <c r="H742" s="25"/>
    </row>
    <row r="743" spans="1:8" x14ac:dyDescent="0.35">
      <c r="A743" s="25" t="s">
        <v>3909</v>
      </c>
      <c r="B743" s="78" t="b">
        <v>0</v>
      </c>
      <c r="C743" s="78" t="b">
        <v>0</v>
      </c>
      <c r="G743" s="25"/>
      <c r="H743" s="25"/>
    </row>
    <row r="744" spans="1:8" x14ac:dyDescent="0.35">
      <c r="A744" s="25" t="s">
        <v>3910</v>
      </c>
      <c r="B744" s="78">
        <v>1</v>
      </c>
      <c r="C744" s="78">
        <v>1</v>
      </c>
      <c r="G744" s="25"/>
      <c r="H744" s="25"/>
    </row>
    <row r="745" spans="1:8" x14ac:dyDescent="0.35">
      <c r="A745" s="25" t="s">
        <v>1610</v>
      </c>
      <c r="B745" s="78">
        <v>50</v>
      </c>
      <c r="C745" s="78">
        <v>0</v>
      </c>
      <c r="G745" s="25"/>
      <c r="H745" s="25"/>
    </row>
    <row r="746" spans="1:8" x14ac:dyDescent="0.35">
      <c r="A746" s="25" t="s">
        <v>3423</v>
      </c>
      <c r="B746" s="78"/>
      <c r="G746" s="25"/>
      <c r="H746" s="25"/>
    </row>
    <row r="747" spans="1:8" x14ac:dyDescent="0.35">
      <c r="A747" s="25" t="s">
        <v>3424</v>
      </c>
      <c r="B747" s="78"/>
      <c r="G747" s="25"/>
      <c r="H747" s="25"/>
    </row>
    <row r="748" spans="1:8" x14ac:dyDescent="0.35">
      <c r="A748" s="25" t="s">
        <v>2185</v>
      </c>
      <c r="B748" s="78"/>
      <c r="G748" s="25"/>
      <c r="H748" s="25"/>
    </row>
    <row r="749" spans="1:8" x14ac:dyDescent="0.35">
      <c r="A749" s="25" t="s">
        <v>2175</v>
      </c>
      <c r="B749" t="s">
        <v>5128</v>
      </c>
      <c r="C749" t="s">
        <v>2675</v>
      </c>
      <c r="G749" s="25"/>
      <c r="H749" s="25"/>
    </row>
    <row r="750" spans="1:8" x14ac:dyDescent="0.35">
      <c r="A750" s="25" t="s">
        <v>2967</v>
      </c>
      <c r="B750" s="78" t="b">
        <v>0</v>
      </c>
      <c r="C750" s="78" t="b">
        <v>0</v>
      </c>
      <c r="G750" s="25"/>
      <c r="H750" s="25"/>
    </row>
    <row r="751" spans="1:8" x14ac:dyDescent="0.35">
      <c r="A751" s="25" t="s">
        <v>4236</v>
      </c>
      <c r="B751">
        <v>1</v>
      </c>
      <c r="C751">
        <v>1</v>
      </c>
      <c r="G751" s="25"/>
      <c r="H751" s="25"/>
    </row>
    <row r="752" spans="1:8" x14ac:dyDescent="0.35">
      <c r="A752" t="s">
        <v>4965</v>
      </c>
      <c r="B752" s="78" t="b">
        <v>0</v>
      </c>
      <c r="C752" s="78" t="b">
        <v>0</v>
      </c>
      <c r="G752" s="25"/>
      <c r="H752" s="25"/>
    </row>
    <row r="753" spans="1:8" x14ac:dyDescent="0.35">
      <c r="A753" t="s">
        <v>4966</v>
      </c>
      <c r="B753" s="78">
        <v>30</v>
      </c>
      <c r="C753" s="78">
        <v>30</v>
      </c>
      <c r="G753" s="25"/>
      <c r="H753" s="25"/>
    </row>
    <row r="754" spans="1:8" x14ac:dyDescent="0.35">
      <c r="A754" t="s">
        <v>4497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2179</v>
      </c>
      <c r="E15" s="215"/>
      <c r="L15" s="215"/>
      <c r="N15" s="216"/>
      <c r="O15" s="216"/>
      <c r="P15" s="292" t="s">
        <v>3189</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4">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4">
      <c r="E19" s="215"/>
      <c r="H19" s="215"/>
      <c r="M19" s="26"/>
      <c r="N19" s="252" t="s">
        <v>3509</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2881</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2179</v>
      </c>
      <c r="D14" s="29"/>
      <c r="M14" s="29"/>
      <c r="N14" s="216"/>
      <c r="O14" s="292" t="s">
        <v>3189</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4">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4">
      <c r="B18" s="216"/>
      <c r="C18" s="216"/>
      <c r="D18" s="216"/>
      <c r="E18" s="292" t="s">
        <v>2134</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509</v>
      </c>
      <c r="F20" s="300">
        <f>IF(dbBead!R2&lt;&gt;1,dbBead!AL2&amp;" H2O",)</f>
        <v>0</v>
      </c>
      <c r="O20" s="29"/>
      <c r="P20" s="29"/>
      <c r="Q20" s="29"/>
      <c r="R20" s="29"/>
      <c r="S20" s="29"/>
      <c r="T20" s="29"/>
    </row>
    <row r="21" spans="2:20" s="26" customFormat="1" ht="17.25" customHeight="1" x14ac:dyDescent="0.4">
      <c r="B21" s="216"/>
      <c r="C21" s="216"/>
      <c r="D21" s="216"/>
      <c r="E21" s="292" t="s">
        <v>2135</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2881</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tabSelected="1"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4894</v>
      </c>
      <c r="D1" s="201"/>
      <c r="E1" s="201"/>
      <c r="F1" s="201"/>
      <c r="G1" s="201"/>
      <c r="H1" s="425">
        <f>AfsprakenVersie</f>
        <v>42186.583599537036</v>
      </c>
      <c r="I1" s="426"/>
      <c r="J1" s="426"/>
      <c r="K1" s="426"/>
      <c r="L1" s="426"/>
      <c r="S1" s="201"/>
      <c r="T1" s="201"/>
      <c r="U1" s="201"/>
    </row>
    <row r="2" spans="1:55 4305:4305" ht="17.25" customHeight="1" x14ac:dyDescent="0.4">
      <c r="A2" s="291"/>
      <c r="B2" s="201"/>
      <c r="C2" s="201" t="s">
        <v>3000</v>
      </c>
      <c r="H2" s="422" t="e">
        <f ca="1">AfspraakDatum</f>
        <v>#NAME?</v>
      </c>
      <c r="I2" s="422"/>
      <c r="J2" s="422"/>
      <c r="K2" s="422"/>
      <c r="Q2" s="219" t="s">
        <v>3001</v>
      </c>
      <c r="V2" s="422">
        <f>OpnDatum</f>
        <v>41827</v>
      </c>
      <c r="W2" s="422"/>
      <c r="X2" s="422"/>
      <c r="Y2" s="422"/>
      <c r="Z2" s="201" t="e">
        <f ca="1">"ICU-dag: "&amp;AfspraakDatum-OpnDatum+1</f>
        <v>#NAME?</v>
      </c>
      <c r="AA2" s="282"/>
      <c r="AB2" s="217"/>
      <c r="AI2" s="219" t="s">
        <v>2001</v>
      </c>
      <c r="AK2" s="374">
        <f>TRUNC(BedNummer)</f>
        <v>2</v>
      </c>
      <c r="AM2" s="219" t="s">
        <v>3278</v>
      </c>
      <c r="AN2" s="219"/>
      <c r="AO2" s="352">
        <f>(BedNummer - TRUNC(BedNummer))*10</f>
        <v>9</v>
      </c>
      <c r="AP2" s="219"/>
      <c r="AQ2" s="219"/>
      <c r="AR2" s="219"/>
      <c r="AS2" s="219"/>
      <c r="AT2" s="219"/>
      <c r="FIO2" s="291">
        <v>30</v>
      </c>
    </row>
    <row r="3" spans="1:55 4305:4305" ht="17.25" customHeight="1" x14ac:dyDescent="0.4">
      <c r="A3" s="291"/>
      <c r="B3" s="201"/>
      <c r="C3" s="216" t="s">
        <v>288</v>
      </c>
      <c r="H3" s="222" t="str">
        <f>AchterNaam&amp;", "&amp;VoorNaam</f>
        <v>RSV, Bronchio</v>
      </c>
      <c r="I3" s="280"/>
      <c r="Q3" s="280" t="s">
        <v>3097</v>
      </c>
      <c r="V3" s="422">
        <f>GebDatum</f>
        <v>40909</v>
      </c>
      <c r="W3" s="422"/>
      <c r="X3" s="422"/>
      <c r="Y3" s="422"/>
      <c r="Z3" s="281" t="str">
        <f>"Gewicht: "&amp;Gewicht/10&amp;" kg"</f>
        <v>Gewicht: 10 kg</v>
      </c>
      <c r="AA3" s="282"/>
      <c r="AI3" s="222" t="str">
        <f>"Lengte: "&amp;Lengte&amp;" cm"</f>
        <v>Lengte: 70 cm</v>
      </c>
    </row>
    <row r="4" spans="1:55 4305:4305" ht="17.25" customHeight="1" x14ac:dyDescent="0.4">
      <c r="A4" s="291"/>
      <c r="B4" s="223"/>
      <c r="C4" s="223" t="s">
        <v>3468</v>
      </c>
      <c r="H4" s="423">
        <f>PatNummer</f>
        <v>123456</v>
      </c>
      <c r="I4" s="423"/>
      <c r="J4" s="423"/>
      <c r="K4" s="423"/>
      <c r="L4" s="423"/>
      <c r="Q4" s="219" t="s">
        <v>2763</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0.42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5070</v>
      </c>
      <c r="D6" s="285"/>
      <c r="E6" s="285"/>
      <c r="F6" s="285"/>
      <c r="G6" s="285"/>
      <c r="H6" s="285"/>
      <c r="I6" s="285"/>
      <c r="J6" s="285"/>
      <c r="K6" s="285"/>
      <c r="L6" s="285"/>
      <c r="M6" s="285"/>
      <c r="N6" s="285"/>
    </row>
    <row r="7" spans="1:55 4305:4305" s="284" customFormat="1" ht="17.25" customHeight="1" x14ac:dyDescent="0.4">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4">
      <c r="B10" s="219"/>
      <c r="C10" s="219" t="s">
        <v>1347</v>
      </c>
      <c r="D10" s="291"/>
      <c r="E10" s="291"/>
      <c r="F10" s="289" t="str">
        <f>IF(OR(Toegang&lt;3,Toegang=5),"",TubeLengte/10&amp;" cm")</f>
        <v/>
      </c>
      <c r="J10" s="297" t="e">
        <f ca="1">AcuteOpvang!D7</f>
        <v>#NAME?</v>
      </c>
      <c r="K10" s="285"/>
      <c r="M10" s="285"/>
      <c r="N10" s="285"/>
      <c r="Y10" s="219" t="s">
        <v>2178</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1349</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4">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Ku4PZ9kFc3TbNP2JIGKyQbWbprUNz7DwX1pXhneTyDzKSM2Hg5VCKKbcXybRt6+LJhRw1/YcfuPrkFYuDRslnA==" saltValue="5ho7Ht5hIGUSMcXrwJ9V2Q=="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2942</v>
      </c>
      <c r="B1" s="372" t="s">
        <v>4885</v>
      </c>
      <c r="C1" s="371" t="str">
        <f>AfsprakenCMV!F2&amp;" geb: "&amp;TEXT(AfsprakenCMV!F3,"dd-mmm-jj")&amp;". Gewicht: "&amp;ROUND(Gewicht/10,1)&amp;" kg"</f>
        <v>RSV, Bronchio geb: 01-jan-12. Gewicht: 10 kg</v>
      </c>
    </row>
    <row r="2" spans="1:3" x14ac:dyDescent="0.35">
      <c r="A2" t="s">
        <v>2942</v>
      </c>
      <c r="B2" s="373" t="s">
        <v>4886</v>
      </c>
      <c r="C2" s="371" t="str">
        <f>AchterNaam</f>
        <v>RSV</v>
      </c>
    </row>
    <row r="3" spans="1:3" x14ac:dyDescent="0.35">
      <c r="A3" t="s">
        <v>2942</v>
      </c>
      <c r="B3" s="373" t="s">
        <v>4887</v>
      </c>
      <c r="C3" s="371" t="str">
        <f>VoorNaam</f>
        <v>Bronchio</v>
      </c>
    </row>
    <row r="4" spans="1:3" x14ac:dyDescent="0.35">
      <c r="A4" t="s">
        <v>2942</v>
      </c>
      <c r="B4" s="373" t="s">
        <v>4888</v>
      </c>
      <c r="C4" s="371" t="str">
        <f>TEXT(AfsprakenCMV!F3,"dd-mmm-jj")</f>
        <v>01-jan-12</v>
      </c>
    </row>
    <row r="5" spans="1:3" x14ac:dyDescent="0.35">
      <c r="A5" t="s">
        <v>2942</v>
      </c>
      <c r="B5" s="373" t="s">
        <v>4889</v>
      </c>
      <c r="C5" s="25">
        <f>PatNummer</f>
        <v>123456</v>
      </c>
    </row>
    <row r="6" spans="1:3" x14ac:dyDescent="0.35">
      <c r="A6" t="s">
        <v>5105</v>
      </c>
      <c r="B6" s="373" t="s">
        <v>4885</v>
      </c>
      <c r="C6" t="str">
        <f>IF(AfsprakenCMV!C84&lt;&gt;0,AfsprakenCMV!C84&amp;" "&amp;AfsprakenCMV!E84&amp;" "&amp;AfsprakenCMV!F84&amp;" "&amp;AfsprakenCMV!G84&amp;", totaal "&amp;AfsprakenCMV!J84&amp;" "&amp;AfsprakenCMV!I84,"")</f>
        <v xml:space="preserve">midazolam 50 mg in 50 ml FZ  1.5 ml/uur (=0.15 mg/kg/uur), totaal 36 ml </v>
      </c>
    </row>
    <row r="7" spans="1:3" x14ac:dyDescent="0.35">
      <c r="A7" t="s">
        <v>5105</v>
      </c>
      <c r="B7" s="373" t="s">
        <v>4886</v>
      </c>
      <c r="C7" t="str">
        <f>IF(AfsprakenCMV!C85&lt;&gt;0,AfsprakenCMV!C85&amp;" "&amp;AfsprakenCMV!E85&amp;" "&amp;AfsprakenCMV!F85&amp;" "&amp;AfsprakenCMV!G85&amp;", totaal "&amp;AfsprakenCMV!J85&amp;" "&amp;AfsprakenCMV!I85,"")</f>
        <v xml:space="preserve">morfine 5 mg in 50 ml FZ  1 ml/uur (=0.24 mg/kg/dag), totaal 24 ml </v>
      </c>
    </row>
    <row r="8" spans="1:3" x14ac:dyDescent="0.35">
      <c r="A8" t="s">
        <v>5105</v>
      </c>
      <c r="B8" s="373" t="s">
        <v>4887</v>
      </c>
      <c r="C8" t="str">
        <f>IF(AfsprakenCMV!C86&lt;&gt;0,AfsprakenCMV!C86&amp;" "&amp;AfsprakenCMV!E86&amp;" "&amp;AfsprakenCMV!F86&amp;" "&amp;AfsprakenCMV!G86&amp;", totaal "&amp;AfsprakenCMV!J86&amp;" "&amp;AfsprakenCMV!I86,"")</f>
        <v/>
      </c>
    </row>
    <row r="9" spans="1:3" x14ac:dyDescent="0.35">
      <c r="A9" t="s">
        <v>5105</v>
      </c>
      <c r="B9" s="372" t="s">
        <v>4888</v>
      </c>
      <c r="C9" t="str">
        <f>IF(AfsprakenCMV!C87&lt;&gt;0,AfsprakenCMV!C87&amp;" "&amp;AfsprakenCMV!E87&amp;" "&amp;AfsprakenCMV!F87&amp;" "&amp;AfsprakenCMV!G87&amp;", totaal "&amp;AfsprakenCMV!J87&amp;" "&amp;AfsprakenCMV!I87,"")</f>
        <v/>
      </c>
    </row>
    <row r="10" spans="1:3" x14ac:dyDescent="0.35">
      <c r="A10" t="s">
        <v>5105</v>
      </c>
      <c r="B10" s="372" t="s">
        <v>4889</v>
      </c>
      <c r="C10" t="str">
        <f>IF(AfsprakenCMV!C88&lt;&gt;0,AfsprakenCMV!C88&amp;" "&amp;AfsprakenCMV!E88&amp;" "&amp;AfsprakenCMV!F88&amp;" "&amp;AfsprakenCMV!G88&amp;", totaal "&amp;AfsprakenCMV!J88&amp;" "&amp;AfsprakenCMV!I88,"")</f>
        <v/>
      </c>
    </row>
    <row r="11" spans="1:3" x14ac:dyDescent="0.35">
      <c r="A11" t="s">
        <v>5105</v>
      </c>
      <c r="B11" s="372" t="s">
        <v>4890</v>
      </c>
      <c r="C11" t="str">
        <f>IF(AfsprakenCMV!C89&lt;&gt;0,AfsprakenCMV!C89&amp;" "&amp;AfsprakenCMV!E89&amp;" "&amp;AfsprakenCMV!F89&amp;" "&amp;AfsprakenCMV!G89&amp;", totaal "&amp;AfsprakenCMV!J89&amp;" "&amp;AfsprakenCMV!I89,"")</f>
        <v/>
      </c>
    </row>
    <row r="12" spans="1:3" x14ac:dyDescent="0.35">
      <c r="A12" t="s">
        <v>5105</v>
      </c>
      <c r="B12" s="372" t="s">
        <v>4891</v>
      </c>
      <c r="C12" t="str">
        <f>IF(AfsprakenCMV!C90&lt;&gt;0,AfsprakenCMV!C90&amp;" "&amp;AfsprakenCMV!E90&amp;" "&amp;AfsprakenCMV!F90&amp;" "&amp;AfsprakenCMV!G90&amp;", totaal "&amp;AfsprakenCMV!J90&amp;" "&amp;AfsprakenCMV!I90,"")</f>
        <v/>
      </c>
    </row>
    <row r="13" spans="1:3" x14ac:dyDescent="0.35">
      <c r="A13" t="s">
        <v>5105</v>
      </c>
      <c r="B13" s="372" t="s">
        <v>4892</v>
      </c>
      <c r="C13" t="str">
        <f>IF(AfsprakenCMV!C91&lt;&gt;0,AfsprakenCMV!C91&amp;" "&amp;AfsprakenCMV!E91&amp;" "&amp;AfsprakenCMV!F91&amp;" "&amp;AfsprakenCMV!G91&amp;", totaal "&amp;AfsprakenCMV!J91&amp;" "&amp;AfsprakenCMV!I91,"")</f>
        <v/>
      </c>
    </row>
    <row r="14" spans="1:3" x14ac:dyDescent="0.35">
      <c r="A14" t="s">
        <v>5105</v>
      </c>
      <c r="B14" s="372" t="s">
        <v>4893</v>
      </c>
      <c r="C14" t="str">
        <f>IF(AfsprakenCMV!C92&lt;&gt;0,AfsprakenCMV!C92&amp;" "&amp;AfsprakenCMV!E92&amp;" "&amp;AfsprakenCMV!F92&amp;" "&amp;AfsprakenCMV!G92&amp;", totaal "&amp;AfsprakenCMV!J92&amp;" "&amp;AfsprakenCMV!I92,"")</f>
        <v/>
      </c>
    </row>
    <row r="15" spans="1:3" x14ac:dyDescent="0.35">
      <c r="A15" t="s">
        <v>5105</v>
      </c>
      <c r="B15" s="372">
        <v>10</v>
      </c>
      <c r="C15" t="str">
        <f>IF(AfsprakenCMV!C93&lt;&gt;0,AfsprakenCMV!C93&amp;" "&amp;AfsprakenCMV!E93&amp;" "&amp;AfsprakenCMV!F93&amp;" "&amp;AfsprakenCMV!G93&amp;", totaal "&amp;AfsprakenCMV!J93&amp;" "&amp;AfsprakenCMV!I93,"")</f>
        <v/>
      </c>
    </row>
    <row r="16" spans="1:3" x14ac:dyDescent="0.35">
      <c r="A16" t="s">
        <v>5105</v>
      </c>
      <c r="B16" s="372">
        <v>11</v>
      </c>
      <c r="C16" t="str">
        <f>IF(AfsprakenCMV!C94&lt;&gt;0,AfsprakenCMV!C94&amp;" "&amp;AfsprakenCMV!E94&amp;" "&amp;AfsprakenCMV!F94&amp;" "&amp;AfsprakenCMV!G94&amp;", totaal "&amp;AfsprakenCMV!J94&amp;" "&amp;AfsprakenCMV!I94,"")</f>
        <v/>
      </c>
    </row>
    <row r="17" spans="1:3" x14ac:dyDescent="0.35">
      <c r="A17" t="s">
        <v>5105</v>
      </c>
      <c r="B17" s="372">
        <v>12</v>
      </c>
      <c r="C17" t="str">
        <f>IF(AfsprakenCMV!C95&lt;&gt;0,AfsprakenCMV!C95&amp;" "&amp;AfsprakenCMV!E95&amp;" "&amp;AfsprakenCMV!F95&amp;" "&amp;AfsprakenCMV!G95&amp;", totaal "&amp;AfsprakenCMV!J95&amp;" "&amp;AfsprakenCMV!I95,"")</f>
        <v/>
      </c>
    </row>
    <row r="18" spans="1:3" x14ac:dyDescent="0.35">
      <c r="A18" t="s">
        <v>5105</v>
      </c>
      <c r="B18" s="372">
        <v>13</v>
      </c>
      <c r="C18" t="str">
        <f>IF(AfsprakenCMV!C96&lt;&gt;0,AfsprakenCMV!C96&amp;" "&amp;AfsprakenCMV!E96&amp;" "&amp;AfsprakenCMV!F96&amp;" "&amp;AfsprakenCMV!G96&amp;", totaal "&amp;AfsprakenCMV!J96&amp;" "&amp;AfsprakenCMV!I96,"")</f>
        <v/>
      </c>
    </row>
    <row r="19" spans="1:3" x14ac:dyDescent="0.35">
      <c r="A19" t="s">
        <v>5105</v>
      </c>
      <c r="B19" s="372">
        <v>14</v>
      </c>
      <c r="C19" t="str">
        <f>IF(AfsprakenCMV!C97&lt;&gt;0,AfsprakenCMV!C97&amp;" "&amp;AfsprakenCMV!E97&amp;" "&amp;AfsprakenCMV!F97&amp;" "&amp;AfsprakenCMV!G97&amp;", totaal "&amp;AfsprakenCMV!J97&amp;" "&amp;AfsprakenCMV!I97,"")</f>
        <v/>
      </c>
    </row>
    <row r="20" spans="1:3" x14ac:dyDescent="0.35">
      <c r="A20" t="s">
        <v>5105</v>
      </c>
      <c r="B20" s="372">
        <v>15</v>
      </c>
      <c r="C20" t="str">
        <f>IF(AfsprakenCMV!C98&lt;&gt;0,AfsprakenCMV!C98&amp;" "&amp;AfsprakenCMV!E98&amp;" "&amp;AfsprakenCMV!F98&amp;" "&amp;AfsprakenCMV!G98&amp;", totaal "&amp;AfsprakenCMV!J98&amp;" "&amp;AfsprakenCMV!I98,"")</f>
        <v/>
      </c>
    </row>
    <row r="21" spans="1:3" x14ac:dyDescent="0.35">
      <c r="A21" t="s">
        <v>5105</v>
      </c>
      <c r="B21" s="372">
        <v>16</v>
      </c>
      <c r="C21" t="str">
        <f>IF(ber_Opm!C4&lt;&gt;0,AfsprakenCMV!C100&amp;" "&amp;ber_Opm!C4,"")</f>
        <v/>
      </c>
    </row>
    <row r="22" spans="1:3" x14ac:dyDescent="0.35">
      <c r="A22" t="s">
        <v>5106</v>
      </c>
      <c r="B22" s="372" t="s">
        <v>4885</v>
      </c>
      <c r="C22" t="str">
        <f>ber_Med_disc!AB2</f>
        <v>amoxicilline+clavulaanzuur||4 dd||250 mg (100 mg/kg/dag)||iv||||||</v>
      </c>
    </row>
    <row r="23" spans="1:3" x14ac:dyDescent="0.35">
      <c r="A23" t="s">
        <v>5106</v>
      </c>
      <c r="B23" s="372" t="s">
        <v>4886</v>
      </c>
      <c r="C23" t="str">
        <f>ber_Med_disc!AB3</f>
        <v>colecalciferol||1 dd||400 IE (40 IE/kg/dag)||or||||||</v>
      </c>
    </row>
    <row r="24" spans="1:3" x14ac:dyDescent="0.35">
      <c r="A24" t="s">
        <v>5106</v>
      </c>
      <c r="B24" s="372" t="s">
        <v>4887</v>
      </c>
      <c r="C24" t="str">
        <f>ber_Med_disc!AB4</f>
        <v>gentamicine||1 dd||70 mg (7 mg/kg/dag)||iv||||||</v>
      </c>
    </row>
    <row r="25" spans="1:3" x14ac:dyDescent="0.35">
      <c r="A25" t="s">
        <v>5106</v>
      </c>
      <c r="B25" s="372" t="s">
        <v>4888</v>
      </c>
      <c r="C25" t="str">
        <f>ber_Med_disc!AB5</f>
        <v/>
      </c>
    </row>
    <row r="26" spans="1:3" x14ac:dyDescent="0.35">
      <c r="A26" t="s">
        <v>5106</v>
      </c>
      <c r="B26" s="372" t="s">
        <v>4889</v>
      </c>
      <c r="C26" t="str">
        <f>ber_Med_disc!AB6</f>
        <v/>
      </c>
    </row>
    <row r="27" spans="1:3" x14ac:dyDescent="0.35">
      <c r="A27" t="s">
        <v>5106</v>
      </c>
      <c r="B27" s="372" t="s">
        <v>4890</v>
      </c>
      <c r="C27" t="str">
        <f>ber_Med_disc!AB7</f>
        <v/>
      </c>
    </row>
    <row r="28" spans="1:3" x14ac:dyDescent="0.35">
      <c r="A28" t="s">
        <v>5106</v>
      </c>
      <c r="B28" s="372" t="s">
        <v>4891</v>
      </c>
      <c r="C28" t="str">
        <f>ber_Med_disc!AB8</f>
        <v/>
      </c>
    </row>
    <row r="29" spans="1:3" x14ac:dyDescent="0.35">
      <c r="A29" t="s">
        <v>5106</v>
      </c>
      <c r="B29" s="372" t="s">
        <v>4892</v>
      </c>
      <c r="C29" t="str">
        <f>ber_Med_disc!AB9</f>
        <v/>
      </c>
    </row>
    <row r="30" spans="1:3" x14ac:dyDescent="0.35">
      <c r="A30" t="s">
        <v>5106</v>
      </c>
      <c r="B30" s="372" t="s">
        <v>4893</v>
      </c>
      <c r="C30" t="str">
        <f>ber_Med_disc!AB10</f>
        <v/>
      </c>
    </row>
    <row r="31" spans="1:3" x14ac:dyDescent="0.35">
      <c r="A31" t="s">
        <v>5106</v>
      </c>
      <c r="B31" s="372">
        <v>10</v>
      </c>
      <c r="C31" t="str">
        <f>ber_Med_disc!AB11</f>
        <v/>
      </c>
    </row>
    <row r="32" spans="1:3" x14ac:dyDescent="0.35">
      <c r="A32" t="s">
        <v>5106</v>
      </c>
      <c r="B32" s="372">
        <v>11</v>
      </c>
      <c r="C32" t="str">
        <f>ber_Med_disc!AB12</f>
        <v/>
      </c>
    </row>
    <row r="33" spans="1:3" x14ac:dyDescent="0.35">
      <c r="A33" t="s">
        <v>5106</v>
      </c>
      <c r="B33" s="372">
        <v>12</v>
      </c>
      <c r="C33" t="str">
        <f>ber_Med_disc!AB13</f>
        <v/>
      </c>
    </row>
    <row r="34" spans="1:3" x14ac:dyDescent="0.35">
      <c r="A34" t="s">
        <v>5106</v>
      </c>
      <c r="B34" s="372">
        <v>13</v>
      </c>
      <c r="C34" t="str">
        <f>ber_Med_disc!AB14</f>
        <v/>
      </c>
    </row>
    <row r="35" spans="1:3" x14ac:dyDescent="0.35">
      <c r="A35" t="s">
        <v>5106</v>
      </c>
      <c r="B35" s="372">
        <v>14</v>
      </c>
      <c r="C35" t="str">
        <f>ber_Med_disc!AB15</f>
        <v/>
      </c>
    </row>
    <row r="36" spans="1:3" x14ac:dyDescent="0.35">
      <c r="A36" t="s">
        <v>5106</v>
      </c>
      <c r="B36" s="372">
        <v>15</v>
      </c>
      <c r="C36" t="str">
        <f>ber_Med_disc!AB16</f>
        <v/>
      </c>
    </row>
    <row r="37" spans="1:3" x14ac:dyDescent="0.35">
      <c r="A37" t="s">
        <v>5106</v>
      </c>
      <c r="B37" s="372">
        <v>16</v>
      </c>
      <c r="C37" t="str">
        <f>ber_Med_disc!AB17</f>
        <v/>
      </c>
    </row>
    <row r="38" spans="1:3" x14ac:dyDescent="0.35">
      <c r="A38" t="s">
        <v>5106</v>
      </c>
      <c r="B38" s="372">
        <v>17</v>
      </c>
      <c r="C38" t="str">
        <f>ber_Med_disc!AB18</f>
        <v/>
      </c>
    </row>
    <row r="39" spans="1:3" x14ac:dyDescent="0.35">
      <c r="A39" t="s">
        <v>5106</v>
      </c>
      <c r="B39" s="372">
        <v>18</v>
      </c>
      <c r="C39" t="str">
        <f>ber_Med_disc!AB19</f>
        <v/>
      </c>
    </row>
    <row r="40" spans="1:3" x14ac:dyDescent="0.35">
      <c r="A40" t="s">
        <v>5106</v>
      </c>
      <c r="B40" s="372">
        <v>19</v>
      </c>
      <c r="C40" t="str">
        <f>ber_Med_disc!AB20</f>
        <v/>
      </c>
    </row>
    <row r="41" spans="1:3" x14ac:dyDescent="0.35">
      <c r="A41" t="s">
        <v>5106</v>
      </c>
      <c r="B41" s="372">
        <v>20</v>
      </c>
      <c r="C41" t="str">
        <f>ber_Med_disc!AB21</f>
        <v/>
      </c>
    </row>
    <row r="42" spans="1:3" x14ac:dyDescent="0.35">
      <c r="A42" t="s">
        <v>5107</v>
      </c>
      <c r="B42" s="372" t="s">
        <v>4885</v>
      </c>
      <c r="C42" t="str">
        <f>IF(AfsprakenCMV!C49&lt;&gt;0,AfsprakenCMV!C49,"")</f>
        <v/>
      </c>
    </row>
    <row r="43" spans="1:3" x14ac:dyDescent="0.35">
      <c r="A43" t="s">
        <v>5107</v>
      </c>
      <c r="B43" s="372" t="s">
        <v>4886</v>
      </c>
      <c r="C43" t="str">
        <f>IF(AfsprakenCMV!C50&lt;&gt;0,AfsprakenCMV!C50,"")</f>
        <v/>
      </c>
    </row>
    <row r="44" spans="1:3" x14ac:dyDescent="0.35">
      <c r="A44" t="s">
        <v>5107</v>
      </c>
      <c r="B44" s="372" t="s">
        <v>4887</v>
      </c>
      <c r="C44" t="str">
        <f>IF(AfsprakenCMV!C51&lt;&gt;0,AfsprakenCMV!C51,"")</f>
        <v/>
      </c>
    </row>
    <row r="45" spans="1:3" x14ac:dyDescent="0.35">
      <c r="A45" t="s">
        <v>5107</v>
      </c>
      <c r="B45" s="372" t="s">
        <v>4888</v>
      </c>
      <c r="C45" t="str">
        <f>IF(AfsprakenCMV!C52&lt;&gt;0,AfsprakenCMV!C52,"")</f>
        <v/>
      </c>
    </row>
    <row r="46" spans="1:3" x14ac:dyDescent="0.35">
      <c r="A46" t="s">
        <v>5107</v>
      </c>
      <c r="B46" s="372" t="s">
        <v>4889</v>
      </c>
      <c r="C46" t="str">
        <f>IF(AfsprakenCMV!C53&lt;&gt;0,AfsprakenCMV!C53,"")</f>
        <v/>
      </c>
    </row>
    <row r="47" spans="1:3" x14ac:dyDescent="0.35">
      <c r="A47" t="s">
        <v>5107</v>
      </c>
      <c r="B47" s="372" t="s">
        <v>4890</v>
      </c>
      <c r="C47" t="str">
        <f>IF(AfsprakenCMV!C54&lt;&gt;0,AfsprakenCMV!C54,"")</f>
        <v/>
      </c>
    </row>
    <row r="48" spans="1:3" x14ac:dyDescent="0.35">
      <c r="A48" t="s">
        <v>5107</v>
      </c>
      <c r="B48" s="372" t="s">
        <v>4891</v>
      </c>
      <c r="C48" t="str">
        <f>IF(AfsprakenCMV!C56&lt;&gt;0,"Opmerkingen: "&amp;AfsprakenCMV!C56,"")</f>
        <v/>
      </c>
    </row>
    <row r="49" spans="1:3" x14ac:dyDescent="0.35">
      <c r="A49" t="s">
        <v>5108</v>
      </c>
      <c r="B49" s="372" t="s">
        <v>4885</v>
      </c>
      <c r="C49" t="str">
        <f>IF(AfsprakenCMV!C72&lt;&gt;0,AfsprakenCMV!C72,"")</f>
        <v>Perifeer infuus 1: SST 1</v>
      </c>
    </row>
    <row r="50" spans="1:3" x14ac:dyDescent="0.35">
      <c r="A50" t="s">
        <v>5108</v>
      </c>
      <c r="B50" s="372" t="s">
        <v>4886</v>
      </c>
      <c r="C50" t="str">
        <f>IF(AfsprakenCMV!C73&lt;&gt;0,AfsprakenCMV!C73,"")</f>
        <v>Perifeer infuus 2: SST 2</v>
      </c>
    </row>
    <row r="51" spans="1:3" x14ac:dyDescent="0.35">
      <c r="A51" t="s">
        <v>5108</v>
      </c>
      <c r="B51" s="372" t="s">
        <v>4887</v>
      </c>
      <c r="C51" t="str">
        <f>IF(AfsprakenCMV!C74&lt;&gt;0,AfsprakenCMV!C74,"")</f>
        <v/>
      </c>
    </row>
    <row r="52" spans="1:3" x14ac:dyDescent="0.35">
      <c r="A52" t="s">
        <v>5108</v>
      </c>
      <c r="B52" s="372" t="s">
        <v>4888</v>
      </c>
      <c r="C52" t="str">
        <f>IF(AfsprakenCMV!C75&lt;&gt;0,AfsprakenCMV!C75,"")</f>
        <v/>
      </c>
    </row>
    <row r="53" spans="1:3" x14ac:dyDescent="0.35">
      <c r="A53" t="s">
        <v>5108</v>
      </c>
      <c r="B53" s="372" t="s">
        <v>4889</v>
      </c>
      <c r="C53" t="str">
        <f>IF(AfsprakenCMV!C76&lt;&gt;0,AfsprakenCMV!C76,"")</f>
        <v/>
      </c>
    </row>
    <row r="54" spans="1:3" x14ac:dyDescent="0.35">
      <c r="A54" t="s">
        <v>5108</v>
      </c>
      <c r="B54" s="372" t="s">
        <v>4890</v>
      </c>
      <c r="C54" t="str">
        <f>IF(AfsprakenCMV!C77&lt;&gt;0,AfsprakenCMV!C77,"")</f>
        <v/>
      </c>
    </row>
    <row r="55" spans="1:3" x14ac:dyDescent="0.35">
      <c r="A55" t="s">
        <v>5108</v>
      </c>
      <c r="B55" s="372" t="s">
        <v>4891</v>
      </c>
      <c r="C55" t="str">
        <f>IF(AfsprakenCMV!D100&lt;&gt;0,"Opmerkingen: "&amp;AfsprakenCMV!D100,"")</f>
        <v/>
      </c>
    </row>
    <row r="56" spans="1:3" x14ac:dyDescent="0.35">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Sondevoeding: Friso 1 normaal 6 dd 5 ml</v>
      </c>
    </row>
    <row r="57" spans="1:3" x14ac:dyDescent="0.35">
      <c r="A57" t="s">
        <v>5109</v>
      </c>
      <c r="B57" s="372" t="s">
        <v>4886</v>
      </c>
      <c r="C57" t="str">
        <f>IF(AfsprakenCMV!D37&lt;&gt;0,"Opmerkingen: "&amp;AfsprakenCMV!D37,"")</f>
        <v/>
      </c>
    </row>
    <row r="58" spans="1:3" x14ac:dyDescent="0.35">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Electrolyt/Glucose mengsel: 28 ml/u, Glucose 5% + NaCl 0,45% 672 ml</v>
      </c>
    </row>
    <row r="60" spans="1:3" x14ac:dyDescent="0.35">
      <c r="A60" t="s">
        <v>5109</v>
      </c>
      <c r="B60" s="372" t="s">
        <v>4889</v>
      </c>
      <c r="C60" t="str">
        <f>IF(AfsprakenCMV!E118&lt;&gt;" ",AfsprakenCMV!D118&amp;": "&amp;AfsprakenCMV!E118,"")</f>
        <v/>
      </c>
    </row>
    <row r="61" spans="1:3" x14ac:dyDescent="0.35">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5109</v>
      </c>
      <c r="B63" s="373" t="s">
        <v>4892</v>
      </c>
      <c r="C63" t="str">
        <f>IF(Intake!D29&lt;&gt;0,"Opmerkingen: "&amp;Intake!D29,"")</f>
        <v/>
      </c>
    </row>
    <row r="64" spans="1:3" x14ac:dyDescent="0.35">
      <c r="A64" t="s">
        <v>1561</v>
      </c>
      <c r="B64" s="372" t="s">
        <v>4885</v>
      </c>
      <c r="C64" t="str">
        <f>IF(AfsprakenCMV!D40&lt;&gt;"",AfsprakenCMV!C40&amp;": "&amp;AfsprakenCMV!D40,"")</f>
        <v/>
      </c>
    </row>
    <row r="65" spans="1:3" x14ac:dyDescent="0.35">
      <c r="A65" t="s">
        <v>1561</v>
      </c>
      <c r="B65" s="372" t="s">
        <v>4886</v>
      </c>
      <c r="C65" t="str">
        <f>IF(AfsprakenCMV!D41&lt;&gt;"",AfsprakenCMV!C41&amp;": "&amp;AfsprakenCMV!D41,"")</f>
        <v>14:00 uur: A Na K Gluc</v>
      </c>
    </row>
    <row r="66" spans="1:3" x14ac:dyDescent="0.35">
      <c r="A66" t="s">
        <v>1561</v>
      </c>
      <c r="B66" s="372" t="s">
        <v>4887</v>
      </c>
      <c r="C66" t="str">
        <f>IF(AfsprakenCMV!D42&lt;&gt;"",AfsprakenCMV!C42&amp;": "&amp;AfsprakenCMV!D42,"")</f>
        <v/>
      </c>
    </row>
    <row r="67" spans="1:3" x14ac:dyDescent="0.35">
      <c r="A67" t="s">
        <v>1561</v>
      </c>
      <c r="B67" s="372" t="s">
        <v>4888</v>
      </c>
      <c r="C67" t="str">
        <f>IF(AfsprakenCMV!D43&lt;&gt;"",AfsprakenCMV!C43&amp;": "&amp;AfsprakenCMV!D43,"")</f>
        <v/>
      </c>
    </row>
    <row r="68" spans="1:3" x14ac:dyDescent="0.35">
      <c r="A68" t="s">
        <v>1561</v>
      </c>
      <c r="B68" s="372" t="s">
        <v>4889</v>
      </c>
      <c r="C68" t="str">
        <f>IF(AfsprakenCMV!D44&lt;&gt;"",AfsprakenCMV!C44&amp;": "&amp;AfsprakenCMV!D44,"")</f>
        <v/>
      </c>
    </row>
    <row r="69" spans="1:3" x14ac:dyDescent="0.35">
      <c r="A69" t="s">
        <v>1561</v>
      </c>
      <c r="B69" s="372" t="s">
        <v>4890</v>
      </c>
      <c r="C69" t="str">
        <f>IF(AfsprakenCMV!D45&lt;&gt;0,AfsprakenCMV!C45&amp;": "&amp;AfsprakenCMV!D45,"")</f>
        <v/>
      </c>
    </row>
    <row r="70" spans="1:3" x14ac:dyDescent="0.35">
      <c r="A70" t="s">
        <v>3527</v>
      </c>
      <c r="B70" s="372" t="s">
        <v>4885</v>
      </c>
      <c r="C70" t="str">
        <f>AfsprakenCMV!C129&amp;": "&amp;AfsprakenCMV!D129</f>
        <v>Vocht: 76 ml/kg</v>
      </c>
    </row>
    <row r="71" spans="1:3" x14ac:dyDescent="0.35">
      <c r="A71" t="s">
        <v>3527</v>
      </c>
      <c r="B71" s="372" t="s">
        <v>4886</v>
      </c>
      <c r="C71" t="str">
        <f>AfsprakenCMV!C130&amp;": "&amp;AfsprakenCMV!D130</f>
        <v>Eiwit: 0  gram/kg</v>
      </c>
    </row>
    <row r="72" spans="1:3" x14ac:dyDescent="0.35">
      <c r="A72" t="s">
        <v>3527</v>
      </c>
      <c r="B72" s="372" t="s">
        <v>4887</v>
      </c>
      <c r="C72" t="str">
        <f>AfsprakenCMV!C131&amp;": "&amp;AfsprakenCMV!D131</f>
        <v>Glucose/KH: 3.6 g/kg</v>
      </c>
    </row>
    <row r="73" spans="1:3" x14ac:dyDescent="0.35">
      <c r="A73" t="s">
        <v>3527</v>
      </c>
      <c r="B73" s="372" t="s">
        <v>4888</v>
      </c>
      <c r="C73" t="str">
        <f>AfsprakenCMV!E129&amp;": "&amp;AfsprakenCMV!F129</f>
        <v>Calorieen: 15 kCal/kg</v>
      </c>
    </row>
    <row r="74" spans="1:3" x14ac:dyDescent="0.35">
      <c r="A74" t="s">
        <v>3527</v>
      </c>
      <c r="B74" s="372" t="s">
        <v>4889</v>
      </c>
      <c r="C74" t="str">
        <f>AfsprakenCMV!E130&amp;": "&amp;AfsprakenCMV!F130</f>
        <v>Vet: 0.1 gram/kg</v>
      </c>
    </row>
    <row r="75" spans="1:3" x14ac:dyDescent="0.35">
      <c r="A75" t="s">
        <v>3527</v>
      </c>
      <c r="B75" s="372" t="s">
        <v>4890</v>
      </c>
      <c r="C75" t="str">
        <f>AfsprakenCMV!G129&amp;": "&amp;AfsprakenCMV!H129</f>
        <v>Kalium: 0 mmol/kg</v>
      </c>
    </row>
    <row r="76" spans="1:3" x14ac:dyDescent="0.35">
      <c r="A76" t="s">
        <v>3527</v>
      </c>
      <c r="B76" s="372" t="s">
        <v>4891</v>
      </c>
      <c r="C76" t="str">
        <f>AfsprakenCMV!G130&amp;": "&amp;AfsprakenCMV!H130</f>
        <v>Calcium: 0 mmol/kg</v>
      </c>
    </row>
    <row r="77" spans="1:3" x14ac:dyDescent="0.35">
      <c r="A77" t="s">
        <v>3527</v>
      </c>
      <c r="B77" s="372" t="s">
        <v>4892</v>
      </c>
      <c r="C77" t="str">
        <f>AfsprakenCMV!G131&amp;": "&amp;AfsprakenCMV!H131</f>
        <v>Magnesium: 0 mmol/kg</v>
      </c>
    </row>
    <row r="78" spans="1:3" x14ac:dyDescent="0.35">
      <c r="A78" t="s">
        <v>3527</v>
      </c>
      <c r="B78" s="372" t="s">
        <v>4893</v>
      </c>
      <c r="C78" t="str">
        <f>AfsprakenCMV!I129&amp;": "&amp;AfsprakenCMV!J129</f>
        <v>Natrium : 6.1 mmol/kg</v>
      </c>
    </row>
    <row r="79" spans="1:3" x14ac:dyDescent="0.35">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3000</v>
      </c>
      <c r="D2" s="218" t="e">
        <f ca="1">AfspraakDatum</f>
        <v>#NAME?</v>
      </c>
      <c r="E2" s="219"/>
      <c r="F2" s="217" t="s">
        <v>3001</v>
      </c>
      <c r="G2" s="201"/>
      <c r="H2" s="220">
        <f>OpnDatum</f>
        <v>41827</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RSV, Bronchio</v>
      </c>
      <c r="E3" s="221"/>
      <c r="F3" s="217" t="s">
        <v>3097</v>
      </c>
      <c r="G3" s="201"/>
      <c r="H3" s="220">
        <f>GebDatum</f>
        <v>40909</v>
      </c>
      <c r="I3" s="222" t="str">
        <f>"Gewicht: "&amp;Gewicht/10&amp;" kg"</f>
        <v>Gewicht: 10 kg</v>
      </c>
      <c r="J3" s="217"/>
      <c r="K3" s="222" t="str">
        <f>"Lengte: "&amp;Lengte&amp;" cm"</f>
        <v>Lengte: 70 cm</v>
      </c>
      <c r="L3" s="217"/>
      <c r="M3" s="201"/>
      <c r="N3" s="201"/>
      <c r="O3" s="201"/>
      <c r="P3" s="201"/>
      <c r="Q3" s="201"/>
      <c r="R3" s="201"/>
      <c r="S3" s="201"/>
      <c r="T3" s="201"/>
      <c r="U3" s="201"/>
      <c r="V3" s="201"/>
      <c r="W3" s="201"/>
      <c r="X3" s="201"/>
    </row>
    <row r="4" spans="1:81" ht="17.25" customHeight="1" x14ac:dyDescent="0.4">
      <c r="A4" s="223"/>
      <c r="B4" s="223"/>
      <c r="C4" s="217" t="s">
        <v>3468</v>
      </c>
      <c r="D4" s="222">
        <f>PatNummer</f>
        <v>123456</v>
      </c>
      <c r="E4" s="219"/>
      <c r="F4" s="217" t="s">
        <v>2763</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0.42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t="str">
        <f>INDEX(tblDoseringen,ber_IVmed!$B31,1)</f>
        <v>midazolam</v>
      </c>
      <c r="D8" s="244" t="str">
        <f>INDEX(tblDoseringen,ber_IVmed!$B31,2)&amp;" "&amp;INDEX(tblDoseringen,ber_IVmed!$B31,9)</f>
        <v>50 mg</v>
      </c>
      <c r="E8" s="232" t="str">
        <f>IF(AND(C8&lt;&gt;0,INDEX(tblDoseringen,ber_IVmed!$B31,3)&lt;&gt;""),INDEX(tblDoseringen,ber_IVmed!$B31,3)&amp;" ml","")</f>
        <v>50 ml</v>
      </c>
      <c r="F8" s="225" t="str">
        <f>INDEX(tblOplossing,ber_IVmed!D31,1)</f>
        <v>FZ</v>
      </c>
      <c r="G8" s="232" t="str">
        <f>IF(C8&lt;&gt;0,ber_IVmed!E31/10&amp;" ml/uur","")</f>
        <v>1.5 ml/uur</v>
      </c>
      <c r="H8" s="232" t="str">
        <f>IF(C8&lt;&gt;0,AC8&amp;" "&amp;INDEX(tblDoseringen,ber_IVmed!$B31,7),"")</f>
        <v>0.15 mg/kg/uur</v>
      </c>
      <c r="I8" s="233" t="str">
        <f>IF(C8&lt;&gt;0,24*ber_IVmed!E31/10&amp;" ml","")</f>
        <v>36 ml</v>
      </c>
      <c r="J8" s="256" t="str">
        <f>INDEX(tblDoseringen,ber_IVmed!$B31,8)</f>
        <v>0,05-0,5 mg/kg/uur</v>
      </c>
      <c r="K8" s="233"/>
      <c r="L8" s="233"/>
      <c r="M8" s="81"/>
      <c r="N8" s="81"/>
      <c r="O8" s="81"/>
      <c r="P8" s="81"/>
      <c r="Q8" s="81"/>
      <c r="R8" s="81"/>
      <c r="S8" s="81"/>
      <c r="T8" s="81"/>
      <c r="U8" s="81"/>
      <c r="V8" s="81"/>
      <c r="W8" s="81"/>
      <c r="X8" s="81"/>
      <c r="Z8" s="22"/>
      <c r="AA8" s="20">
        <f>IF(C8&lt;&gt;0,INDEX(tblDoseringen,ber_IVmed!$B31,6)*(ber_IVmed!E31/10))</f>
        <v>0.15000000000000002</v>
      </c>
      <c r="AB8" s="20">
        <f>IF(AA8&gt;=10,0,IF(AA8&gt;=1,1,IF(AA8&gt;=0,2,IF(AA8&gt;=0.1,3,IF(AA8&gt;=0.01,4,5)))))</f>
        <v>2</v>
      </c>
      <c r="AC8" s="20">
        <f>ROUND(AA8,AB8)</f>
        <v>0.15</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t="str">
        <f>INDEX(tblDoseringen,ber_IVmed!$B32,1)</f>
        <v>morfine</v>
      </c>
      <c r="D9" s="244" t="str">
        <f>INDEX(tblDoseringen,ber_IVmed!$B32,2)&amp;" "&amp;INDEX(tblDoseringen,ber_IVmed!$B32,9)</f>
        <v>5 mg</v>
      </c>
      <c r="E9" s="234" t="str">
        <f>IF(AND(C9&lt;&gt;0,INDEX(tblDoseringen,ber_IVmed!$B32,3)&lt;&gt;""),INDEX(tblDoseringen,ber_IVmed!$B32,3)&amp;" ml","")</f>
        <v>50 ml</v>
      </c>
      <c r="F9" s="225" t="str">
        <f>INDEX(tblOplossing,ber_IVmed!D32,1)</f>
        <v>FZ</v>
      </c>
      <c r="G9" s="234" t="str">
        <f>IF(C9&lt;&gt;0,ber_IVmed!E32/10&amp;" ml/uur","")</f>
        <v>1 ml/uur</v>
      </c>
      <c r="H9" s="232" t="str">
        <f>IF(C9&lt;&gt;0,AC9&amp;" "&amp;INDEX(tblDoseringen,ber_IVmed!$B32,7),"")</f>
        <v>0.24 mg/kg/dag</v>
      </c>
      <c r="I9" s="235" t="str">
        <f>IF(C9&lt;&gt;0,24*ber_IVmed!E32/10&amp;" ml","")</f>
        <v>24 ml</v>
      </c>
      <c r="J9" s="257" t="str">
        <f>INDEX(tblDoseringen,ber_IVmed!$B32,8)</f>
        <v>0,125-0,25 mg/kg/dag</v>
      </c>
      <c r="K9" s="235"/>
      <c r="L9" s="235"/>
      <c r="M9" s="81"/>
      <c r="N9" s="81"/>
      <c r="O9" s="81"/>
      <c r="P9" s="81"/>
      <c r="Q9" s="81"/>
      <c r="R9" s="81"/>
      <c r="S9" s="81"/>
      <c r="T9" s="81"/>
      <c r="U9" s="81"/>
      <c r="V9" s="81"/>
      <c r="W9" s="81"/>
      <c r="X9" s="81"/>
      <c r="Z9" s="22"/>
      <c r="AA9" s="20">
        <f>IF(C9&lt;&gt;0,INDEX(tblDoseringen,ber_IVmed!$B32,6)*(ber_IVmed!E32/10))</f>
        <v>0.24</v>
      </c>
      <c r="AB9" s="20">
        <f t="shared" ref="AB9:AB17" si="0">IF(AA9&gt;=10,0,IF(AA9&gt;=1,1,IF(AA9&gt;=0,2,IF(AA9&gt;=0.1,3,IF(AA9&gt;=0.01,4,5)))))</f>
        <v>2</v>
      </c>
      <c r="AC9" s="20">
        <f t="shared" ref="AC9:AC17" si="1">ROUND(AA9,AB9)</f>
        <v>0.24</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76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15 kCal/kg</v>
      </c>
      <c r="E26" s="253" t="str">
        <f ca="1">Intake!E32</f>
        <v>90 kCal/kg</v>
      </c>
      <c r="F26" s="253"/>
      <c r="G26" s="253" t="str">
        <f>Intake!H32</f>
        <v>Vet</v>
      </c>
      <c r="H26" s="254" t="str">
        <f>Intake!I32</f>
        <v>0.1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3.6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6.1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35">
      <c r="B2" s="30"/>
      <c r="C2" s="31"/>
      <c r="D2" s="30"/>
      <c r="E2" s="30"/>
      <c r="F2" s="30"/>
      <c r="G2" s="29"/>
      <c r="H2" s="29"/>
      <c r="I2" s="29"/>
      <c r="J2" s="29"/>
      <c r="K2" s="29"/>
      <c r="L2" s="29"/>
    </row>
    <row r="3" spans="1:16" x14ac:dyDescent="0.35">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35">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35">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35">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35">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35">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35">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35">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35">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35">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35">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35">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35">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35">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35">
      <c r="A18" s="26">
        <v>16</v>
      </c>
      <c r="B18" s="26" t="s">
        <v>1283</v>
      </c>
      <c r="C18" s="26">
        <f>ROUND((F18/100)*(Gewicht/10)*D18/(E18)/24/K18,0)*K18</f>
        <v>5</v>
      </c>
      <c r="D18" s="26">
        <v>50</v>
      </c>
      <c r="E18" s="26">
        <v>10</v>
      </c>
      <c r="F18" s="26">
        <v>240</v>
      </c>
      <c r="G18" s="26">
        <f>ROUND(24*C18/D18/(Gewicht/10),4)</f>
        <v>0.24</v>
      </c>
      <c r="H18" s="26" t="s">
        <v>3566</v>
      </c>
      <c r="I18" s="26" t="s">
        <v>1285</v>
      </c>
      <c r="J18" s="26" t="s">
        <v>1844</v>
      </c>
      <c r="K18" s="26">
        <v>1</v>
      </c>
      <c r="L18" s="26">
        <v>10</v>
      </c>
    </row>
    <row r="19" spans="1:14" x14ac:dyDescent="0.35">
      <c r="A19" s="26">
        <v>17</v>
      </c>
      <c r="B19" s="26" t="s">
        <v>3376</v>
      </c>
      <c r="C19" s="26">
        <v>0.5</v>
      </c>
      <c r="G19" s="26">
        <f>ROUND(24*C19/(Gewicht/10),2)</f>
        <v>1.2</v>
      </c>
      <c r="H19" s="26" t="s">
        <v>4020</v>
      </c>
      <c r="I19" s="26" t="s">
        <v>2191</v>
      </c>
      <c r="J19" s="26" t="s">
        <v>3855</v>
      </c>
    </row>
    <row r="20" spans="1:14" x14ac:dyDescent="0.35">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35">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35">
      <c r="A22" s="26">
        <v>20</v>
      </c>
      <c r="B22" s="26" t="s">
        <v>3196</v>
      </c>
      <c r="C22" s="26">
        <v>10</v>
      </c>
      <c r="G22" s="26">
        <f>ROUND(C22/(Gewicht/10),3)</f>
        <v>1</v>
      </c>
      <c r="H22" s="26" t="s">
        <v>3565</v>
      </c>
      <c r="I22" s="26" t="s">
        <v>4979</v>
      </c>
      <c r="J22" s="26" t="s">
        <v>3595</v>
      </c>
    </row>
    <row r="23" spans="1:14" x14ac:dyDescent="0.35">
      <c r="A23" s="26">
        <v>21</v>
      </c>
      <c r="B23" s="26" t="s">
        <v>3197</v>
      </c>
      <c r="C23" s="26">
        <v>20</v>
      </c>
      <c r="G23" s="26">
        <f>ROUND(C23/(Gewicht/10),3)</f>
        <v>2</v>
      </c>
      <c r="H23" s="26" t="s">
        <v>3565</v>
      </c>
      <c r="I23" s="26" t="s">
        <v>4979</v>
      </c>
      <c r="J23" s="26" t="s">
        <v>3595</v>
      </c>
    </row>
    <row r="24" spans="1:14" x14ac:dyDescent="0.35">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35">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35">
      <c r="A27" s="26">
        <v>25</v>
      </c>
      <c r="B27" s="26" t="s">
        <v>4980</v>
      </c>
      <c r="C27" s="26">
        <v>0</v>
      </c>
      <c r="D27" s="26">
        <v>100</v>
      </c>
      <c r="E27" s="26">
        <v>10</v>
      </c>
      <c r="F27" s="26">
        <v>10</v>
      </c>
      <c r="G27" s="26">
        <f>F27/10</f>
        <v>1</v>
      </c>
      <c r="H27" s="26" t="s">
        <v>4981</v>
      </c>
      <c r="I27" s="26" t="s">
        <v>5118</v>
      </c>
      <c r="J27" s="26" t="s">
        <v>1845</v>
      </c>
      <c r="K27" s="26">
        <v>10</v>
      </c>
    </row>
    <row r="29" spans="1:14" x14ac:dyDescent="0.35">
      <c r="F29" s="32"/>
      <c r="G29" s="32"/>
      <c r="H29" s="32"/>
      <c r="I29" s="32"/>
      <c r="J29" s="32"/>
      <c r="K29" s="32"/>
      <c r="L29" s="32"/>
    </row>
    <row r="30" spans="1:14" ht="25.65" x14ac:dyDescent="0.35">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35">
      <c r="A31" s="26">
        <v>1</v>
      </c>
      <c r="B31" s="26">
        <v>15</v>
      </c>
      <c r="D31" s="26">
        <v>1</v>
      </c>
      <c r="E31" s="33">
        <v>15</v>
      </c>
      <c r="F31" s="33">
        <f>IF(MedicatieIV!C8&lt;&gt;0,24*E31/10,0)</f>
        <v>36</v>
      </c>
      <c r="G31" s="33">
        <f>IF(ber_IVmed!$D31=2,ber_IVmed!F31*0.05,0)</f>
        <v>0</v>
      </c>
      <c r="H31" s="33">
        <f>IF(ber_IVmed!$D31=3,ber_IVmed!F31*0.1,0)</f>
        <v>0</v>
      </c>
      <c r="I31" s="33">
        <f>IF(ber_IVmed!$D31=1,ber_IVmed!F31*0.155,0)</f>
        <v>5.58</v>
      </c>
      <c r="J31" s="26">
        <f>IF(OR($B31=18),0.5*$F31,IF(B31=4,F31*145/1000,0))</f>
        <v>0</v>
      </c>
      <c r="K31" s="26">
        <f>IF(OR($B31=19),0,0)</f>
        <v>0</v>
      </c>
      <c r="L31" s="26">
        <f>IF(OR($B31=4),0.2*$F31,0)</f>
        <v>0</v>
      </c>
      <c r="M31" s="26">
        <f>IF(OR(B31=20,B31=21),0.1*F31,0)</f>
        <v>0</v>
      </c>
    </row>
    <row r="32" spans="1:14" x14ac:dyDescent="0.35">
      <c r="A32" s="26">
        <v>2</v>
      </c>
      <c r="B32" s="26">
        <v>17</v>
      </c>
      <c r="D32" s="26">
        <v>1</v>
      </c>
      <c r="E32" s="33">
        <v>10</v>
      </c>
      <c r="F32" s="33">
        <f>IF(MedicatieIV!C9&lt;&gt;0,24*E32/10,0)</f>
        <v>24</v>
      </c>
      <c r="G32" s="33">
        <f>IF(ber_IVmed!$D32=2,ber_IVmed!F32*0.05,0)</f>
        <v>0</v>
      </c>
      <c r="H32" s="33">
        <f>IF(ber_IVmed!$D32=3,ber_IVmed!F32*0.1,0)</f>
        <v>0</v>
      </c>
      <c r="I32" s="33">
        <f>IF(ber_IVmed!$D32=1,ber_IVmed!F32*0.155,0)</f>
        <v>3.7199999999999998</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60</v>
      </c>
      <c r="G46" s="33">
        <f>SUM(G31:G45)</f>
        <v>0</v>
      </c>
      <c r="H46" s="33">
        <f>SUM(H31:H45)</f>
        <v>0</v>
      </c>
      <c r="I46" s="33"/>
      <c r="J46" s="26">
        <f>SUM(J31:J45)+SUM(I31:I45)</f>
        <v>9.3000000000000007</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2983</v>
      </c>
      <c r="C2" s="246"/>
      <c r="D2" s="245" t="s">
        <v>2984</v>
      </c>
      <c r="E2" s="245" t="s">
        <v>2985</v>
      </c>
      <c r="F2" s="245" t="s">
        <v>2986</v>
      </c>
      <c r="G2" s="247" t="s">
        <v>3250</v>
      </c>
      <c r="H2" s="248" t="s">
        <v>2044</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5 mg</v>
      </c>
      <c r="D18" s="205" t="str">
        <f>ber_IVmed!D18&amp;" ml"</f>
        <v>50 ml</v>
      </c>
      <c r="E18" s="206" t="str">
        <f>ber_IVmed!E18/10&amp;" ml/uur"</f>
        <v>1 ml/uur</v>
      </c>
      <c r="F18" s="207" t="str">
        <f>ber_IVmed!F18/1000&amp;" "&amp;ber_IVmed!H18</f>
        <v>0.24 mg/kg/dag</v>
      </c>
      <c r="G18" s="208" t="str">
        <f>ber_IVmed!I18</f>
        <v>0,125-0,25 mg/kg/dag</v>
      </c>
      <c r="H18" s="209">
        <f>ber_IVmed!K18</f>
        <v>1</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3000</v>
      </c>
      <c r="D2" s="177"/>
      <c r="E2" s="179" t="e">
        <f ca="1">AfspraakDatum</f>
        <v>#NAME?</v>
      </c>
      <c r="F2" s="180"/>
      <c r="G2" s="177"/>
      <c r="H2" s="178" t="s">
        <v>3001</v>
      </c>
      <c r="I2" s="177"/>
      <c r="J2" s="181">
        <f>OpnDatum</f>
        <v>41827</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RSV, Bronchio</v>
      </c>
      <c r="F3" s="182"/>
      <c r="G3" s="177"/>
      <c r="H3" s="178" t="s">
        <v>3097</v>
      </c>
      <c r="I3" s="177"/>
      <c r="J3" s="181">
        <f>GebDatum</f>
        <v>40909</v>
      </c>
      <c r="K3" s="183" t="str">
        <f>"Gewicht: "&amp;Gewicht/10&amp;" kg"</f>
        <v>Gewicht: 10 kg</v>
      </c>
      <c r="L3" s="178"/>
      <c r="M3" s="177"/>
      <c r="N3" s="183" t="str">
        <f>"Lengte: "&amp;Lengte&amp;" cm"</f>
        <v>Lengte: 70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3468</v>
      </c>
      <c r="D4" s="184"/>
      <c r="E4" s="183">
        <f>PatNummer</f>
        <v>123456</v>
      </c>
      <c r="F4" s="180"/>
      <c r="G4" s="184"/>
      <c r="H4" s="178" t="s">
        <v>2763</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0.42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f>IF(ber_Med_disc!C2&gt;1,BeademingCV!V2-1500+ber_Med_disc!B2,"")</f>
        <v>41827</v>
      </c>
      <c r="D6" s="430" t="str">
        <f>ber_Med_disc!C2</f>
        <v>Augmentin (comb.prep.) (amoxicilline + clavulaanzuur)</v>
      </c>
      <c r="E6" s="430"/>
      <c r="F6" s="430"/>
      <c r="G6" s="430"/>
      <c r="H6" s="190" t="str">
        <f>IF(INDEX(ber_Med_disc!$D$27:$D$38,ber_Med_disc!H2,1)=0,"",INDEX(ber_Med_disc!$D$27:$D$38,ber_Med_disc!H2,1))</f>
        <v>4 dd</v>
      </c>
      <c r="I6" s="191">
        <f>IF(ber_Med_disc!C2&gt;1,ber_Med_disc!G2,"")</f>
        <v>250</v>
      </c>
      <c r="J6" s="192" t="str">
        <f>IF(ber_Med_disc!C2&gt;1,ber_Med_disc!E2,"")</f>
        <v>mg</v>
      </c>
      <c r="K6" s="193" t="str">
        <f>ber_Med_disc!K2</f>
        <v xml:space="preserve">iv                            </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2881</v>
      </c>
      <c r="C7" s="195"/>
      <c r="D7" s="197">
        <f>ber_Opm!C16</f>
        <v>0</v>
      </c>
      <c r="E7" s="197"/>
      <c r="F7" s="197"/>
      <c r="G7" s="197"/>
      <c r="H7" s="196" t="str">
        <f>IF(ber_Med_disc!C2&gt;1,"Dosering/kg/dag: ","")</f>
        <v xml:space="preserve">Dosering/kg/dag: </v>
      </c>
      <c r="I7" s="195"/>
      <c r="J7" s="197">
        <f>IF(ber_Med_disc!C2&gt;1,ber_Med_disc!L2,"")</f>
        <v>100</v>
      </c>
      <c r="K7" s="195" t="str">
        <f>IF(AND(ber_Med_disc!C2&gt;1),J6&amp;"/kg/dag ","")</f>
        <v xml:space="preserve">mg/kg/dag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f>IF(ber_Med_disc!C3&gt;1,BeademingCV!V2-1500+ber_Med_disc!B3,"")</f>
        <v>41827</v>
      </c>
      <c r="D8" s="430" t="str">
        <f>ber_Med_disc!C3</f>
        <v xml:space="preserve">colecalciferol 40 IE/dr          </v>
      </c>
      <c r="E8" s="430"/>
      <c r="F8" s="430"/>
      <c r="G8" s="430"/>
      <c r="H8" s="190" t="str">
        <f>IF(INDEX(ber_Med_disc!$D$27:$D$38,ber_Med_disc!H3,1)=0,"",INDEX(ber_Med_disc!$D$27:$D$38,ber_Med_disc!H3,1))</f>
        <v>1 dd</v>
      </c>
      <c r="I8" s="191">
        <f>IF(ber_Med_disc!C3&gt;1,ber_Med_disc!G3,"")</f>
        <v>400</v>
      </c>
      <c r="J8" s="192" t="str">
        <f>IF(ber_Med_disc!C3&gt;1,ber_Med_disc!E3,"")</f>
        <v>IE</v>
      </c>
      <c r="K8" s="193" t="str">
        <f>ber_Med_disc!K3</f>
        <v xml:space="preserve">or                            </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2881</v>
      </c>
      <c r="C9" s="195"/>
      <c r="D9" s="197">
        <f>ber_Opm!C17</f>
        <v>0</v>
      </c>
      <c r="E9" s="197"/>
      <c r="F9" s="197"/>
      <c r="G9" s="197"/>
      <c r="H9" s="196" t="str">
        <f>IF(AND(ber_Med_disc!C3&gt;1,H8&lt;&gt;"STOP"),"Dosering/kg/dag: ","")</f>
        <v xml:space="preserve">Dosering/kg/dag: </v>
      </c>
      <c r="I9" s="195"/>
      <c r="J9" s="197">
        <f>IF(ber_Med_disc!C3&gt;1,ber_Med_disc!L3,"")</f>
        <v>40</v>
      </c>
      <c r="K9" s="195" t="str">
        <f>IF(AND(ber_Med_disc!C3&gt;1,H8&lt;&gt;"STOP"),J8&amp;"/kg/dag ","")</f>
        <v xml:space="preserve">IE/kg/dag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f>IF(ber_Med_disc!C4&gt;1,BeademingCV!V2-1500+ber_Med_disc!B4,"")</f>
        <v>41827</v>
      </c>
      <c r="D10" s="430" t="str">
        <f>ber_Med_disc!C4</f>
        <v xml:space="preserve">gentamicine 40 mg/ml          </v>
      </c>
      <c r="E10" s="430"/>
      <c r="F10" s="430"/>
      <c r="G10" s="430"/>
      <c r="H10" s="190" t="str">
        <f>IF(INDEX(ber_Med_disc!$D$27:$D$38,ber_Med_disc!H4,1)=0,"",INDEX(ber_Med_disc!$D$27:$D$38,ber_Med_disc!H4,1))</f>
        <v>1 dd</v>
      </c>
      <c r="I10" s="191">
        <f>IF(ber_Med_disc!C4&gt;1,ber_Med_disc!G4,"")</f>
        <v>70</v>
      </c>
      <c r="J10" s="192" t="str">
        <f>IF(ber_Med_disc!C4&gt;1,ber_Med_disc!E4,"")</f>
        <v>mg</v>
      </c>
      <c r="K10" s="193" t="str">
        <f>ber_Med_disc!K4</f>
        <v xml:space="preserve">iv                            </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2881</v>
      </c>
      <c r="C11" s="195"/>
      <c r="D11" s="197">
        <f>ber_Opm!C18</f>
        <v>0</v>
      </c>
      <c r="E11" s="197"/>
      <c r="F11" s="197"/>
      <c r="G11" s="197"/>
      <c r="H11" s="196" t="str">
        <f>IF(AND(ber_Med_disc!C4&gt;1,H10&lt;&gt;"STOP"),"Dosering/kg/dag: ","")</f>
        <v xml:space="preserve">Dosering/kg/dag: </v>
      </c>
      <c r="I11" s="195"/>
      <c r="J11" s="197">
        <f>IF(ber_Med_disc!C4&gt;1,ber_Med_disc!L4,"")</f>
        <v>7</v>
      </c>
      <c r="K11" s="195" t="str">
        <f>IF(AND(ber_Med_disc!C4&gt;1,H10&lt;&gt;"STOP"),J10&amp;"/kg/dag ","")</f>
        <v xml:space="preserve">mg/kg/dag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35">
      <c r="A2">
        <v>1</v>
      </c>
      <c r="B2">
        <v>1500</v>
      </c>
      <c r="C2" t="s">
        <v>4932</v>
      </c>
      <c r="D2" s="23">
        <v>50</v>
      </c>
      <c r="E2" t="s">
        <v>1844</v>
      </c>
      <c r="F2">
        <v>5</v>
      </c>
      <c r="G2">
        <f t="shared" ref="G2:G21" si="0">D2*F2</f>
        <v>250</v>
      </c>
      <c r="H2">
        <v>7</v>
      </c>
      <c r="I2">
        <f t="shared" ref="I2:I21" si="1">IF(AND(H2&gt;2,H2&lt;12),INDEX($C$27:$C$38,H2,1),)</f>
        <v>4</v>
      </c>
      <c r="J2">
        <f t="shared" ref="J2:J21" si="2">I2*G2</f>
        <v>1000</v>
      </c>
      <c r="K2" t="s">
        <v>1111</v>
      </c>
      <c r="L2">
        <f t="shared" ref="L2:L21" si="3">IF(ROUND(10*J2/Gewicht,1) = 0,ROUND(10*J2/Gewicht,2),ROUND(10*J2/Gewicht,1) )</f>
        <v>100</v>
      </c>
      <c r="O2">
        <f>IF(N2&gt;1,M2*I2,0)</f>
        <v>0</v>
      </c>
      <c r="Q2">
        <f t="shared" ref="Q2:Q21" si="4">IF(N2=2,O2*0.155,0)</f>
        <v>0</v>
      </c>
      <c r="R2">
        <f t="shared" ref="R2:R21" si="5">IF(N2=3,O2*0.05,0)</f>
        <v>0</v>
      </c>
      <c r="S2">
        <f t="shared" ref="S2:S21" si="6">IF(N2=4,O2*0.1,0)</f>
        <v>0</v>
      </c>
      <c r="T2">
        <v>168</v>
      </c>
      <c r="U2" t="str">
        <f t="shared" ref="U2:U21" si="7">IF(T2=0,"",IF(T2=-1,C2,INDEX(tblDBFormularium,T2+1,4)))</f>
        <v>amoxicilline+clavulaanzuur</v>
      </c>
      <c r="V2" t="str">
        <f>IF(U2="","",INDEX($C$27:$D$38,H2,2))</f>
        <v>4 dd</v>
      </c>
      <c r="W2" t="str">
        <f t="shared" ref="W2:W21" si="8">IF(U2="","",G2&amp;" "&amp;E2&amp;" ("&amp;ROUND(J2*10/Gewicht,AC2)&amp;" "&amp;E2&amp;"/kg/dag)")</f>
        <v>250 mg (100 mg/kg/dag)</v>
      </c>
      <c r="X2" t="str">
        <f>IF(U2="","",TRIM(K2))</f>
        <v>iv</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amoxicilline+clavulaanzuur||4 dd||250 mg (100 mg/kg/dag)||iv||||||</v>
      </c>
      <c r="AC2">
        <f>IF(AD2&gt;=10,0,IF(AD2&gt;=1,1,IF(AD2&gt;=0,2,IF(AD2&gt;=0.1,3,IF(AD2&gt;=0.01,4,5)))))</f>
        <v>0</v>
      </c>
      <c r="AD2">
        <f t="shared" ref="AD2:AD21" si="9">J2*10/Gewicht</f>
        <v>100</v>
      </c>
    </row>
    <row r="3" spans="1:30" x14ac:dyDescent="0.35">
      <c r="A3">
        <v>2</v>
      </c>
      <c r="B3">
        <v>1500</v>
      </c>
      <c r="C3" t="s">
        <v>5129</v>
      </c>
      <c r="D3" s="23">
        <v>40</v>
      </c>
      <c r="E3" t="s">
        <v>2039</v>
      </c>
      <c r="F3">
        <v>10</v>
      </c>
      <c r="G3">
        <f t="shared" si="0"/>
        <v>400</v>
      </c>
      <c r="H3">
        <v>4</v>
      </c>
      <c r="I3">
        <f t="shared" si="1"/>
        <v>1</v>
      </c>
      <c r="J3">
        <f t="shared" si="2"/>
        <v>400</v>
      </c>
      <c r="K3" t="s">
        <v>2141</v>
      </c>
      <c r="L3">
        <f t="shared" si="3"/>
        <v>40</v>
      </c>
      <c r="M3">
        <v>0</v>
      </c>
      <c r="N3">
        <v>0</v>
      </c>
      <c r="O3">
        <f t="shared" ref="O3:O21" si="10">IF(N3&gt;1,M3*I3,0)</f>
        <v>0</v>
      </c>
      <c r="P3">
        <v>0</v>
      </c>
      <c r="Q3">
        <f t="shared" si="4"/>
        <v>0</v>
      </c>
      <c r="R3">
        <f t="shared" si="5"/>
        <v>0</v>
      </c>
      <c r="S3">
        <f t="shared" si="6"/>
        <v>0</v>
      </c>
      <c r="T3">
        <v>441</v>
      </c>
      <c r="U3" t="str">
        <f t="shared" si="7"/>
        <v>colecalciferol</v>
      </c>
      <c r="V3" t="str">
        <f t="shared" ref="V3:V21" si="11">IF(U3="","",INDEX($C$27:$D$38,H3,2))</f>
        <v>1 dd</v>
      </c>
      <c r="W3" t="str">
        <f t="shared" si="8"/>
        <v>400 IE (40 IE/kg/dag)</v>
      </c>
      <c r="X3" t="str">
        <f t="shared" ref="X3:X21" si="12">IF(U3="","",TRIM(K3))</f>
        <v>or</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colecalciferol||1 dd||400 IE (40 IE/kg/dag)||or||||||</v>
      </c>
      <c r="AC3">
        <f t="shared" ref="AC3:AC21" si="15">IF(AD3&gt;=10,0,IF(AD3&gt;=1,1,IF(AD3&gt;=0,2,IF(AD3&gt;=0.1,3,IF(AD3&gt;=0.01,4,5)))))</f>
        <v>0</v>
      </c>
      <c r="AD3">
        <f t="shared" si="9"/>
        <v>40</v>
      </c>
    </row>
    <row r="4" spans="1:30" x14ac:dyDescent="0.35">
      <c r="A4">
        <v>3</v>
      </c>
      <c r="B4">
        <v>1500</v>
      </c>
      <c r="C4" t="s">
        <v>5130</v>
      </c>
      <c r="D4" s="23">
        <v>10</v>
      </c>
      <c r="E4" t="s">
        <v>1844</v>
      </c>
      <c r="F4">
        <v>7</v>
      </c>
      <c r="G4">
        <f t="shared" si="0"/>
        <v>70</v>
      </c>
      <c r="H4">
        <v>4</v>
      </c>
      <c r="I4">
        <f t="shared" si="1"/>
        <v>1</v>
      </c>
      <c r="J4">
        <f t="shared" si="2"/>
        <v>70</v>
      </c>
      <c r="K4" t="s">
        <v>1111</v>
      </c>
      <c r="L4">
        <f t="shared" si="3"/>
        <v>7</v>
      </c>
      <c r="O4">
        <f t="shared" si="10"/>
        <v>0</v>
      </c>
      <c r="Q4">
        <f t="shared" si="4"/>
        <v>0</v>
      </c>
      <c r="R4">
        <f t="shared" si="5"/>
        <v>0</v>
      </c>
      <c r="S4">
        <f t="shared" si="6"/>
        <v>0</v>
      </c>
      <c r="T4">
        <v>920</v>
      </c>
      <c r="U4" t="str">
        <f t="shared" si="7"/>
        <v>gentamicine</v>
      </c>
      <c r="V4" t="str">
        <f t="shared" si="11"/>
        <v>1 dd</v>
      </c>
      <c r="W4" t="str">
        <f t="shared" si="8"/>
        <v>70 mg (7 mg/kg/dag)</v>
      </c>
      <c r="X4" t="str">
        <f t="shared" si="12"/>
        <v>iv</v>
      </c>
      <c r="Y4" t="str">
        <f>IF(O4=0,"","opl: "&amp;M4&amp;" mL "&amp;INDEX(B$27:B$38,N4,1)&amp;" "&amp;IF(P4=0,"","("&amp;ROUND(ber_Med_disc!G4/ber_Med_disc!M4,2)&amp;" "&amp;ber_Med_disc!E4&amp;"/ml)"))</f>
        <v/>
      </c>
      <c r="Z4" t="str">
        <f t="shared" si="13"/>
        <v/>
      </c>
      <c r="AA4" t="str">
        <f>IF(ber_Opm!C18=0,"",ber_Opm!C18)</f>
        <v/>
      </c>
      <c r="AB4" t="str">
        <f t="shared" si="14"/>
        <v>gentamicine||1 dd||70 mg (7 mg/kg/dag)||iv||||||</v>
      </c>
      <c r="AC4">
        <f t="shared" si="15"/>
        <v>1</v>
      </c>
      <c r="AD4">
        <f t="shared" si="9"/>
        <v>7</v>
      </c>
    </row>
    <row r="5" spans="1:30" x14ac:dyDescent="0.35">
      <c r="A5">
        <v>4</v>
      </c>
      <c r="B5">
        <v>1500</v>
      </c>
      <c r="D5" s="23"/>
      <c r="G5">
        <f t="shared" si="0"/>
        <v>0</v>
      </c>
      <c r="H5">
        <v>1</v>
      </c>
      <c r="I5">
        <f t="shared" si="1"/>
        <v>0</v>
      </c>
      <c r="J5">
        <f t="shared" si="2"/>
        <v>0</v>
      </c>
      <c r="L5">
        <f t="shared" si="3"/>
        <v>0</v>
      </c>
      <c r="M5">
        <v>0</v>
      </c>
      <c r="N5">
        <v>0</v>
      </c>
      <c r="O5">
        <f t="shared" si="10"/>
        <v>0</v>
      </c>
      <c r="P5">
        <v>0</v>
      </c>
      <c r="Q5">
        <f t="shared" si="4"/>
        <v>0</v>
      </c>
      <c r="R5">
        <f t="shared" si="5"/>
        <v>0</v>
      </c>
      <c r="S5">
        <f t="shared" si="6"/>
        <v>0</v>
      </c>
      <c r="T5">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725</v>
      </c>
      <c r="B25">
        <v>210</v>
      </c>
      <c r="C25">
        <f>INDEX(dbForm!A2:A1013,ber_Med_disc!B25,1)</f>
        <v>210</v>
      </c>
      <c r="D25" t="e">
        <f>VLOOKUP(ber_Med_disc!C25,dbForm!V2:AE1015,2,FALSE)+1</f>
        <v>#N/A</v>
      </c>
      <c r="E25">
        <f>INDEX(tblRecNo,MedKeuze_0,1)</f>
        <v>210</v>
      </c>
    </row>
    <row r="26" spans="1:30" x14ac:dyDescent="0.35">
      <c r="A26" t="s">
        <v>3671</v>
      </c>
      <c r="B26" t="s">
        <v>3677</v>
      </c>
      <c r="D26" t="s">
        <v>3806</v>
      </c>
      <c r="E26" t="s">
        <v>3301</v>
      </c>
    </row>
    <row r="28" spans="1:30" x14ac:dyDescent="0.35">
      <c r="A28" t="s">
        <v>1002</v>
      </c>
      <c r="B28" t="s">
        <v>2768</v>
      </c>
      <c r="C28">
        <v>0</v>
      </c>
      <c r="D28" t="s">
        <v>4975</v>
      </c>
      <c r="E28" t="s">
        <v>1858</v>
      </c>
    </row>
    <row r="29" spans="1:30" x14ac:dyDescent="0.35">
      <c r="A29" t="s">
        <v>1001</v>
      </c>
      <c r="B29" t="s">
        <v>2769</v>
      </c>
      <c r="C29">
        <v>1</v>
      </c>
      <c r="D29" t="s">
        <v>3805</v>
      </c>
      <c r="E29" t="s">
        <v>1844</v>
      </c>
    </row>
    <row r="30" spans="1:30" x14ac:dyDescent="0.35">
      <c r="A30" t="s">
        <v>542</v>
      </c>
      <c r="B30" t="s">
        <v>2770</v>
      </c>
      <c r="C30">
        <v>1</v>
      </c>
      <c r="D30" t="s">
        <v>4090</v>
      </c>
      <c r="E30" t="s">
        <v>372</v>
      </c>
    </row>
    <row r="31" spans="1:30" x14ac:dyDescent="0.35">
      <c r="A31" t="s">
        <v>3022</v>
      </c>
      <c r="C31">
        <v>2</v>
      </c>
      <c r="D31" t="s">
        <v>4091</v>
      </c>
      <c r="E31" t="s">
        <v>821</v>
      </c>
    </row>
    <row r="32" spans="1:30" x14ac:dyDescent="0.35">
      <c r="A32" t="s">
        <v>546</v>
      </c>
      <c r="C32">
        <v>3</v>
      </c>
      <c r="D32" t="s">
        <v>4092</v>
      </c>
      <c r="E32" t="s">
        <v>1845</v>
      </c>
    </row>
    <row r="33" spans="1:4" x14ac:dyDescent="0.35">
      <c r="A33" t="s">
        <v>2124</v>
      </c>
      <c r="C33">
        <v>4</v>
      </c>
      <c r="D33" t="s">
        <v>4093</v>
      </c>
    </row>
    <row r="34" spans="1:4" x14ac:dyDescent="0.35">
      <c r="A34" t="s">
        <v>3672</v>
      </c>
      <c r="C34">
        <v>5</v>
      </c>
      <c r="D34" t="s">
        <v>4974</v>
      </c>
    </row>
    <row r="35" spans="1:4" x14ac:dyDescent="0.35">
      <c r="A35" t="s">
        <v>3673</v>
      </c>
      <c r="C35">
        <v>6</v>
      </c>
      <c r="D35" t="s">
        <v>1930</v>
      </c>
    </row>
    <row r="36" spans="1:4" x14ac:dyDescent="0.35">
      <c r="A36" t="s">
        <v>3674</v>
      </c>
      <c r="C36">
        <v>8</v>
      </c>
      <c r="D36" t="s">
        <v>1931</v>
      </c>
    </row>
    <row r="37" spans="1:4" x14ac:dyDescent="0.35">
      <c r="A37" t="s">
        <v>585</v>
      </c>
      <c r="C37">
        <v>12</v>
      </c>
      <c r="D37" t="s">
        <v>1932</v>
      </c>
    </row>
    <row r="38" spans="1:4" x14ac:dyDescent="0.35">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4089</v>
      </c>
    </row>
    <row r="2" spans="1:24" x14ac:dyDescent="0.35">
      <c r="A2" t="s">
        <v>3914</v>
      </c>
      <c r="B2">
        <v>20</v>
      </c>
    </row>
    <row r="3" spans="1:24" x14ac:dyDescent="0.35">
      <c r="A3" t="s">
        <v>4090</v>
      </c>
      <c r="B3">
        <v>10</v>
      </c>
    </row>
    <row r="4" spans="1:24" x14ac:dyDescent="0.35">
      <c r="A4" t="s">
        <v>4091</v>
      </c>
      <c r="B4">
        <v>10</v>
      </c>
      <c r="C4">
        <v>22</v>
      </c>
    </row>
    <row r="5" spans="1:24" x14ac:dyDescent="0.35">
      <c r="A5" t="s">
        <v>4092</v>
      </c>
      <c r="B5">
        <v>10</v>
      </c>
      <c r="C5">
        <v>18</v>
      </c>
      <c r="D5">
        <v>2</v>
      </c>
    </row>
    <row r="6" spans="1:24" x14ac:dyDescent="0.35">
      <c r="A6" t="s">
        <v>4093</v>
      </c>
      <c r="B6">
        <v>10</v>
      </c>
      <c r="C6">
        <v>18</v>
      </c>
      <c r="D6">
        <v>24</v>
      </c>
      <c r="E6">
        <v>6</v>
      </c>
    </row>
    <row r="7" spans="1:24" x14ac:dyDescent="0.35">
      <c r="A7" t="s">
        <v>1930</v>
      </c>
      <c r="B7">
        <v>10</v>
      </c>
      <c r="C7">
        <v>14</v>
      </c>
      <c r="D7">
        <v>18</v>
      </c>
      <c r="E7">
        <v>22</v>
      </c>
      <c r="F7">
        <v>2</v>
      </c>
      <c r="G7">
        <v>6</v>
      </c>
    </row>
    <row r="8" spans="1:24" x14ac:dyDescent="0.35">
      <c r="A8" t="s">
        <v>1931</v>
      </c>
      <c r="B8">
        <v>11</v>
      </c>
      <c r="C8">
        <v>14</v>
      </c>
      <c r="D8">
        <v>17</v>
      </c>
      <c r="E8">
        <v>20</v>
      </c>
      <c r="F8">
        <v>23</v>
      </c>
      <c r="G8">
        <v>2</v>
      </c>
      <c r="H8">
        <v>5</v>
      </c>
      <c r="I8">
        <v>8</v>
      </c>
    </row>
    <row r="9" spans="1:24" x14ac:dyDescent="0.35">
      <c r="A9" t="s">
        <v>1932</v>
      </c>
      <c r="B9">
        <v>10</v>
      </c>
      <c r="C9">
        <v>12</v>
      </c>
      <c r="D9">
        <v>14</v>
      </c>
      <c r="E9">
        <v>16</v>
      </c>
      <c r="F9">
        <v>18</v>
      </c>
      <c r="G9">
        <v>20</v>
      </c>
      <c r="H9">
        <v>22</v>
      </c>
      <c r="I9">
        <v>24</v>
      </c>
      <c r="J9">
        <v>2</v>
      </c>
      <c r="K9">
        <v>4</v>
      </c>
      <c r="L9">
        <v>6</v>
      </c>
      <c r="M9">
        <v>8</v>
      </c>
    </row>
    <row r="10" spans="1:24" x14ac:dyDescent="0.35">
      <c r="A10" t="s">
        <v>276</v>
      </c>
    </row>
    <row r="12" spans="1:24" x14ac:dyDescent="0.35">
      <c r="A12">
        <v>10</v>
      </c>
      <c r="B12" t="s">
        <v>4090</v>
      </c>
      <c r="C12" t="s">
        <v>4091</v>
      </c>
      <c r="D12" t="s">
        <v>4092</v>
      </c>
      <c r="E12" t="s">
        <v>4093</v>
      </c>
      <c r="F12" t="s">
        <v>1930</v>
      </c>
      <c r="G12" t="s">
        <v>1932</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35">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35">
      <c r="A18" t="s">
        <v>4090</v>
      </c>
      <c r="B18" s="17" t="s">
        <v>1933</v>
      </c>
      <c r="C18" s="17"/>
      <c r="D18" s="17"/>
      <c r="E18" s="17"/>
      <c r="F18" s="17"/>
      <c r="G18" s="17"/>
      <c r="H18" s="17"/>
      <c r="I18" s="17"/>
      <c r="J18" s="17"/>
      <c r="K18" s="17"/>
      <c r="L18" s="17"/>
      <c r="M18" s="17"/>
      <c r="N18" s="17"/>
      <c r="O18" s="17"/>
      <c r="P18" s="17"/>
      <c r="Q18" s="17"/>
    </row>
    <row r="19" spans="1:24" x14ac:dyDescent="0.35">
      <c r="A19" t="s">
        <v>4091</v>
      </c>
      <c r="B19" s="17" t="s">
        <v>1933</v>
      </c>
      <c r="C19" s="17"/>
      <c r="D19" s="17"/>
      <c r="E19" s="17"/>
      <c r="F19" s="17"/>
      <c r="G19" s="17"/>
      <c r="H19" s="17"/>
      <c r="I19" s="17"/>
      <c r="J19" s="17"/>
      <c r="K19" s="17"/>
      <c r="L19" s="17"/>
      <c r="M19" s="17"/>
      <c r="N19" s="17" t="s">
        <v>1933</v>
      </c>
      <c r="O19" s="17"/>
      <c r="P19" s="17"/>
      <c r="Q19" s="17"/>
    </row>
    <row r="20" spans="1:24" x14ac:dyDescent="0.35">
      <c r="A20" t="s">
        <v>4092</v>
      </c>
      <c r="B20" s="17" t="s">
        <v>1933</v>
      </c>
      <c r="C20" s="17"/>
      <c r="D20" s="17"/>
      <c r="E20" s="17"/>
      <c r="F20" s="17"/>
      <c r="G20" s="17"/>
      <c r="H20" s="17"/>
      <c r="I20" s="17"/>
      <c r="J20" s="17" t="s">
        <v>1933</v>
      </c>
      <c r="K20" s="17"/>
      <c r="L20" s="17"/>
      <c r="M20" s="17"/>
      <c r="N20" s="17"/>
      <c r="O20" s="17"/>
      <c r="P20" s="17"/>
      <c r="Q20" s="17"/>
      <c r="R20" t="s">
        <v>1933</v>
      </c>
    </row>
    <row r="21" spans="1:24" x14ac:dyDescent="0.35">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35">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35">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35">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RSV, Bronchio</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42186</v>
      </c>
      <c r="AC1" s="432"/>
      <c r="AD1" s="432"/>
      <c r="AE1" s="432"/>
      <c r="AF1" s="432"/>
    </row>
    <row r="2" spans="2:33" ht="26.1" customHeight="1" x14ac:dyDescent="0.35">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f>IF(C3&lt;&gt;" ",Med_disc!C6,"")</f>
        <v>41827</v>
      </c>
      <c r="C3" s="368" t="str">
        <f>IF(ber_Med_disc!C2&lt;&gt;"",IF(ber_Med_disc!C2&gt;1,TRIM(ber_Med_disc!C2)&amp;", "&amp;ber_Opm!C16&amp;" ("&amp;ber_Med_disc!L2&amp;" "&amp;ber_Med_disc!E2&amp;"/kg/dag)",TRIM(ber_Med_disc!C2)&amp;", "&amp;ber_Opm!C16),"")</f>
        <v>Augmentin (comb.prep.) (amoxicilline + clavulaanzuur),  (100 mg/kg/dag)</v>
      </c>
      <c r="D3" s="369" t="str">
        <f>IF(Med_disc!H6&lt;&gt;"",Med_disc!H6,"")</f>
        <v>4 dd</v>
      </c>
      <c r="E3" s="370" t="str">
        <f>IF(AND(D3&lt;&gt;"",D3&lt;&gt;"STOP"),ber_Med_disc!G2&amp;" "&amp;ber_Med_disc!E2,"")</f>
        <v>250 mg</v>
      </c>
      <c r="F3" s="370" t="str">
        <f>IF(AND(D3&lt;&gt;"",D3&lt;&gt;"STOP"),ber_Med_disc!K2," ")</f>
        <v xml:space="preserve">iv                            </v>
      </c>
      <c r="G3" s="370" t="str">
        <f>IF(Med_disc!L6&lt;&gt;"",Med_disc!L6&amp;" "&amp;Med_disc!M6&amp;" "&amp;INDEX(ber_Med_disc!$B$27:$B$30,ber_Med_disc!N2,1)&amp;" in "&amp;Med_disc!$O$6,"")</f>
        <v/>
      </c>
      <c r="H3" s="174">
        <f>IF(OR($D3="1 dd",$D3="2 dd",$D3="3 dd",$D3="4 dd",$D3="6 dd",$D3="8 dd",$D3="12 dd",$D3="an",$D3="1 X"),VLOOKUP($D3,ber_tijden!$A$16:$X$25,ber_tijden!B$14,FALSE),"")</f>
        <v>0</v>
      </c>
      <c r="I3" s="17">
        <f>IF(OR($D3="1 dd",$D3="2 dd",$D3="3 dd",$D3="4 dd",$D3="6 dd",$D3="8 dd",$D3="12 dd",$D3="an",$D3="1 X"),VLOOKUP($D3,ber_tijden!$A$16:$X$25,ber_tijden!C$14,FALSE),"")</f>
        <v>0</v>
      </c>
      <c r="J3" s="174" t="str">
        <f>IF(OR($D3="1 dd",$D3="2 dd",$D3="3 dd",$D3="4 dd",$D3="6 dd",$D3="8 dd",$D3="12 dd",$D3="an",$D3="1 X"),VLOOKUP($D3,ber_tijden!$A$16:$X$25,ber_tijden!D$14,FALSE),"")</f>
        <v>x</v>
      </c>
      <c r="K3" s="17">
        <f>IF(OR($D3="1 dd",$D3="2 dd",$D3="3 dd",$D3="4 dd",$D3="6 dd",$D3="8 dd",$D3="12 dd",$D3="an",$D3="1 X"),VLOOKUP($D3,ber_tijden!$A$16:$X$25,ber_tijden!E$14,FALSE),"")</f>
        <v>0</v>
      </c>
      <c r="L3" s="174">
        <f>IF(OR($D3="1 dd",$D3="2 dd",$D3="3 dd",$D3="4 dd",$D3="6 dd",$D3="8 dd",$D3="12 dd",$D3="an",$D3="1 X"),VLOOKUP($D3,ber_tijden!$A$16:$X$25,ber_tijden!F$14,FALSE),"")</f>
        <v>0</v>
      </c>
      <c r="M3" s="17">
        <f>IF(OR($D3="1 dd",$D3="2 dd",$D3="3 dd",$D3="4 dd",$D3="6 dd",$D3="8 dd",$D3="12 dd",$D3="an",$D3="1 X"),VLOOKUP($D3,ber_tijden!$A$16:$X$25,ber_tijden!G$14,FALSE),"")</f>
        <v>0</v>
      </c>
      <c r="N3" s="174">
        <f>IF(OR($D3="1 dd",$D3="2 dd",$D3="3 dd",$D3="4 dd",$D3="6 dd",$D3="8 dd",$D3="12 dd",$D3="an",$D3="1 X"),VLOOKUP($D3,ber_tijden!$A$16:$X$25,ber_tijden!H$14,FALSE),"")</f>
        <v>0</v>
      </c>
      <c r="O3" s="17">
        <f>IF(OR($D3="1 dd",$D3="2 dd",$D3="3 dd",$D3="4 dd",$D3="6 dd",$D3="8 dd",$D3="12 dd",$D3="an",$D3="1 X"),VLOOKUP($D3,ber_tijden!$A$16:$X$25,ber_tijden!I$14,FALSE),"")</f>
        <v>0</v>
      </c>
      <c r="P3" s="174" t="str">
        <f>IF(OR($D3="1 dd",$D3="2 dd",$D3="3 dd",$D3="4 dd",$D3="6 dd",$D3="8 dd",$D3="12 dd",$D3="an",$D3="1 X"),VLOOKUP($D3,ber_tijden!$A$16:$X$25,ber_tijden!J$14,FALSE),"")</f>
        <v>x</v>
      </c>
      <c r="Q3" s="17">
        <f>IF(OR($D3="1 dd",$D3="2 dd",$D3="3 dd",$D3="4 dd",$D3="6 dd",$D3="8 dd",$D3="12 dd",$D3="an",$D3="1 X"),VLOOKUP($D3,ber_tijden!$A$16:$X$25,ber_tijden!K$14,FALSE),"")</f>
        <v>0</v>
      </c>
      <c r="R3" s="174">
        <f>IF(OR($D3="1 dd",$D3="2 dd",$D3="3 dd",$D3="4 dd",$D3="6 dd",$D3="8 dd",$D3="12 dd",$D3="an",$D3="1 X"),VLOOKUP($D3,ber_tijden!$A$16:$X$25,ber_tijden!L$14,FALSE),"")</f>
        <v>0</v>
      </c>
      <c r="S3" s="17">
        <f>IF(OR($D3="1 dd",$D3="2 dd",$D3="3 dd",$D3="4 dd",$D3="6 dd",$D3="8 dd",$D3="12 dd",$D3="an",$D3="1 X"),VLOOKUP($D3,ber_tijden!$A$16:$X$25,ber_tijden!M$14,FALSE),"")</f>
        <v>0</v>
      </c>
      <c r="T3" s="174">
        <f>IF(OR($D3="1 dd",$D3="2 dd",$D3="3 dd",$D3="4 dd",$D3="6 dd",$D3="8 dd",$D3="12 dd",$D3="an",$D3="1 X"),VLOOKUP($D3,ber_tijden!$A$16:$X$25,ber_tijden!N$14,FALSE),"")</f>
        <v>0</v>
      </c>
      <c r="U3" s="17">
        <f>IF(OR($D3="1 dd",$D3="2 dd",$D3="3 dd",$D3="4 dd",$D3="6 dd",$D3="8 dd",$D3="12 dd",$D3="an",$D3="1 X"),VLOOKUP($D3,ber_tijden!$A$16:$X$25,ber_tijden!O$14,FALSE),"")</f>
        <v>0</v>
      </c>
      <c r="V3" s="174" t="str">
        <f>IF(OR($D3="1 dd",$D3="2 dd",$D3="3 dd",$D3="4 dd",$D3="6 dd",$D3="8 dd",$D3="12 dd",$D3="an",$D3="1 X"),VLOOKUP($D3,ber_tijden!$A$16:$X$25,ber_tijden!P$14,FALSE),"")</f>
        <v>x</v>
      </c>
      <c r="W3" s="17">
        <f>IF(OR($D3="1 dd",$D3="2 dd",$D3="3 dd",$D3="4 dd",$D3="6 dd",$D3="8 dd",$D3="12 dd",$D3="an",$D3="1 X"),VLOOKUP($D3,ber_tijden!$A$16:$X$25,ber_tijden!Q$14,FALSE),"")</f>
        <v>0</v>
      </c>
      <c r="X3" s="174">
        <f>IF(OR($D3="1 dd",$D3="2 dd",$D3="3 dd",$D3="4 dd",$D3="6 dd",$D3="8 dd",$D3="12 dd",$D3="an",$D3="1 X"),VLOOKUP($D3,ber_tijden!$A$16:$X$25,ber_tijden!R$14,FALSE),"")</f>
        <v>0</v>
      </c>
      <c r="Y3" s="17">
        <f>IF(OR($D3="1 dd",$D3="2 dd",$D3="3 dd",$D3="4 dd",$D3="6 dd",$D3="8 dd",$D3="12 dd",$D3="an",$D3="1 X"),VLOOKUP($D3,ber_tijden!$A$16:$X$25,ber_tijden!S$14,FALSE),"")</f>
        <v>0</v>
      </c>
      <c r="Z3" s="174">
        <f>IF(OR($D3="1 dd",$D3="2 dd",$D3="3 dd",$D3="4 dd",$D3="6 dd",$D3="8 dd",$D3="12 dd",$D3="an",$D3="1 X"),VLOOKUP($D3,ber_tijden!$A$16:$X$25,ber_tijden!T$14,FALSE),"")</f>
        <v>0</v>
      </c>
      <c r="AA3" s="17">
        <f>IF(OR($D3="1 dd",$D3="2 dd",$D3="3 dd",$D3="4 dd",$D3="6 dd",$D3="8 dd",$D3="12 dd",$D3="an",$D3="1 X"),VLOOKUP($D3,ber_tijden!$A$16:$X$25,ber_tijden!U$14,FALSE),"")</f>
        <v>0</v>
      </c>
      <c r="AB3" s="174" t="str">
        <f>IF(OR($D3="1 dd",$D3="2 dd",$D3="3 dd",$D3="4 dd",$D3="6 dd",$D3="8 dd",$D3="12 dd",$D3="an",$D3="1 X"),VLOOKUP($D3,ber_tijden!$A$16:$X$25,ber_tijden!V$14,FALSE),"")</f>
        <v>x</v>
      </c>
      <c r="AC3" s="17">
        <f>IF(OR($D3="1 dd",$D3="2 dd",$D3="3 dd",$D3="4 dd",$D3="6 dd",$D3="8 dd",$D3="12 dd",$D3="an",$D3="1 X"),VLOOKUP($D3,ber_tijden!$A$16:$X$25,ber_tijden!W$14,FALSE),"")</f>
        <v>0</v>
      </c>
      <c r="AD3" s="174">
        <f>IF(OR($D3="1 dd",$D3="2 dd",$D3="3 dd",$D3="4 dd",$D3="6 dd",$D3="8 dd",$D3="12 dd",$D3="an",$D3="1 X"),VLOOKUP($D3,ber_tijden!$A$16:$X$25,ber_tijden!X$14,FALSE),"")</f>
        <v>0</v>
      </c>
      <c r="AE3" s="19"/>
      <c r="AF3" s="173"/>
      <c r="AG3" s="19"/>
    </row>
    <row r="4" spans="2:33" ht="26.1" customHeight="1" x14ac:dyDescent="0.35">
      <c r="B4" s="175">
        <f>IF(C4&lt;&gt;" ",Med_disc!C8,"")</f>
        <v>41827</v>
      </c>
      <c r="C4" s="368" t="str">
        <f>IF(ber_Med_disc!C3&lt;&gt;"",IF(ber_Med_disc!C3&gt;1,TRIM(ber_Med_disc!C3)&amp;", "&amp;ber_Opm!C17&amp;" ("&amp;ber_Med_disc!L3&amp;" "&amp;ber_Med_disc!E3&amp;"/kg/dag)",TRIM(ber_Med_disc!C3)&amp;", "&amp;ber_Opm!C17),"")</f>
        <v>colecalciferol 40 IE/dr,  (40 IE/kg/dag)</v>
      </c>
      <c r="D4" s="369" t="str">
        <f>IF(Med_disc!H8&lt;&gt;"",Med_disc!H8,"")</f>
        <v>1 dd</v>
      </c>
      <c r="E4" s="370" t="str">
        <f>IF(AND(D4&lt;&gt;"",D4&lt;&gt;"STOP"),ber_Med_disc!G3&amp;" "&amp;ber_Med_disc!E3,"")</f>
        <v>400 IE</v>
      </c>
      <c r="F4" s="370" t="str">
        <f>IF(AND(D4&lt;&gt;"",D4&lt;&gt;"STOP"),ber_Med_disc!K3," ")</f>
        <v xml:space="preserve">or                            </v>
      </c>
      <c r="G4" s="370" t="str">
        <f>IF(Med_disc!L8&lt;&gt;"",Med_disc!L8&amp;" "&amp;Med_disc!M8&amp;" "&amp;INDEX(ber_Med_disc!$B$27:$B$30,ber_Med_disc!N3,1)&amp;" in "&amp;Med_disc!$O$8,"")</f>
        <v/>
      </c>
      <c r="H4" s="174" t="str">
        <f>IF(OR($D4="1 dd",$D4="2 dd",$D4="3 dd",$D4="4 dd",$D4="6 dd",$D4="8 dd",$D4="12 dd",$D4="an",$D4="1 X"),VLOOKUP($D4,ber_tijden!$A$16:$X$25,ber_tijden!B$14,FALSE),"")</f>
        <v>x</v>
      </c>
      <c r="I4" s="17">
        <f>IF(OR($D4="1 dd",$D4="2 dd",$D4="3 dd",$D4="4 dd",$D4="6 dd",$D4="8 dd",$D4="12 dd",$D4="an",$D4="1 X"),VLOOKUP($D4,ber_tijden!$A$16:$X$25,ber_tijden!C$14,FALSE),"")</f>
        <v>0</v>
      </c>
      <c r="J4" s="174">
        <f>IF(OR($D4="1 dd",$D4="2 dd",$D4="3 dd",$D4="4 dd",$D4="6 dd",$D4="8 dd",$D4="12 dd",$D4="an",$D4="1 X"),VLOOKUP($D4,ber_tijden!$A$16:$X$25,ber_tijden!D$14,FALSE),"")</f>
        <v>0</v>
      </c>
      <c r="K4" s="17">
        <f>IF(OR($D4="1 dd",$D4="2 dd",$D4="3 dd",$D4="4 dd",$D4="6 dd",$D4="8 dd",$D4="12 dd",$D4="an",$D4="1 X"),VLOOKUP($D4,ber_tijden!$A$16:$X$25,ber_tijden!E$14,FALSE),"")</f>
        <v>0</v>
      </c>
      <c r="L4" s="174">
        <f>IF(OR($D4="1 dd",$D4="2 dd",$D4="3 dd",$D4="4 dd",$D4="6 dd",$D4="8 dd",$D4="12 dd",$D4="an",$D4="1 X"),VLOOKUP($D4,ber_tijden!$A$16:$X$25,ber_tijden!F$14,FALSE),"")</f>
        <v>0</v>
      </c>
      <c r="M4" s="17">
        <f>IF(OR($D4="1 dd",$D4="2 dd",$D4="3 dd",$D4="4 dd",$D4="6 dd",$D4="8 dd",$D4="12 dd",$D4="an",$D4="1 X"),VLOOKUP($D4,ber_tijden!$A$16:$X$25,ber_tijden!G$14,FALSE),"")</f>
        <v>0</v>
      </c>
      <c r="N4" s="174">
        <f>IF(OR($D4="1 dd",$D4="2 dd",$D4="3 dd",$D4="4 dd",$D4="6 dd",$D4="8 dd",$D4="12 dd",$D4="an",$D4="1 X"),VLOOKUP($D4,ber_tijden!$A$16:$X$25,ber_tijden!H$14,FALSE),"")</f>
        <v>0</v>
      </c>
      <c r="O4" s="17">
        <f>IF(OR($D4="1 dd",$D4="2 dd",$D4="3 dd",$D4="4 dd",$D4="6 dd",$D4="8 dd",$D4="12 dd",$D4="an",$D4="1 X"),VLOOKUP($D4,ber_tijden!$A$16:$X$25,ber_tijden!I$14,FALSE),"")</f>
        <v>0</v>
      </c>
      <c r="P4" s="174">
        <f>IF(OR($D4="1 dd",$D4="2 dd",$D4="3 dd",$D4="4 dd",$D4="6 dd",$D4="8 dd",$D4="12 dd",$D4="an",$D4="1 X"),VLOOKUP($D4,ber_tijden!$A$16:$X$25,ber_tijden!J$14,FALSE),"")</f>
        <v>0</v>
      </c>
      <c r="Q4" s="17">
        <f>IF(OR($D4="1 dd",$D4="2 dd",$D4="3 dd",$D4="4 dd",$D4="6 dd",$D4="8 dd",$D4="12 dd",$D4="an",$D4="1 X"),VLOOKUP($D4,ber_tijden!$A$16:$X$25,ber_tijden!K$14,FALSE),"")</f>
        <v>0</v>
      </c>
      <c r="R4" s="174">
        <f>IF(OR($D4="1 dd",$D4="2 dd",$D4="3 dd",$D4="4 dd",$D4="6 dd",$D4="8 dd",$D4="12 dd",$D4="an",$D4="1 X"),VLOOKUP($D4,ber_tijden!$A$16:$X$25,ber_tijden!L$14,FALSE),"")</f>
        <v>0</v>
      </c>
      <c r="S4" s="17">
        <f>IF(OR($D4="1 dd",$D4="2 dd",$D4="3 dd",$D4="4 dd",$D4="6 dd",$D4="8 dd",$D4="12 dd",$D4="an",$D4="1 X"),VLOOKUP($D4,ber_tijden!$A$16:$X$25,ber_tijden!M$14,FALSE),"")</f>
        <v>0</v>
      </c>
      <c r="T4" s="174">
        <f>IF(OR($D4="1 dd",$D4="2 dd",$D4="3 dd",$D4="4 dd",$D4="6 dd",$D4="8 dd",$D4="12 dd",$D4="an",$D4="1 X"),VLOOKUP($D4,ber_tijden!$A$16:$X$25,ber_tijden!N$14,FALSE),"")</f>
        <v>0</v>
      </c>
      <c r="U4" s="17">
        <f>IF(OR($D4="1 dd",$D4="2 dd",$D4="3 dd",$D4="4 dd",$D4="6 dd",$D4="8 dd",$D4="12 dd",$D4="an",$D4="1 X"),VLOOKUP($D4,ber_tijden!$A$16:$X$25,ber_tijden!O$14,FALSE),"")</f>
        <v>0</v>
      </c>
      <c r="V4" s="174">
        <f>IF(OR($D4="1 dd",$D4="2 dd",$D4="3 dd",$D4="4 dd",$D4="6 dd",$D4="8 dd",$D4="12 dd",$D4="an",$D4="1 X"),VLOOKUP($D4,ber_tijden!$A$16:$X$25,ber_tijden!P$14,FALSE),"")</f>
        <v>0</v>
      </c>
      <c r="W4" s="17">
        <f>IF(OR($D4="1 dd",$D4="2 dd",$D4="3 dd",$D4="4 dd",$D4="6 dd",$D4="8 dd",$D4="12 dd",$D4="an",$D4="1 X"),VLOOKUP($D4,ber_tijden!$A$16:$X$25,ber_tijden!Q$14,FALSE),"")</f>
        <v>0</v>
      </c>
      <c r="X4" s="174">
        <f>IF(OR($D4="1 dd",$D4="2 dd",$D4="3 dd",$D4="4 dd",$D4="6 dd",$D4="8 dd",$D4="12 dd",$D4="an",$D4="1 X"),VLOOKUP($D4,ber_tijden!$A$16:$X$25,ber_tijden!R$14,FALSE),"")</f>
        <v>0</v>
      </c>
      <c r="Y4" s="17">
        <f>IF(OR($D4="1 dd",$D4="2 dd",$D4="3 dd",$D4="4 dd",$D4="6 dd",$D4="8 dd",$D4="12 dd",$D4="an",$D4="1 X"),VLOOKUP($D4,ber_tijden!$A$16:$X$25,ber_tijden!S$14,FALSE),"")</f>
        <v>0</v>
      </c>
      <c r="Z4" s="174">
        <f>IF(OR($D4="1 dd",$D4="2 dd",$D4="3 dd",$D4="4 dd",$D4="6 dd",$D4="8 dd",$D4="12 dd",$D4="an",$D4="1 X"),VLOOKUP($D4,ber_tijden!$A$16:$X$25,ber_tijden!T$14,FALSE),"")</f>
        <v>0</v>
      </c>
      <c r="AA4" s="17">
        <f>IF(OR($D4="1 dd",$D4="2 dd",$D4="3 dd",$D4="4 dd",$D4="6 dd",$D4="8 dd",$D4="12 dd",$D4="an",$D4="1 X"),VLOOKUP($D4,ber_tijden!$A$16:$X$25,ber_tijden!U$14,FALSE),"")</f>
        <v>0</v>
      </c>
      <c r="AB4" s="174">
        <f>IF(OR($D4="1 dd",$D4="2 dd",$D4="3 dd",$D4="4 dd",$D4="6 dd",$D4="8 dd",$D4="12 dd",$D4="an",$D4="1 X"),VLOOKUP($D4,ber_tijden!$A$16:$X$25,ber_tijden!V$14,FALSE),"")</f>
        <v>0</v>
      </c>
      <c r="AC4" s="17">
        <f>IF(OR($D4="1 dd",$D4="2 dd",$D4="3 dd",$D4="4 dd",$D4="6 dd",$D4="8 dd",$D4="12 dd",$D4="an",$D4="1 X"),VLOOKUP($D4,ber_tijden!$A$16:$X$25,ber_tijden!W$14,FALSE),"")</f>
        <v>0</v>
      </c>
      <c r="AD4" s="174">
        <f>IF(OR($D4="1 dd",$D4="2 dd",$D4="3 dd",$D4="4 dd",$D4="6 dd",$D4="8 dd",$D4="12 dd",$D4="an",$D4="1 X"),VLOOKUP($D4,ber_tijden!$A$16:$X$25,ber_tijden!X$14,FALSE),"")</f>
        <v>0</v>
      </c>
      <c r="AE4" s="19"/>
      <c r="AF4" s="173"/>
      <c r="AG4" s="19"/>
    </row>
    <row r="5" spans="2:33" ht="26.1" customHeight="1" x14ac:dyDescent="0.35">
      <c r="B5" s="175">
        <f>IF(C5&lt;&gt;" ",Med_disc!C10,"")</f>
        <v>41827</v>
      </c>
      <c r="C5" s="368" t="str">
        <f>IF(ber_Med_disc!C4&lt;&gt;"",IF(ber_Med_disc!C4&gt;1,TRIM(ber_Med_disc!C4)&amp;", "&amp;ber_Opm!C18&amp;" ("&amp;ber_Med_disc!L4&amp;" "&amp;ber_Med_disc!E4&amp;"/kg/dag)",TRIM(ber_Med_disc!C4)&amp;", "&amp;ber_Opm!C18),"")</f>
        <v>gentamicine 40 mg/ml,  (7 mg/kg/dag)</v>
      </c>
      <c r="D5" s="369" t="str">
        <f>IF(Med_disc!H10&lt;&gt;"",Med_disc!H10,"")</f>
        <v>1 dd</v>
      </c>
      <c r="E5" s="370" t="str">
        <f>IF(AND(D5&lt;&gt;"",D5&lt;&gt;"STOP"),ber_Med_disc!G4&amp;" "&amp;ber_Med_disc!E4,"")</f>
        <v>70 mg</v>
      </c>
      <c r="F5" s="370" t="str">
        <f>IF(AND(D5&lt;&gt;"",D5&lt;&gt;"STOP"),ber_Med_disc!K4," ")</f>
        <v xml:space="preserve">iv                            </v>
      </c>
      <c r="G5" s="370" t="str">
        <f>IF(Med_disc!L10&lt;&gt;"",Med_disc!L10&amp;" "&amp;Med_disc!M10&amp;" "&amp;INDEX(ber_Med_disc!$B$27:$B$30,ber_Med_disc!N4,1)&amp;" in "&amp;Med_disc!$O$10,"")</f>
        <v/>
      </c>
      <c r="H5" s="174" t="str">
        <f>IF(OR($D5="1 dd",$D5="2 dd",$D5="3 dd",$D5="4 dd",$D5="6 dd",$D5="8 dd",$D5="12 dd",$D5="an",$D5="1 X"),VLOOKUP($D5,ber_tijden!$A$16:$X$25,ber_tijden!B$14,FALSE),"")</f>
        <v>x</v>
      </c>
      <c r="I5" s="17">
        <f>IF(OR($D5="1 dd",$D5="2 dd",$D5="3 dd",$D5="4 dd",$D5="6 dd",$D5="8 dd",$D5="12 dd",$D5="an",$D5="1 X"),VLOOKUP($D5,ber_tijden!$A$16:$X$25,ber_tijden!C$14,FALSE),"")</f>
        <v>0</v>
      </c>
      <c r="J5" s="174">
        <f>IF(OR($D5="1 dd",$D5="2 dd",$D5="3 dd",$D5="4 dd",$D5="6 dd",$D5="8 dd",$D5="12 dd",$D5="an",$D5="1 X"),VLOOKUP($D5,ber_tijden!$A$16:$X$25,ber_tijden!D$14,FALSE),"")</f>
        <v>0</v>
      </c>
      <c r="K5" s="17">
        <f>IF(OR($D5="1 dd",$D5="2 dd",$D5="3 dd",$D5="4 dd",$D5="6 dd",$D5="8 dd",$D5="12 dd",$D5="an",$D5="1 X"),VLOOKUP($D5,ber_tijden!$A$16:$X$25,ber_tijden!E$14,FALSE),"")</f>
        <v>0</v>
      </c>
      <c r="L5" s="174">
        <f>IF(OR($D5="1 dd",$D5="2 dd",$D5="3 dd",$D5="4 dd",$D5="6 dd",$D5="8 dd",$D5="12 dd",$D5="an",$D5="1 X"),VLOOKUP($D5,ber_tijden!$A$16:$X$25,ber_tijden!F$14,FALSE),"")</f>
        <v>0</v>
      </c>
      <c r="M5" s="17">
        <f>IF(OR($D5="1 dd",$D5="2 dd",$D5="3 dd",$D5="4 dd",$D5="6 dd",$D5="8 dd",$D5="12 dd",$D5="an",$D5="1 X"),VLOOKUP($D5,ber_tijden!$A$16:$X$25,ber_tijden!G$14,FALSE),"")</f>
        <v>0</v>
      </c>
      <c r="N5" s="174">
        <f>IF(OR($D5="1 dd",$D5="2 dd",$D5="3 dd",$D5="4 dd",$D5="6 dd",$D5="8 dd",$D5="12 dd",$D5="an",$D5="1 X"),VLOOKUP($D5,ber_tijden!$A$16:$X$25,ber_tijden!H$14,FALSE),"")</f>
        <v>0</v>
      </c>
      <c r="O5" s="17">
        <f>IF(OR($D5="1 dd",$D5="2 dd",$D5="3 dd",$D5="4 dd",$D5="6 dd",$D5="8 dd",$D5="12 dd",$D5="an",$D5="1 X"),VLOOKUP($D5,ber_tijden!$A$16:$X$25,ber_tijden!I$14,FALSE),"")</f>
        <v>0</v>
      </c>
      <c r="P5" s="174">
        <f>IF(OR($D5="1 dd",$D5="2 dd",$D5="3 dd",$D5="4 dd",$D5="6 dd",$D5="8 dd",$D5="12 dd",$D5="an",$D5="1 X"),VLOOKUP($D5,ber_tijden!$A$16:$X$25,ber_tijden!J$14,FALSE),"")</f>
        <v>0</v>
      </c>
      <c r="Q5" s="17">
        <f>IF(OR($D5="1 dd",$D5="2 dd",$D5="3 dd",$D5="4 dd",$D5="6 dd",$D5="8 dd",$D5="12 dd",$D5="an",$D5="1 X"),VLOOKUP($D5,ber_tijden!$A$16:$X$25,ber_tijden!K$14,FALSE),"")</f>
        <v>0</v>
      </c>
      <c r="R5" s="174">
        <f>IF(OR($D5="1 dd",$D5="2 dd",$D5="3 dd",$D5="4 dd",$D5="6 dd",$D5="8 dd",$D5="12 dd",$D5="an",$D5="1 X"),VLOOKUP($D5,ber_tijden!$A$16:$X$25,ber_tijden!L$14,FALSE),"")</f>
        <v>0</v>
      </c>
      <c r="S5" s="17">
        <f>IF(OR($D5="1 dd",$D5="2 dd",$D5="3 dd",$D5="4 dd",$D5="6 dd",$D5="8 dd",$D5="12 dd",$D5="an",$D5="1 X"),VLOOKUP($D5,ber_tijden!$A$16:$X$25,ber_tijden!M$14,FALSE),"")</f>
        <v>0</v>
      </c>
      <c r="T5" s="174">
        <f>IF(OR($D5="1 dd",$D5="2 dd",$D5="3 dd",$D5="4 dd",$D5="6 dd",$D5="8 dd",$D5="12 dd",$D5="an",$D5="1 X"),VLOOKUP($D5,ber_tijden!$A$16:$X$25,ber_tijden!N$14,FALSE),"")</f>
        <v>0</v>
      </c>
      <c r="U5" s="17">
        <f>IF(OR($D5="1 dd",$D5="2 dd",$D5="3 dd",$D5="4 dd",$D5="6 dd",$D5="8 dd",$D5="12 dd",$D5="an",$D5="1 X"),VLOOKUP($D5,ber_tijden!$A$16:$X$25,ber_tijden!O$14,FALSE),"")</f>
        <v>0</v>
      </c>
      <c r="V5" s="174">
        <f>IF(OR($D5="1 dd",$D5="2 dd",$D5="3 dd",$D5="4 dd",$D5="6 dd",$D5="8 dd",$D5="12 dd",$D5="an",$D5="1 X"),VLOOKUP($D5,ber_tijden!$A$16:$X$25,ber_tijden!P$14,FALSE),"")</f>
        <v>0</v>
      </c>
      <c r="W5" s="17">
        <f>IF(OR($D5="1 dd",$D5="2 dd",$D5="3 dd",$D5="4 dd",$D5="6 dd",$D5="8 dd",$D5="12 dd",$D5="an",$D5="1 X"),VLOOKUP($D5,ber_tijden!$A$16:$X$25,ber_tijden!Q$14,FALSE),"")</f>
        <v>0</v>
      </c>
      <c r="X5" s="174">
        <f>IF(OR($D5="1 dd",$D5="2 dd",$D5="3 dd",$D5="4 dd",$D5="6 dd",$D5="8 dd",$D5="12 dd",$D5="an",$D5="1 X"),VLOOKUP($D5,ber_tijden!$A$16:$X$25,ber_tijden!R$14,FALSE),"")</f>
        <v>0</v>
      </c>
      <c r="Y5" s="17">
        <f>IF(OR($D5="1 dd",$D5="2 dd",$D5="3 dd",$D5="4 dd",$D5="6 dd",$D5="8 dd",$D5="12 dd",$D5="an",$D5="1 X"),VLOOKUP($D5,ber_tijden!$A$16:$X$25,ber_tijden!S$14,FALSE),"")</f>
        <v>0</v>
      </c>
      <c r="Z5" s="174">
        <f>IF(OR($D5="1 dd",$D5="2 dd",$D5="3 dd",$D5="4 dd",$D5="6 dd",$D5="8 dd",$D5="12 dd",$D5="an",$D5="1 X"),VLOOKUP($D5,ber_tijden!$A$16:$X$25,ber_tijden!T$14,FALSE),"")</f>
        <v>0</v>
      </c>
      <c r="AA5" s="17">
        <f>IF(OR($D5="1 dd",$D5="2 dd",$D5="3 dd",$D5="4 dd",$D5="6 dd",$D5="8 dd",$D5="12 dd",$D5="an",$D5="1 X"),VLOOKUP($D5,ber_tijden!$A$16:$X$25,ber_tijden!U$14,FALSE),"")</f>
        <v>0</v>
      </c>
      <c r="AB5" s="174">
        <f>IF(OR($D5="1 dd",$D5="2 dd",$D5="3 dd",$D5="4 dd",$D5="6 dd",$D5="8 dd",$D5="12 dd",$D5="an",$D5="1 X"),VLOOKUP($D5,ber_tijden!$A$16:$X$25,ber_tijden!V$14,FALSE),"")</f>
        <v>0</v>
      </c>
      <c r="AC5" s="17">
        <f>IF(OR($D5="1 dd",$D5="2 dd",$D5="3 dd",$D5="4 dd",$D5="6 dd",$D5="8 dd",$D5="12 dd",$D5="an",$D5="1 X"),VLOOKUP($D5,ber_tijden!$A$16:$X$25,ber_tijden!W$14,FALSE),"")</f>
        <v>0</v>
      </c>
      <c r="AD5" s="174">
        <f>IF(OR($D5="1 dd",$D5="2 dd",$D5="3 dd",$D5="4 dd",$D5="6 dd",$D5="8 dd",$D5="12 dd",$D5="an",$D5="1 X"),VLOOKUP($D5,ber_tijden!$A$16:$X$25,ber_tijden!X$14,FALSE),"")</f>
        <v>0</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65" hidden="1" x14ac:dyDescent="0.35">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65" hidden="1" x14ac:dyDescent="0.35">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65" hidden="1" x14ac:dyDescent="0.35">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3" hidden="1" x14ac:dyDescent="0.35">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3" hidden="1" x14ac:dyDescent="0.35">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5.35" hidden="1" x14ac:dyDescent="0.35">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5.35" hidden="1" x14ac:dyDescent="0.35">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450000000000003" hidden="1" x14ac:dyDescent="0.35">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450000000000003" hidden="1" x14ac:dyDescent="0.35">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65" hidden="1" x14ac:dyDescent="0.35">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141" hidden="1" x14ac:dyDescent="0.35">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65" hidden="1" x14ac:dyDescent="0.35">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02.55" hidden="1" x14ac:dyDescent="0.35">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5.35" hidden="1" x14ac:dyDescent="0.35">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5.35" hidden="1" x14ac:dyDescent="0.35">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5.35" hidden="1" x14ac:dyDescent="0.35">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5.35" hidden="1" x14ac:dyDescent="0.35">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02.55" hidden="1" x14ac:dyDescent="0.35">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65" hidden="1" x14ac:dyDescent="0.35">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05.1" hidden="1" x14ac:dyDescent="0.35">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75" hidden="1" x14ac:dyDescent="0.35">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75" hidden="1" x14ac:dyDescent="0.35">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05.1" hidden="1" x14ac:dyDescent="0.35">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75" hidden="1" x14ac:dyDescent="0.35">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75" hidden="1" x14ac:dyDescent="0.35">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65" hidden="1" x14ac:dyDescent="0.35">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3" hidden="1" x14ac:dyDescent="0.35">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55" hidden="1" x14ac:dyDescent="0.35">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55" hidden="1" x14ac:dyDescent="0.35">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75" hidden="1" x14ac:dyDescent="0.35">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75" hidden="1" x14ac:dyDescent="0.35">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6.65" hidden="1" x14ac:dyDescent="0.35">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6.65" hidden="1" x14ac:dyDescent="0.35">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75" hidden="1" x14ac:dyDescent="0.35">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75" hidden="1" x14ac:dyDescent="0.35">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2.25" hidden="1" x14ac:dyDescent="0.35">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2.25" hidden="1" x14ac:dyDescent="0.35">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75" hidden="1" x14ac:dyDescent="0.35">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75" hidden="1" x14ac:dyDescent="0.35">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3" hidden="1" x14ac:dyDescent="0.35">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3" hidden="1" x14ac:dyDescent="0.35">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55" hidden="1" x14ac:dyDescent="0.35">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35">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1" hidden="1" x14ac:dyDescent="0.35">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1" hidden="1" x14ac:dyDescent="0.35">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1" hidden="1" x14ac:dyDescent="0.35">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1" hidden="1" x14ac:dyDescent="0.35">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66.65" hidden="1" x14ac:dyDescent="0.35">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65" hidden="1" x14ac:dyDescent="0.35">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30.7" hidden="1" x14ac:dyDescent="0.35">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30.7" hidden="1" x14ac:dyDescent="0.35">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30.7" hidden="1" x14ac:dyDescent="0.35">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30.7" hidden="1" x14ac:dyDescent="0.35">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30.7" hidden="1" x14ac:dyDescent="0.35">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30.7" hidden="1" x14ac:dyDescent="0.35">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65" hidden="1" x14ac:dyDescent="0.35">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55" hidden="1" x14ac:dyDescent="0.35">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55" hidden="1" x14ac:dyDescent="0.35">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65" hidden="1" x14ac:dyDescent="0.35">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3000</v>
      </c>
      <c r="C2" s="218" t="e">
        <f ca="1">AfspraakDatum</f>
        <v>#NAME?</v>
      </c>
      <c r="D2" s="219"/>
      <c r="E2" s="217" t="s">
        <v>3001</v>
      </c>
      <c r="F2" s="220">
        <f>OpnDatum</f>
        <v>41827</v>
      </c>
      <c r="G2" s="217" t="e">
        <f ca="1">"ICU-dag: "&amp;AfspraakDatum-OpnDatum+1</f>
        <v>#NAME?</v>
      </c>
      <c r="H2" s="217"/>
      <c r="I2" s="217"/>
      <c r="J2" s="217"/>
    </row>
    <row r="3" spans="1:10" s="216" customFormat="1" ht="17.25" customHeight="1" x14ac:dyDescent="0.4">
      <c r="B3" s="217" t="s">
        <v>288</v>
      </c>
      <c r="C3" s="221" t="str">
        <f>AchterNaam&amp;", "&amp;VoorNaam</f>
        <v>RSV, Bronchio</v>
      </c>
      <c r="D3" s="221"/>
      <c r="E3" s="217" t="s">
        <v>3097</v>
      </c>
      <c r="F3" s="220">
        <f>GebDatum</f>
        <v>40909</v>
      </c>
      <c r="G3" s="222" t="str">
        <f>"Gewicht: "&amp;Gewicht/10&amp;" kg"</f>
        <v>Gewicht: 10 kg</v>
      </c>
      <c r="H3" s="217"/>
      <c r="I3" s="222" t="str">
        <f>"Lengte: "&amp;Lengte&amp;" cm"</f>
        <v>Lengte: 70 cm</v>
      </c>
      <c r="J3" s="217"/>
    </row>
    <row r="4" spans="1:10" s="216" customFormat="1" ht="17.25" customHeight="1" x14ac:dyDescent="0.4">
      <c r="A4" s="252"/>
      <c r="B4" s="217" t="s">
        <v>3468</v>
      </c>
      <c r="C4" s="222">
        <f>PatNummer</f>
        <v>123456</v>
      </c>
      <c r="D4" s="219"/>
      <c r="E4" s="217" t="s">
        <v>2763</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0.42 m2</v>
      </c>
      <c r="I4" s="217"/>
      <c r="J4" s="217"/>
    </row>
    <row r="5" spans="1:10" ht="12.75" customHeight="1" x14ac:dyDescent="0.35"/>
    <row r="6" spans="1:10" ht="17.25" customHeight="1" x14ac:dyDescent="0.4">
      <c r="B6" s="310" t="s">
        <v>212</v>
      </c>
    </row>
    <row r="7" spans="1:10" ht="9.0500000000000007" customHeight="1" x14ac:dyDescent="0.35">
      <c r="I7" s="123" t="s">
        <v>1299</v>
      </c>
      <c r="J7" s="123" t="s">
        <v>3378</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2881</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838</v>
      </c>
    </row>
    <row r="18" spans="1:10" ht="8.3000000000000007" customHeight="1" x14ac:dyDescent="0.35">
      <c r="A18" s="29"/>
    </row>
    <row r="19" spans="1:10" ht="17.25" customHeight="1" x14ac:dyDescent="0.4">
      <c r="A19" s="26">
        <v>1</v>
      </c>
      <c r="C19" s="303"/>
      <c r="E19" s="29"/>
      <c r="H19" s="248" t="s">
        <v>343</v>
      </c>
      <c r="I19" s="216"/>
      <c r="J19" s="216"/>
    </row>
    <row r="20" spans="1:10" ht="17.25" customHeight="1" x14ac:dyDescent="0.35">
      <c r="A20" s="26">
        <v>2</v>
      </c>
      <c r="E20" s="29"/>
      <c r="H20" s="252" t="s">
        <v>2695</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4115</v>
      </c>
      <c r="C23" s="26" t="str">
        <f>IF(Controle_3&gt;0,"om de "&amp;Controle_3&amp;" uur","")</f>
        <v/>
      </c>
      <c r="E23" s="252" t="s">
        <v>4117</v>
      </c>
      <c r="F23" s="26" t="str">
        <f>IF(Controle_2&gt;0,"om de "&amp;Controle_2&amp;" uur","")</f>
        <v/>
      </c>
    </row>
    <row r="24" spans="1:10" ht="17.25" customHeight="1" x14ac:dyDescent="0.35">
      <c r="B24" s="216" t="s">
        <v>4118</v>
      </c>
      <c r="C24" s="26" t="str">
        <f>IF(Controle_6&gt;0,"om de "&amp;Controle_6&amp;" uur","")</f>
        <v/>
      </c>
      <c r="E24" s="252" t="s">
        <v>4116</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2545</v>
      </c>
      <c r="E31" s="216" t="s">
        <v>663</v>
      </c>
    </row>
    <row r="32" spans="1:10" ht="20.100000000000001" customHeight="1" x14ac:dyDescent="0.35"/>
    <row r="33" spans="2:3" ht="13.2" x14ac:dyDescent="0.4">
      <c r="B33" s="216" t="s">
        <v>2893</v>
      </c>
      <c r="C33" s="308" t="str">
        <f>IF(ber_Infusen!O1&gt;1,ber_Infusen!R1&amp;" /min","")</f>
        <v/>
      </c>
    </row>
    <row r="34" spans="2:3" ht="17.25" customHeight="1" x14ac:dyDescent="0.4">
      <c r="C34" s="308"/>
    </row>
    <row r="35" spans="2:3" ht="17.25" customHeight="1" x14ac:dyDescent="0.4">
      <c r="B35" s="216" t="s">
        <v>664</v>
      </c>
      <c r="C35" s="308" t="str">
        <f>IF(ber_Infusen!O1&gt;1,ber_Infusen!R2&amp;" mA","")</f>
        <v/>
      </c>
    </row>
    <row r="36" spans="2:3" ht="17.25" customHeight="1" x14ac:dyDescent="0.4">
      <c r="B36" s="216" t="s">
        <v>665</v>
      </c>
      <c r="C36" s="308" t="str">
        <f>IF(ber_Infusen!O1&gt;1,ber_Infusen!R3&amp;" mA","")</f>
        <v/>
      </c>
    </row>
    <row r="37" spans="2:3" ht="17.25" customHeight="1" x14ac:dyDescent="0.4">
      <c r="C37" s="308"/>
    </row>
    <row r="38" spans="2:3" ht="17.25" customHeight="1" x14ac:dyDescent="0.4">
      <c r="B38" s="216" t="s">
        <v>666</v>
      </c>
      <c r="C38" s="308" t="str">
        <f>IF(ber_Infusen!O1&gt;1,ber_Infusen!R4&amp;" msec","")</f>
        <v/>
      </c>
    </row>
    <row r="39" spans="2:3" ht="17.25" customHeight="1" x14ac:dyDescent="0.4">
      <c r="C39" s="308"/>
    </row>
    <row r="40" spans="2:3" ht="17.25" customHeight="1" x14ac:dyDescent="0.4">
      <c r="B40" s="216" t="s">
        <v>667</v>
      </c>
      <c r="C40" s="308" t="str">
        <f>IF(ber_Infusen!O1&gt;1,ber_Infusen!R5/10&amp;" mV","")</f>
        <v/>
      </c>
    </row>
    <row r="41" spans="2:3" ht="17.25" customHeight="1" x14ac:dyDescent="0.4">
      <c r="B41" s="216" t="s">
        <v>668</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1300</v>
      </c>
      <c r="L1">
        <v>1</v>
      </c>
      <c r="M1">
        <v>1</v>
      </c>
      <c r="Q1" t="s">
        <v>2544</v>
      </c>
      <c r="S1">
        <v>70</v>
      </c>
    </row>
    <row r="2" spans="1:19" x14ac:dyDescent="0.35">
      <c r="A2" s="11" t="s">
        <v>1776</v>
      </c>
      <c r="D2">
        <v>1</v>
      </c>
      <c r="E2">
        <v>24</v>
      </c>
      <c r="G2" s="8" t="s">
        <v>1301</v>
      </c>
      <c r="J2" t="s">
        <v>4121</v>
      </c>
      <c r="L2">
        <v>2</v>
      </c>
      <c r="M2">
        <v>1</v>
      </c>
      <c r="Q2" t="s">
        <v>2540</v>
      </c>
      <c r="S2">
        <v>10</v>
      </c>
    </row>
    <row r="3" spans="1:19" x14ac:dyDescent="0.35">
      <c r="A3" s="11" t="s">
        <v>2106</v>
      </c>
      <c r="B3">
        <v>12</v>
      </c>
      <c r="C3">
        <f>B3*0.155</f>
        <v>1.8599999999999999</v>
      </c>
      <c r="D3">
        <v>2</v>
      </c>
      <c r="E3">
        <v>29</v>
      </c>
      <c r="G3" s="9" t="s">
        <v>2829</v>
      </c>
      <c r="J3" t="s">
        <v>4122</v>
      </c>
      <c r="L3">
        <v>3</v>
      </c>
      <c r="M3">
        <v>1</v>
      </c>
      <c r="O3" t="s">
        <v>3649</v>
      </c>
      <c r="P3" t="s">
        <v>2537</v>
      </c>
      <c r="Q3" t="s">
        <v>2541</v>
      </c>
      <c r="S3">
        <v>10</v>
      </c>
    </row>
    <row r="4" spans="1:19" x14ac:dyDescent="0.35">
      <c r="A4" s="11" t="s">
        <v>3560</v>
      </c>
      <c r="B4">
        <v>72</v>
      </c>
      <c r="C4">
        <f>B4*0.155</f>
        <v>11.16</v>
      </c>
      <c r="D4">
        <v>3</v>
      </c>
      <c r="E4">
        <v>1</v>
      </c>
      <c r="G4" s="8" t="s">
        <v>2830</v>
      </c>
      <c r="J4" t="s">
        <v>4108</v>
      </c>
      <c r="L4">
        <v>4</v>
      </c>
      <c r="M4">
        <v>1</v>
      </c>
      <c r="O4" t="s">
        <v>2535</v>
      </c>
      <c r="P4" t="s">
        <v>2538</v>
      </c>
      <c r="Q4" t="s">
        <v>2542</v>
      </c>
      <c r="S4">
        <v>170</v>
      </c>
    </row>
    <row r="5" spans="1:19" x14ac:dyDescent="0.35">
      <c r="A5" s="11" t="s">
        <v>3561</v>
      </c>
      <c r="B5">
        <v>12</v>
      </c>
      <c r="C5">
        <f>B5*0.155</f>
        <v>1.8599999999999999</v>
      </c>
      <c r="D5">
        <v>4</v>
      </c>
      <c r="E5">
        <v>1</v>
      </c>
      <c r="G5" s="8" t="s">
        <v>2831</v>
      </c>
      <c r="J5" t="s">
        <v>4105</v>
      </c>
      <c r="L5">
        <v>5</v>
      </c>
      <c r="M5">
        <v>1</v>
      </c>
      <c r="O5" t="s">
        <v>2536</v>
      </c>
      <c r="P5" t="s">
        <v>2539</v>
      </c>
      <c r="Q5" t="s">
        <v>2543</v>
      </c>
      <c r="S5">
        <v>20</v>
      </c>
    </row>
    <row r="6" spans="1:19" x14ac:dyDescent="0.35">
      <c r="A6" s="11" t="s">
        <v>1296</v>
      </c>
      <c r="B6">
        <v>72</v>
      </c>
      <c r="C6">
        <f>B6*0.155</f>
        <v>11.16</v>
      </c>
      <c r="D6">
        <v>5</v>
      </c>
      <c r="E6">
        <v>1</v>
      </c>
      <c r="G6" s="9" t="s">
        <v>2832</v>
      </c>
      <c r="J6" t="s">
        <v>376</v>
      </c>
      <c r="L6">
        <v>6</v>
      </c>
      <c r="M6">
        <v>1</v>
      </c>
      <c r="Q6" t="s">
        <v>2982</v>
      </c>
      <c r="S6">
        <v>20</v>
      </c>
    </row>
    <row r="7" spans="1:19" x14ac:dyDescent="0.35">
      <c r="A7" s="11" t="s">
        <v>1297</v>
      </c>
      <c r="D7">
        <v>6</v>
      </c>
      <c r="E7">
        <v>1</v>
      </c>
      <c r="G7" s="8" t="s">
        <v>2833</v>
      </c>
      <c r="J7" t="s">
        <v>4101</v>
      </c>
    </row>
    <row r="8" spans="1:19" x14ac:dyDescent="0.35">
      <c r="A8" s="11" t="s">
        <v>425</v>
      </c>
      <c r="B8">
        <v>12</v>
      </c>
      <c r="C8">
        <f>B8*0.155</f>
        <v>1.8599999999999999</v>
      </c>
      <c r="G8" s="9" t="s">
        <v>2834</v>
      </c>
      <c r="J8" t="s">
        <v>4102</v>
      </c>
      <c r="O8" t="s">
        <v>2696</v>
      </c>
      <c r="P8" t="b">
        <v>1</v>
      </c>
    </row>
    <row r="9" spans="1:19" x14ac:dyDescent="0.35">
      <c r="A9" s="11" t="s">
        <v>426</v>
      </c>
      <c r="B9">
        <v>72</v>
      </c>
      <c r="C9">
        <f>B9*0.155</f>
        <v>11.16</v>
      </c>
      <c r="G9" s="9" t="s">
        <v>2835</v>
      </c>
      <c r="J9" t="s">
        <v>3176</v>
      </c>
    </row>
    <row r="10" spans="1:19" x14ac:dyDescent="0.35">
      <c r="A10" s="11" t="s">
        <v>947</v>
      </c>
      <c r="G10" s="9" t="s">
        <v>1558</v>
      </c>
      <c r="J10" t="s">
        <v>4111</v>
      </c>
    </row>
    <row r="11" spans="1:19" x14ac:dyDescent="0.35">
      <c r="A11" s="11" t="s">
        <v>4157</v>
      </c>
      <c r="J11" t="s">
        <v>4110</v>
      </c>
    </row>
    <row r="12" spans="1:19" x14ac:dyDescent="0.35">
      <c r="A12" s="11" t="s">
        <v>4158</v>
      </c>
      <c r="J12" t="s">
        <v>4100</v>
      </c>
    </row>
    <row r="13" spans="1:19" x14ac:dyDescent="0.35">
      <c r="A13" s="11" t="s">
        <v>3399</v>
      </c>
      <c r="G13" s="9"/>
      <c r="J13" t="s">
        <v>4112</v>
      </c>
    </row>
    <row r="14" spans="1:19" x14ac:dyDescent="0.35">
      <c r="A14" s="11" t="s">
        <v>3400</v>
      </c>
      <c r="G14" s="9"/>
      <c r="J14" t="s">
        <v>4120</v>
      </c>
    </row>
    <row r="15" spans="1:19" x14ac:dyDescent="0.35">
      <c r="A15" s="11" t="s">
        <v>1298</v>
      </c>
      <c r="G15" s="9" t="s">
        <v>1559</v>
      </c>
      <c r="H15">
        <v>8</v>
      </c>
      <c r="J15" t="s">
        <v>4109</v>
      </c>
    </row>
    <row r="16" spans="1:19" x14ac:dyDescent="0.35">
      <c r="A16" s="11" t="s">
        <v>427</v>
      </c>
      <c r="B16">
        <v>12</v>
      </c>
      <c r="C16">
        <f>B16*0.155</f>
        <v>1.8599999999999999</v>
      </c>
      <c r="G16" s="9" t="s">
        <v>1560</v>
      </c>
      <c r="H16">
        <v>3</v>
      </c>
      <c r="J16" t="s">
        <v>4103</v>
      </c>
    </row>
    <row r="17" spans="1:10" x14ac:dyDescent="0.35">
      <c r="A17" s="11" t="s">
        <v>428</v>
      </c>
      <c r="B17">
        <v>72</v>
      </c>
      <c r="C17">
        <f>B17*0.155</f>
        <v>11.16</v>
      </c>
      <c r="J17" t="s">
        <v>4107</v>
      </c>
    </row>
    <row r="18" spans="1:10" x14ac:dyDescent="0.35">
      <c r="A18" s="11" t="s">
        <v>1986</v>
      </c>
      <c r="J18" t="s">
        <v>4106</v>
      </c>
    </row>
    <row r="19" spans="1:10" x14ac:dyDescent="0.35">
      <c r="A19" s="11" t="s">
        <v>4157</v>
      </c>
      <c r="J19" t="s">
        <v>4119</v>
      </c>
    </row>
    <row r="20" spans="1:10" x14ac:dyDescent="0.35">
      <c r="A20" s="11" t="s">
        <v>4158</v>
      </c>
      <c r="J20" t="s">
        <v>4104</v>
      </c>
    </row>
    <row r="21" spans="1:10" x14ac:dyDescent="0.35">
      <c r="A21" s="11" t="s">
        <v>3401</v>
      </c>
      <c r="J21" t="s">
        <v>4123</v>
      </c>
    </row>
    <row r="22" spans="1:10" x14ac:dyDescent="0.35">
      <c r="A22" s="11" t="s">
        <v>3145</v>
      </c>
      <c r="J22" t="s">
        <v>3491</v>
      </c>
    </row>
    <row r="23" spans="1:10" x14ac:dyDescent="0.35">
      <c r="A23" s="11" t="s">
        <v>1775</v>
      </c>
      <c r="J23" t="s">
        <v>4113</v>
      </c>
    </row>
    <row r="24" spans="1:10" x14ac:dyDescent="0.35">
      <c r="A24" s="11" t="s">
        <v>3146</v>
      </c>
      <c r="J24" t="s">
        <v>3492</v>
      </c>
    </row>
    <row r="25" spans="1:10" x14ac:dyDescent="0.35">
      <c r="A25" s="11" t="s">
        <v>3008</v>
      </c>
      <c r="J25" t="s">
        <v>4114</v>
      </c>
    </row>
    <row r="26" spans="1:10" x14ac:dyDescent="0.35">
      <c r="A26" s="11" t="s">
        <v>4959</v>
      </c>
      <c r="J26" t="s">
        <v>3493</v>
      </c>
    </row>
    <row r="27" spans="1:10" x14ac:dyDescent="0.35">
      <c r="A27" s="11" t="s">
        <v>3901</v>
      </c>
      <c r="J27" t="s">
        <v>3494</v>
      </c>
    </row>
    <row r="28" spans="1:10" x14ac:dyDescent="0.35">
      <c r="A28" s="11" t="s">
        <v>3899</v>
      </c>
      <c r="J28" t="s">
        <v>3495</v>
      </c>
    </row>
    <row r="29" spans="1:10" x14ac:dyDescent="0.35">
      <c r="A29" s="11" t="s">
        <v>3900</v>
      </c>
      <c r="J29" t="s">
        <v>943</v>
      </c>
    </row>
    <row r="30" spans="1:10" x14ac:dyDescent="0.35">
      <c r="A30" s="11" t="s">
        <v>4960</v>
      </c>
      <c r="J30" t="s">
        <v>375</v>
      </c>
    </row>
    <row r="31" spans="1:10" x14ac:dyDescent="0.35">
      <c r="A31" s="11" t="s">
        <v>4213</v>
      </c>
      <c r="J31" t="s">
        <v>131</v>
      </c>
    </row>
    <row r="32" spans="1:10" x14ac:dyDescent="0.35">
      <c r="A32" s="11" t="s">
        <v>4214</v>
      </c>
    </row>
    <row r="33" spans="1:1" x14ac:dyDescent="0.35">
      <c r="A33" s="11" t="s">
        <v>4215</v>
      </c>
    </row>
    <row r="34" spans="1:1" x14ac:dyDescent="0.35">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3501</v>
      </c>
      <c r="E17" t="s">
        <v>3502</v>
      </c>
      <c r="F17" s="23">
        <f ca="1">TODAY()-GebDatum+1</f>
        <v>1278</v>
      </c>
    </row>
    <row r="18" spans="1:6" x14ac:dyDescent="0.35">
      <c r="A18" s="24">
        <f ca="1">IF(F17&lt;6,VLOOKUP(F17,A1:B5,2),IF(F18&lt;6,150,IF(F18&lt;8,125,IF(F18&lt;10,100,IF(F18&lt;20,(1000+(F18-10)*50)/F18,IF(F18&lt;30,(1500+(F18-20)*20)/F18,(1700+(F18-30)*10)/F18))))))</f>
        <v>100</v>
      </c>
      <c r="E18" t="s">
        <v>3503</v>
      </c>
      <c r="F18">
        <f>Gewicht/10</f>
        <v>10</v>
      </c>
    </row>
    <row r="20" spans="1:6" x14ac:dyDescent="0.35">
      <c r="A20" t="s">
        <v>1275</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3033</v>
      </c>
      <c r="B1" s="37" t="s">
        <v>2435</v>
      </c>
      <c r="C1" s="37" t="s">
        <v>2436</v>
      </c>
      <c r="D1" s="37" t="s">
        <v>982</v>
      </c>
      <c r="E1" s="37" t="s">
        <v>2437</v>
      </c>
      <c r="G1" s="106" t="s">
        <v>2174</v>
      </c>
      <c r="H1" s="106" t="s">
        <v>1255</v>
      </c>
    </row>
    <row r="2" spans="1:8" ht="25.65" x14ac:dyDescent="0.35">
      <c r="G2" s="106" t="s">
        <v>173</v>
      </c>
      <c r="H2" s="106" t="s">
        <v>619</v>
      </c>
    </row>
    <row r="3" spans="1:8" ht="25.65" x14ac:dyDescent="0.35">
      <c r="G3" s="106" t="s">
        <v>174</v>
      </c>
      <c r="H3" s="106" t="s">
        <v>620</v>
      </c>
    </row>
    <row r="4" spans="1:8" ht="25.65" x14ac:dyDescent="0.35">
      <c r="G4" s="106" t="s">
        <v>175</v>
      </c>
      <c r="H4" s="106" t="s">
        <v>621</v>
      </c>
    </row>
    <row r="5" spans="1:8" ht="25.65" x14ac:dyDescent="0.35">
      <c r="G5" s="106" t="s">
        <v>1196</v>
      </c>
      <c r="H5" s="106" t="s">
        <v>622</v>
      </c>
    </row>
    <row r="6" spans="1:8" ht="25.65" x14ac:dyDescent="0.35">
      <c r="G6" s="106" t="s">
        <v>1197</v>
      </c>
      <c r="H6" s="106" t="s">
        <v>623</v>
      </c>
    </row>
    <row r="7" spans="1:8" ht="25.65" x14ac:dyDescent="0.35">
      <c r="G7" s="106" t="s">
        <v>1198</v>
      </c>
      <c r="H7" s="106" t="s">
        <v>624</v>
      </c>
    </row>
    <row r="8" spans="1:8" ht="25.65" x14ac:dyDescent="0.35">
      <c r="G8" s="106" t="s">
        <v>3819</v>
      </c>
      <c r="H8" s="106" t="s">
        <v>625</v>
      </c>
    </row>
    <row r="9" spans="1:8" ht="25.65" x14ac:dyDescent="0.35">
      <c r="G9" s="106" t="s">
        <v>3820</v>
      </c>
      <c r="H9" s="106" t="s">
        <v>626</v>
      </c>
    </row>
    <row r="10" spans="1:8" ht="25.65" x14ac:dyDescent="0.35">
      <c r="G10" s="106" t="s">
        <v>3821</v>
      </c>
      <c r="H10" s="106" t="s">
        <v>627</v>
      </c>
    </row>
    <row r="11" spans="1:8" ht="25.65" x14ac:dyDescent="0.35">
      <c r="G11" s="106" t="s">
        <v>3822</v>
      </c>
      <c r="H11" s="106" t="s">
        <v>628</v>
      </c>
    </row>
    <row r="12" spans="1:8" ht="25.65" x14ac:dyDescent="0.35">
      <c r="G12" s="106" t="s">
        <v>3823</v>
      </c>
      <c r="H12" s="106" t="s">
        <v>629</v>
      </c>
    </row>
    <row r="13" spans="1:8" ht="25.65" x14ac:dyDescent="0.35">
      <c r="G13" s="106" t="s">
        <v>3824</v>
      </c>
      <c r="H13" s="106" t="s">
        <v>630</v>
      </c>
    </row>
    <row r="14" spans="1:8" ht="25.65" x14ac:dyDescent="0.35">
      <c r="G14" s="106" t="s">
        <v>3825</v>
      </c>
      <c r="H14" s="106" t="s">
        <v>3964</v>
      </c>
    </row>
    <row r="15" spans="1:8" ht="25.65" x14ac:dyDescent="0.35">
      <c r="G15" s="106" t="s">
        <v>3826</v>
      </c>
      <c r="H15" s="106" t="s">
        <v>3965</v>
      </c>
    </row>
    <row r="16" spans="1:8" ht="25.65" x14ac:dyDescent="0.35">
      <c r="G16" s="106" t="s">
        <v>3827</v>
      </c>
      <c r="H16" s="106" t="s">
        <v>3966</v>
      </c>
    </row>
    <row r="17" spans="7:8" ht="25.65" x14ac:dyDescent="0.35">
      <c r="G17" s="106" t="s">
        <v>2172</v>
      </c>
      <c r="H17" s="106" t="s">
        <v>3967</v>
      </c>
    </row>
    <row r="18" spans="7:8" ht="25.65" x14ac:dyDescent="0.35">
      <c r="G18" s="106" t="s">
        <v>2687</v>
      </c>
      <c r="H18" s="106" t="s">
        <v>591</v>
      </c>
    </row>
    <row r="19" spans="7:8" ht="25.65" x14ac:dyDescent="0.35">
      <c r="G19" s="106" t="s">
        <v>1173</v>
      </c>
      <c r="H19" s="106" t="s">
        <v>2862</v>
      </c>
    </row>
    <row r="20" spans="7:8" ht="25.65" x14ac:dyDescent="0.35">
      <c r="G20" s="106" t="s">
        <v>2863</v>
      </c>
      <c r="H20" s="106" t="s">
        <v>2864</v>
      </c>
    </row>
    <row r="21" spans="7:8" ht="25.65" x14ac:dyDescent="0.35">
      <c r="G21" s="106" t="s">
        <v>3719</v>
      </c>
      <c r="H21" s="106" t="s">
        <v>2865</v>
      </c>
    </row>
    <row r="22" spans="7:8" ht="25.65" x14ac:dyDescent="0.35">
      <c r="G22" s="106" t="s">
        <v>3720</v>
      </c>
      <c r="H22" s="106" t="s">
        <v>3915</v>
      </c>
    </row>
    <row r="23" spans="7:8" ht="25.65" x14ac:dyDescent="0.35">
      <c r="G23" s="106" t="s">
        <v>2130</v>
      </c>
      <c r="H23" s="106" t="s">
        <v>3916</v>
      </c>
    </row>
    <row r="24" spans="7:8" ht="25.65" x14ac:dyDescent="0.35">
      <c r="G24" s="106" t="s">
        <v>3917</v>
      </c>
      <c r="H24" s="106" t="s">
        <v>3918</v>
      </c>
    </row>
    <row r="25" spans="7:8" ht="38.450000000000003" x14ac:dyDescent="0.35">
      <c r="G25" s="106" t="s">
        <v>3520</v>
      </c>
      <c r="H25" s="106" t="s">
        <v>3521</v>
      </c>
    </row>
    <row r="26" spans="7:8" ht="25.65" x14ac:dyDescent="0.35">
      <c r="G26" s="106" t="s">
        <v>3522</v>
      </c>
      <c r="H26" s="106" t="s">
        <v>3523</v>
      </c>
    </row>
    <row r="27" spans="7:8" ht="25.65" x14ac:dyDescent="0.35">
      <c r="G27" s="106" t="s">
        <v>3524</v>
      </c>
      <c r="H27" s="106" t="s">
        <v>3525</v>
      </c>
    </row>
    <row r="28" spans="7:8" ht="25.65" x14ac:dyDescent="0.35">
      <c r="G28" s="106" t="s">
        <v>3526</v>
      </c>
      <c r="H28" s="106" t="s">
        <v>3631</v>
      </c>
    </row>
    <row r="29" spans="7:8" ht="25.65" x14ac:dyDescent="0.35">
      <c r="G29" s="106" t="s">
        <v>3632</v>
      </c>
      <c r="H29" s="106" t="s">
        <v>3633</v>
      </c>
    </row>
    <row r="30" spans="7:8" ht="25.65" x14ac:dyDescent="0.35">
      <c r="G30" s="106" t="s">
        <v>3634</v>
      </c>
      <c r="H30" s="106" t="s">
        <v>3635</v>
      </c>
    </row>
    <row r="31" spans="7:8" ht="25.65" x14ac:dyDescent="0.35">
      <c r="G31" s="106" t="s">
        <v>3683</v>
      </c>
      <c r="H31" s="106" t="s">
        <v>3684</v>
      </c>
    </row>
    <row r="32" spans="7:8" ht="25.65" x14ac:dyDescent="0.35">
      <c r="G32" s="106" t="s">
        <v>3685</v>
      </c>
      <c r="H32" s="106" t="s">
        <v>3686</v>
      </c>
    </row>
    <row r="33" spans="7:8" ht="25.65" x14ac:dyDescent="0.35">
      <c r="G33" s="106" t="s">
        <v>3687</v>
      </c>
      <c r="H33" s="106" t="s">
        <v>3688</v>
      </c>
    </row>
    <row r="34" spans="7:8" ht="38.450000000000003" x14ac:dyDescent="0.35">
      <c r="G34" s="106" t="s">
        <v>3689</v>
      </c>
      <c r="H34" s="106" t="s">
        <v>3690</v>
      </c>
    </row>
    <row r="35" spans="7:8" ht="25.65" x14ac:dyDescent="0.35">
      <c r="G35" s="106" t="s">
        <v>3640</v>
      </c>
      <c r="H35" s="106" t="s">
        <v>3691</v>
      </c>
    </row>
    <row r="36" spans="7:8" ht="25.65" x14ac:dyDescent="0.35">
      <c r="G36" s="106" t="s">
        <v>3645</v>
      </c>
      <c r="H36" s="106" t="s">
        <v>1733</v>
      </c>
    </row>
    <row r="37" spans="7:8" ht="38.450000000000003" x14ac:dyDescent="0.35">
      <c r="G37" s="106" t="s">
        <v>460</v>
      </c>
      <c r="H37" s="106" t="s">
        <v>1734</v>
      </c>
    </row>
    <row r="38" spans="7:8" ht="38.450000000000003" x14ac:dyDescent="0.35">
      <c r="G38" s="106" t="s">
        <v>461</v>
      </c>
      <c r="H38" s="106" t="s">
        <v>1735</v>
      </c>
    </row>
    <row r="39" spans="7:8" ht="38.450000000000003" x14ac:dyDescent="0.35">
      <c r="G39" s="106" t="s">
        <v>462</v>
      </c>
      <c r="H39" s="106" t="s">
        <v>2689</v>
      </c>
    </row>
    <row r="40" spans="7:8" ht="38.450000000000003" x14ac:dyDescent="0.35">
      <c r="G40" s="106" t="s">
        <v>463</v>
      </c>
      <c r="H40" s="106" t="s">
        <v>2690</v>
      </c>
    </row>
    <row r="41" spans="7:8" ht="38.450000000000003" x14ac:dyDescent="0.35">
      <c r="G41" s="106" t="s">
        <v>65</v>
      </c>
      <c r="H41" s="106" t="s">
        <v>2691</v>
      </c>
    </row>
    <row r="42" spans="7:8" ht="38.450000000000003" x14ac:dyDescent="0.35">
      <c r="G42" s="106" t="s">
        <v>66</v>
      </c>
      <c r="H42" s="106" t="s">
        <v>685</v>
      </c>
    </row>
    <row r="43" spans="7:8" ht="38.450000000000003" x14ac:dyDescent="0.35">
      <c r="G43" s="106" t="s">
        <v>3428</v>
      </c>
      <c r="H43" s="106" t="s">
        <v>1863</v>
      </c>
    </row>
    <row r="44" spans="7:8" ht="38.450000000000003" x14ac:dyDescent="0.35">
      <c r="G44" s="106" t="s">
        <v>3429</v>
      </c>
      <c r="H44" s="106" t="s">
        <v>1864</v>
      </c>
    </row>
    <row r="45" spans="7:8" ht="38.450000000000003" x14ac:dyDescent="0.35">
      <c r="G45" s="106" t="s">
        <v>3430</v>
      </c>
      <c r="H45" s="106" t="s">
        <v>1781</v>
      </c>
    </row>
    <row r="46" spans="7:8" ht="38.450000000000003" x14ac:dyDescent="0.35">
      <c r="G46" s="106" t="s">
        <v>3431</v>
      </c>
      <c r="H46" s="106" t="s">
        <v>1782</v>
      </c>
    </row>
    <row r="47" spans="7:8" ht="38.450000000000003" x14ac:dyDescent="0.35">
      <c r="G47" s="106" t="s">
        <v>2194</v>
      </c>
      <c r="H47" s="106" t="s">
        <v>1783</v>
      </c>
    </row>
    <row r="48" spans="7:8" ht="38.450000000000003" x14ac:dyDescent="0.35">
      <c r="G48" s="106" t="s">
        <v>2195</v>
      </c>
      <c r="H48" s="106" t="s">
        <v>1784</v>
      </c>
    </row>
    <row r="49" spans="7:8" ht="38.450000000000003" x14ac:dyDescent="0.35">
      <c r="G49" s="106" t="s">
        <v>2196</v>
      </c>
      <c r="H49" s="106" t="s">
        <v>1785</v>
      </c>
    </row>
    <row r="50" spans="7:8" ht="38.450000000000003" x14ac:dyDescent="0.35">
      <c r="G50" s="106" t="s">
        <v>2197</v>
      </c>
      <c r="H50" s="106" t="s">
        <v>1786</v>
      </c>
    </row>
    <row r="51" spans="7:8" ht="38.450000000000003" x14ac:dyDescent="0.35">
      <c r="G51" s="106" t="s">
        <v>367</v>
      </c>
      <c r="H51" s="106" t="s">
        <v>4153</v>
      </c>
    </row>
    <row r="52" spans="7:8" ht="38.450000000000003" x14ac:dyDescent="0.35">
      <c r="G52" s="106" t="s">
        <v>368</v>
      </c>
      <c r="H52" s="106" t="s">
        <v>4154</v>
      </c>
    </row>
    <row r="53" spans="7:8" ht="38.450000000000003" x14ac:dyDescent="0.35">
      <c r="G53" s="106" t="s">
        <v>369</v>
      </c>
      <c r="H53" s="106" t="s">
        <v>4155</v>
      </c>
    </row>
    <row r="54" spans="7:8" ht="38.450000000000003" x14ac:dyDescent="0.35">
      <c r="G54" s="106" t="s">
        <v>370</v>
      </c>
      <c r="H54" s="106" t="s">
        <v>1935</v>
      </c>
    </row>
    <row r="55" spans="7:8" ht="38.450000000000003" x14ac:dyDescent="0.35">
      <c r="G55" s="106" t="s">
        <v>371</v>
      </c>
      <c r="H55" s="106" t="s">
        <v>1936</v>
      </c>
    </row>
    <row r="56" spans="7:8" ht="38.450000000000003" x14ac:dyDescent="0.35">
      <c r="G56" s="106" t="s">
        <v>846</v>
      </c>
      <c r="H56" s="106" t="s">
        <v>1937</v>
      </c>
    </row>
    <row r="57" spans="7:8" ht="25.65" x14ac:dyDescent="0.35">
      <c r="G57" s="106" t="s">
        <v>3637</v>
      </c>
      <c r="H57" s="106" t="s">
        <v>1938</v>
      </c>
    </row>
    <row r="58" spans="7:8" ht="25.65" x14ac:dyDescent="0.35">
      <c r="G58" s="106" t="s">
        <v>3644</v>
      </c>
      <c r="H58" s="106" t="s">
        <v>1939</v>
      </c>
    </row>
    <row r="59" spans="7:8" ht="25.65" x14ac:dyDescent="0.35">
      <c r="G59" s="106" t="s">
        <v>1350</v>
      </c>
      <c r="H59" s="106" t="s">
        <v>1940</v>
      </c>
    </row>
    <row r="60" spans="7:8" ht="38.450000000000003" x14ac:dyDescent="0.35">
      <c r="G60" s="106" t="s">
        <v>847</v>
      </c>
      <c r="H60" s="106" t="s">
        <v>1941</v>
      </c>
    </row>
    <row r="61" spans="7:8" ht="38.450000000000003" x14ac:dyDescent="0.35">
      <c r="G61" s="106" t="s">
        <v>848</v>
      </c>
      <c r="H61" s="106" t="s">
        <v>1942</v>
      </c>
    </row>
    <row r="62" spans="7:8" ht="38.450000000000003" x14ac:dyDescent="0.35">
      <c r="G62" s="106" t="s">
        <v>849</v>
      </c>
      <c r="H62" s="106" t="s">
        <v>1943</v>
      </c>
    </row>
    <row r="63" spans="7:8" ht="38.450000000000003" x14ac:dyDescent="0.35">
      <c r="G63" s="106" t="s">
        <v>850</v>
      </c>
      <c r="H63" s="106" t="s">
        <v>1944</v>
      </c>
    </row>
    <row r="64" spans="7:8" ht="38.450000000000003" x14ac:dyDescent="0.35">
      <c r="G64" s="106" t="s">
        <v>851</v>
      </c>
      <c r="H64" s="106" t="s">
        <v>1945</v>
      </c>
    </row>
    <row r="65" spans="7:8" ht="38.450000000000003" x14ac:dyDescent="0.35">
      <c r="G65" s="106" t="s">
        <v>852</v>
      </c>
      <c r="H65" s="106" t="s">
        <v>1946</v>
      </c>
    </row>
    <row r="66" spans="7:8" ht="38.450000000000003" x14ac:dyDescent="0.35">
      <c r="G66" s="106" t="s">
        <v>853</v>
      </c>
      <c r="H66" s="106" t="s">
        <v>3456</v>
      </c>
    </row>
    <row r="67" spans="7:8" ht="38.450000000000003" x14ac:dyDescent="0.35">
      <c r="G67" s="106" t="s">
        <v>854</v>
      </c>
      <c r="H67" s="106" t="s">
        <v>3457</v>
      </c>
    </row>
    <row r="68" spans="7:8" ht="38.450000000000003" x14ac:dyDescent="0.35">
      <c r="G68" s="106" t="s">
        <v>855</v>
      </c>
      <c r="H68" s="106" t="s">
        <v>3458</v>
      </c>
    </row>
    <row r="69" spans="7:8" ht="38.450000000000003" x14ac:dyDescent="0.35">
      <c r="G69" s="106" t="s">
        <v>856</v>
      </c>
      <c r="H69" s="106" t="s">
        <v>3459</v>
      </c>
    </row>
    <row r="70" spans="7:8" ht="38.450000000000003" x14ac:dyDescent="0.35">
      <c r="G70" s="106" t="s">
        <v>857</v>
      </c>
      <c r="H70" s="106" t="s">
        <v>3460</v>
      </c>
    </row>
    <row r="71" spans="7:8" ht="38.450000000000003" x14ac:dyDescent="0.35">
      <c r="G71" s="106" t="s">
        <v>858</v>
      </c>
      <c r="H71" s="106" t="s">
        <v>4141</v>
      </c>
    </row>
    <row r="72" spans="7:8" ht="38.450000000000003" x14ac:dyDescent="0.35">
      <c r="G72" s="106" t="s">
        <v>859</v>
      </c>
      <c r="H72" s="106" t="s">
        <v>4142</v>
      </c>
    </row>
    <row r="73" spans="7:8" ht="38.450000000000003" x14ac:dyDescent="0.35">
      <c r="G73" s="106" t="s">
        <v>860</v>
      </c>
      <c r="H73" s="106" t="s">
        <v>4143</v>
      </c>
    </row>
    <row r="74" spans="7:8" ht="38.450000000000003" x14ac:dyDescent="0.35">
      <c r="G74" s="106" t="s">
        <v>861</v>
      </c>
      <c r="H74" s="106" t="s">
        <v>4144</v>
      </c>
    </row>
    <row r="75" spans="7:8" ht="38.450000000000003" x14ac:dyDescent="0.35">
      <c r="G75" s="106" t="s">
        <v>862</v>
      </c>
      <c r="H75" s="106" t="s">
        <v>4145</v>
      </c>
    </row>
    <row r="76" spans="7:8" ht="38.450000000000003" x14ac:dyDescent="0.35">
      <c r="G76" s="106" t="s">
        <v>863</v>
      </c>
      <c r="H76" s="106" t="s">
        <v>4146</v>
      </c>
    </row>
    <row r="77" spans="7:8" ht="38.450000000000003" x14ac:dyDescent="0.35">
      <c r="G77" s="106" t="s">
        <v>2260</v>
      </c>
      <c r="H77" s="106" t="s">
        <v>4147</v>
      </c>
    </row>
    <row r="78" spans="7:8" ht="38.450000000000003" x14ac:dyDescent="0.35">
      <c r="G78" s="106" t="s">
        <v>2261</v>
      </c>
      <c r="H78" s="106" t="s">
        <v>4148</v>
      </c>
    </row>
    <row r="79" spans="7:8" ht="38.450000000000003" x14ac:dyDescent="0.35">
      <c r="G79" s="106" t="s">
        <v>2328</v>
      </c>
      <c r="H79" s="106" t="s">
        <v>1878</v>
      </c>
    </row>
    <row r="80" spans="7:8" ht="25.65" x14ac:dyDescent="0.35">
      <c r="G80" s="106" t="s">
        <v>2331</v>
      </c>
      <c r="H80" s="106" t="s">
        <v>1879</v>
      </c>
    </row>
    <row r="81" spans="7:8" ht="25.65" x14ac:dyDescent="0.35">
      <c r="G81" s="106" t="s">
        <v>3651</v>
      </c>
      <c r="H81" s="106" t="s">
        <v>1880</v>
      </c>
    </row>
    <row r="82" spans="7:8" ht="25.65" x14ac:dyDescent="0.35">
      <c r="G82" s="106" t="s">
        <v>3638</v>
      </c>
      <c r="H82" s="106" t="s">
        <v>1881</v>
      </c>
    </row>
    <row r="83" spans="7:8" ht="25.65" x14ac:dyDescent="0.35">
      <c r="G83" s="106" t="s">
        <v>3642</v>
      </c>
      <c r="H83" s="106" t="s">
        <v>1882</v>
      </c>
    </row>
    <row r="84" spans="7:8" ht="25.65" x14ac:dyDescent="0.35">
      <c r="G84" s="106" t="s">
        <v>1602</v>
      </c>
      <c r="H84" s="106" t="s">
        <v>1883</v>
      </c>
    </row>
    <row r="85" spans="7:8" ht="25.65" x14ac:dyDescent="0.35">
      <c r="G85" s="106" t="s">
        <v>1603</v>
      </c>
      <c r="H85" s="106" t="s">
        <v>1884</v>
      </c>
    </row>
    <row r="86" spans="7:8" ht="25.65" x14ac:dyDescent="0.35">
      <c r="G86" s="106" t="s">
        <v>1604</v>
      </c>
      <c r="H86" s="106" t="s">
        <v>1885</v>
      </c>
    </row>
    <row r="87" spans="7:8" ht="25.65" x14ac:dyDescent="0.35">
      <c r="G87" s="106" t="s">
        <v>1605</v>
      </c>
      <c r="H87" s="106" t="s">
        <v>1886</v>
      </c>
    </row>
    <row r="88" spans="7:8" ht="25.65" x14ac:dyDescent="0.35">
      <c r="G88" s="106" t="s">
        <v>2176</v>
      </c>
      <c r="H88" s="106" t="s">
        <v>1887</v>
      </c>
    </row>
    <row r="89" spans="7:8" ht="25.65" x14ac:dyDescent="0.35">
      <c r="G89" s="106" t="s">
        <v>2762</v>
      </c>
      <c r="H89" s="106" t="s">
        <v>1888</v>
      </c>
    </row>
    <row r="90" spans="7:8" ht="25.65" x14ac:dyDescent="0.35">
      <c r="G90" s="106" t="s">
        <v>2686</v>
      </c>
      <c r="H90" s="106" t="s">
        <v>1889</v>
      </c>
    </row>
    <row r="91" spans="7:8" ht="25.65" x14ac:dyDescent="0.35">
      <c r="G91" s="106" t="s">
        <v>1570</v>
      </c>
      <c r="H91" s="106" t="s">
        <v>1890</v>
      </c>
    </row>
    <row r="92" spans="7:8" ht="25.65" x14ac:dyDescent="0.35">
      <c r="G92" s="106" t="s">
        <v>1571</v>
      </c>
      <c r="H92" s="106" t="s">
        <v>2236</v>
      </c>
    </row>
    <row r="93" spans="7:8" ht="25.65" x14ac:dyDescent="0.35">
      <c r="G93" s="106" t="s">
        <v>1572</v>
      </c>
      <c r="H93" s="106" t="s">
        <v>2237</v>
      </c>
    </row>
    <row r="94" spans="7:8" ht="25.65" x14ac:dyDescent="0.35">
      <c r="G94" s="106" t="s">
        <v>1573</v>
      </c>
      <c r="H94" s="106" t="s">
        <v>2238</v>
      </c>
    </row>
    <row r="95" spans="7:8" ht="25.65" x14ac:dyDescent="0.35">
      <c r="G95" s="106" t="s">
        <v>1574</v>
      </c>
      <c r="H95" s="106" t="s">
        <v>2239</v>
      </c>
    </row>
    <row r="96" spans="7:8" ht="25.65" x14ac:dyDescent="0.35">
      <c r="G96" s="106" t="s">
        <v>3773</v>
      </c>
      <c r="H96" s="106" t="s">
        <v>2240</v>
      </c>
    </row>
    <row r="97" spans="7:8" ht="25.65" x14ac:dyDescent="0.35">
      <c r="G97" s="106" t="s">
        <v>3643</v>
      </c>
      <c r="H97" s="106" t="s">
        <v>2241</v>
      </c>
    </row>
    <row r="98" spans="7:8" ht="25.65" x14ac:dyDescent="0.35">
      <c r="G98" s="106" t="s">
        <v>3774</v>
      </c>
      <c r="H98" s="106" t="s">
        <v>2529</v>
      </c>
    </row>
    <row r="99" spans="7:8" ht="25.65" x14ac:dyDescent="0.35">
      <c r="G99" s="106" t="s">
        <v>3775</v>
      </c>
      <c r="H99" s="106" t="s">
        <v>2530</v>
      </c>
    </row>
    <row r="100" spans="7:8" ht="25.65" x14ac:dyDescent="0.35">
      <c r="G100" s="106" t="s">
        <v>3776</v>
      </c>
      <c r="H100" s="106" t="s">
        <v>3166</v>
      </c>
    </row>
    <row r="101" spans="7:8" ht="25.65" x14ac:dyDescent="0.35">
      <c r="G101" s="106" t="s">
        <v>3777</v>
      </c>
      <c r="H101" s="106" t="s">
        <v>3167</v>
      </c>
    </row>
    <row r="102" spans="7:8" ht="25.65" x14ac:dyDescent="0.35">
      <c r="G102" s="106" t="s">
        <v>3778</v>
      </c>
      <c r="H102" s="106" t="s">
        <v>796</v>
      </c>
    </row>
    <row r="103" spans="7:8" ht="25.65" x14ac:dyDescent="0.35">
      <c r="G103" s="106" t="s">
        <v>3779</v>
      </c>
      <c r="H103" s="106" t="s">
        <v>213</v>
      </c>
    </row>
    <row r="104" spans="7:8" ht="25.65" x14ac:dyDescent="0.35">
      <c r="G104" s="106" t="s">
        <v>3780</v>
      </c>
      <c r="H104" s="106" t="s">
        <v>1536</v>
      </c>
    </row>
    <row r="105" spans="7:8" ht="25.65" x14ac:dyDescent="0.35">
      <c r="G105" s="106" t="s">
        <v>3781</v>
      </c>
      <c r="H105" s="106" t="s">
        <v>3568</v>
      </c>
    </row>
    <row r="106" spans="7:8" ht="25.65" x14ac:dyDescent="0.35">
      <c r="G106" s="106" t="s">
        <v>3782</v>
      </c>
      <c r="H106" s="106" t="s">
        <v>3569</v>
      </c>
    </row>
    <row r="107" spans="7:8" ht="25.65" x14ac:dyDescent="0.35">
      <c r="G107" s="106" t="s">
        <v>3783</v>
      </c>
      <c r="H107" s="106" t="s">
        <v>3570</v>
      </c>
    </row>
    <row r="108" spans="7:8" ht="25.65" x14ac:dyDescent="0.35">
      <c r="G108" s="106" t="s">
        <v>3784</v>
      </c>
      <c r="H108" s="106" t="s">
        <v>3571</v>
      </c>
    </row>
    <row r="109" spans="7:8" ht="25.65" x14ac:dyDescent="0.35">
      <c r="G109" s="106" t="s">
        <v>3785</v>
      </c>
      <c r="H109" s="106" t="s">
        <v>3572</v>
      </c>
    </row>
    <row r="110" spans="7:8" ht="25.65" x14ac:dyDescent="0.35">
      <c r="G110" s="106" t="s">
        <v>2184</v>
      </c>
      <c r="H110" s="106" t="s">
        <v>710</v>
      </c>
    </row>
    <row r="111" spans="7:8" ht="25.65" x14ac:dyDescent="0.35">
      <c r="G111" s="106" t="s">
        <v>4082</v>
      </c>
      <c r="H111" s="106" t="s">
        <v>711</v>
      </c>
    </row>
    <row r="112" spans="7:8" ht="25.65" x14ac:dyDescent="0.35">
      <c r="G112" s="106" t="s">
        <v>4083</v>
      </c>
      <c r="H112" s="106" t="s">
        <v>712</v>
      </c>
    </row>
    <row r="113" spans="7:8" ht="25.65" x14ac:dyDescent="0.35">
      <c r="G113" s="106" t="s">
        <v>4084</v>
      </c>
      <c r="H113" s="106" t="s">
        <v>2805</v>
      </c>
    </row>
    <row r="114" spans="7:8" ht="25.65" x14ac:dyDescent="0.35">
      <c r="G114" s="106" t="s">
        <v>4085</v>
      </c>
      <c r="H114" s="106" t="s">
        <v>2806</v>
      </c>
    </row>
    <row r="115" spans="7:8" ht="25.65" x14ac:dyDescent="0.35">
      <c r="G115" s="106" t="s">
        <v>4086</v>
      </c>
      <c r="H115" s="106" t="s">
        <v>2807</v>
      </c>
    </row>
    <row r="116" spans="7:8" ht="25.65" x14ac:dyDescent="0.35">
      <c r="G116" s="106" t="s">
        <v>4087</v>
      </c>
      <c r="H116" s="106" t="s">
        <v>2808</v>
      </c>
    </row>
    <row r="117" spans="7:8" ht="25.65" x14ac:dyDescent="0.35">
      <c r="G117" s="106" t="s">
        <v>4088</v>
      </c>
      <c r="H117" s="106" t="s">
        <v>2809</v>
      </c>
    </row>
    <row r="118" spans="7:8" ht="25.65" x14ac:dyDescent="0.35">
      <c r="G118" s="106" t="s">
        <v>1678</v>
      </c>
      <c r="H118" s="106" t="s">
        <v>2810</v>
      </c>
    </row>
    <row r="119" spans="7:8" ht="25.65" x14ac:dyDescent="0.35">
      <c r="G119" s="106" t="s">
        <v>2215</v>
      </c>
      <c r="H119" s="106" t="s">
        <v>2811</v>
      </c>
    </row>
    <row r="120" spans="7:8" ht="25.65" x14ac:dyDescent="0.35">
      <c r="G120" s="106" t="s">
        <v>3219</v>
      </c>
      <c r="H120" s="106" t="s">
        <v>2812</v>
      </c>
    </row>
    <row r="121" spans="7:8" ht="25.65" x14ac:dyDescent="0.35">
      <c r="G121" s="106" t="s">
        <v>3222</v>
      </c>
      <c r="H121" s="106" t="s">
        <v>2813</v>
      </c>
    </row>
    <row r="122" spans="7:8" ht="25.65" x14ac:dyDescent="0.35">
      <c r="G122" s="106" t="s">
        <v>464</v>
      </c>
      <c r="H122" s="106" t="s">
        <v>2814</v>
      </c>
    </row>
    <row r="123" spans="7:8" ht="25.65" x14ac:dyDescent="0.35">
      <c r="G123" s="106" t="s">
        <v>465</v>
      </c>
      <c r="H123" s="106" t="s">
        <v>2815</v>
      </c>
    </row>
    <row r="124" spans="7:8" ht="25.65" x14ac:dyDescent="0.35">
      <c r="G124" s="106" t="s">
        <v>1380</v>
      </c>
      <c r="H124" s="106" t="s">
        <v>2816</v>
      </c>
    </row>
    <row r="125" spans="7:8" ht="25.65" x14ac:dyDescent="0.35">
      <c r="G125" s="106" t="s">
        <v>3588</v>
      </c>
      <c r="H125" s="106" t="s">
        <v>2817</v>
      </c>
    </row>
    <row r="126" spans="7:8" ht="25.65" x14ac:dyDescent="0.35">
      <c r="G126" s="106" t="s">
        <v>1381</v>
      </c>
      <c r="H126" s="106" t="s">
        <v>2818</v>
      </c>
    </row>
    <row r="127" spans="7:8" ht="25.65" x14ac:dyDescent="0.35">
      <c r="G127" s="106" t="s">
        <v>3589</v>
      </c>
      <c r="H127" s="106" t="s">
        <v>2819</v>
      </c>
    </row>
    <row r="128" spans="7:8" ht="25.65" x14ac:dyDescent="0.35">
      <c r="G128" s="106" t="s">
        <v>1606</v>
      </c>
      <c r="H128" s="106" t="s">
        <v>2820</v>
      </c>
    </row>
    <row r="129" spans="7:8" ht="25.65" x14ac:dyDescent="0.35">
      <c r="G129" s="106" t="s">
        <v>1607</v>
      </c>
      <c r="H129" s="106" t="s">
        <v>3513</v>
      </c>
    </row>
    <row r="130" spans="7:8" ht="25.65" x14ac:dyDescent="0.35">
      <c r="G130" s="106" t="s">
        <v>1608</v>
      </c>
      <c r="H130" s="106" t="s">
        <v>4030</v>
      </c>
    </row>
    <row r="131" spans="7:8" ht="25.65" x14ac:dyDescent="0.35">
      <c r="G131" s="106" t="s">
        <v>1609</v>
      </c>
      <c r="H131" s="106" t="s">
        <v>4031</v>
      </c>
    </row>
    <row r="132" spans="7:8" ht="25.65" x14ac:dyDescent="0.35">
      <c r="G132" s="106" t="s">
        <v>3117</v>
      </c>
      <c r="H132" s="106" t="s">
        <v>4032</v>
      </c>
    </row>
    <row r="133" spans="7:8" ht="25.65" x14ac:dyDescent="0.35">
      <c r="G133" s="106" t="s">
        <v>381</v>
      </c>
      <c r="H133" s="106" t="s">
        <v>4033</v>
      </c>
    </row>
    <row r="134" spans="7:8" ht="25.65" x14ac:dyDescent="0.35">
      <c r="G134" s="106" t="s">
        <v>2968</v>
      </c>
      <c r="H134" s="106" t="s">
        <v>4034</v>
      </c>
    </row>
    <row r="135" spans="7:8" ht="25.65" x14ac:dyDescent="0.35">
      <c r="G135" s="106" t="s">
        <v>1715</v>
      </c>
      <c r="H135" s="106" t="s">
        <v>4035</v>
      </c>
    </row>
    <row r="136" spans="7:8" ht="25.65" x14ac:dyDescent="0.35">
      <c r="G136" s="106" t="s">
        <v>1716</v>
      </c>
      <c r="H136" s="106" t="s">
        <v>4036</v>
      </c>
    </row>
    <row r="137" spans="7:8" ht="25.65" x14ac:dyDescent="0.35">
      <c r="G137" s="106" t="s">
        <v>3615</v>
      </c>
      <c r="H137" s="106" t="s">
        <v>4037</v>
      </c>
    </row>
    <row r="138" spans="7:8" ht="25.65" x14ac:dyDescent="0.35">
      <c r="G138" s="106" t="s">
        <v>3616</v>
      </c>
      <c r="H138" s="106" t="s">
        <v>4038</v>
      </c>
    </row>
    <row r="139" spans="7:8" ht="25.65" x14ac:dyDescent="0.35">
      <c r="G139" s="106" t="s">
        <v>2994</v>
      </c>
      <c r="H139" s="106" t="s">
        <v>4039</v>
      </c>
    </row>
    <row r="140" spans="7:8" ht="25.65" x14ac:dyDescent="0.35">
      <c r="G140" s="106" t="s">
        <v>3591</v>
      </c>
      <c r="H140" s="106" t="s">
        <v>1730</v>
      </c>
    </row>
    <row r="141" spans="7:8" ht="25.65" x14ac:dyDescent="0.35">
      <c r="G141" s="106" t="s">
        <v>3592</v>
      </c>
      <c r="H141" s="106" t="s">
        <v>1731</v>
      </c>
    </row>
    <row r="142" spans="7:8" ht="25.65" x14ac:dyDescent="0.35">
      <c r="G142" s="106" t="s">
        <v>2995</v>
      </c>
      <c r="H142" s="106" t="s">
        <v>1732</v>
      </c>
    </row>
    <row r="143" spans="7:8" ht="25.65" x14ac:dyDescent="0.35">
      <c r="G143" s="106" t="s">
        <v>2996</v>
      </c>
      <c r="H143" s="106" t="s">
        <v>1859</v>
      </c>
    </row>
    <row r="144" spans="7:8" ht="25.65" x14ac:dyDescent="0.35">
      <c r="G144" s="106" t="s">
        <v>2997</v>
      </c>
      <c r="H144" s="106" t="s">
        <v>1860</v>
      </c>
    </row>
    <row r="145" spans="7:8" ht="25.65" x14ac:dyDescent="0.35">
      <c r="G145" s="106" t="s">
        <v>2998</v>
      </c>
      <c r="H145" s="106" t="s">
        <v>1861</v>
      </c>
    </row>
    <row r="146" spans="7:8" ht="25.65" x14ac:dyDescent="0.35">
      <c r="G146" s="106" t="s">
        <v>2999</v>
      </c>
      <c r="H146" s="106" t="s">
        <v>1862</v>
      </c>
    </row>
    <row r="147" spans="7:8" ht="25.65" x14ac:dyDescent="0.35">
      <c r="G147" s="106" t="s">
        <v>3147</v>
      </c>
      <c r="H147" s="106" t="s">
        <v>3618</v>
      </c>
    </row>
    <row r="148" spans="7:8" ht="25.65" x14ac:dyDescent="0.35">
      <c r="G148" s="106" t="s">
        <v>3148</v>
      </c>
      <c r="H148" s="106" t="s">
        <v>3619</v>
      </c>
    </row>
    <row r="149" spans="7:8" ht="25.65" x14ac:dyDescent="0.35">
      <c r="G149" s="106" t="s">
        <v>3149</v>
      </c>
      <c r="H149" s="106" t="s">
        <v>1895</v>
      </c>
    </row>
    <row r="150" spans="7:8" ht="25.65" x14ac:dyDescent="0.35">
      <c r="G150" s="106" t="s">
        <v>3150</v>
      </c>
      <c r="H150" s="106" t="s">
        <v>1896</v>
      </c>
    </row>
    <row r="151" spans="7:8" ht="25.65" x14ac:dyDescent="0.35">
      <c r="G151" s="106" t="s">
        <v>3151</v>
      </c>
      <c r="H151" s="106" t="s">
        <v>1897</v>
      </c>
    </row>
    <row r="152" spans="7:8" ht="25.65" x14ac:dyDescent="0.35">
      <c r="G152" s="106" t="s">
        <v>3152</v>
      </c>
      <c r="H152" s="106" t="s">
        <v>1898</v>
      </c>
    </row>
    <row r="153" spans="7:8" ht="25.65" x14ac:dyDescent="0.35">
      <c r="G153" s="106" t="s">
        <v>3153</v>
      </c>
      <c r="H153" s="106" t="s">
        <v>1899</v>
      </c>
    </row>
    <row r="154" spans="7:8" ht="25.65" x14ac:dyDescent="0.35">
      <c r="G154" s="106" t="s">
        <v>3154</v>
      </c>
      <c r="H154" s="106" t="s">
        <v>1900</v>
      </c>
    </row>
    <row r="155" spans="7:8" ht="25.65" x14ac:dyDescent="0.35">
      <c r="G155" s="106" t="s">
        <v>3155</v>
      </c>
      <c r="H155" s="106" t="s">
        <v>1901</v>
      </c>
    </row>
    <row r="156" spans="7:8" ht="25.65" x14ac:dyDescent="0.35">
      <c r="G156" s="106" t="s">
        <v>3593</v>
      </c>
      <c r="H156" s="106" t="s">
        <v>1902</v>
      </c>
    </row>
    <row r="157" spans="7:8" ht="25.65" x14ac:dyDescent="0.35">
      <c r="G157" s="106" t="s">
        <v>3594</v>
      </c>
      <c r="H157" s="106" t="s">
        <v>137</v>
      </c>
    </row>
    <row r="158" spans="7:8" ht="25.65" x14ac:dyDescent="0.35">
      <c r="G158" s="106" t="s">
        <v>3156</v>
      </c>
      <c r="H158" s="106" t="s">
        <v>138</v>
      </c>
    </row>
    <row r="159" spans="7:8" ht="25.65" x14ac:dyDescent="0.35">
      <c r="G159" s="106" t="s">
        <v>3157</v>
      </c>
      <c r="H159" s="106" t="s">
        <v>139</v>
      </c>
    </row>
    <row r="160" spans="7:8" ht="25.65" x14ac:dyDescent="0.35">
      <c r="G160" s="106" t="s">
        <v>3158</v>
      </c>
      <c r="H160" s="106" t="s">
        <v>140</v>
      </c>
    </row>
    <row r="161" spans="7:8" ht="25.65" x14ac:dyDescent="0.35">
      <c r="G161" s="106" t="s">
        <v>3159</v>
      </c>
      <c r="H161" s="106" t="s">
        <v>991</v>
      </c>
    </row>
    <row r="162" spans="7:8" ht="25.65" x14ac:dyDescent="0.35">
      <c r="G162" s="106" t="s">
        <v>3160</v>
      </c>
      <c r="H162" s="106" t="s">
        <v>2866</v>
      </c>
    </row>
    <row r="163" spans="7:8" ht="25.65" x14ac:dyDescent="0.35">
      <c r="G163" s="106" t="s">
        <v>3161</v>
      </c>
      <c r="H163" s="106" t="s">
        <v>3315</v>
      </c>
    </row>
    <row r="164" spans="7:8" ht="25.65" x14ac:dyDescent="0.35">
      <c r="G164" s="106" t="s">
        <v>3162</v>
      </c>
      <c r="H164" s="106" t="s">
        <v>3316</v>
      </c>
    </row>
    <row r="165" spans="7:8" ht="25.65" x14ac:dyDescent="0.35">
      <c r="G165" s="106" t="s">
        <v>3030</v>
      </c>
      <c r="H165" s="106" t="s">
        <v>3266</v>
      </c>
    </row>
    <row r="166" spans="7:8" ht="25.65" x14ac:dyDescent="0.35">
      <c r="G166" s="106" t="s">
        <v>2432</v>
      </c>
      <c r="H166" s="106" t="s">
        <v>3267</v>
      </c>
    </row>
    <row r="167" spans="7:8" ht="25.65" x14ac:dyDescent="0.35">
      <c r="G167" s="106" t="s">
        <v>2433</v>
      </c>
      <c r="H167" s="106" t="s">
        <v>3268</v>
      </c>
    </row>
    <row r="168" spans="7:8" ht="25.65" x14ac:dyDescent="0.35">
      <c r="G168" s="106" t="s">
        <v>2434</v>
      </c>
      <c r="H168" s="106" t="s">
        <v>3269</v>
      </c>
    </row>
    <row r="169" spans="7:8" ht="25.65" x14ac:dyDescent="0.35">
      <c r="G169" s="106" t="s">
        <v>1161</v>
      </c>
      <c r="H169" s="106" t="s">
        <v>3270</v>
      </c>
    </row>
    <row r="170" spans="7:8" ht="25.65" x14ac:dyDescent="0.35">
      <c r="G170" s="106" t="s">
        <v>1162</v>
      </c>
      <c r="H170" s="106" t="s">
        <v>1199</v>
      </c>
    </row>
    <row r="171" spans="7:8" ht="25.65" x14ac:dyDescent="0.35">
      <c r="G171" s="106" t="s">
        <v>2856</v>
      </c>
      <c r="H171" s="106" t="s">
        <v>1200</v>
      </c>
    </row>
    <row r="172" spans="7:8" ht="25.65" x14ac:dyDescent="0.35">
      <c r="G172" s="106" t="s">
        <v>1643</v>
      </c>
      <c r="H172" s="106" t="s">
        <v>1201</v>
      </c>
    </row>
    <row r="173" spans="7:8" ht="25.65" x14ac:dyDescent="0.35">
      <c r="G173" s="106" t="s">
        <v>1644</v>
      </c>
      <c r="H173" s="106" t="s">
        <v>1202</v>
      </c>
    </row>
    <row r="174" spans="7:8" ht="25.65" x14ac:dyDescent="0.35">
      <c r="G174" s="106" t="s">
        <v>2857</v>
      </c>
      <c r="H174" s="106" t="s">
        <v>1203</v>
      </c>
    </row>
    <row r="175" spans="7:8" ht="25.65" x14ac:dyDescent="0.35">
      <c r="G175" s="106" t="s">
        <v>2665</v>
      </c>
      <c r="H175" s="106" t="s">
        <v>1204</v>
      </c>
    </row>
    <row r="176" spans="7:8" ht="25.65" x14ac:dyDescent="0.35">
      <c r="G176" s="106" t="s">
        <v>3216</v>
      </c>
      <c r="H176" s="106" t="s">
        <v>1205</v>
      </c>
    </row>
    <row r="177" spans="7:8" ht="25.65" x14ac:dyDescent="0.35">
      <c r="G177" s="106" t="s">
        <v>3217</v>
      </c>
      <c r="H177" s="106" t="s">
        <v>1206</v>
      </c>
    </row>
    <row r="178" spans="7:8" ht="25.65" x14ac:dyDescent="0.35">
      <c r="G178" s="106" t="s">
        <v>1034</v>
      </c>
      <c r="H178" s="106" t="s">
        <v>1207</v>
      </c>
    </row>
    <row r="179" spans="7:8" ht="25.65" x14ac:dyDescent="0.35">
      <c r="G179" s="106" t="s">
        <v>141</v>
      </c>
      <c r="H179" s="106" t="s">
        <v>1208</v>
      </c>
    </row>
    <row r="180" spans="7:8" ht="25.65" x14ac:dyDescent="0.35">
      <c r="G180" s="106" t="s">
        <v>142</v>
      </c>
      <c r="H180" s="106" t="s">
        <v>1209</v>
      </c>
    </row>
    <row r="181" spans="7:8" ht="25.65" x14ac:dyDescent="0.35">
      <c r="G181" s="106" t="s">
        <v>143</v>
      </c>
      <c r="H181" s="106" t="s">
        <v>1210</v>
      </c>
    </row>
    <row r="182" spans="7:8" ht="25.65" x14ac:dyDescent="0.35">
      <c r="G182" s="106" t="s">
        <v>144</v>
      </c>
      <c r="H182" s="106" t="s">
        <v>1211</v>
      </c>
    </row>
    <row r="183" spans="7:8" ht="25.65" x14ac:dyDescent="0.35">
      <c r="G183" s="106" t="s">
        <v>4013</v>
      </c>
      <c r="H183" s="106" t="s">
        <v>3767</v>
      </c>
    </row>
    <row r="184" spans="7:8" ht="25.65" x14ac:dyDescent="0.35">
      <c r="G184" s="106" t="s">
        <v>1009</v>
      </c>
      <c r="H184" s="106" t="s">
        <v>3768</v>
      </c>
    </row>
    <row r="185" spans="7:8" ht="25.65" x14ac:dyDescent="0.35">
      <c r="G185" s="106" t="s">
        <v>411</v>
      </c>
      <c r="H185" s="106" t="s">
        <v>1547</v>
      </c>
    </row>
    <row r="186" spans="7:8" ht="25.65" x14ac:dyDescent="0.35">
      <c r="G186" s="106" t="s">
        <v>412</v>
      </c>
      <c r="H186" s="106" t="s">
        <v>1548</v>
      </c>
    </row>
    <row r="187" spans="7:8" ht="25.65" x14ac:dyDescent="0.35">
      <c r="G187" s="106" t="s">
        <v>904</v>
      </c>
      <c r="H187" s="106" t="s">
        <v>1549</v>
      </c>
    </row>
    <row r="188" spans="7:8" ht="25.65" x14ac:dyDescent="0.35">
      <c r="G188" s="106" t="s">
        <v>1645</v>
      </c>
      <c r="H188" s="106" t="s">
        <v>1550</v>
      </c>
    </row>
    <row r="189" spans="7:8" ht="25.65" x14ac:dyDescent="0.35">
      <c r="G189" s="106" t="s">
        <v>1646</v>
      </c>
      <c r="H189" s="106" t="s">
        <v>1551</v>
      </c>
    </row>
    <row r="190" spans="7:8" ht="25.65" x14ac:dyDescent="0.35">
      <c r="G190" s="106" t="s">
        <v>905</v>
      </c>
      <c r="H190" s="106" t="s">
        <v>1552</v>
      </c>
    </row>
    <row r="191" spans="7:8" ht="25.65" x14ac:dyDescent="0.35">
      <c r="G191" s="106" t="s">
        <v>906</v>
      </c>
      <c r="H191" s="106" t="s">
        <v>1553</v>
      </c>
    </row>
    <row r="192" spans="7:8" ht="25.65" x14ac:dyDescent="0.35">
      <c r="G192" s="106" t="s">
        <v>907</v>
      </c>
      <c r="H192" s="106" t="s">
        <v>1554</v>
      </c>
    </row>
    <row r="193" spans="7:8" ht="25.65" x14ac:dyDescent="0.35">
      <c r="G193" s="106" t="s">
        <v>908</v>
      </c>
      <c r="H193" s="106" t="s">
        <v>1555</v>
      </c>
    </row>
    <row r="194" spans="7:8" ht="25.65" x14ac:dyDescent="0.35">
      <c r="G194" s="106" t="s">
        <v>909</v>
      </c>
      <c r="H194" s="106" t="s">
        <v>1556</v>
      </c>
    </row>
    <row r="195" spans="7:8" ht="25.65" x14ac:dyDescent="0.35">
      <c r="G195" s="106" t="s">
        <v>422</v>
      </c>
      <c r="H195" s="106" t="s">
        <v>3707</v>
      </c>
    </row>
    <row r="196" spans="7:8" ht="25.65" x14ac:dyDescent="0.35">
      <c r="G196" s="106" t="s">
        <v>3531</v>
      </c>
      <c r="H196" s="106" t="s">
        <v>3708</v>
      </c>
    </row>
    <row r="197" spans="7:8" ht="25.65" x14ac:dyDescent="0.35">
      <c r="G197" s="106" t="s">
        <v>3532</v>
      </c>
      <c r="H197" s="106" t="s">
        <v>3709</v>
      </c>
    </row>
    <row r="198" spans="7:8" ht="25.65" x14ac:dyDescent="0.35">
      <c r="G198" s="106" t="s">
        <v>1308</v>
      </c>
      <c r="H198" s="106" t="s">
        <v>3710</v>
      </c>
    </row>
    <row r="199" spans="7:8" ht="25.65" x14ac:dyDescent="0.35">
      <c r="G199" s="106" t="s">
        <v>1309</v>
      </c>
      <c r="H199" s="106" t="s">
        <v>3711</v>
      </c>
    </row>
    <row r="200" spans="7:8" ht="25.65" x14ac:dyDescent="0.35">
      <c r="G200" s="106" t="s">
        <v>1310</v>
      </c>
      <c r="H200" s="106" t="s">
        <v>3712</v>
      </c>
    </row>
    <row r="201" spans="7:8" ht="25.65" x14ac:dyDescent="0.35">
      <c r="G201" s="106" t="s">
        <v>797</v>
      </c>
      <c r="H201" s="106" t="s">
        <v>3048</v>
      </c>
    </row>
    <row r="202" spans="7:8" ht="25.65" x14ac:dyDescent="0.35">
      <c r="G202" s="106" t="s">
        <v>1833</v>
      </c>
      <c r="H202" s="106" t="s">
        <v>3049</v>
      </c>
    </row>
    <row r="203" spans="7:8" ht="25.65" x14ac:dyDescent="0.35">
      <c r="G203" s="106" t="s">
        <v>1834</v>
      </c>
      <c r="H203" s="106" t="s">
        <v>3050</v>
      </c>
    </row>
    <row r="204" spans="7:8" ht="25.65" x14ac:dyDescent="0.35">
      <c r="G204" s="106" t="s">
        <v>1647</v>
      </c>
      <c r="H204" s="106" t="s">
        <v>3051</v>
      </c>
    </row>
    <row r="205" spans="7:8" ht="25.65" x14ac:dyDescent="0.35">
      <c r="G205" s="106" t="s">
        <v>1648</v>
      </c>
      <c r="H205" s="106" t="s">
        <v>3052</v>
      </c>
    </row>
    <row r="206" spans="7:8" ht="25.65" x14ac:dyDescent="0.35">
      <c r="G206" s="106" t="s">
        <v>799</v>
      </c>
      <c r="H206" s="106" t="s">
        <v>3053</v>
      </c>
    </row>
    <row r="207" spans="7:8" ht="25.65" x14ac:dyDescent="0.35">
      <c r="G207" s="106" t="s">
        <v>800</v>
      </c>
      <c r="H207" s="106" t="s">
        <v>3054</v>
      </c>
    </row>
    <row r="208" spans="7:8" ht="25.65" x14ac:dyDescent="0.35">
      <c r="G208" s="106" t="s">
        <v>801</v>
      </c>
      <c r="H208" s="106" t="s">
        <v>3055</v>
      </c>
    </row>
    <row r="209" spans="7:8" ht="25.65" x14ac:dyDescent="0.35">
      <c r="G209" s="106" t="s">
        <v>802</v>
      </c>
      <c r="H209" s="106" t="s">
        <v>2518</v>
      </c>
    </row>
    <row r="210" spans="7:8" ht="25.65" x14ac:dyDescent="0.35">
      <c r="G210" s="106" t="s">
        <v>803</v>
      </c>
      <c r="H210" s="106" t="s">
        <v>2519</v>
      </c>
    </row>
    <row r="211" spans="7:8" ht="25.65" x14ac:dyDescent="0.35">
      <c r="G211" s="106" t="s">
        <v>804</v>
      </c>
      <c r="H211" s="106" t="s">
        <v>2520</v>
      </c>
    </row>
    <row r="212" spans="7:8" ht="25.65" x14ac:dyDescent="0.35">
      <c r="G212" s="106" t="s">
        <v>805</v>
      </c>
      <c r="H212" s="106" t="s">
        <v>2489</v>
      </c>
    </row>
    <row r="213" spans="7:8" ht="25.65" x14ac:dyDescent="0.35">
      <c r="G213" s="106" t="s">
        <v>981</v>
      </c>
      <c r="H213" s="106" t="s">
        <v>3381</v>
      </c>
    </row>
    <row r="214" spans="7:8" ht="25.65" x14ac:dyDescent="0.35">
      <c r="G214" s="106" t="s">
        <v>3828</v>
      </c>
      <c r="H214" s="106" t="s">
        <v>3382</v>
      </c>
    </row>
    <row r="215" spans="7:8" ht="25.65" x14ac:dyDescent="0.35">
      <c r="G215" s="106" t="s">
        <v>3829</v>
      </c>
      <c r="H215" s="106" t="s">
        <v>3038</v>
      </c>
    </row>
    <row r="216" spans="7:8" ht="25.65" x14ac:dyDescent="0.35">
      <c r="G216" s="106" t="s">
        <v>3830</v>
      </c>
      <c r="H216" s="106" t="s">
        <v>3039</v>
      </c>
    </row>
    <row r="217" spans="7:8" ht="25.65" x14ac:dyDescent="0.35">
      <c r="G217" s="106" t="s">
        <v>3831</v>
      </c>
      <c r="H217" s="106" t="s">
        <v>3040</v>
      </c>
    </row>
    <row r="218" spans="7:8" ht="25.65" x14ac:dyDescent="0.35">
      <c r="G218" s="106" t="s">
        <v>3832</v>
      </c>
      <c r="H218" s="106" t="s">
        <v>216</v>
      </c>
    </row>
    <row r="219" spans="7:8" ht="25.65" x14ac:dyDescent="0.35">
      <c r="G219" s="106" t="s">
        <v>3833</v>
      </c>
      <c r="H219" s="106" t="s">
        <v>217</v>
      </c>
    </row>
    <row r="220" spans="7:8" ht="25.65" x14ac:dyDescent="0.35">
      <c r="G220" s="106" t="s">
        <v>3834</v>
      </c>
      <c r="H220" s="106" t="s">
        <v>218</v>
      </c>
    </row>
    <row r="221" spans="7:8" ht="25.65" x14ac:dyDescent="0.35">
      <c r="G221" s="106" t="s">
        <v>3835</v>
      </c>
      <c r="H221" s="106" t="s">
        <v>219</v>
      </c>
    </row>
    <row r="222" spans="7:8" ht="25.65" x14ac:dyDescent="0.35">
      <c r="G222" s="106" t="s">
        <v>3836</v>
      </c>
      <c r="H222" s="106" t="s">
        <v>220</v>
      </c>
    </row>
    <row r="223" spans="7:8" ht="25.65" x14ac:dyDescent="0.35">
      <c r="G223" s="106" t="s">
        <v>3837</v>
      </c>
      <c r="H223" s="106" t="s">
        <v>221</v>
      </c>
    </row>
    <row r="224" spans="7:8" ht="25.65" x14ac:dyDescent="0.35">
      <c r="G224" s="106" t="s">
        <v>1566</v>
      </c>
      <c r="H224" s="106" t="s">
        <v>222</v>
      </c>
    </row>
    <row r="225" spans="7:8" ht="25.65" x14ac:dyDescent="0.35">
      <c r="G225" s="106" t="s">
        <v>1567</v>
      </c>
      <c r="H225" s="106" t="s">
        <v>223</v>
      </c>
    </row>
    <row r="226" spans="7:8" ht="25.65" x14ac:dyDescent="0.35">
      <c r="G226" s="106" t="s">
        <v>1568</v>
      </c>
      <c r="H226" s="106" t="s">
        <v>224</v>
      </c>
    </row>
    <row r="227" spans="7:8" ht="25.65" x14ac:dyDescent="0.35">
      <c r="G227" s="106" t="s">
        <v>1569</v>
      </c>
      <c r="H227" s="106" t="s">
        <v>225</v>
      </c>
    </row>
    <row r="228" spans="7:8" ht="25.65" x14ac:dyDescent="0.35">
      <c r="G228" s="106" t="s">
        <v>2911</v>
      </c>
      <c r="H228" s="106" t="s">
        <v>226</v>
      </c>
    </row>
    <row r="229" spans="7:8" ht="25.65" x14ac:dyDescent="0.35">
      <c r="G229" s="106" t="s">
        <v>2912</v>
      </c>
      <c r="H229" s="106" t="s">
        <v>227</v>
      </c>
    </row>
    <row r="230" spans="7:8" ht="25.65" x14ac:dyDescent="0.35">
      <c r="G230" s="106" t="s">
        <v>1348</v>
      </c>
      <c r="H230" s="106" t="s">
        <v>228</v>
      </c>
    </row>
    <row r="231" spans="7:8" ht="25.65" x14ac:dyDescent="0.35">
      <c r="G231" s="106" t="s">
        <v>3403</v>
      </c>
      <c r="H231" s="106" t="s">
        <v>229</v>
      </c>
    </row>
    <row r="232" spans="7:8" ht="38.450000000000003" x14ac:dyDescent="0.35">
      <c r="G232" s="106" t="s">
        <v>453</v>
      </c>
      <c r="H232" s="106" t="s">
        <v>1734</v>
      </c>
    </row>
    <row r="233" spans="7:8" ht="38.450000000000003" x14ac:dyDescent="0.35">
      <c r="G233" s="106" t="s">
        <v>454</v>
      </c>
      <c r="H233" s="106" t="s">
        <v>1735</v>
      </c>
    </row>
    <row r="234" spans="7:8" ht="38.450000000000003" x14ac:dyDescent="0.35">
      <c r="G234" s="106" t="s">
        <v>1736</v>
      </c>
      <c r="H234" s="106" t="s">
        <v>2689</v>
      </c>
    </row>
    <row r="235" spans="7:8" ht="38.450000000000003" x14ac:dyDescent="0.35">
      <c r="G235" s="106" t="s">
        <v>1611</v>
      </c>
      <c r="H235" s="106" t="s">
        <v>2690</v>
      </c>
    </row>
    <row r="236" spans="7:8" ht="38.450000000000003" x14ac:dyDescent="0.35">
      <c r="G236" s="106" t="s">
        <v>1612</v>
      </c>
      <c r="H236" s="106" t="s">
        <v>2691</v>
      </c>
    </row>
    <row r="237" spans="7:8" ht="38.450000000000003" x14ac:dyDescent="0.35">
      <c r="G237" s="106" t="s">
        <v>1613</v>
      </c>
      <c r="H237" s="106" t="s">
        <v>685</v>
      </c>
    </row>
    <row r="238" spans="7:8" ht="38.450000000000003" x14ac:dyDescent="0.35">
      <c r="G238" s="106" t="s">
        <v>729</v>
      </c>
      <c r="H238" s="106" t="s">
        <v>1863</v>
      </c>
    </row>
    <row r="239" spans="7:8" ht="38.450000000000003" x14ac:dyDescent="0.35">
      <c r="G239" s="106" t="s">
        <v>730</v>
      </c>
      <c r="H239" s="106" t="s">
        <v>1864</v>
      </c>
    </row>
    <row r="240" spans="7:8" ht="38.450000000000003" x14ac:dyDescent="0.35">
      <c r="G240" s="106" t="s">
        <v>731</v>
      </c>
      <c r="H240" s="106" t="s">
        <v>1781</v>
      </c>
    </row>
    <row r="241" spans="7:8" ht="38.450000000000003" x14ac:dyDescent="0.35">
      <c r="G241" s="106" t="s">
        <v>3324</v>
      </c>
      <c r="H241" s="106" t="s">
        <v>1782</v>
      </c>
    </row>
    <row r="242" spans="7:8" ht="38.450000000000003" x14ac:dyDescent="0.35">
      <c r="G242" s="106" t="s">
        <v>3325</v>
      </c>
      <c r="H242" s="106" t="s">
        <v>1783</v>
      </c>
    </row>
    <row r="243" spans="7:8" ht="38.450000000000003" x14ac:dyDescent="0.35">
      <c r="G243" s="106" t="s">
        <v>3326</v>
      </c>
      <c r="H243" s="106" t="s">
        <v>1784</v>
      </c>
    </row>
    <row r="244" spans="7:8" ht="38.450000000000003" x14ac:dyDescent="0.35">
      <c r="G244" s="106" t="s">
        <v>3327</v>
      </c>
      <c r="H244" s="106" t="s">
        <v>1785</v>
      </c>
    </row>
    <row r="245" spans="7:8" ht="38.450000000000003" x14ac:dyDescent="0.35">
      <c r="G245" s="106" t="s">
        <v>3328</v>
      </c>
      <c r="H245" s="106" t="s">
        <v>1786</v>
      </c>
    </row>
    <row r="246" spans="7:8" ht="38.450000000000003" x14ac:dyDescent="0.35">
      <c r="G246" s="106" t="s">
        <v>2546</v>
      </c>
      <c r="H246" s="106" t="s">
        <v>4153</v>
      </c>
    </row>
    <row r="247" spans="7:8" ht="38.450000000000003" x14ac:dyDescent="0.35">
      <c r="G247" s="106" t="s">
        <v>2547</v>
      </c>
      <c r="H247" s="106" t="s">
        <v>4154</v>
      </c>
    </row>
    <row r="248" spans="7:8" ht="38.450000000000003" x14ac:dyDescent="0.35">
      <c r="G248" s="106" t="s">
        <v>2548</v>
      </c>
      <c r="H248" s="106" t="s">
        <v>4155</v>
      </c>
    </row>
    <row r="249" spans="7:8" ht="38.450000000000003" x14ac:dyDescent="0.35">
      <c r="G249" s="106" t="s">
        <v>2549</v>
      </c>
      <c r="H249" s="106" t="s">
        <v>1935</v>
      </c>
    </row>
    <row r="250" spans="7:8" ht="38.450000000000003" x14ac:dyDescent="0.35">
      <c r="G250" s="106" t="s">
        <v>2888</v>
      </c>
      <c r="H250" s="106" t="s">
        <v>1936</v>
      </c>
    </row>
    <row r="251" spans="7:8" ht="38.450000000000003" x14ac:dyDescent="0.35">
      <c r="G251" s="106" t="s">
        <v>2889</v>
      </c>
      <c r="H251" s="106" t="s">
        <v>1937</v>
      </c>
    </row>
    <row r="252" spans="7:8" ht="38.450000000000003" x14ac:dyDescent="0.35">
      <c r="G252" s="106" t="s">
        <v>1650</v>
      </c>
      <c r="H252" s="106" t="s">
        <v>230</v>
      </c>
    </row>
    <row r="253" spans="7:8" ht="38.450000000000003" x14ac:dyDescent="0.35">
      <c r="G253" s="106" t="s">
        <v>1651</v>
      </c>
      <c r="H253" s="106" t="s">
        <v>231</v>
      </c>
    </row>
    <row r="254" spans="7:8" ht="38.450000000000003" x14ac:dyDescent="0.35">
      <c r="G254" s="106" t="s">
        <v>1652</v>
      </c>
      <c r="H254" s="106" t="s">
        <v>3752</v>
      </c>
    </row>
    <row r="255" spans="7:8" ht="38.450000000000003" x14ac:dyDescent="0.35">
      <c r="G255" s="106" t="s">
        <v>1653</v>
      </c>
      <c r="H255" s="106" t="s">
        <v>3753</v>
      </c>
    </row>
    <row r="256" spans="7:8" ht="38.450000000000003" x14ac:dyDescent="0.35">
      <c r="G256" s="106" t="s">
        <v>1654</v>
      </c>
      <c r="H256" s="106" t="s">
        <v>3754</v>
      </c>
    </row>
    <row r="257" spans="7:8" ht="38.450000000000003" x14ac:dyDescent="0.35">
      <c r="G257" s="106" t="s">
        <v>1655</v>
      </c>
      <c r="H257" s="106" t="s">
        <v>3755</v>
      </c>
    </row>
    <row r="258" spans="7:8" ht="38.450000000000003" x14ac:dyDescent="0.35">
      <c r="G258" s="106" t="s">
        <v>3329</v>
      </c>
      <c r="H258" s="106" t="s">
        <v>3756</v>
      </c>
    </row>
    <row r="259" spans="7:8" ht="38.450000000000003" x14ac:dyDescent="0.35">
      <c r="G259" s="106" t="s">
        <v>3330</v>
      </c>
      <c r="H259" s="106" t="s">
        <v>3757</v>
      </c>
    </row>
    <row r="260" spans="7:8" ht="38.450000000000003" x14ac:dyDescent="0.35">
      <c r="G260" s="106" t="s">
        <v>3331</v>
      </c>
      <c r="H260" s="106" t="s">
        <v>3758</v>
      </c>
    </row>
    <row r="261" spans="7:8" ht="38.450000000000003" x14ac:dyDescent="0.35">
      <c r="G261" s="106" t="s">
        <v>3332</v>
      </c>
      <c r="H261" s="106" t="s">
        <v>3759</v>
      </c>
    </row>
    <row r="262" spans="7:8" ht="38.450000000000003" x14ac:dyDescent="0.35">
      <c r="G262" s="106" t="s">
        <v>2262</v>
      </c>
      <c r="H262" s="106" t="s">
        <v>161</v>
      </c>
    </row>
    <row r="263" spans="7:8" ht="38.450000000000003" x14ac:dyDescent="0.35">
      <c r="G263" s="106" t="s">
        <v>2263</v>
      </c>
      <c r="H263" s="106" t="s">
        <v>1683</v>
      </c>
    </row>
    <row r="264" spans="7:8" ht="38.450000000000003" x14ac:dyDescent="0.35">
      <c r="G264" s="106" t="s">
        <v>2264</v>
      </c>
      <c r="H264" s="106" t="s">
        <v>1684</v>
      </c>
    </row>
    <row r="265" spans="7:8" ht="38.450000000000003" x14ac:dyDescent="0.35">
      <c r="G265" s="106" t="s">
        <v>4207</v>
      </c>
      <c r="H265" s="106" t="s">
        <v>1685</v>
      </c>
    </row>
    <row r="266" spans="7:8" ht="38.450000000000003" x14ac:dyDescent="0.35">
      <c r="G266" s="106" t="s">
        <v>1748</v>
      </c>
      <c r="H266" s="106" t="s">
        <v>1686</v>
      </c>
    </row>
    <row r="267" spans="7:8" ht="38.450000000000003" x14ac:dyDescent="0.35">
      <c r="G267" s="106" t="s">
        <v>1749</v>
      </c>
      <c r="H267" s="106" t="s">
        <v>1687</v>
      </c>
    </row>
    <row r="268" spans="7:8" ht="38.450000000000003" x14ac:dyDescent="0.35">
      <c r="G268" s="106" t="s">
        <v>1750</v>
      </c>
      <c r="H268" s="106" t="s">
        <v>1688</v>
      </c>
    </row>
    <row r="269" spans="7:8" ht="38.450000000000003" x14ac:dyDescent="0.35">
      <c r="G269" s="106" t="s">
        <v>3870</v>
      </c>
      <c r="H269" s="106" t="s">
        <v>1689</v>
      </c>
    </row>
    <row r="270" spans="7:8" ht="38.450000000000003" x14ac:dyDescent="0.35">
      <c r="G270" s="106" t="s">
        <v>3871</v>
      </c>
      <c r="H270" s="106" t="s">
        <v>1690</v>
      </c>
    </row>
    <row r="271" spans="7:8" ht="38.450000000000003" x14ac:dyDescent="0.35">
      <c r="G271" s="106" t="s">
        <v>3872</v>
      </c>
      <c r="H271" s="106" t="s">
        <v>1691</v>
      </c>
    </row>
    <row r="272" spans="7:8" ht="25.65" x14ac:dyDescent="0.35">
      <c r="G272" s="106" t="s">
        <v>3873</v>
      </c>
      <c r="H272" s="106" t="s">
        <v>1692</v>
      </c>
    </row>
    <row r="273" spans="7:8" ht="25.65" x14ac:dyDescent="0.35">
      <c r="G273" s="106" t="s">
        <v>3874</v>
      </c>
      <c r="H273" s="106" t="s">
        <v>1693</v>
      </c>
    </row>
    <row r="274" spans="7:8" ht="25.65" x14ac:dyDescent="0.35">
      <c r="G274" s="106" t="s">
        <v>3875</v>
      </c>
      <c r="H274" s="106" t="s">
        <v>1694</v>
      </c>
    </row>
    <row r="275" spans="7:8" ht="25.65" x14ac:dyDescent="0.35">
      <c r="G275" s="106" t="s">
        <v>3876</v>
      </c>
      <c r="H275" s="106" t="s">
        <v>1695</v>
      </c>
    </row>
    <row r="276" spans="7:8" ht="25.65" x14ac:dyDescent="0.35">
      <c r="G276" s="106" t="s">
        <v>3877</v>
      </c>
      <c r="H276" s="106" t="s">
        <v>1696</v>
      </c>
    </row>
    <row r="277" spans="7:8" ht="25.65" x14ac:dyDescent="0.35">
      <c r="G277" s="106" t="s">
        <v>4022</v>
      </c>
      <c r="H277" s="106" t="s">
        <v>1697</v>
      </c>
    </row>
    <row r="278" spans="7:8" ht="25.65" x14ac:dyDescent="0.35">
      <c r="G278" s="106" t="s">
        <v>4023</v>
      </c>
      <c r="H278" s="106" t="s">
        <v>1698</v>
      </c>
    </row>
    <row r="279" spans="7:8" ht="25.65" x14ac:dyDescent="0.35">
      <c r="G279" s="106" t="s">
        <v>4024</v>
      </c>
      <c r="H279" s="106" t="s">
        <v>1699</v>
      </c>
    </row>
    <row r="280" spans="7:8" ht="25.65" x14ac:dyDescent="0.35">
      <c r="G280" s="106" t="s">
        <v>4025</v>
      </c>
      <c r="H280" s="106" t="s">
        <v>1700</v>
      </c>
    </row>
    <row r="281" spans="7:8" ht="25.65" x14ac:dyDescent="0.35">
      <c r="G281" s="106" t="s">
        <v>4026</v>
      </c>
      <c r="H281" s="106" t="s">
        <v>1701</v>
      </c>
    </row>
    <row r="282" spans="7:8" ht="25.65" x14ac:dyDescent="0.35">
      <c r="G282" s="106" t="s">
        <v>4027</v>
      </c>
      <c r="H282" s="106" t="s">
        <v>1702</v>
      </c>
    </row>
    <row r="283" spans="7:8" ht="25.65" x14ac:dyDescent="0.35">
      <c r="G283" s="106" t="s">
        <v>4028</v>
      </c>
      <c r="H283" s="106" t="s">
        <v>1703</v>
      </c>
    </row>
    <row r="284" spans="7:8" ht="25.65" x14ac:dyDescent="0.35">
      <c r="G284" s="106" t="s">
        <v>2316</v>
      </c>
      <c r="H284" s="106" t="s">
        <v>1704</v>
      </c>
    </row>
    <row r="285" spans="7:8" ht="25.65" x14ac:dyDescent="0.35">
      <c r="G285" s="106" t="s">
        <v>2317</v>
      </c>
      <c r="H285" s="106" t="s">
        <v>1705</v>
      </c>
    </row>
    <row r="286" spans="7:8" ht="25.65" x14ac:dyDescent="0.35">
      <c r="G286" s="106" t="s">
        <v>2318</v>
      </c>
      <c r="H286" s="106" t="s">
        <v>1706</v>
      </c>
    </row>
    <row r="287" spans="7:8" ht="25.65" x14ac:dyDescent="0.35">
      <c r="G287" s="106" t="s">
        <v>2319</v>
      </c>
      <c r="H287" s="106" t="s">
        <v>1707</v>
      </c>
    </row>
    <row r="288" spans="7:8" ht="25.65" x14ac:dyDescent="0.35">
      <c r="G288" s="106" t="s">
        <v>2320</v>
      </c>
      <c r="H288" s="106" t="s">
        <v>1708</v>
      </c>
    </row>
    <row r="289" spans="7:8" ht="25.65" x14ac:dyDescent="0.35">
      <c r="G289" s="106" t="s">
        <v>2321</v>
      </c>
      <c r="H289" s="106" t="s">
        <v>1709</v>
      </c>
    </row>
    <row r="290" spans="7:8" ht="25.65" x14ac:dyDescent="0.35">
      <c r="G290" s="106" t="s">
        <v>2322</v>
      </c>
      <c r="H290" s="106" t="s">
        <v>1710</v>
      </c>
    </row>
    <row r="291" spans="7:8" ht="25.65" x14ac:dyDescent="0.35">
      <c r="G291" s="106" t="s">
        <v>2323</v>
      </c>
      <c r="H291" s="106" t="s">
        <v>1711</v>
      </c>
    </row>
    <row r="292" spans="7:8" ht="25.65" x14ac:dyDescent="0.35">
      <c r="G292" s="106" t="s">
        <v>2324</v>
      </c>
      <c r="H292" s="106" t="s">
        <v>1711</v>
      </c>
    </row>
    <row r="293" spans="7:8" ht="25.65" x14ac:dyDescent="0.35">
      <c r="G293" s="106" t="s">
        <v>2325</v>
      </c>
      <c r="H293" s="106" t="s">
        <v>1233</v>
      </c>
    </row>
    <row r="294" spans="7:8" ht="25.65" x14ac:dyDescent="0.35">
      <c r="G294" s="106" t="s">
        <v>2326</v>
      </c>
      <c r="H294" s="106" t="s">
        <v>1234</v>
      </c>
    </row>
    <row r="295" spans="7:8" ht="25.65" x14ac:dyDescent="0.35">
      <c r="G295" s="106" t="s">
        <v>2348</v>
      </c>
      <c r="H295" s="106" t="s">
        <v>1235</v>
      </c>
    </row>
    <row r="296" spans="7:8" ht="25.65" x14ac:dyDescent="0.35">
      <c r="G296" s="106" t="s">
        <v>4190</v>
      </c>
      <c r="H296" s="106" t="s">
        <v>1236</v>
      </c>
    </row>
    <row r="297" spans="7:8" ht="25.65" x14ac:dyDescent="0.35">
      <c r="G297" s="106" t="s">
        <v>4191</v>
      </c>
      <c r="H297" s="106" t="s">
        <v>1237</v>
      </c>
    </row>
    <row r="298" spans="7:8" ht="25.65" x14ac:dyDescent="0.35">
      <c r="G298" s="106" t="s">
        <v>2727</v>
      </c>
      <c r="H298" s="106" t="s">
        <v>1238</v>
      </c>
    </row>
    <row r="299" spans="7:8" ht="25.65" x14ac:dyDescent="0.35">
      <c r="G299" s="106" t="s">
        <v>2728</v>
      </c>
      <c r="H299" s="106" t="s">
        <v>1239</v>
      </c>
    </row>
    <row r="300" spans="7:8" ht="25.65" x14ac:dyDescent="0.35">
      <c r="G300" s="106" t="s">
        <v>2729</v>
      </c>
      <c r="H300" s="106" t="s">
        <v>1240</v>
      </c>
    </row>
    <row r="301" spans="7:8" ht="25.65" x14ac:dyDescent="0.35">
      <c r="G301" s="106" t="s">
        <v>4183</v>
      </c>
      <c r="H301" s="106" t="s">
        <v>1241</v>
      </c>
    </row>
    <row r="302" spans="7:8" ht="25.65" x14ac:dyDescent="0.35">
      <c r="G302" s="106" t="s">
        <v>2497</v>
      </c>
      <c r="H302" s="106" t="s">
        <v>3732</v>
      </c>
    </row>
    <row r="303" spans="7:8" ht="25.65" x14ac:dyDescent="0.35">
      <c r="G303" s="106" t="s">
        <v>2498</v>
      </c>
      <c r="H303" s="106" t="s">
        <v>3733</v>
      </c>
    </row>
    <row r="304" spans="7:8" ht="25.65" x14ac:dyDescent="0.35">
      <c r="G304" s="106" t="s">
        <v>2499</v>
      </c>
      <c r="H304" s="106" t="s">
        <v>3734</v>
      </c>
    </row>
    <row r="305" spans="7:8" ht="25.65" x14ac:dyDescent="0.35">
      <c r="G305" s="106" t="s">
        <v>3722</v>
      </c>
      <c r="H305" s="106" t="s">
        <v>3735</v>
      </c>
    </row>
    <row r="306" spans="7:8" ht="25.65" x14ac:dyDescent="0.35">
      <c r="G306" s="106" t="s">
        <v>3723</v>
      </c>
      <c r="H306" s="106" t="s">
        <v>3736</v>
      </c>
    </row>
    <row r="307" spans="7:8" ht="25.65" x14ac:dyDescent="0.35">
      <c r="G307" s="106" t="s">
        <v>3724</v>
      </c>
      <c r="H307" s="106" t="s">
        <v>3737</v>
      </c>
    </row>
    <row r="308" spans="7:8" ht="25.65" x14ac:dyDescent="0.35">
      <c r="G308" s="106" t="s">
        <v>3725</v>
      </c>
      <c r="H308" s="106" t="s">
        <v>3738</v>
      </c>
    </row>
    <row r="309" spans="7:8" ht="25.65" x14ac:dyDescent="0.35">
      <c r="G309" s="106" t="s">
        <v>3313</v>
      </c>
      <c r="H309" s="106" t="s">
        <v>3739</v>
      </c>
    </row>
    <row r="310" spans="7:8" ht="25.65" x14ac:dyDescent="0.35">
      <c r="G310" s="106" t="s">
        <v>3624</v>
      </c>
      <c r="H310" s="106" t="s">
        <v>3740</v>
      </c>
    </row>
    <row r="311" spans="7:8" ht="25.65" x14ac:dyDescent="0.35">
      <c r="G311" s="106" t="s">
        <v>3625</v>
      </c>
      <c r="H311" s="106" t="s">
        <v>3741</v>
      </c>
    </row>
    <row r="312" spans="7:8" ht="25.65" x14ac:dyDescent="0.35">
      <c r="G312" s="106" t="s">
        <v>3626</v>
      </c>
      <c r="H312" s="106" t="s">
        <v>3742</v>
      </c>
    </row>
    <row r="313" spans="7:8" ht="25.65" x14ac:dyDescent="0.35">
      <c r="G313" s="106" t="s">
        <v>3627</v>
      </c>
      <c r="H313" s="106" t="s">
        <v>3743</v>
      </c>
    </row>
    <row r="314" spans="7:8" ht="25.65" x14ac:dyDescent="0.35">
      <c r="G314" s="106" t="s">
        <v>3311</v>
      </c>
      <c r="H314" s="106" t="s">
        <v>3744</v>
      </c>
    </row>
    <row r="315" spans="7:8" ht="25.65" x14ac:dyDescent="0.35">
      <c r="G315" s="106" t="s">
        <v>3312</v>
      </c>
      <c r="H315" s="106" t="s">
        <v>3745</v>
      </c>
    </row>
    <row r="316" spans="7:8" ht="25.65" x14ac:dyDescent="0.35">
      <c r="G316" s="106" t="s">
        <v>3298</v>
      </c>
      <c r="H316" s="106" t="s">
        <v>3746</v>
      </c>
    </row>
    <row r="317" spans="7:8" ht="25.65" x14ac:dyDescent="0.35">
      <c r="G317" s="106" t="s">
        <v>3299</v>
      </c>
      <c r="H317" s="106" t="s">
        <v>3935</v>
      </c>
    </row>
    <row r="318" spans="7:8" ht="25.65" x14ac:dyDescent="0.35">
      <c r="G318" s="106" t="s">
        <v>3300</v>
      </c>
      <c r="H318" s="106" t="s">
        <v>3936</v>
      </c>
    </row>
    <row r="319" spans="7:8" ht="25.65" x14ac:dyDescent="0.35">
      <c r="G319" s="106" t="s">
        <v>3199</v>
      </c>
      <c r="H319" s="106" t="s">
        <v>3937</v>
      </c>
    </row>
    <row r="320" spans="7:8" ht="25.65" x14ac:dyDescent="0.35">
      <c r="G320" s="106" t="s">
        <v>3200</v>
      </c>
      <c r="H320" s="106" t="s">
        <v>3938</v>
      </c>
    </row>
    <row r="321" spans="7:8" ht="25.65" x14ac:dyDescent="0.35">
      <c r="G321" s="106" t="s">
        <v>3201</v>
      </c>
      <c r="H321" s="106" t="s">
        <v>3939</v>
      </c>
    </row>
    <row r="322" spans="7:8" ht="25.65" x14ac:dyDescent="0.35">
      <c r="G322" s="106" t="s">
        <v>3202</v>
      </c>
      <c r="H322" s="106" t="s">
        <v>3940</v>
      </c>
    </row>
    <row r="323" spans="7:8" ht="25.65" x14ac:dyDescent="0.35">
      <c r="G323" s="106" t="s">
        <v>3203</v>
      </c>
      <c r="H323" s="106" t="s">
        <v>3941</v>
      </c>
    </row>
    <row r="324" spans="7:8" ht="25.65" x14ac:dyDescent="0.35">
      <c r="G324" s="106" t="s">
        <v>3975</v>
      </c>
      <c r="H324" s="106" t="s">
        <v>3942</v>
      </c>
    </row>
    <row r="325" spans="7:8" ht="25.65" x14ac:dyDescent="0.35">
      <c r="G325" s="106" t="s">
        <v>3976</v>
      </c>
      <c r="H325" s="106" t="s">
        <v>3943</v>
      </c>
    </row>
    <row r="326" spans="7:8" ht="25.65" x14ac:dyDescent="0.35">
      <c r="G326" s="106" t="s">
        <v>3977</v>
      </c>
      <c r="H326" s="106" t="s">
        <v>3944</v>
      </c>
    </row>
    <row r="327" spans="7:8" ht="25.65" x14ac:dyDescent="0.35">
      <c r="G327" s="106" t="s">
        <v>3978</v>
      </c>
      <c r="H327" s="106" t="s">
        <v>3945</v>
      </c>
    </row>
    <row r="328" spans="7:8" ht="25.65" x14ac:dyDescent="0.35">
      <c r="G328" s="106" t="s">
        <v>3979</v>
      </c>
      <c r="H328" s="106" t="s">
        <v>2359</v>
      </c>
    </row>
    <row r="329" spans="7:8" ht="25.65" x14ac:dyDescent="0.35">
      <c r="G329" s="106" t="s">
        <v>3980</v>
      </c>
      <c r="H329" s="106" t="s">
        <v>2360</v>
      </c>
    </row>
    <row r="330" spans="7:8" ht="25.65" x14ac:dyDescent="0.35">
      <c r="G330" s="106" t="s">
        <v>3981</v>
      </c>
      <c r="H330" s="106" t="s">
        <v>2361</v>
      </c>
    </row>
    <row r="331" spans="7:8" ht="25.65" x14ac:dyDescent="0.35">
      <c r="G331" s="106" t="s">
        <v>3982</v>
      </c>
      <c r="H331" s="106" t="s">
        <v>2362</v>
      </c>
    </row>
    <row r="332" spans="7:8" ht="25.65" x14ac:dyDescent="0.35">
      <c r="G332" s="106" t="s">
        <v>3983</v>
      </c>
      <c r="H332" s="106" t="s">
        <v>2363</v>
      </c>
    </row>
    <row r="333" spans="7:8" ht="25.65" x14ac:dyDescent="0.35">
      <c r="G333" s="106" t="s">
        <v>3984</v>
      </c>
      <c r="H333" s="106" t="s">
        <v>2364</v>
      </c>
    </row>
    <row r="334" spans="7:8" ht="25.65" x14ac:dyDescent="0.35">
      <c r="G334" s="106" t="s">
        <v>3985</v>
      </c>
      <c r="H334" s="106" t="s">
        <v>2365</v>
      </c>
    </row>
    <row r="335" spans="7:8" ht="25.65" x14ac:dyDescent="0.35">
      <c r="G335" s="106" t="s">
        <v>3986</v>
      </c>
      <c r="H335" s="106" t="s">
        <v>2366</v>
      </c>
    </row>
    <row r="336" spans="7:8" ht="25.65" x14ac:dyDescent="0.35">
      <c r="G336" s="106" t="s">
        <v>3987</v>
      </c>
      <c r="H336" s="106" t="s">
        <v>2367</v>
      </c>
    </row>
    <row r="337" spans="7:8" ht="25.65" x14ac:dyDescent="0.35">
      <c r="G337" s="106" t="s">
        <v>2836</v>
      </c>
      <c r="H337" s="106" t="s">
        <v>2368</v>
      </c>
    </row>
    <row r="338" spans="7:8" ht="25.65" x14ac:dyDescent="0.35">
      <c r="G338" s="106" t="s">
        <v>2837</v>
      </c>
      <c r="H338" s="106" t="s">
        <v>2369</v>
      </c>
    </row>
    <row r="339" spans="7:8" ht="25.65" x14ac:dyDescent="0.35">
      <c r="G339" s="106" t="s">
        <v>2838</v>
      </c>
      <c r="H339" s="106" t="s">
        <v>2370</v>
      </c>
    </row>
    <row r="340" spans="7:8" ht="25.65" x14ac:dyDescent="0.35">
      <c r="G340" s="106" t="s">
        <v>1226</v>
      </c>
      <c r="H340" s="106" t="s">
        <v>2371</v>
      </c>
    </row>
    <row r="341" spans="7:8" ht="38.450000000000003" x14ac:dyDescent="0.35">
      <c r="G341" s="106" t="s">
        <v>2372</v>
      </c>
      <c r="H341" s="106" t="s">
        <v>2373</v>
      </c>
    </row>
    <row r="342" spans="7:8" ht="38.450000000000003" x14ac:dyDescent="0.35">
      <c r="G342" s="106" t="s">
        <v>1227</v>
      </c>
      <c r="H342" s="106" t="s">
        <v>3071</v>
      </c>
    </row>
    <row r="343" spans="7:8" ht="38.450000000000003" x14ac:dyDescent="0.35">
      <c r="G343" s="106" t="s">
        <v>1228</v>
      </c>
      <c r="H343" s="106" t="s">
        <v>3072</v>
      </c>
    </row>
    <row r="344" spans="7:8" ht="38.450000000000003" x14ac:dyDescent="0.35">
      <c r="G344" s="106" t="s">
        <v>1229</v>
      </c>
      <c r="H344" s="106" t="s">
        <v>3073</v>
      </c>
    </row>
    <row r="345" spans="7:8" ht="38.450000000000003" x14ac:dyDescent="0.35">
      <c r="G345" s="106" t="s">
        <v>1230</v>
      </c>
      <c r="H345" s="106" t="s">
        <v>3074</v>
      </c>
    </row>
    <row r="346" spans="7:8" ht="38.450000000000003" x14ac:dyDescent="0.35">
      <c r="G346" s="106" t="s">
        <v>1231</v>
      </c>
      <c r="H346" s="106" t="s">
        <v>3075</v>
      </c>
    </row>
    <row r="347" spans="7:8" ht="38.450000000000003" x14ac:dyDescent="0.35">
      <c r="G347" s="106" t="s">
        <v>2839</v>
      </c>
      <c r="H347" s="106" t="s">
        <v>3076</v>
      </c>
    </row>
    <row r="348" spans="7:8" ht="38.450000000000003" x14ac:dyDescent="0.35">
      <c r="G348" s="106" t="s">
        <v>2840</v>
      </c>
      <c r="H348" s="106" t="s">
        <v>3077</v>
      </c>
    </row>
    <row r="349" spans="7:8" ht="38.450000000000003" x14ac:dyDescent="0.35">
      <c r="G349" s="106" t="s">
        <v>2841</v>
      </c>
      <c r="H349" s="106" t="s">
        <v>3078</v>
      </c>
    </row>
    <row r="350" spans="7:8" ht="38.450000000000003" x14ac:dyDescent="0.35">
      <c r="G350" s="106" t="s">
        <v>1947</v>
      </c>
      <c r="H350" s="106" t="s">
        <v>3079</v>
      </c>
    </row>
    <row r="351" spans="7:8" ht="38.450000000000003" x14ac:dyDescent="0.35">
      <c r="G351" s="106" t="s">
        <v>1948</v>
      </c>
      <c r="H351" s="106" t="s">
        <v>3080</v>
      </c>
    </row>
    <row r="352" spans="7:8" ht="38.450000000000003" x14ac:dyDescent="0.35">
      <c r="G352" s="106" t="s">
        <v>1949</v>
      </c>
      <c r="H352" s="106" t="s">
        <v>1975</v>
      </c>
    </row>
    <row r="353" spans="7:8" ht="38.450000000000003" x14ac:dyDescent="0.35">
      <c r="G353" s="106" t="s">
        <v>1950</v>
      </c>
      <c r="H353" s="106" t="s">
        <v>1976</v>
      </c>
    </row>
    <row r="354" spans="7:8" ht="38.450000000000003" x14ac:dyDescent="0.35">
      <c r="G354" s="106" t="s">
        <v>1951</v>
      </c>
      <c r="H354" s="106" t="s">
        <v>1977</v>
      </c>
    </row>
    <row r="355" spans="7:8" ht="38.450000000000003" x14ac:dyDescent="0.35">
      <c r="G355" s="106" t="s">
        <v>1952</v>
      </c>
      <c r="H355" s="106" t="s">
        <v>1978</v>
      </c>
    </row>
    <row r="356" spans="7:8" ht="38.450000000000003" x14ac:dyDescent="0.35">
      <c r="G356" s="106" t="s">
        <v>1953</v>
      </c>
      <c r="H356" s="106" t="s">
        <v>1979</v>
      </c>
    </row>
    <row r="357" spans="7:8" ht="38.450000000000003" x14ac:dyDescent="0.35">
      <c r="G357" s="106" t="s">
        <v>1954</v>
      </c>
      <c r="H357" s="106" t="s">
        <v>1980</v>
      </c>
    </row>
    <row r="358" spans="7:8" ht="38.450000000000003" x14ac:dyDescent="0.35">
      <c r="G358" s="106" t="s">
        <v>1955</v>
      </c>
      <c r="H358" s="106" t="s">
        <v>1981</v>
      </c>
    </row>
    <row r="359" spans="7:8" ht="38.450000000000003" x14ac:dyDescent="0.35">
      <c r="G359" s="106" t="s">
        <v>1956</v>
      </c>
      <c r="H359" s="106" t="s">
        <v>1982</v>
      </c>
    </row>
    <row r="360" spans="7:8" ht="38.450000000000003" x14ac:dyDescent="0.35">
      <c r="G360" s="106" t="s">
        <v>1957</v>
      </c>
      <c r="H360" s="106" t="s">
        <v>1983</v>
      </c>
    </row>
    <row r="361" spans="7:8" ht="38.450000000000003" x14ac:dyDescent="0.35">
      <c r="G361" s="106" t="s">
        <v>1958</v>
      </c>
      <c r="H361" s="106" t="s">
        <v>3223</v>
      </c>
    </row>
    <row r="362" spans="7:8" ht="38.450000000000003" x14ac:dyDescent="0.35">
      <c r="G362" s="106" t="s">
        <v>1959</v>
      </c>
      <c r="H362" s="106" t="s">
        <v>3224</v>
      </c>
    </row>
    <row r="363" spans="7:8" ht="38.450000000000003" x14ac:dyDescent="0.35">
      <c r="G363" s="106" t="s">
        <v>1960</v>
      </c>
      <c r="H363" s="106" t="s">
        <v>3225</v>
      </c>
    </row>
    <row r="364" spans="7:8" ht="38.450000000000003" x14ac:dyDescent="0.35">
      <c r="G364" s="106" t="s">
        <v>1961</v>
      </c>
      <c r="H364" s="106" t="s">
        <v>3253</v>
      </c>
    </row>
    <row r="365" spans="7:8" ht="38.450000000000003" x14ac:dyDescent="0.35">
      <c r="G365" s="106" t="s">
        <v>1962</v>
      </c>
      <c r="H365" s="106" t="s">
        <v>3254</v>
      </c>
    </row>
    <row r="366" spans="7:8" ht="38.450000000000003" x14ac:dyDescent="0.35">
      <c r="G366" s="106" t="s">
        <v>1963</v>
      </c>
      <c r="H366" s="106" t="s">
        <v>3255</v>
      </c>
    </row>
    <row r="367" spans="7:8" ht="38.450000000000003" x14ac:dyDescent="0.35">
      <c r="G367" s="106" t="s">
        <v>1964</v>
      </c>
      <c r="H367" s="106" t="s">
        <v>3256</v>
      </c>
    </row>
    <row r="368" spans="7:8" ht="38.450000000000003" x14ac:dyDescent="0.35">
      <c r="G368" s="106" t="s">
        <v>1965</v>
      </c>
      <c r="H368" s="106" t="s">
        <v>3257</v>
      </c>
    </row>
    <row r="369" spans="7:8" ht="38.450000000000003" x14ac:dyDescent="0.35">
      <c r="G369" s="106" t="s">
        <v>2963</v>
      </c>
      <c r="H369" s="106" t="s">
        <v>3258</v>
      </c>
    </row>
    <row r="370" spans="7:8" ht="38.450000000000003" x14ac:dyDescent="0.35">
      <c r="G370" s="106" t="s">
        <v>2964</v>
      </c>
      <c r="H370" s="106" t="s">
        <v>3259</v>
      </c>
    </row>
    <row r="371" spans="7:8" ht="38.450000000000003" x14ac:dyDescent="0.35">
      <c r="G371" s="106" t="s">
        <v>3897</v>
      </c>
      <c r="H371" s="106" t="s">
        <v>3260</v>
      </c>
    </row>
    <row r="372" spans="7:8" ht="38.450000000000003" x14ac:dyDescent="0.35">
      <c r="G372" s="106" t="s">
        <v>2478</v>
      </c>
      <c r="H372" s="106" t="s">
        <v>3261</v>
      </c>
    </row>
    <row r="373" spans="7:8" ht="38.450000000000003" x14ac:dyDescent="0.35">
      <c r="G373" s="106" t="s">
        <v>2479</v>
      </c>
      <c r="H373" s="106" t="s">
        <v>3262</v>
      </c>
    </row>
    <row r="374" spans="7:8" ht="38.450000000000003" x14ac:dyDescent="0.35">
      <c r="G374" s="106" t="s">
        <v>1836</v>
      </c>
      <c r="H374" s="106" t="s">
        <v>3263</v>
      </c>
    </row>
    <row r="375" spans="7:8" ht="38.450000000000003" x14ac:dyDescent="0.35">
      <c r="G375" s="106" t="s">
        <v>1837</v>
      </c>
      <c r="H375" s="106" t="s">
        <v>3264</v>
      </c>
    </row>
    <row r="376" spans="7:8" ht="38.450000000000003" x14ac:dyDescent="0.35">
      <c r="G376" s="106" t="s">
        <v>1838</v>
      </c>
      <c r="H376" s="106" t="s">
        <v>3265</v>
      </c>
    </row>
    <row r="377" spans="7:8" ht="38.450000000000003" x14ac:dyDescent="0.35">
      <c r="G377" s="106" t="s">
        <v>1839</v>
      </c>
      <c r="H377" s="106" t="s">
        <v>2500</v>
      </c>
    </row>
    <row r="378" spans="7:8" ht="38.450000000000003" x14ac:dyDescent="0.35">
      <c r="G378" s="106" t="s">
        <v>1840</v>
      </c>
      <c r="H378" s="106" t="s">
        <v>2501</v>
      </c>
    </row>
    <row r="379" spans="7:8" ht="38.450000000000003" x14ac:dyDescent="0.35">
      <c r="G379" s="106" t="s">
        <v>1232</v>
      </c>
      <c r="H379" s="106" t="s">
        <v>2502</v>
      </c>
    </row>
    <row r="380" spans="7:8" ht="38.450000000000003" x14ac:dyDescent="0.35">
      <c r="G380" s="106" t="s">
        <v>4184</v>
      </c>
      <c r="H380" s="106" t="s">
        <v>2503</v>
      </c>
    </row>
    <row r="381" spans="7:8" ht="38.450000000000003" x14ac:dyDescent="0.35">
      <c r="G381" s="106" t="s">
        <v>4185</v>
      </c>
      <c r="H381" s="106" t="s">
        <v>3577</v>
      </c>
    </row>
    <row r="382" spans="7:8" ht="38.450000000000003" x14ac:dyDescent="0.35">
      <c r="G382" s="106" t="s">
        <v>4186</v>
      </c>
      <c r="H382" s="106" t="s">
        <v>720</v>
      </c>
    </row>
    <row r="383" spans="7:8" ht="38.450000000000003" x14ac:dyDescent="0.35">
      <c r="G383" s="106" t="s">
        <v>4187</v>
      </c>
      <c r="H383" s="106" t="s">
        <v>721</v>
      </c>
    </row>
    <row r="384" spans="7:8" ht="38.450000000000003" x14ac:dyDescent="0.35">
      <c r="G384" s="106" t="s">
        <v>4188</v>
      </c>
      <c r="H384" s="106" t="s">
        <v>722</v>
      </c>
    </row>
    <row r="385" spans="7:8" ht="38.450000000000003" x14ac:dyDescent="0.35">
      <c r="G385" s="106" t="s">
        <v>4189</v>
      </c>
      <c r="H385" s="106" t="s">
        <v>723</v>
      </c>
    </row>
    <row r="386" spans="7:8" ht="38.450000000000003" x14ac:dyDescent="0.35">
      <c r="G386" s="106" t="s">
        <v>442</v>
      </c>
      <c r="H386" s="106" t="s">
        <v>2245</v>
      </c>
    </row>
    <row r="387" spans="7:8" ht="38.450000000000003" x14ac:dyDescent="0.35">
      <c r="G387" s="106" t="s">
        <v>443</v>
      </c>
      <c r="H387" s="106" t="s">
        <v>2246</v>
      </c>
    </row>
    <row r="388" spans="7:8" ht="38.450000000000003" x14ac:dyDescent="0.35">
      <c r="G388" s="106" t="s">
        <v>444</v>
      </c>
      <c r="H388" s="106" t="s">
        <v>2247</v>
      </c>
    </row>
    <row r="389" spans="7:8" ht="38.450000000000003" x14ac:dyDescent="0.35">
      <c r="G389" s="106" t="s">
        <v>445</v>
      </c>
      <c r="H389" s="106" t="s">
        <v>2248</v>
      </c>
    </row>
    <row r="390" spans="7:8" ht="38.450000000000003" x14ac:dyDescent="0.35">
      <c r="G390" s="106" t="s">
        <v>446</v>
      </c>
      <c r="H390" s="106" t="s">
        <v>2249</v>
      </c>
    </row>
    <row r="391" spans="7:8" ht="38.450000000000003" x14ac:dyDescent="0.35">
      <c r="G391" s="106" t="s">
        <v>447</v>
      </c>
      <c r="H391" s="106" t="s">
        <v>2250</v>
      </c>
    </row>
    <row r="392" spans="7:8" ht="38.450000000000003" x14ac:dyDescent="0.35">
      <c r="G392" s="106" t="s">
        <v>1379</v>
      </c>
      <c r="H392" s="106" t="s">
        <v>2251</v>
      </c>
    </row>
    <row r="393" spans="7:8" ht="38.450000000000003" x14ac:dyDescent="0.35">
      <c r="G393" s="106" t="s">
        <v>841</v>
      </c>
      <c r="H393" s="106" t="s">
        <v>2252</v>
      </c>
    </row>
    <row r="394" spans="7:8" ht="38.450000000000003" x14ac:dyDescent="0.35">
      <c r="G394" s="106" t="s">
        <v>842</v>
      </c>
      <c r="H394" s="106" t="s">
        <v>2253</v>
      </c>
    </row>
    <row r="395" spans="7:8" ht="38.450000000000003" x14ac:dyDescent="0.35">
      <c r="G395" s="106" t="s">
        <v>286</v>
      </c>
      <c r="H395" s="106" t="s">
        <v>2254</v>
      </c>
    </row>
    <row r="396" spans="7:8" ht="38.450000000000003" x14ac:dyDescent="0.35">
      <c r="G396" s="106" t="s">
        <v>287</v>
      </c>
      <c r="H396" s="106" t="s">
        <v>2255</v>
      </c>
    </row>
    <row r="397" spans="7:8" ht="38.450000000000003" x14ac:dyDescent="0.35">
      <c r="G397" s="106" t="s">
        <v>3180</v>
      </c>
      <c r="H397" s="106" t="s">
        <v>2256</v>
      </c>
    </row>
    <row r="398" spans="7:8" ht="38.450000000000003" x14ac:dyDescent="0.35">
      <c r="G398" s="106" t="s">
        <v>3181</v>
      </c>
      <c r="H398" s="106" t="s">
        <v>3727</v>
      </c>
    </row>
    <row r="399" spans="7:8" ht="38.450000000000003" x14ac:dyDescent="0.35">
      <c r="G399" s="106" t="s">
        <v>3182</v>
      </c>
      <c r="H399" s="106" t="s">
        <v>3728</v>
      </c>
    </row>
    <row r="400" spans="7:8" ht="38.450000000000003" x14ac:dyDescent="0.35">
      <c r="G400" s="106" t="s">
        <v>2909</v>
      </c>
      <c r="H400" s="106" t="s">
        <v>3729</v>
      </c>
    </row>
    <row r="401" spans="7:8" ht="38.450000000000003" x14ac:dyDescent="0.35">
      <c r="G401" s="106" t="s">
        <v>3100</v>
      </c>
      <c r="H401" s="106" t="s">
        <v>3730</v>
      </c>
    </row>
    <row r="402" spans="7:8" ht="38.450000000000003" x14ac:dyDescent="0.35">
      <c r="G402" s="106" t="s">
        <v>3101</v>
      </c>
      <c r="H402" s="106" t="s">
        <v>3731</v>
      </c>
    </row>
    <row r="403" spans="7:8" ht="38.450000000000003" x14ac:dyDescent="0.35">
      <c r="G403" s="106" t="s">
        <v>3102</v>
      </c>
      <c r="H403" s="106" t="s">
        <v>1382</v>
      </c>
    </row>
    <row r="404" spans="7:8" ht="38.450000000000003" x14ac:dyDescent="0.35">
      <c r="G404" s="106" t="s">
        <v>3103</v>
      </c>
      <c r="H404" s="106" t="s">
        <v>521</v>
      </c>
    </row>
    <row r="405" spans="7:8" ht="38.450000000000003" x14ac:dyDescent="0.35">
      <c r="G405" s="106" t="s">
        <v>423</v>
      </c>
      <c r="H405" s="106" t="s">
        <v>522</v>
      </c>
    </row>
    <row r="406" spans="7:8" ht="38.450000000000003" x14ac:dyDescent="0.35">
      <c r="G406" s="106" t="s">
        <v>424</v>
      </c>
      <c r="H406" s="106" t="s">
        <v>523</v>
      </c>
    </row>
    <row r="407" spans="7:8" ht="38.450000000000003" x14ac:dyDescent="0.35">
      <c r="G407" s="106" t="s">
        <v>681</v>
      </c>
      <c r="H407" s="106" t="s">
        <v>524</v>
      </c>
    </row>
    <row r="408" spans="7:8" ht="38.450000000000003" x14ac:dyDescent="0.35">
      <c r="G408" s="106" t="s">
        <v>682</v>
      </c>
      <c r="H408" s="106" t="s">
        <v>525</v>
      </c>
    </row>
    <row r="409" spans="7:8" ht="38.450000000000003" x14ac:dyDescent="0.35">
      <c r="G409" s="106" t="s">
        <v>2481</v>
      </c>
      <c r="H409" s="106" t="s">
        <v>526</v>
      </c>
    </row>
    <row r="410" spans="7:8" ht="38.450000000000003" x14ac:dyDescent="0.35">
      <c r="G410" s="106" t="s">
        <v>2491</v>
      </c>
      <c r="H410" s="106" t="s">
        <v>527</v>
      </c>
    </row>
    <row r="411" spans="7:8" ht="38.450000000000003" x14ac:dyDescent="0.35">
      <c r="G411" s="106" t="s">
        <v>2492</v>
      </c>
      <c r="H411" s="106" t="s">
        <v>528</v>
      </c>
    </row>
    <row r="412" spans="7:8" ht="38.450000000000003" x14ac:dyDescent="0.35">
      <c r="G412" s="106" t="s">
        <v>2493</v>
      </c>
      <c r="H412" s="106" t="s">
        <v>529</v>
      </c>
    </row>
    <row r="413" spans="7:8" ht="38.450000000000003" x14ac:dyDescent="0.35">
      <c r="G413" s="106" t="s">
        <v>2494</v>
      </c>
      <c r="H413" s="106" t="s">
        <v>530</v>
      </c>
    </row>
    <row r="414" spans="7:8" ht="38.450000000000003" x14ac:dyDescent="0.35">
      <c r="G414" s="106" t="s">
        <v>2495</v>
      </c>
      <c r="H414" s="106" t="s">
        <v>531</v>
      </c>
    </row>
    <row r="415" spans="7:8" ht="38.450000000000003" x14ac:dyDescent="0.35">
      <c r="G415" s="106" t="s">
        <v>2496</v>
      </c>
      <c r="H415" s="106" t="s">
        <v>532</v>
      </c>
    </row>
    <row r="416" spans="7:8" ht="38.450000000000003" x14ac:dyDescent="0.35">
      <c r="G416" s="106" t="s">
        <v>2490</v>
      </c>
      <c r="H416" s="106" t="s">
        <v>533</v>
      </c>
    </row>
    <row r="417" spans="7:8" ht="38.450000000000003" x14ac:dyDescent="0.35">
      <c r="G417" s="106" t="s">
        <v>283</v>
      </c>
      <c r="H417" s="106" t="s">
        <v>534</v>
      </c>
    </row>
    <row r="418" spans="7:8" ht="38.450000000000003" x14ac:dyDescent="0.35">
      <c r="G418" s="106" t="s">
        <v>284</v>
      </c>
      <c r="H418" s="106" t="s">
        <v>535</v>
      </c>
    </row>
    <row r="419" spans="7:8" ht="38.450000000000003" x14ac:dyDescent="0.35">
      <c r="G419" s="106" t="s">
        <v>285</v>
      </c>
      <c r="H419" s="106" t="s">
        <v>536</v>
      </c>
    </row>
    <row r="420" spans="7:8" ht="38.450000000000003" x14ac:dyDescent="0.35">
      <c r="G420" s="106" t="s">
        <v>1875</v>
      </c>
      <c r="H420" s="106" t="s">
        <v>537</v>
      </c>
    </row>
    <row r="421" spans="7:8" ht="38.450000000000003" x14ac:dyDescent="0.35">
      <c r="G421" s="106" t="s">
        <v>1876</v>
      </c>
      <c r="H421" s="106" t="s">
        <v>538</v>
      </c>
    </row>
    <row r="422" spans="7:8" ht="38.450000000000003" x14ac:dyDescent="0.35">
      <c r="G422" s="106" t="s">
        <v>2458</v>
      </c>
      <c r="H422" s="106" t="s">
        <v>539</v>
      </c>
    </row>
    <row r="423" spans="7:8" ht="38.450000000000003" x14ac:dyDescent="0.35">
      <c r="G423" s="106" t="s">
        <v>2459</v>
      </c>
      <c r="H423" s="106" t="s">
        <v>1984</v>
      </c>
    </row>
    <row r="424" spans="7:8" ht="38.450000000000003" x14ac:dyDescent="0.35">
      <c r="G424" s="106" t="s">
        <v>2460</v>
      </c>
      <c r="H424" s="106" t="s">
        <v>1985</v>
      </c>
    </row>
    <row r="425" spans="7:8" ht="38.450000000000003" x14ac:dyDescent="0.35">
      <c r="G425" s="106" t="s">
        <v>2461</v>
      </c>
      <c r="H425" s="106" t="s">
        <v>3958</v>
      </c>
    </row>
    <row r="426" spans="7:8" ht="38.450000000000003" x14ac:dyDescent="0.35">
      <c r="G426" s="106" t="s">
        <v>3949</v>
      </c>
      <c r="H426" s="106" t="s">
        <v>2926</v>
      </c>
    </row>
    <row r="427" spans="7:8" ht="38.450000000000003" x14ac:dyDescent="0.35">
      <c r="G427" s="106" t="s">
        <v>3950</v>
      </c>
      <c r="H427" s="106" t="s">
        <v>264</v>
      </c>
    </row>
    <row r="428" spans="7:8" ht="38.450000000000003" x14ac:dyDescent="0.35">
      <c r="G428" s="106" t="s">
        <v>3951</v>
      </c>
      <c r="H428" s="106" t="s">
        <v>265</v>
      </c>
    </row>
    <row r="429" spans="7:8" ht="38.450000000000003" x14ac:dyDescent="0.35">
      <c r="G429" s="106" t="s">
        <v>3952</v>
      </c>
      <c r="H429" s="106" t="s">
        <v>266</v>
      </c>
    </row>
    <row r="430" spans="7:8" ht="38.450000000000003" x14ac:dyDescent="0.35">
      <c r="G430" s="106" t="s">
        <v>3953</v>
      </c>
      <c r="H430" s="106" t="s">
        <v>267</v>
      </c>
    </row>
    <row r="431" spans="7:8" ht="38.450000000000003" x14ac:dyDescent="0.35">
      <c r="G431" s="106" t="s">
        <v>3988</v>
      </c>
      <c r="H431" s="106" t="s">
        <v>268</v>
      </c>
    </row>
    <row r="432" spans="7:8" ht="38.450000000000003" x14ac:dyDescent="0.35">
      <c r="G432" s="106" t="s">
        <v>3989</v>
      </c>
      <c r="H432" s="106" t="s">
        <v>269</v>
      </c>
    </row>
    <row r="433" spans="7:8" ht="38.450000000000003" x14ac:dyDescent="0.35">
      <c r="G433" s="106" t="s">
        <v>3990</v>
      </c>
      <c r="H433" s="106" t="s">
        <v>270</v>
      </c>
    </row>
    <row r="434" spans="7:8" ht="38.450000000000003" x14ac:dyDescent="0.35">
      <c r="G434" s="106" t="s">
        <v>3991</v>
      </c>
      <c r="H434" s="106" t="s">
        <v>271</v>
      </c>
    </row>
    <row r="435" spans="7:8" ht="38.450000000000003" x14ac:dyDescent="0.35">
      <c r="G435" s="106" t="s">
        <v>3992</v>
      </c>
      <c r="H435" s="106" t="s">
        <v>272</v>
      </c>
    </row>
    <row r="436" spans="7:8" ht="38.450000000000003" x14ac:dyDescent="0.35">
      <c r="G436" s="106" t="s">
        <v>3993</v>
      </c>
      <c r="H436" s="106" t="s">
        <v>273</v>
      </c>
    </row>
    <row r="437" spans="7:8" ht="38.450000000000003" x14ac:dyDescent="0.35">
      <c r="G437" s="106" t="s">
        <v>3994</v>
      </c>
      <c r="H437" s="106" t="s">
        <v>274</v>
      </c>
    </row>
    <row r="438" spans="7:8" ht="38.450000000000003" x14ac:dyDescent="0.35">
      <c r="G438" s="106" t="s">
        <v>3351</v>
      </c>
      <c r="H438" s="106" t="s">
        <v>275</v>
      </c>
    </row>
    <row r="439" spans="7:8" ht="38.450000000000003" x14ac:dyDescent="0.35">
      <c r="G439" s="106" t="s">
        <v>3664</v>
      </c>
      <c r="H439" s="106" t="s">
        <v>603</v>
      </c>
    </row>
    <row r="440" spans="7:8" ht="38.450000000000003" x14ac:dyDescent="0.35">
      <c r="G440" s="106" t="s">
        <v>3665</v>
      </c>
      <c r="H440" s="106" t="s">
        <v>604</v>
      </c>
    </row>
    <row r="441" spans="7:8" ht="38.450000000000003" x14ac:dyDescent="0.35">
      <c r="G441" s="106" t="s">
        <v>3666</v>
      </c>
      <c r="H441" s="106" t="s">
        <v>605</v>
      </c>
    </row>
    <row r="442" spans="7:8" ht="38.450000000000003" x14ac:dyDescent="0.35">
      <c r="G442" s="106" t="s">
        <v>3667</v>
      </c>
      <c r="H442" s="106" t="s">
        <v>4060</v>
      </c>
    </row>
    <row r="443" spans="7:8" ht="38.450000000000003" x14ac:dyDescent="0.35">
      <c r="G443" s="106" t="s">
        <v>3668</v>
      </c>
      <c r="H443" s="106" t="s">
        <v>3514</v>
      </c>
    </row>
    <row r="444" spans="7:8" ht="38.450000000000003" x14ac:dyDescent="0.35">
      <c r="G444" s="106" t="s">
        <v>1987</v>
      </c>
      <c r="H444" s="106" t="s">
        <v>3515</v>
      </c>
    </row>
    <row r="445" spans="7:8" ht="38.450000000000003" x14ac:dyDescent="0.35">
      <c r="G445" s="106" t="s">
        <v>2483</v>
      </c>
      <c r="H445" s="106" t="s">
        <v>3516</v>
      </c>
    </row>
    <row r="446" spans="7:8" ht="38.450000000000003" x14ac:dyDescent="0.35">
      <c r="G446" s="106" t="s">
        <v>2484</v>
      </c>
      <c r="H446" s="106" t="s">
        <v>3517</v>
      </c>
    </row>
    <row r="447" spans="7:8" ht="38.450000000000003" x14ac:dyDescent="0.35">
      <c r="G447" s="106" t="s">
        <v>2485</v>
      </c>
      <c r="H447" s="106" t="s">
        <v>3693</v>
      </c>
    </row>
    <row r="448" spans="7:8" ht="38.450000000000003" x14ac:dyDescent="0.35">
      <c r="G448" s="106" t="s">
        <v>2486</v>
      </c>
      <c r="H448" s="106" t="s">
        <v>3694</v>
      </c>
    </row>
    <row r="449" spans="7:8" ht="38.450000000000003" x14ac:dyDescent="0.35">
      <c r="G449" s="106" t="s">
        <v>2487</v>
      </c>
      <c r="H449" s="106" t="s">
        <v>3695</v>
      </c>
    </row>
    <row r="450" spans="7:8" ht="38.450000000000003" x14ac:dyDescent="0.35">
      <c r="G450" s="106" t="s">
        <v>2488</v>
      </c>
      <c r="H450" s="106" t="s">
        <v>3696</v>
      </c>
    </row>
    <row r="451" spans="7:8" ht="38.450000000000003" x14ac:dyDescent="0.35">
      <c r="G451" s="106" t="s">
        <v>3544</v>
      </c>
      <c r="H451" s="106" t="s">
        <v>3697</v>
      </c>
    </row>
    <row r="452" spans="7:8" ht="38.450000000000003" x14ac:dyDescent="0.35">
      <c r="G452" s="106" t="s">
        <v>3469</v>
      </c>
      <c r="H452" s="106" t="s">
        <v>3698</v>
      </c>
    </row>
    <row r="453" spans="7:8" ht="38.450000000000003" x14ac:dyDescent="0.35">
      <c r="G453" s="106" t="s">
        <v>3470</v>
      </c>
      <c r="H453" s="106" t="s">
        <v>3699</v>
      </c>
    </row>
    <row r="454" spans="7:8" ht="38.450000000000003" x14ac:dyDescent="0.35">
      <c r="G454" s="106" t="s">
        <v>3471</v>
      </c>
      <c r="H454" s="106" t="s">
        <v>3700</v>
      </c>
    </row>
    <row r="455" spans="7:8" ht="38.450000000000003" x14ac:dyDescent="0.35">
      <c r="G455" s="106" t="s">
        <v>3472</v>
      </c>
      <c r="H455" s="106" t="s">
        <v>3701</v>
      </c>
    </row>
    <row r="456" spans="7:8" ht="38.450000000000003" x14ac:dyDescent="0.35">
      <c r="G456" s="106" t="s">
        <v>3883</v>
      </c>
      <c r="H456" s="106" t="s">
        <v>3702</v>
      </c>
    </row>
    <row r="457" spans="7:8" ht="38.450000000000003" x14ac:dyDescent="0.35">
      <c r="G457" s="106" t="s">
        <v>4078</v>
      </c>
      <c r="H457" s="106" t="s">
        <v>3703</v>
      </c>
    </row>
    <row r="458" spans="7:8" ht="38.450000000000003" x14ac:dyDescent="0.35">
      <c r="G458" s="106" t="s">
        <v>4079</v>
      </c>
      <c r="H458" s="106" t="s">
        <v>3704</v>
      </c>
    </row>
    <row r="459" spans="7:8" ht="38.450000000000003" x14ac:dyDescent="0.35">
      <c r="G459" s="106" t="s">
        <v>4080</v>
      </c>
      <c r="H459" s="106" t="s">
        <v>1513</v>
      </c>
    </row>
    <row r="460" spans="7:8" ht="38.450000000000003" x14ac:dyDescent="0.35">
      <c r="G460" s="106" t="s">
        <v>4081</v>
      </c>
      <c r="H460" s="106" t="s">
        <v>1514</v>
      </c>
    </row>
    <row r="461" spans="7:8" ht="38.450000000000003" x14ac:dyDescent="0.35">
      <c r="G461" s="106" t="s">
        <v>1218</v>
      </c>
      <c r="H461" s="106" t="s">
        <v>1515</v>
      </c>
    </row>
    <row r="462" spans="7:8" ht="25.65" x14ac:dyDescent="0.35">
      <c r="G462" s="106" t="s">
        <v>1777</v>
      </c>
      <c r="H462" s="106" t="s">
        <v>819</v>
      </c>
    </row>
    <row r="463" spans="7:8" ht="25.65" x14ac:dyDescent="0.35">
      <c r="G463" s="106" t="s">
        <v>1778</v>
      </c>
      <c r="H463" s="106" t="s">
        <v>382</v>
      </c>
    </row>
    <row r="464" spans="7:8" ht="25.65" x14ac:dyDescent="0.35">
      <c r="G464" s="106" t="s">
        <v>2688</v>
      </c>
      <c r="H464" s="106" t="s">
        <v>383</v>
      </c>
    </row>
    <row r="465" spans="7:8" ht="25.65" x14ac:dyDescent="0.35">
      <c r="G465" s="106" t="s">
        <v>1779</v>
      </c>
      <c r="H465" s="106" t="s">
        <v>384</v>
      </c>
    </row>
    <row r="466" spans="7:8" ht="25.65" x14ac:dyDescent="0.35">
      <c r="G466" s="106" t="s">
        <v>214</v>
      </c>
      <c r="H466" s="106" t="s">
        <v>385</v>
      </c>
    </row>
    <row r="467" spans="7:8" ht="25.65" x14ac:dyDescent="0.35">
      <c r="G467" s="106" t="s">
        <v>3905</v>
      </c>
      <c r="H467" s="106" t="s">
        <v>386</v>
      </c>
    </row>
    <row r="468" spans="7:8" ht="25.65" x14ac:dyDescent="0.35">
      <c r="G468" s="106" t="s">
        <v>215</v>
      </c>
      <c r="H468" s="106" t="s">
        <v>387</v>
      </c>
    </row>
    <row r="469" spans="7:8" ht="25.65" x14ac:dyDescent="0.35">
      <c r="G469" s="106" t="s">
        <v>4238</v>
      </c>
      <c r="H469" s="106" t="s">
        <v>388</v>
      </c>
    </row>
    <row r="470" spans="7:8" ht="25.65" x14ac:dyDescent="0.35">
      <c r="G470" s="106" t="s">
        <v>1250</v>
      </c>
      <c r="H470" s="106" t="s">
        <v>389</v>
      </c>
    </row>
    <row r="471" spans="7:8" ht="25.65" x14ac:dyDescent="0.35">
      <c r="G471" s="106" t="s">
        <v>1251</v>
      </c>
      <c r="H471" s="106" t="s">
        <v>390</v>
      </c>
    </row>
    <row r="472" spans="7:8" ht="25.65" x14ac:dyDescent="0.35">
      <c r="G472" s="106" t="s">
        <v>2972</v>
      </c>
      <c r="H472" s="106" t="s">
        <v>391</v>
      </c>
    </row>
    <row r="473" spans="7:8" ht="25.65" x14ac:dyDescent="0.35">
      <c r="G473" s="106" t="s">
        <v>2973</v>
      </c>
      <c r="H473" s="106" t="s">
        <v>392</v>
      </c>
    </row>
    <row r="474" spans="7:8" ht="25.65" x14ac:dyDescent="0.35">
      <c r="G474" s="106" t="s">
        <v>2974</v>
      </c>
      <c r="H474" s="106" t="s">
        <v>393</v>
      </c>
    </row>
    <row r="475" spans="7:8" ht="25.65" x14ac:dyDescent="0.35">
      <c r="G475" s="106" t="s">
        <v>1666</v>
      </c>
      <c r="H475" s="106" t="s">
        <v>394</v>
      </c>
    </row>
    <row r="476" spans="7:8" ht="25.65" x14ac:dyDescent="0.35">
      <c r="G476" s="106" t="s">
        <v>1667</v>
      </c>
      <c r="H476" s="106" t="s">
        <v>395</v>
      </c>
    </row>
    <row r="477" spans="7:8" ht="25.65" x14ac:dyDescent="0.35">
      <c r="G477" s="106" t="s">
        <v>1668</v>
      </c>
      <c r="H477" s="106" t="s">
        <v>396</v>
      </c>
    </row>
    <row r="478" spans="7:8" ht="25.65" x14ac:dyDescent="0.35">
      <c r="G478" s="106" t="s">
        <v>1669</v>
      </c>
      <c r="H478" s="106" t="s">
        <v>397</v>
      </c>
    </row>
    <row r="479" spans="7:8" ht="25.65" x14ac:dyDescent="0.35">
      <c r="G479" s="106" t="s">
        <v>1670</v>
      </c>
      <c r="H479" s="106" t="s">
        <v>398</v>
      </c>
    </row>
    <row r="480" spans="7:8" ht="25.65" x14ac:dyDescent="0.35">
      <c r="G480" s="106" t="s">
        <v>2183</v>
      </c>
      <c r="H480" s="106" t="s">
        <v>901</v>
      </c>
    </row>
    <row r="481" spans="7:8" ht="25.65" x14ac:dyDescent="0.35">
      <c r="G481" s="106" t="s">
        <v>1787</v>
      </c>
      <c r="H481" s="106" t="s">
        <v>902</v>
      </c>
    </row>
    <row r="482" spans="7:8" ht="25.65" x14ac:dyDescent="0.35">
      <c r="G482" s="106" t="s">
        <v>1788</v>
      </c>
      <c r="H482" s="106" t="s">
        <v>903</v>
      </c>
    </row>
    <row r="483" spans="7:8" ht="25.65" x14ac:dyDescent="0.35">
      <c r="G483" s="106" t="s">
        <v>1789</v>
      </c>
      <c r="H483" s="106" t="s">
        <v>779</v>
      </c>
    </row>
    <row r="484" spans="7:8" ht="25.65" x14ac:dyDescent="0.35">
      <c r="G484" s="106" t="s">
        <v>1713</v>
      </c>
      <c r="H484" s="106" t="s">
        <v>780</v>
      </c>
    </row>
    <row r="485" spans="7:8" ht="25.65" x14ac:dyDescent="0.35">
      <c r="G485" s="106" t="s">
        <v>1714</v>
      </c>
      <c r="H485" s="106" t="s">
        <v>977</v>
      </c>
    </row>
    <row r="486" spans="7:8" ht="25.65" x14ac:dyDescent="0.35">
      <c r="G486" s="106" t="s">
        <v>3317</v>
      </c>
      <c r="H486" s="106" t="s">
        <v>293</v>
      </c>
    </row>
    <row r="487" spans="7:8" ht="25.65" x14ac:dyDescent="0.35">
      <c r="G487" s="106" t="s">
        <v>3318</v>
      </c>
      <c r="H487" s="106" t="s">
        <v>294</v>
      </c>
    </row>
    <row r="488" spans="7:8" ht="25.65" x14ac:dyDescent="0.35">
      <c r="G488" s="106" t="s">
        <v>2959</v>
      </c>
      <c r="H488" s="106" t="s">
        <v>295</v>
      </c>
    </row>
    <row r="489" spans="7:8" ht="25.65" x14ac:dyDescent="0.35">
      <c r="G489" s="106" t="s">
        <v>2960</v>
      </c>
      <c r="H489" s="106" t="s">
        <v>296</v>
      </c>
    </row>
    <row r="490" spans="7:8" ht="25.65" x14ac:dyDescent="0.35">
      <c r="G490" s="106" t="s">
        <v>2961</v>
      </c>
      <c r="H490" s="106" t="s">
        <v>297</v>
      </c>
    </row>
    <row r="491" spans="7:8" ht="25.65" x14ac:dyDescent="0.35">
      <c r="G491" s="106" t="s">
        <v>1303</v>
      </c>
      <c r="H491" s="106" t="s">
        <v>298</v>
      </c>
    </row>
    <row r="492" spans="7:8" ht="25.65" x14ac:dyDescent="0.35">
      <c r="G492" s="106" t="s">
        <v>1304</v>
      </c>
      <c r="H492" s="106" t="s">
        <v>299</v>
      </c>
    </row>
    <row r="493" spans="7:8" ht="25.65" x14ac:dyDescent="0.35">
      <c r="G493" s="106" t="s">
        <v>1305</v>
      </c>
      <c r="H493" s="106" t="s">
        <v>300</v>
      </c>
    </row>
    <row r="494" spans="7:8" ht="25.65" x14ac:dyDescent="0.35">
      <c r="G494" s="106" t="s">
        <v>1306</v>
      </c>
      <c r="H494" s="106" t="s">
        <v>301</v>
      </c>
    </row>
    <row r="495" spans="7:8" ht="25.65" x14ac:dyDescent="0.35">
      <c r="G495" s="106" t="s">
        <v>1307</v>
      </c>
      <c r="H495" s="106" t="s">
        <v>302</v>
      </c>
    </row>
    <row r="496" spans="7:8" ht="25.65" x14ac:dyDescent="0.35">
      <c r="G496" s="106" t="s">
        <v>1852</v>
      </c>
      <c r="H496" s="106" t="s">
        <v>303</v>
      </c>
    </row>
    <row r="497" spans="7:8" ht="25.65" x14ac:dyDescent="0.35">
      <c r="G497" s="106" t="s">
        <v>1847</v>
      </c>
      <c r="H497" s="106" t="s">
        <v>304</v>
      </c>
    </row>
    <row r="498" spans="7:8" ht="25.65" x14ac:dyDescent="0.35">
      <c r="G498" s="106" t="s">
        <v>1848</v>
      </c>
      <c r="H498" s="106" t="s">
        <v>305</v>
      </c>
    </row>
    <row r="499" spans="7:8" ht="25.65" x14ac:dyDescent="0.35">
      <c r="G499" s="106" t="s">
        <v>1849</v>
      </c>
      <c r="H499" s="106" t="s">
        <v>306</v>
      </c>
    </row>
    <row r="500" spans="7:8" ht="25.65" x14ac:dyDescent="0.35">
      <c r="G500" s="106" t="s">
        <v>1850</v>
      </c>
      <c r="H500" s="106" t="s">
        <v>307</v>
      </c>
    </row>
    <row r="501" spans="7:8" ht="25.65" x14ac:dyDescent="0.35">
      <c r="G501" s="106" t="s">
        <v>1851</v>
      </c>
      <c r="H501" s="106" t="s">
        <v>1266</v>
      </c>
    </row>
    <row r="502" spans="7:8" ht="25.65" x14ac:dyDescent="0.35">
      <c r="G502" s="106" t="s">
        <v>2993</v>
      </c>
      <c r="H502" s="106" t="s">
        <v>1267</v>
      </c>
    </row>
    <row r="503" spans="7:8" ht="25.65" x14ac:dyDescent="0.35">
      <c r="G503" s="106" t="s">
        <v>3530</v>
      </c>
      <c r="H503" s="106" t="s">
        <v>1268</v>
      </c>
    </row>
    <row r="504" spans="7:8" ht="25.65" x14ac:dyDescent="0.35">
      <c r="G504" s="106" t="s">
        <v>2173</v>
      </c>
      <c r="H504" s="106" t="s">
        <v>1269</v>
      </c>
    </row>
    <row r="505" spans="7:8" ht="25.65" x14ac:dyDescent="0.35">
      <c r="G505" s="106" t="s">
        <v>1036</v>
      </c>
      <c r="H505" s="106" t="s">
        <v>1037</v>
      </c>
    </row>
    <row r="506" spans="7:8" ht="25.65" x14ac:dyDescent="0.35">
      <c r="G506" s="106" t="s">
        <v>3409</v>
      </c>
      <c r="H506" s="106" t="s">
        <v>3410</v>
      </c>
    </row>
    <row r="507" spans="7:8" ht="25.65" x14ac:dyDescent="0.35">
      <c r="G507" s="106" t="s">
        <v>3411</v>
      </c>
      <c r="H507" s="106" t="s">
        <v>3412</v>
      </c>
    </row>
    <row r="508" spans="7:8" ht="25.65" x14ac:dyDescent="0.35">
      <c r="G508" s="106" t="s">
        <v>3413</v>
      </c>
      <c r="H508" s="106" t="s">
        <v>3414</v>
      </c>
    </row>
    <row r="509" spans="7:8" ht="25.65" x14ac:dyDescent="0.35">
      <c r="G509" s="106" t="s">
        <v>3415</v>
      </c>
      <c r="H509" s="106" t="s">
        <v>3416</v>
      </c>
    </row>
    <row r="510" spans="7:8" ht="25.65" x14ac:dyDescent="0.35">
      <c r="G510" s="106" t="s">
        <v>3417</v>
      </c>
      <c r="H510" s="106" t="s">
        <v>3418</v>
      </c>
    </row>
    <row r="511" spans="7:8" ht="25.65" x14ac:dyDescent="0.35">
      <c r="G511" s="106" t="s">
        <v>3809</v>
      </c>
      <c r="H511" s="106" t="s">
        <v>3419</v>
      </c>
    </row>
    <row r="512" spans="7:8" ht="25.65" x14ac:dyDescent="0.35">
      <c r="G512" s="106" t="s">
        <v>3420</v>
      </c>
      <c r="H512" s="106" t="s">
        <v>3281</v>
      </c>
    </row>
    <row r="513" spans="7:8" ht="25.65" x14ac:dyDescent="0.35">
      <c r="G513" s="106" t="s">
        <v>2332</v>
      </c>
      <c r="H513" s="106" t="s">
        <v>2550</v>
      </c>
    </row>
    <row r="514" spans="7:8" ht="25.65" x14ac:dyDescent="0.35">
      <c r="G514" s="106" t="s">
        <v>3005</v>
      </c>
      <c r="H514" s="106" t="s">
        <v>2551</v>
      </c>
    </row>
    <row r="515" spans="7:8" ht="25.65" x14ac:dyDescent="0.35">
      <c r="G515" s="106" t="s">
        <v>3654</v>
      </c>
      <c r="H515" s="106" t="s">
        <v>2552</v>
      </c>
    </row>
    <row r="516" spans="7:8" ht="38.450000000000003" x14ac:dyDescent="0.35">
      <c r="G516" s="106" t="s">
        <v>2553</v>
      </c>
      <c r="H516" s="106" t="s">
        <v>2554</v>
      </c>
    </row>
    <row r="517" spans="7:8" ht="38.450000000000003" x14ac:dyDescent="0.35">
      <c r="G517" s="106" t="s">
        <v>2555</v>
      </c>
      <c r="H517" s="106" t="s">
        <v>2556</v>
      </c>
    </row>
    <row r="518" spans="7:8" ht="38.450000000000003" x14ac:dyDescent="0.35">
      <c r="G518" s="106" t="s">
        <v>2557</v>
      </c>
      <c r="H518" s="106" t="s">
        <v>2558</v>
      </c>
    </row>
    <row r="519" spans="7:8" ht="38.450000000000003" x14ac:dyDescent="0.35">
      <c r="G519" s="106" t="s">
        <v>2559</v>
      </c>
      <c r="H519" s="106" t="s">
        <v>2560</v>
      </c>
    </row>
    <row r="520" spans="7:8" ht="38.450000000000003" x14ac:dyDescent="0.35">
      <c r="G520" s="106" t="s">
        <v>2561</v>
      </c>
      <c r="H520" s="106" t="s">
        <v>4132</v>
      </c>
    </row>
    <row r="521" spans="7:8" ht="38.450000000000003" x14ac:dyDescent="0.35">
      <c r="G521" s="106" t="s">
        <v>4133</v>
      </c>
      <c r="H521" s="106" t="s">
        <v>4134</v>
      </c>
    </row>
    <row r="522" spans="7:8" ht="38.450000000000003" x14ac:dyDescent="0.35">
      <c r="G522" s="106" t="s">
        <v>4135</v>
      </c>
      <c r="H522" s="106" t="s">
        <v>4136</v>
      </c>
    </row>
    <row r="523" spans="7:8" ht="38.450000000000003" x14ac:dyDescent="0.35">
      <c r="G523" s="106" t="s">
        <v>4137</v>
      </c>
      <c r="H523" s="106" t="s">
        <v>4138</v>
      </c>
    </row>
    <row r="524" spans="7:8" ht="38.450000000000003" x14ac:dyDescent="0.35">
      <c r="G524" s="106" t="s">
        <v>4139</v>
      </c>
      <c r="H524" s="106" t="s">
        <v>4140</v>
      </c>
    </row>
    <row r="525" spans="7:8" ht="38.450000000000003" x14ac:dyDescent="0.35">
      <c r="G525" s="106" t="s">
        <v>2341</v>
      </c>
      <c r="H525" s="106" t="s">
        <v>2342</v>
      </c>
    </row>
    <row r="526" spans="7:8" ht="38.450000000000003" x14ac:dyDescent="0.35">
      <c r="G526" s="106" t="s">
        <v>3885</v>
      </c>
      <c r="H526" s="106" t="s">
        <v>3886</v>
      </c>
    </row>
    <row r="527" spans="7:8" ht="38.450000000000003" x14ac:dyDescent="0.35">
      <c r="G527" s="106" t="s">
        <v>3887</v>
      </c>
      <c r="H527" s="106" t="s">
        <v>3888</v>
      </c>
    </row>
    <row r="528" spans="7:8" ht="38.450000000000003" x14ac:dyDescent="0.35">
      <c r="G528" s="106" t="s">
        <v>3889</v>
      </c>
      <c r="H528" s="106" t="s">
        <v>3890</v>
      </c>
    </row>
    <row r="529" spans="7:8" ht="38.450000000000003" x14ac:dyDescent="0.35">
      <c r="G529" s="106" t="s">
        <v>2281</v>
      </c>
      <c r="H529" s="106" t="s">
        <v>2282</v>
      </c>
    </row>
    <row r="530" spans="7:8" ht="38.450000000000003" x14ac:dyDescent="0.35">
      <c r="G530" s="106" t="s">
        <v>2283</v>
      </c>
      <c r="H530" s="106" t="s">
        <v>2284</v>
      </c>
    </row>
    <row r="531" spans="7:8" ht="38.450000000000003" x14ac:dyDescent="0.35">
      <c r="G531" s="106" t="s">
        <v>2285</v>
      </c>
      <c r="H531" s="106" t="s">
        <v>2286</v>
      </c>
    </row>
    <row r="532" spans="7:8" ht="38.450000000000003" x14ac:dyDescent="0.35">
      <c r="G532" s="106" t="s">
        <v>2287</v>
      </c>
      <c r="H532" s="106" t="s">
        <v>2288</v>
      </c>
    </row>
    <row r="533" spans="7:8" ht="38.450000000000003" x14ac:dyDescent="0.35">
      <c r="G533" s="106" t="s">
        <v>2289</v>
      </c>
      <c r="H533" s="106" t="s">
        <v>2290</v>
      </c>
    </row>
    <row r="534" spans="7:8" ht="38.450000000000003" x14ac:dyDescent="0.35">
      <c r="G534" s="106" t="s">
        <v>2291</v>
      </c>
      <c r="H534" s="106" t="s">
        <v>2292</v>
      </c>
    </row>
    <row r="535" spans="7:8" ht="38.450000000000003" x14ac:dyDescent="0.35">
      <c r="G535" s="106" t="s">
        <v>2293</v>
      </c>
      <c r="H535" s="106" t="s">
        <v>2294</v>
      </c>
    </row>
    <row r="536" spans="7:8" ht="38.450000000000003" x14ac:dyDescent="0.35">
      <c r="G536" s="106" t="s">
        <v>2295</v>
      </c>
      <c r="H536" s="106" t="s">
        <v>2296</v>
      </c>
    </row>
    <row r="537" spans="7:8" ht="38.450000000000003" x14ac:dyDescent="0.35">
      <c r="G537" s="106" t="s">
        <v>2297</v>
      </c>
      <c r="H537" s="106" t="s">
        <v>2298</v>
      </c>
    </row>
    <row r="538" spans="7:8" ht="25.65" x14ac:dyDescent="0.35">
      <c r="G538" s="106" t="s">
        <v>2334</v>
      </c>
      <c r="H538" s="106" t="s">
        <v>2299</v>
      </c>
    </row>
    <row r="539" spans="7:8" ht="25.65" x14ac:dyDescent="0.35">
      <c r="G539" s="106" t="s">
        <v>2117</v>
      </c>
      <c r="H539" s="106" t="s">
        <v>2300</v>
      </c>
    </row>
    <row r="540" spans="7:8" ht="25.65" x14ac:dyDescent="0.35">
      <c r="G540" s="106" t="s">
        <v>3906</v>
      </c>
      <c r="H540" s="106" t="s">
        <v>2732</v>
      </c>
    </row>
    <row r="541" spans="7:8" ht="25.65" x14ac:dyDescent="0.35">
      <c r="G541" s="106" t="s">
        <v>2138</v>
      </c>
      <c r="H541" s="106" t="s">
        <v>2733</v>
      </c>
    </row>
    <row r="542" spans="7:8" ht="25.65" x14ac:dyDescent="0.35">
      <c r="G542" s="106" t="s">
        <v>3088</v>
      </c>
      <c r="H542" s="106" t="s">
        <v>2734</v>
      </c>
    </row>
    <row r="543" spans="7:8" ht="25.65" x14ac:dyDescent="0.35">
      <c r="G543" s="106" t="s">
        <v>3089</v>
      </c>
      <c r="H543" s="106" t="s">
        <v>2735</v>
      </c>
    </row>
    <row r="544" spans="7:8" ht="25.65" x14ac:dyDescent="0.35">
      <c r="G544" s="106" t="s">
        <v>3090</v>
      </c>
      <c r="H544" s="106" t="s">
        <v>2736</v>
      </c>
    </row>
    <row r="545" spans="7:8" ht="25.65" x14ac:dyDescent="0.35">
      <c r="G545" s="106" t="s">
        <v>3091</v>
      </c>
      <c r="H545" s="106" t="s">
        <v>2737</v>
      </c>
    </row>
    <row r="546" spans="7:8" ht="25.65" x14ac:dyDescent="0.35">
      <c r="G546" s="106" t="s">
        <v>3092</v>
      </c>
      <c r="H546" s="106" t="s">
        <v>2738</v>
      </c>
    </row>
    <row r="547" spans="7:8" ht="25.65" x14ac:dyDescent="0.35">
      <c r="G547" s="106" t="s">
        <v>3093</v>
      </c>
      <c r="H547" s="106" t="s">
        <v>2739</v>
      </c>
    </row>
    <row r="548" spans="7:8" ht="25.65" x14ac:dyDescent="0.35">
      <c r="G548" s="106" t="s">
        <v>1966</v>
      </c>
      <c r="H548" s="106" t="s">
        <v>2740</v>
      </c>
    </row>
    <row r="549" spans="7:8" ht="25.65" x14ac:dyDescent="0.35">
      <c r="G549" s="106" t="s">
        <v>3973</v>
      </c>
      <c r="H549" s="106" t="s">
        <v>2167</v>
      </c>
    </row>
    <row r="550" spans="7:8" ht="25.65" x14ac:dyDescent="0.35">
      <c r="G550" s="106" t="s">
        <v>3974</v>
      </c>
      <c r="H550" s="106" t="s">
        <v>2168</v>
      </c>
    </row>
    <row r="551" spans="7:8" ht="25.65" x14ac:dyDescent="0.35">
      <c r="G551" s="106" t="s">
        <v>3043</v>
      </c>
      <c r="H551" s="106" t="s">
        <v>3404</v>
      </c>
    </row>
    <row r="552" spans="7:8" ht="25.65" x14ac:dyDescent="0.35">
      <c r="G552" s="106" t="s">
        <v>2885</v>
      </c>
      <c r="H552" s="106" t="s">
        <v>3405</v>
      </c>
    </row>
    <row r="553" spans="7:8" ht="25.65" x14ac:dyDescent="0.35">
      <c r="G553" s="106" t="s">
        <v>4128</v>
      </c>
      <c r="H553" s="106" t="s">
        <v>3406</v>
      </c>
    </row>
    <row r="554" spans="7:8" ht="25.65" x14ac:dyDescent="0.35">
      <c r="G554" s="106" t="s">
        <v>3907</v>
      </c>
      <c r="H554" s="106" t="s">
        <v>3407</v>
      </c>
    </row>
    <row r="555" spans="7:8" ht="38.450000000000003" x14ac:dyDescent="0.35">
      <c r="G555" s="106" t="s">
        <v>1737</v>
      </c>
      <c r="H555" s="106" t="s">
        <v>3408</v>
      </c>
    </row>
    <row r="556" spans="7:8" ht="38.450000000000003" x14ac:dyDescent="0.35">
      <c r="G556" s="106" t="s">
        <v>1738</v>
      </c>
      <c r="H556" s="106" t="s">
        <v>2947</v>
      </c>
    </row>
    <row r="557" spans="7:8" ht="38.450000000000003" x14ac:dyDescent="0.35">
      <c r="G557" s="106" t="s">
        <v>1739</v>
      </c>
      <c r="H557" s="106" t="s">
        <v>2948</v>
      </c>
    </row>
    <row r="558" spans="7:8" ht="38.450000000000003" x14ac:dyDescent="0.35">
      <c r="G558" s="106" t="s">
        <v>1740</v>
      </c>
      <c r="H558" s="106" t="s">
        <v>2949</v>
      </c>
    </row>
    <row r="559" spans="7:8" ht="38.450000000000003" x14ac:dyDescent="0.35">
      <c r="G559" s="106" t="s">
        <v>1741</v>
      </c>
      <c r="H559" s="106" t="s">
        <v>2950</v>
      </c>
    </row>
    <row r="560" spans="7:8" ht="38.450000000000003" x14ac:dyDescent="0.35">
      <c r="G560" s="106" t="s">
        <v>1742</v>
      </c>
      <c r="H560" s="106" t="s">
        <v>2951</v>
      </c>
    </row>
    <row r="561" spans="7:8" ht="38.450000000000003" x14ac:dyDescent="0.35">
      <c r="G561" s="106" t="s">
        <v>1743</v>
      </c>
      <c r="H561" s="106" t="s">
        <v>2952</v>
      </c>
    </row>
    <row r="562" spans="7:8" ht="38.450000000000003" x14ac:dyDescent="0.35">
      <c r="G562" s="106" t="s">
        <v>1744</v>
      </c>
      <c r="H562" s="106" t="s">
        <v>2953</v>
      </c>
    </row>
    <row r="563" spans="7:8" ht="38.450000000000003" x14ac:dyDescent="0.35">
      <c r="G563" s="106" t="s">
        <v>1745</v>
      </c>
      <c r="H563" s="106" t="s">
        <v>2954</v>
      </c>
    </row>
    <row r="564" spans="7:8" ht="38.450000000000003" x14ac:dyDescent="0.35">
      <c r="G564" s="106" t="s">
        <v>162</v>
      </c>
      <c r="H564" s="106" t="s">
        <v>2955</v>
      </c>
    </row>
    <row r="565" spans="7:8" ht="38.450000000000003" x14ac:dyDescent="0.35">
      <c r="G565" s="106" t="s">
        <v>163</v>
      </c>
      <c r="H565" s="106" t="s">
        <v>560</v>
      </c>
    </row>
    <row r="566" spans="7:8" ht="38.450000000000003" x14ac:dyDescent="0.35">
      <c r="G566" s="106" t="s">
        <v>164</v>
      </c>
      <c r="H566" s="106" t="s">
        <v>561</v>
      </c>
    </row>
    <row r="567" spans="7:8" ht="38.450000000000003" x14ac:dyDescent="0.35">
      <c r="G567" s="106" t="s">
        <v>165</v>
      </c>
      <c r="H567" s="106" t="s">
        <v>562</v>
      </c>
    </row>
    <row r="568" spans="7:8" ht="38.450000000000003" x14ac:dyDescent="0.35">
      <c r="G568" s="106" t="s">
        <v>166</v>
      </c>
      <c r="H568" s="106" t="s">
        <v>563</v>
      </c>
    </row>
    <row r="569" spans="7:8" ht="38.450000000000003" x14ac:dyDescent="0.35">
      <c r="G569" s="106" t="s">
        <v>167</v>
      </c>
      <c r="H569" s="106" t="s">
        <v>564</v>
      </c>
    </row>
    <row r="570" spans="7:8" ht="38.450000000000003" x14ac:dyDescent="0.35">
      <c r="G570" s="106" t="s">
        <v>168</v>
      </c>
      <c r="H570" s="106" t="s">
        <v>1528</v>
      </c>
    </row>
    <row r="571" spans="7:8" ht="38.450000000000003" x14ac:dyDescent="0.35">
      <c r="G571" s="106" t="s">
        <v>169</v>
      </c>
      <c r="H571" s="106" t="s">
        <v>1529</v>
      </c>
    </row>
    <row r="572" spans="7:8" ht="38.450000000000003" x14ac:dyDescent="0.35">
      <c r="G572" s="106" t="s">
        <v>170</v>
      </c>
      <c r="H572" s="106" t="s">
        <v>2779</v>
      </c>
    </row>
    <row r="573" spans="7:8" ht="38.450000000000003" x14ac:dyDescent="0.35">
      <c r="G573" s="106" t="s">
        <v>171</v>
      </c>
      <c r="H573" s="106" t="s">
        <v>2780</v>
      </c>
    </row>
    <row r="574" spans="7:8" ht="38.450000000000003" x14ac:dyDescent="0.35">
      <c r="G574" s="106" t="s">
        <v>172</v>
      </c>
      <c r="H574" s="106" t="s">
        <v>2781</v>
      </c>
    </row>
    <row r="575" spans="7:8" ht="38.450000000000003" x14ac:dyDescent="0.35">
      <c r="G575" s="106" t="s">
        <v>4239</v>
      </c>
      <c r="H575" s="106" t="s">
        <v>3731</v>
      </c>
    </row>
    <row r="576" spans="7:8" ht="38.450000000000003" x14ac:dyDescent="0.35">
      <c r="G576" s="106" t="s">
        <v>4240</v>
      </c>
      <c r="H576" s="106" t="s">
        <v>1382</v>
      </c>
    </row>
    <row r="577" spans="7:8" ht="38.450000000000003" x14ac:dyDescent="0.35">
      <c r="G577" s="106" t="s">
        <v>4241</v>
      </c>
      <c r="H577" s="106" t="s">
        <v>521</v>
      </c>
    </row>
    <row r="578" spans="7:8" ht="38.450000000000003" x14ac:dyDescent="0.35">
      <c r="G578" s="106" t="s">
        <v>4242</v>
      </c>
      <c r="H578" s="106" t="s">
        <v>522</v>
      </c>
    </row>
    <row r="579" spans="7:8" ht="38.450000000000003" x14ac:dyDescent="0.35">
      <c r="G579" s="106" t="s">
        <v>59</v>
      </c>
      <c r="H579" s="106" t="s">
        <v>523</v>
      </c>
    </row>
    <row r="580" spans="7:8" ht="38.450000000000003" x14ac:dyDescent="0.35">
      <c r="G580" s="106" t="s">
        <v>60</v>
      </c>
      <c r="H580" s="106" t="s">
        <v>524</v>
      </c>
    </row>
    <row r="581" spans="7:8" ht="38.450000000000003" x14ac:dyDescent="0.35">
      <c r="G581" s="106" t="s">
        <v>61</v>
      </c>
      <c r="H581" s="106" t="s">
        <v>525</v>
      </c>
    </row>
    <row r="582" spans="7:8" ht="38.450000000000003" x14ac:dyDescent="0.35">
      <c r="G582" s="106" t="s">
        <v>62</v>
      </c>
      <c r="H582" s="106" t="s">
        <v>526</v>
      </c>
    </row>
    <row r="583" spans="7:8" ht="38.450000000000003" x14ac:dyDescent="0.35">
      <c r="G583" s="106" t="s">
        <v>63</v>
      </c>
      <c r="H583" s="106" t="s">
        <v>527</v>
      </c>
    </row>
    <row r="584" spans="7:8" ht="38.450000000000003" x14ac:dyDescent="0.35">
      <c r="G584" s="106" t="s">
        <v>1911</v>
      </c>
      <c r="H584" s="106" t="s">
        <v>528</v>
      </c>
    </row>
    <row r="585" spans="7:8" ht="38.450000000000003" x14ac:dyDescent="0.35">
      <c r="G585" s="106" t="s">
        <v>1912</v>
      </c>
      <c r="H585" s="106" t="s">
        <v>529</v>
      </c>
    </row>
    <row r="586" spans="7:8" ht="38.450000000000003" x14ac:dyDescent="0.35">
      <c r="G586" s="106" t="s">
        <v>1913</v>
      </c>
      <c r="H586" s="106" t="s">
        <v>530</v>
      </c>
    </row>
    <row r="587" spans="7:8" ht="38.450000000000003" x14ac:dyDescent="0.35">
      <c r="G587" s="106" t="s">
        <v>189</v>
      </c>
      <c r="H587" s="106" t="s">
        <v>531</v>
      </c>
    </row>
    <row r="588" spans="7:8" ht="38.450000000000003" x14ac:dyDescent="0.35">
      <c r="G588" s="106" t="s">
        <v>190</v>
      </c>
      <c r="H588" s="106" t="s">
        <v>532</v>
      </c>
    </row>
    <row r="589" spans="7:8" ht="38.450000000000003" x14ac:dyDescent="0.35">
      <c r="G589" s="106" t="s">
        <v>191</v>
      </c>
      <c r="H589" s="106" t="s">
        <v>533</v>
      </c>
    </row>
    <row r="590" spans="7:8" ht="38.450000000000003" x14ac:dyDescent="0.35">
      <c r="G590" s="106" t="s">
        <v>192</v>
      </c>
      <c r="H590" s="106" t="s">
        <v>534</v>
      </c>
    </row>
    <row r="591" spans="7:8" ht="38.450000000000003" x14ac:dyDescent="0.35">
      <c r="G591" s="106" t="s">
        <v>2666</v>
      </c>
      <c r="H591" s="106" t="s">
        <v>535</v>
      </c>
    </row>
    <row r="592" spans="7:8" ht="38.450000000000003" x14ac:dyDescent="0.35">
      <c r="G592" s="106" t="s">
        <v>2667</v>
      </c>
      <c r="H592" s="106" t="s">
        <v>536</v>
      </c>
    </row>
    <row r="593" spans="7:8" ht="38.450000000000003" x14ac:dyDescent="0.35">
      <c r="G593" s="106" t="s">
        <v>2668</v>
      </c>
      <c r="H593" s="106" t="s">
        <v>537</v>
      </c>
    </row>
    <row r="594" spans="7:8" ht="38.450000000000003" x14ac:dyDescent="0.35">
      <c r="G594" s="106" t="s">
        <v>2669</v>
      </c>
      <c r="H594" s="106" t="s">
        <v>538</v>
      </c>
    </row>
    <row r="595" spans="7:8" ht="38.450000000000003" x14ac:dyDescent="0.35">
      <c r="G595" s="106" t="s">
        <v>2782</v>
      </c>
      <c r="H595" s="106" t="s">
        <v>2783</v>
      </c>
    </row>
    <row r="596" spans="7:8" ht="38.450000000000003" x14ac:dyDescent="0.35">
      <c r="G596" s="106" t="s">
        <v>2784</v>
      </c>
      <c r="H596" s="106" t="s">
        <v>2785</v>
      </c>
    </row>
    <row r="597" spans="7:8" ht="38.450000000000003" x14ac:dyDescent="0.35">
      <c r="G597" s="106" t="s">
        <v>2786</v>
      </c>
      <c r="H597" s="106" t="s">
        <v>2787</v>
      </c>
    </row>
    <row r="598" spans="7:8" ht="38.450000000000003" x14ac:dyDescent="0.35">
      <c r="G598" s="106" t="s">
        <v>2788</v>
      </c>
      <c r="H598" s="106" t="s">
        <v>2789</v>
      </c>
    </row>
    <row r="599" spans="7:8" ht="38.450000000000003" x14ac:dyDescent="0.35">
      <c r="G599" s="106" t="s">
        <v>2790</v>
      </c>
      <c r="H599" s="106" t="s">
        <v>2791</v>
      </c>
    </row>
    <row r="600" spans="7:8" ht="38.450000000000003" x14ac:dyDescent="0.35">
      <c r="G600" s="106" t="s">
        <v>2792</v>
      </c>
      <c r="H600" s="106" t="s">
        <v>2793</v>
      </c>
    </row>
    <row r="601" spans="7:8" ht="38.450000000000003" x14ac:dyDescent="0.35">
      <c r="G601" s="106" t="s">
        <v>2794</v>
      </c>
      <c r="H601" s="106" t="s">
        <v>2795</v>
      </c>
    </row>
    <row r="602" spans="7:8" ht="38.450000000000003" x14ac:dyDescent="0.35">
      <c r="G602" s="106" t="s">
        <v>2796</v>
      </c>
      <c r="H602" s="106" t="s">
        <v>632</v>
      </c>
    </row>
    <row r="603" spans="7:8" ht="38.450000000000003" x14ac:dyDescent="0.35">
      <c r="G603" s="106" t="s">
        <v>633</v>
      </c>
      <c r="H603" s="106" t="s">
        <v>634</v>
      </c>
    </row>
    <row r="604" spans="7:8" ht="38.450000000000003" x14ac:dyDescent="0.35">
      <c r="G604" s="106" t="s">
        <v>635</v>
      </c>
      <c r="H604" s="106" t="s">
        <v>64</v>
      </c>
    </row>
    <row r="605" spans="7:8" ht="38.450000000000003" x14ac:dyDescent="0.35">
      <c r="G605" s="106" t="s">
        <v>4129</v>
      </c>
      <c r="H605" s="106" t="s">
        <v>4130</v>
      </c>
    </row>
    <row r="606" spans="7:8" ht="38.450000000000003" x14ac:dyDescent="0.35">
      <c r="G606" s="106" t="s">
        <v>4131</v>
      </c>
      <c r="H606" s="106" t="s">
        <v>1177</v>
      </c>
    </row>
    <row r="607" spans="7:8" ht="38.450000000000003" x14ac:dyDescent="0.35">
      <c r="G607" s="106" t="s">
        <v>1178</v>
      </c>
      <c r="H607" s="106" t="s">
        <v>1179</v>
      </c>
    </row>
    <row r="608" spans="7:8" ht="38.450000000000003" x14ac:dyDescent="0.35">
      <c r="G608" s="106" t="s">
        <v>1180</v>
      </c>
      <c r="H608" s="106" t="s">
        <v>1181</v>
      </c>
    </row>
    <row r="609" spans="7:8" ht="38.450000000000003" x14ac:dyDescent="0.35">
      <c r="G609" s="106" t="s">
        <v>1182</v>
      </c>
      <c r="H609" s="106" t="s">
        <v>1183</v>
      </c>
    </row>
    <row r="610" spans="7:8" ht="38.450000000000003" x14ac:dyDescent="0.35">
      <c r="G610" s="106" t="s">
        <v>1184</v>
      </c>
      <c r="H610" s="106" t="s">
        <v>1185</v>
      </c>
    </row>
    <row r="611" spans="7:8" ht="38.450000000000003" x14ac:dyDescent="0.35">
      <c r="G611" s="106" t="s">
        <v>1186</v>
      </c>
      <c r="H611" s="106" t="s">
        <v>1187</v>
      </c>
    </row>
    <row r="612" spans="7:8" ht="38.450000000000003" x14ac:dyDescent="0.35">
      <c r="G612" s="106" t="s">
        <v>1188</v>
      </c>
      <c r="H612" s="106" t="s">
        <v>1189</v>
      </c>
    </row>
    <row r="613" spans="7:8" ht="38.450000000000003" x14ac:dyDescent="0.35">
      <c r="G613" s="106" t="s">
        <v>1190</v>
      </c>
      <c r="H613" s="106" t="s">
        <v>1191</v>
      </c>
    </row>
    <row r="614" spans="7:8" ht="38.450000000000003" x14ac:dyDescent="0.35">
      <c r="G614" s="106" t="s">
        <v>1192</v>
      </c>
      <c r="H614" s="106" t="s">
        <v>1193</v>
      </c>
    </row>
    <row r="615" spans="7:8" ht="38.450000000000003" x14ac:dyDescent="0.35">
      <c r="G615" s="106" t="s">
        <v>1194</v>
      </c>
      <c r="H615" s="106" t="s">
        <v>2901</v>
      </c>
    </row>
    <row r="616" spans="7:8" ht="38.450000000000003" x14ac:dyDescent="0.35">
      <c r="G616" s="106" t="s">
        <v>2902</v>
      </c>
      <c r="H616" s="106" t="s">
        <v>2903</v>
      </c>
    </row>
    <row r="617" spans="7:8" ht="38.450000000000003" x14ac:dyDescent="0.35">
      <c r="G617" s="106" t="s">
        <v>2904</v>
      </c>
      <c r="H617" s="106" t="s">
        <v>2905</v>
      </c>
    </row>
    <row r="618" spans="7:8" ht="38.450000000000003" x14ac:dyDescent="0.35">
      <c r="G618" s="106" t="s">
        <v>2906</v>
      </c>
      <c r="H618" s="106" t="s">
        <v>2907</v>
      </c>
    </row>
    <row r="619" spans="7:8" ht="38.450000000000003" x14ac:dyDescent="0.35">
      <c r="G619" s="106" t="s">
        <v>3432</v>
      </c>
      <c r="H619" s="106" t="s">
        <v>3433</v>
      </c>
    </row>
    <row r="620" spans="7:8" ht="38.450000000000003" x14ac:dyDescent="0.35">
      <c r="G620" s="106" t="s">
        <v>3434</v>
      </c>
      <c r="H620" s="106" t="s">
        <v>3435</v>
      </c>
    </row>
    <row r="621" spans="7:8" ht="38.450000000000003" x14ac:dyDescent="0.35">
      <c r="G621" s="106" t="s">
        <v>3436</v>
      </c>
      <c r="H621" s="106" t="s">
        <v>3437</v>
      </c>
    </row>
    <row r="622" spans="7:8" ht="38.450000000000003" x14ac:dyDescent="0.35">
      <c r="G622" s="106" t="s">
        <v>3438</v>
      </c>
      <c r="H622" s="106" t="s">
        <v>3439</v>
      </c>
    </row>
    <row r="623" spans="7:8" ht="38.450000000000003" x14ac:dyDescent="0.35">
      <c r="G623" s="106" t="s">
        <v>3440</v>
      </c>
      <c r="H623" s="106" t="s">
        <v>3441</v>
      </c>
    </row>
    <row r="624" spans="7:8" ht="38.450000000000003" x14ac:dyDescent="0.35">
      <c r="G624" s="106" t="s">
        <v>3442</v>
      </c>
      <c r="H624" s="106" t="s">
        <v>3443</v>
      </c>
    </row>
    <row r="625" spans="7:8" ht="38.450000000000003" x14ac:dyDescent="0.35">
      <c r="G625" s="106" t="s">
        <v>3444</v>
      </c>
      <c r="H625" s="106" t="s">
        <v>3445</v>
      </c>
    </row>
    <row r="626" spans="7:8" ht="38.450000000000003" x14ac:dyDescent="0.35">
      <c r="G626" s="106" t="s">
        <v>3446</v>
      </c>
      <c r="H626" s="106" t="s">
        <v>3447</v>
      </c>
    </row>
    <row r="627" spans="7:8" ht="38.450000000000003" x14ac:dyDescent="0.35">
      <c r="G627" s="106" t="s">
        <v>3448</v>
      </c>
      <c r="H627" s="106" t="s">
        <v>3449</v>
      </c>
    </row>
    <row r="628" spans="7:8" ht="25.65" x14ac:dyDescent="0.35">
      <c r="G628" s="106" t="s">
        <v>3647</v>
      </c>
      <c r="H628" s="106" t="s">
        <v>3450</v>
      </c>
    </row>
    <row r="629" spans="7:8" ht="25.65" x14ac:dyDescent="0.35">
      <c r="G629" s="106" t="s">
        <v>3653</v>
      </c>
      <c r="H629" s="106" t="s">
        <v>3451</v>
      </c>
    </row>
    <row r="630" spans="7:8" ht="25.65" x14ac:dyDescent="0.35">
      <c r="G630" s="106" t="s">
        <v>3652</v>
      </c>
      <c r="H630" s="106" t="s">
        <v>3452</v>
      </c>
    </row>
    <row r="631" spans="7:8" ht="25.65" x14ac:dyDescent="0.35">
      <c r="G631" s="106" t="s">
        <v>3641</v>
      </c>
      <c r="H631" s="106" t="s">
        <v>3453</v>
      </c>
    </row>
    <row r="632" spans="7:8" ht="25.65" x14ac:dyDescent="0.35">
      <c r="G632" s="106" t="s">
        <v>3639</v>
      </c>
      <c r="H632" s="106" t="s">
        <v>2943</v>
      </c>
    </row>
    <row r="633" spans="7:8" ht="25.65" x14ac:dyDescent="0.35">
      <c r="G633" s="106" t="s">
        <v>3646</v>
      </c>
      <c r="H633" s="106" t="s">
        <v>2944</v>
      </c>
    </row>
    <row r="634" spans="7:8" ht="25.65" x14ac:dyDescent="0.35">
      <c r="G634" s="106" t="s">
        <v>3621</v>
      </c>
      <c r="H634" s="106" t="s">
        <v>2945</v>
      </c>
    </row>
    <row r="635" spans="7:8" ht="25.65" x14ac:dyDescent="0.35">
      <c r="G635" s="106" t="s">
        <v>2333</v>
      </c>
      <c r="H635" s="106" t="s">
        <v>636</v>
      </c>
    </row>
    <row r="636" spans="7:8" ht="25.65" x14ac:dyDescent="0.35">
      <c r="G636" s="106" t="s">
        <v>2230</v>
      </c>
      <c r="H636" s="106" t="s">
        <v>637</v>
      </c>
    </row>
    <row r="637" spans="7:8" ht="25.65" x14ac:dyDescent="0.35">
      <c r="G637" s="106" t="s">
        <v>3908</v>
      </c>
      <c r="H637" s="106" t="s">
        <v>638</v>
      </c>
    </row>
    <row r="638" spans="7:8" ht="25.65" x14ac:dyDescent="0.35">
      <c r="G638" s="106" t="s">
        <v>2335</v>
      </c>
      <c r="H638" s="106" t="s">
        <v>639</v>
      </c>
    </row>
    <row r="639" spans="7:8" ht="25.65" x14ac:dyDescent="0.35">
      <c r="G639" s="106" t="s">
        <v>3648</v>
      </c>
      <c r="H639" s="106" t="s">
        <v>640</v>
      </c>
    </row>
    <row r="640" spans="7:8" ht="25.65" x14ac:dyDescent="0.35">
      <c r="G640" s="106" t="s">
        <v>2177</v>
      </c>
      <c r="H640" s="106" t="s">
        <v>641</v>
      </c>
    </row>
    <row r="641" spans="7:8" ht="25.65" x14ac:dyDescent="0.35">
      <c r="G641" s="106" t="s">
        <v>3909</v>
      </c>
      <c r="H641" s="106" t="s">
        <v>642</v>
      </c>
    </row>
    <row r="642" spans="7:8" ht="25.65" x14ac:dyDescent="0.35">
      <c r="G642" s="106" t="s">
        <v>3910</v>
      </c>
      <c r="H642" s="106" t="s">
        <v>643</v>
      </c>
    </row>
    <row r="643" spans="7:8" ht="25.65" x14ac:dyDescent="0.35">
      <c r="G643" s="106" t="s">
        <v>1610</v>
      </c>
      <c r="H643" s="106" t="s">
        <v>644</v>
      </c>
    </row>
    <row r="644" spans="7:8" ht="25.65" x14ac:dyDescent="0.35">
      <c r="G644" s="106" t="s">
        <v>3423</v>
      </c>
      <c r="H644" s="106" t="s">
        <v>645</v>
      </c>
    </row>
    <row r="645" spans="7:8" ht="25.65" x14ac:dyDescent="0.35">
      <c r="G645" s="106" t="s">
        <v>3424</v>
      </c>
      <c r="H645" s="106" t="s">
        <v>646</v>
      </c>
    </row>
    <row r="646" spans="7:8" ht="25.65" x14ac:dyDescent="0.35">
      <c r="G646" s="106" t="s">
        <v>2185</v>
      </c>
      <c r="H646" s="106" t="s">
        <v>647</v>
      </c>
    </row>
    <row r="647" spans="7:8" ht="25.65" x14ac:dyDescent="0.35">
      <c r="G647" s="106" t="s">
        <v>2175</v>
      </c>
      <c r="H647" s="106" t="s">
        <v>648</v>
      </c>
    </row>
    <row r="648" spans="7:8" ht="25.65" x14ac:dyDescent="0.35">
      <c r="G648" s="106" t="s">
        <v>2967</v>
      </c>
      <c r="H648" s="106" t="s">
        <v>649</v>
      </c>
    </row>
    <row r="649" spans="7:8" ht="25.65" x14ac:dyDescent="0.35">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3000</v>
      </c>
      <c r="D2" s="218" t="e">
        <f ca="1">AfspraakDatum</f>
        <v>#NAME?</v>
      </c>
      <c r="E2" s="219"/>
      <c r="F2" s="217" t="s">
        <v>3001</v>
      </c>
      <c r="G2" s="220">
        <f>OpnDatum</f>
        <v>41827</v>
      </c>
      <c r="H2" s="217" t="e">
        <f ca="1">"ICU-dag: "&amp;AfspraakDatum-OpnDatum+1</f>
        <v>#NAME?</v>
      </c>
      <c r="I2" s="217"/>
      <c r="J2" s="217"/>
      <c r="K2" s="217"/>
    </row>
    <row r="3" spans="1:22" s="216" customFormat="1" ht="13.2" x14ac:dyDescent="0.4">
      <c r="A3" s="252"/>
      <c r="B3" s="217" t="s">
        <v>288</v>
      </c>
      <c r="D3" s="221" t="str">
        <f>AchterNaam&amp;", "&amp;VoorNaam</f>
        <v>RSV, Bronchio</v>
      </c>
      <c r="E3" s="221"/>
      <c r="F3" s="217" t="s">
        <v>3097</v>
      </c>
      <c r="G3" s="220">
        <f>GebDatum</f>
        <v>40909</v>
      </c>
      <c r="H3" s="222" t="str">
        <f>"Gewicht: "&amp;Gewicht/10&amp;" kg"</f>
        <v>Gewicht: 10 kg</v>
      </c>
      <c r="I3" s="217"/>
      <c r="J3" s="222" t="str">
        <f>"Lengte: "&amp;Lengte&amp;" cm"</f>
        <v>Lengte: 70 cm</v>
      </c>
      <c r="K3" s="217"/>
    </row>
    <row r="4" spans="1:22" s="216" customFormat="1" ht="13.2" x14ac:dyDescent="0.4">
      <c r="A4" s="252"/>
      <c r="B4" s="217" t="s">
        <v>3468</v>
      </c>
      <c r="D4" s="222">
        <f>PatNummer</f>
        <v>123456</v>
      </c>
      <c r="E4" s="219"/>
      <c r="F4" s="217" t="s">
        <v>2763</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0.42 m2</v>
      </c>
      <c r="J4" s="217"/>
      <c r="K4" s="217"/>
    </row>
    <row r="5" spans="1:22" ht="13.2" x14ac:dyDescent="0.4">
      <c r="C5" s="122"/>
      <c r="D5" s="228"/>
      <c r="E5" s="109"/>
      <c r="F5" s="122"/>
      <c r="G5" s="229"/>
      <c r="H5" s="122"/>
      <c r="I5" s="122"/>
      <c r="J5" s="122"/>
      <c r="K5" s="122"/>
    </row>
    <row r="6" spans="1:22" ht="17.25" customHeight="1" x14ac:dyDescent="0.4">
      <c r="C6" s="310" t="s">
        <v>1815</v>
      </c>
      <c r="D6" s="26" t="str">
        <f>INDEX(tblSonde,ber_PO!P22,1)</f>
        <v>Hevelen</v>
      </c>
      <c r="I6" s="29"/>
      <c r="J6" s="29"/>
      <c r="K6" s="29"/>
      <c r="L6" s="29"/>
    </row>
    <row r="7" spans="1:22" ht="19.55" customHeight="1" x14ac:dyDescent="0.4">
      <c r="B7" s="29"/>
      <c r="C7" s="323" t="s">
        <v>2773</v>
      </c>
      <c r="D7" s="29"/>
      <c r="E7" s="29"/>
      <c r="F7" s="29"/>
      <c r="G7" s="29"/>
      <c r="H7" s="29"/>
      <c r="I7" s="29"/>
      <c r="J7" s="29"/>
      <c r="K7" s="29"/>
      <c r="L7" s="323" t="s">
        <v>1906</v>
      </c>
      <c r="N7" s="300"/>
    </row>
    <row r="8" spans="1:22" ht="19.55" customHeight="1" x14ac:dyDescent="0.35">
      <c r="B8" s="304"/>
      <c r="C8" s="312" t="str">
        <f>IF(ber_PO!O22&lt;&gt;0,ber_PO!L22&amp;" dd","")</f>
        <v>6 dd</v>
      </c>
      <c r="D8" s="313" t="str">
        <f>IF(ber_PO!O22&lt;&gt;0,ber_PO!N22&amp;" ml","")</f>
        <v>5 ml</v>
      </c>
      <c r="E8" s="304"/>
      <c r="F8" s="304"/>
      <c r="G8" s="304" t="str">
        <f>IF(C8="24 dd","continue drip","")</f>
        <v/>
      </c>
      <c r="H8" s="304" t="str">
        <f>IF(ber_PO!P22&gt;1,ber_PO!O22&amp;" ml per dag","")</f>
        <v>30 ml per dag</v>
      </c>
      <c r="I8" s="304"/>
      <c r="J8" s="29"/>
      <c r="L8" s="26" t="s">
        <v>1252</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5" customHeight="1" x14ac:dyDescent="0.35">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8" customHeight="1" x14ac:dyDescent="0.4">
      <c r="B14" s="29"/>
      <c r="C14" s="323" t="s">
        <v>2774</v>
      </c>
      <c r="H14" s="311"/>
      <c r="J14" s="38"/>
      <c r="K14" s="38"/>
      <c r="L14" s="328"/>
      <c r="M14" s="327" t="s">
        <v>2767</v>
      </c>
      <c r="N14" s="337">
        <f>ber_PO!AF17</f>
        <v>0</v>
      </c>
      <c r="O14" s="38" t="s">
        <v>1844</v>
      </c>
      <c r="P14" s="38"/>
      <c r="Q14" s="38"/>
      <c r="R14" s="38"/>
      <c r="S14" s="38"/>
      <c r="T14" s="38"/>
      <c r="U14" s="38"/>
      <c r="V14" s="38"/>
    </row>
    <row r="15" spans="1:22" ht="23.3" customHeight="1" x14ac:dyDescent="0.4">
      <c r="B15" s="252"/>
      <c r="C15" s="336" t="s">
        <v>3397</v>
      </c>
      <c r="D15" s="300" t="str">
        <f>IF(ber_TPN!F3&lt;&gt;0,IF(ber_TPN!F3/24&gt;=10,ROUND(ber_TPN!F3/24,1),ROUND(ber_TPN!F3/24,1))&amp;" ml/uur","")</f>
        <v>28 ml/uur</v>
      </c>
      <c r="E15" s="122" t="str">
        <f>IF(D15&lt;&gt;"",ber_TPN!F3&amp;" ml per dag","")</f>
        <v>672 ml per dag</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3" customHeight="1" x14ac:dyDescent="0.4">
      <c r="B17" s="252"/>
      <c r="C17" s="252"/>
      <c r="D17" s="29"/>
      <c r="E17" s="300" t="str">
        <f>IF(ber_TPN!F6&lt;&gt;0,ROUND(ber_TPN!F6,1)&amp;" ml","")</f>
        <v>672 ml</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5" customHeight="1" x14ac:dyDescent="0.4">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5" customHeight="1" x14ac:dyDescent="0.4">
      <c r="B19" s="252"/>
      <c r="C19" s="252" t="s">
        <v>2221</v>
      </c>
      <c r="D19" s="29"/>
      <c r="E19" s="300" t="str">
        <f>IF(ber_TPN!C8,ber_TPN!F8&amp;" ml","")</f>
        <v>0 ml</v>
      </c>
      <c r="F19" s="29"/>
      <c r="G19" s="29"/>
      <c r="H19" s="326" t="s">
        <v>2221</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3119</v>
      </c>
      <c r="E22" s="300" t="str">
        <f>IF(ber_TPN!C10,ber_TPN!D10&amp;" ml","")</f>
        <v/>
      </c>
      <c r="J22" s="318"/>
      <c r="K22" s="319"/>
      <c r="L22" s="318"/>
      <c r="M22" s="318"/>
      <c r="N22" s="318"/>
      <c r="O22" s="318"/>
      <c r="P22" s="318"/>
      <c r="T22" s="318"/>
      <c r="U22" s="318"/>
      <c r="V22" s="318"/>
    </row>
    <row r="23" spans="2:22" ht="24.05" customHeight="1" x14ac:dyDescent="0.4">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2764</v>
      </c>
      <c r="C31" s="330"/>
      <c r="D31" s="331" t="str">
        <f>ROUND(ber_totalen!C2,0)&amp;" ml/kg"</f>
        <v>76 ml/kg</v>
      </c>
      <c r="E31" s="330" t="str">
        <f ca="1">ROUND(ber_normaal!$A$18,0)&amp;" ml/kg"</f>
        <v>100 ml/kg</v>
      </c>
      <c r="F31" s="330" t="str">
        <f>"= "&amp;ROUND(ber_totalen!C2*Gewicht/10,0)&amp;" ml/dag"</f>
        <v>= 762 ml/dag</v>
      </c>
      <c r="G31" s="330"/>
      <c r="H31" s="330" t="s">
        <v>2217</v>
      </c>
      <c r="I31" s="331" t="str">
        <f>ROUND(ber_totalen!$C$9,1)&amp;"  gram/kg"</f>
        <v>0  gram/kg</v>
      </c>
      <c r="J31" s="330" t="str">
        <f>IF(Gewicht/10&lt;30,"2-2,5 g/kg","1,5 g/kg")</f>
        <v>2-2,5 g/kg</v>
      </c>
      <c r="K31" s="330"/>
      <c r="L31" s="366"/>
      <c r="M31" s="367"/>
      <c r="N31" s="367"/>
      <c r="O31" s="367"/>
      <c r="P31" s="367"/>
    </row>
    <row r="32" spans="2:22" ht="13.2" x14ac:dyDescent="0.4">
      <c r="B32" s="330" t="s">
        <v>2765</v>
      </c>
      <c r="C32" s="330"/>
      <c r="D32" s="331" t="str">
        <f>ROUND(ber_totalen!E38,0)&amp;" kCal/kg"</f>
        <v>15 kCal/kg</v>
      </c>
      <c r="E32" s="330" t="str">
        <f ca="1">ber_normaal!$A$21&amp;" kCal/kg"</f>
        <v>90 kCal/kg</v>
      </c>
      <c r="F32" s="330"/>
      <c r="G32" s="330"/>
      <c r="H32" s="330" t="s">
        <v>2218</v>
      </c>
      <c r="I32" s="331" t="str">
        <f>ROUND(ber_totalen!$C$13,1)&amp;" gram/kg"</f>
        <v>0.1 gram/kg</v>
      </c>
      <c r="J32" s="330" t="str">
        <f>IF(Gewicht/10&lt;30,"4 g/kg","2 g/kg")</f>
        <v>4 g/kg</v>
      </c>
      <c r="K32" s="330"/>
      <c r="L32" s="366"/>
      <c r="M32" s="367"/>
      <c r="N32" s="367"/>
      <c r="O32" s="367"/>
      <c r="P32" s="367"/>
    </row>
    <row r="33" spans="2:16" ht="13.2" x14ac:dyDescent="0.4">
      <c r="B33" s="330" t="s">
        <v>2329</v>
      </c>
      <c r="C33" s="330"/>
      <c r="D33" s="331" t="str">
        <f>ROUND(ber_totalen!C5,1)&amp;" g/kg"</f>
        <v>3.6 g/kg</v>
      </c>
      <c r="E33" s="330" t="s">
        <v>3506</v>
      </c>
      <c r="F33" s="330" t="str">
        <f>"= "&amp;ROUND(ber_totalen!C5/1.4,1)&amp;" mg/kg/min"</f>
        <v>= 2.6 mg/kg/min</v>
      </c>
      <c r="G33" s="330"/>
      <c r="H33" s="330" t="s">
        <v>2219</v>
      </c>
      <c r="I33" s="331" t="str">
        <f>ROUND(ber_totalen!$C$27,1)&amp;" mmol/kg"</f>
        <v>0 mmol/kg</v>
      </c>
      <c r="J33" s="330" t="s">
        <v>4494</v>
      </c>
      <c r="K33" s="330"/>
      <c r="L33" s="366"/>
      <c r="M33" s="367"/>
      <c r="N33" s="367"/>
      <c r="O33" s="367"/>
      <c r="P33" s="367"/>
    </row>
    <row r="34" spans="2:16" ht="13.2" x14ac:dyDescent="0.4">
      <c r="B34" s="330" t="s">
        <v>2766</v>
      </c>
      <c r="C34" s="330"/>
      <c r="D34" s="331" t="str">
        <f>ROUND(ber_totalen!C17,1)&amp;" mmol/kg"</f>
        <v>6.1 mmol/kg</v>
      </c>
      <c r="E34" s="330" t="s">
        <v>3500</v>
      </c>
      <c r="F34" s="330"/>
      <c r="G34" s="330"/>
      <c r="H34" s="330" t="s">
        <v>3118</v>
      </c>
      <c r="I34" s="331" t="str">
        <f>ROUND(ber_totalen!$C$33,1)&amp;" mmol/kg"</f>
        <v>0 mmol/kg</v>
      </c>
      <c r="J34" s="330" t="s">
        <v>3505</v>
      </c>
      <c r="K34" s="330"/>
      <c r="L34" s="366"/>
      <c r="M34" s="367"/>
      <c r="N34" s="367"/>
      <c r="O34" s="367"/>
      <c r="P34" s="367"/>
    </row>
    <row r="35" spans="2:16" ht="13.2" x14ac:dyDescent="0.4">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35">
      <c r="A3" t="s">
        <v>3395</v>
      </c>
      <c r="D3">
        <v>73</v>
      </c>
      <c r="E3">
        <f>IF(D3&lt;50,D3/10,IF(D3&lt;146,D3-45,(D3-125)*5))</f>
        <v>28</v>
      </c>
      <c r="F3">
        <f>ROUND(E3*24+ROUND(IF(AND(TPN=2,Gewicht/10&lt;=50,SSTglucose&lt;11),F4*2+2*(F7+F8),2*(F7+F8)+4*(F9+F10))/24,0)*24,0)</f>
        <v>672</v>
      </c>
    </row>
    <row r="4" spans="1:15" x14ac:dyDescent="0.35">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3063</v>
      </c>
      <c r="F5">
        <f>IF(AND(Gewicht/10&gt;=16,TPN&gt;1,OR(SSTglucose&lt;11,Gewicht/10&gt;50)),E5,0)</f>
        <v>0</v>
      </c>
    </row>
    <row r="6" spans="1:15" x14ac:dyDescent="0.35">
      <c r="A6" t="s">
        <v>2885</v>
      </c>
      <c r="B6">
        <v>11</v>
      </c>
      <c r="F6">
        <f>IF(Gewicht/10&gt;50,F3-F7-F8-F9-F10,IF(OR(TPN=1,SSTglucose&gt;=11),F3-F7-F8-F9-F10,F3-F4-F5-F7-F8))</f>
        <v>672</v>
      </c>
      <c r="G6">
        <f>INDEX(J26:L39,B6,3)*F6</f>
        <v>33.6</v>
      </c>
      <c r="I6">
        <f>INDEX(J26:M39,B6,4)*F6</f>
        <v>51.744</v>
      </c>
      <c r="J6">
        <f>INDEX(J26:N39,B6,5)*F6</f>
        <v>0</v>
      </c>
      <c r="N6">
        <f>4*G6</f>
        <v>134.4</v>
      </c>
    </row>
    <row r="7" spans="1:15" x14ac:dyDescent="0.35">
      <c r="A7" t="s">
        <v>3376</v>
      </c>
      <c r="C7" t="b">
        <v>0</v>
      </c>
      <c r="D7">
        <f>IF(E7&lt;50,E7/10,E7-45)</f>
        <v>2</v>
      </c>
      <c r="E7">
        <v>20</v>
      </c>
      <c r="F7">
        <f>ROUND(IF(C7,E7,0),0)</f>
        <v>0</v>
      </c>
      <c r="I7">
        <f>F7*0.5</f>
        <v>0</v>
      </c>
    </row>
    <row r="8" spans="1:15" x14ac:dyDescent="0.35">
      <c r="A8" t="s">
        <v>2221</v>
      </c>
      <c r="C8" t="b">
        <v>1</v>
      </c>
      <c r="D8">
        <f>IF(E8&lt;50,E8/10,E8-45)</f>
        <v>0</v>
      </c>
      <c r="F8">
        <f>ROUND(IF(C8,E8,0),0)</f>
        <v>0</v>
      </c>
      <c r="J8">
        <f>F8</f>
        <v>0</v>
      </c>
    </row>
    <row r="9" spans="1:15" x14ac:dyDescent="0.35">
      <c r="A9" t="s">
        <v>3377</v>
      </c>
      <c r="C9" t="b">
        <v>0</v>
      </c>
      <c r="D9">
        <f>CaGlucVol</f>
        <v>0</v>
      </c>
      <c r="F9">
        <f>ROUND(IF(C9,D9,0),0)</f>
        <v>0</v>
      </c>
      <c r="K9">
        <f>F9*0.225</f>
        <v>0</v>
      </c>
    </row>
    <row r="10" spans="1:15" x14ac:dyDescent="0.35">
      <c r="A10" t="s">
        <v>3119</v>
      </c>
      <c r="C10" t="b">
        <v>0</v>
      </c>
      <c r="D10">
        <f>MgClVol</f>
        <v>0</v>
      </c>
      <c r="F10">
        <f>ROUND(IF(C10,D10,0),0)</f>
        <v>0</v>
      </c>
      <c r="L10">
        <f>F10*0.5</f>
        <v>0</v>
      </c>
    </row>
    <row r="11" spans="1:15" x14ac:dyDescent="0.35">
      <c r="A11" t="s">
        <v>3117</v>
      </c>
      <c r="C11" t="b">
        <v>0</v>
      </c>
      <c r="D11">
        <f>IF(E11&lt;50,E11/10,E11-45)</f>
        <v>0</v>
      </c>
      <c r="F11">
        <f>IF(C11,D11,0)</f>
        <v>0</v>
      </c>
      <c r="I11">
        <f>0.5*F11</f>
        <v>0</v>
      </c>
      <c r="J11">
        <f>1.25*F11</f>
        <v>0</v>
      </c>
      <c r="M11">
        <f>F11*1.5</f>
        <v>0</v>
      </c>
    </row>
    <row r="12" spans="1:15" x14ac:dyDescent="0.35">
      <c r="A12" t="s">
        <v>2114</v>
      </c>
      <c r="D12">
        <v>0</v>
      </c>
      <c r="E12">
        <f>ROUND(IF(D12&lt;50,D12/10,D12-45),1)</f>
        <v>0</v>
      </c>
      <c r="F12">
        <f>E12*24</f>
        <v>0</v>
      </c>
    </row>
    <row r="13" spans="1:15" x14ac:dyDescent="0.35">
      <c r="A13" t="s">
        <v>2115</v>
      </c>
      <c r="F13">
        <f>F12-F14-F15</f>
        <v>0</v>
      </c>
      <c r="N13">
        <f>9*O13</f>
        <v>0</v>
      </c>
      <c r="O13">
        <f>0.2*F13</f>
        <v>0</v>
      </c>
    </row>
    <row r="14" spans="1:15" x14ac:dyDescent="0.35">
      <c r="A14" t="s">
        <v>2116</v>
      </c>
      <c r="C14" t="b">
        <v>0</v>
      </c>
      <c r="D14">
        <f>IF(E14&lt;50,E14/10,E14-45)</f>
        <v>0.1</v>
      </c>
      <c r="E14">
        <v>1</v>
      </c>
      <c r="F14">
        <f>IF(C14,D14,0)</f>
        <v>0</v>
      </c>
    </row>
    <row r="15" spans="1:15" x14ac:dyDescent="0.35">
      <c r="A15" t="s">
        <v>2117</v>
      </c>
      <c r="C15" t="b">
        <v>0</v>
      </c>
      <c r="D15">
        <f>IF(E15&lt;50,E15/10,E15-45)</f>
        <v>0.1</v>
      </c>
      <c r="E15">
        <v>1</v>
      </c>
      <c r="F15">
        <f>IF(AND(C15,Gewicht/10&gt;=7),D15,0)</f>
        <v>0</v>
      </c>
    </row>
    <row r="16" spans="1:15" x14ac:dyDescent="0.35">
      <c r="A16" t="s">
        <v>1792</v>
      </c>
      <c r="F16">
        <f>IF(AND(TPN=2,Gewicht/10&lt;=50,SSTglucose&lt;11),ROUND((F9*4+F10*4)/10,0)*10,IF(AND(TPN=2,Gewicht/10&gt;50),100,0))</f>
        <v>0</v>
      </c>
      <c r="G16">
        <f>F16*0.1</f>
        <v>0</v>
      </c>
    </row>
    <row r="17" spans="1:15" x14ac:dyDescent="0.35">
      <c r="A17" t="s">
        <v>1273</v>
      </c>
      <c r="F17">
        <f>(ROUND(ber_TPN!F11*1.5/(Gewicht/10)/24/0.01,1)*24-ber_TPN!F11)</f>
        <v>0</v>
      </c>
      <c r="G17">
        <f>F17*0.05</f>
        <v>0</v>
      </c>
      <c r="N17">
        <f>4*G17</f>
        <v>0</v>
      </c>
    </row>
    <row r="18" spans="1:15" x14ac:dyDescent="0.35">
      <c r="A18" t="s">
        <v>3396</v>
      </c>
      <c r="D18">
        <v>0</v>
      </c>
      <c r="E18">
        <f>IF(D18&lt;50,D18/10,D18-45)</f>
        <v>0</v>
      </c>
      <c r="F18">
        <f>E18*24</f>
        <v>0</v>
      </c>
    </row>
    <row r="19" spans="1:15" x14ac:dyDescent="0.35">
      <c r="A19" t="s">
        <v>2885</v>
      </c>
      <c r="B19">
        <v>1</v>
      </c>
      <c r="F19">
        <f>IF(F18-F20-F21&lt;0,0,F18-F20-F21)</f>
        <v>0</v>
      </c>
      <c r="G19">
        <f>INDEX(J26:L39,B19,3)*F19</f>
        <v>0</v>
      </c>
      <c r="I19">
        <f>INDEX(J26:M39,B19,4)*F19</f>
        <v>0</v>
      </c>
      <c r="J19">
        <f>INDEX(J26:N39,B6,5)*F19</f>
        <v>0</v>
      </c>
      <c r="N19">
        <f>4*G19</f>
        <v>0</v>
      </c>
    </row>
    <row r="20" spans="1:15" x14ac:dyDescent="0.35">
      <c r="A20" t="s">
        <v>3376</v>
      </c>
      <c r="D20">
        <f>IF(E20&lt;50,E20/10,E20-45)</f>
        <v>0</v>
      </c>
      <c r="F20">
        <f>IF(AND(D20+D21&lt;F18,C20),D20,0)</f>
        <v>0</v>
      </c>
      <c r="I20">
        <f>F20*0.5</f>
        <v>0</v>
      </c>
    </row>
    <row r="21" spans="1:15" x14ac:dyDescent="0.35">
      <c r="A21" t="s">
        <v>2221</v>
      </c>
      <c r="D21">
        <f>IF(E21&lt;50,E21/10,E21-45)</f>
        <v>0</v>
      </c>
      <c r="F21">
        <f>IF(AND(C21,D20+D21&lt;F18),D21,0)</f>
        <v>0</v>
      </c>
      <c r="J21">
        <f>F21</f>
        <v>0</v>
      </c>
    </row>
    <row r="23" spans="1:15" x14ac:dyDescent="0.35">
      <c r="A23" t="s">
        <v>1276</v>
      </c>
      <c r="F23">
        <f>IF(Gewicht/10&gt;50,SUM(F3+F4+F12+F17+F16+F18),IF(TPN=1,SUM(F3+F12+F16+F17+F18),SUM(F3+F9+F10+F12+F16+F17+F18)))</f>
        <v>672</v>
      </c>
      <c r="G23">
        <f t="shared" ref="G23:N23" si="1">SUM(G3:G21)</f>
        <v>33.6</v>
      </c>
      <c r="H23">
        <f t="shared" si="1"/>
        <v>0</v>
      </c>
      <c r="I23">
        <f t="shared" si="1"/>
        <v>51.744</v>
      </c>
      <c r="J23">
        <f t="shared" si="1"/>
        <v>0</v>
      </c>
      <c r="K23">
        <f t="shared" si="1"/>
        <v>0</v>
      </c>
      <c r="L23">
        <f t="shared" si="1"/>
        <v>0</v>
      </c>
      <c r="M23">
        <f t="shared" si="1"/>
        <v>0</v>
      </c>
      <c r="N23">
        <f t="shared" si="1"/>
        <v>134.4</v>
      </c>
      <c r="O23">
        <f>SUM(O4:O21)</f>
        <v>0</v>
      </c>
    </row>
    <row r="25" spans="1:15" x14ac:dyDescent="0.35">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35">
      <c r="J26">
        <v>1</v>
      </c>
      <c r="K26" t="s">
        <v>2988</v>
      </c>
      <c r="L26">
        <v>0.05</v>
      </c>
      <c r="M26">
        <v>0</v>
      </c>
    </row>
    <row r="27" spans="1:15" x14ac:dyDescent="0.35">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35">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35">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35">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35">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35">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35">
      <c r="J33">
        <v>8</v>
      </c>
      <c r="K33" t="s">
        <v>2210</v>
      </c>
      <c r="L33">
        <v>0.3</v>
      </c>
      <c r="M33">
        <v>0</v>
      </c>
    </row>
    <row r="34" spans="1:15" x14ac:dyDescent="0.35">
      <c r="J34">
        <v>9</v>
      </c>
      <c r="K34" t="s">
        <v>2676</v>
      </c>
      <c r="L34">
        <v>0.4</v>
      </c>
      <c r="M34">
        <v>0</v>
      </c>
      <c r="N34">
        <v>0</v>
      </c>
    </row>
    <row r="35" spans="1:15" x14ac:dyDescent="0.35">
      <c r="A35" s="107" t="s">
        <v>3374</v>
      </c>
      <c r="J35">
        <v>10</v>
      </c>
      <c r="K35" t="s">
        <v>1039</v>
      </c>
      <c r="L35">
        <v>0.5</v>
      </c>
      <c r="M35">
        <v>0</v>
      </c>
    </row>
    <row r="36" spans="1:15" x14ac:dyDescent="0.35">
      <c r="A36" s="107" t="s">
        <v>3375</v>
      </c>
      <c r="J36">
        <v>11</v>
      </c>
      <c r="K36" t="s">
        <v>5131</v>
      </c>
      <c r="L36">
        <v>0.05</v>
      </c>
      <c r="M36">
        <v>7.6999999999999999E-2</v>
      </c>
      <c r="O36">
        <v>0</v>
      </c>
    </row>
    <row r="37" spans="1:15" x14ac:dyDescent="0.35">
      <c r="A37" s="107" t="s">
        <v>575</v>
      </c>
      <c r="J37">
        <v>12</v>
      </c>
      <c r="K37" t="s">
        <v>5132</v>
      </c>
      <c r="L37">
        <v>0.05</v>
      </c>
      <c r="M37">
        <v>0.155</v>
      </c>
      <c r="O37">
        <v>0</v>
      </c>
    </row>
    <row r="38" spans="1:15" x14ac:dyDescent="0.35">
      <c r="A38" s="107" t="s">
        <v>576</v>
      </c>
      <c r="J38">
        <v>13</v>
      </c>
      <c r="K38" t="s">
        <v>3044</v>
      </c>
      <c r="L38">
        <v>0</v>
      </c>
      <c r="M38">
        <v>0.155</v>
      </c>
      <c r="O38">
        <v>0</v>
      </c>
    </row>
    <row r="39" spans="1:15" x14ac:dyDescent="0.35">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3810</v>
      </c>
      <c r="D4" t="s">
        <v>1562</v>
      </c>
      <c r="F4" t="s">
        <v>1563</v>
      </c>
      <c r="H4" t="s">
        <v>1564</v>
      </c>
      <c r="J4" t="s">
        <v>1565</v>
      </c>
      <c r="L4" t="s">
        <v>119</v>
      </c>
      <c r="N4" t="s">
        <v>120</v>
      </c>
      <c r="P4" t="s">
        <v>121</v>
      </c>
    </row>
    <row r="5" spans="2:16" x14ac:dyDescent="0.35">
      <c r="B5" t="str">
        <f>IF(C5,"A","")</f>
        <v/>
      </c>
      <c r="C5" t="b">
        <v>0</v>
      </c>
      <c r="D5" t="str">
        <f>IF(E5,"A","")</f>
        <v>A</v>
      </c>
      <c r="E5" t="b">
        <v>1</v>
      </c>
      <c r="F5" t="str">
        <f>IF(G5,"A","")</f>
        <v/>
      </c>
      <c r="H5" t="str">
        <f>IF(I5,"A","")</f>
        <v/>
      </c>
      <c r="J5" t="str">
        <f>IF(K5,"A","")</f>
        <v/>
      </c>
      <c r="L5" t="str">
        <f>IF(M5,"A","")</f>
        <v/>
      </c>
      <c r="N5" t="str">
        <f>IF(O5,"A","")</f>
        <v/>
      </c>
      <c r="P5" t="str">
        <f>IF(Q5,"A","")</f>
        <v/>
      </c>
    </row>
    <row r="6" spans="2:16" x14ac:dyDescent="0.35">
      <c r="B6" t="str">
        <f>IF(C6,"Na K","")</f>
        <v/>
      </c>
      <c r="C6" t="b">
        <v>0</v>
      </c>
      <c r="D6" t="str">
        <f>IF(E6,"Na K","")</f>
        <v>Na K</v>
      </c>
      <c r="E6" t="b">
        <v>1</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C8" t="b">
        <v>0</v>
      </c>
      <c r="D8" t="str">
        <f>IF(E8,"Gluc","")</f>
        <v>Gluc</v>
      </c>
      <c r="E8" t="b">
        <v>1</v>
      </c>
      <c r="F8" t="str">
        <f>IF(G8,"Gluc","")</f>
        <v/>
      </c>
      <c r="H8" t="str">
        <f>IF(I8,"Gluc","")</f>
        <v/>
      </c>
      <c r="J8" t="str">
        <f>IF(K8,"Gluc","")</f>
        <v/>
      </c>
      <c r="L8" t="str">
        <f>IF(M8,"Gluc","")</f>
        <v/>
      </c>
      <c r="N8" t="str">
        <f>IF(O8,"Gluc","")</f>
        <v/>
      </c>
      <c r="P8" t="str">
        <f>IF(Q8,"Gluc","")</f>
        <v/>
      </c>
    </row>
    <row r="9" spans="2:16" x14ac:dyDescent="0.35">
      <c r="B9" t="str">
        <f>IF(C9,"Hb Ht","")</f>
        <v/>
      </c>
      <c r="C9" t="b">
        <v>0</v>
      </c>
      <c r="D9" t="str">
        <f>IF(E9,"Hb Ht","")</f>
        <v/>
      </c>
      <c r="E9" t="b">
        <v>0</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1561</v>
      </c>
      <c r="C1" s="345"/>
      <c r="D1" s="361" t="s">
        <v>5102</v>
      </c>
      <c r="E1" s="345"/>
      <c r="F1" s="345"/>
      <c r="G1" s="29"/>
      <c r="H1" s="122"/>
      <c r="I1" s="29"/>
      <c r="J1" s="29"/>
    </row>
    <row r="2" spans="1:17" ht="13.2" x14ac:dyDescent="0.4">
      <c r="A2" s="29"/>
      <c r="B2" s="310"/>
    </row>
    <row r="3" spans="1:17" ht="18.75" customHeight="1" x14ac:dyDescent="0.4">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2881</v>
      </c>
      <c r="C33" s="26">
        <f>opmAfsprBlad__9</f>
        <v>0</v>
      </c>
    </row>
  </sheetData>
  <sheetProtection algorithmName="SHA-512" hashValue="/4PwQcfFsXfYVBfMm5zKl2Ls1VFnG1gcOOp5dmq7zNl8OdTiITrrdf0lEXvy9g6GUD4zZ8ZzsnRwQzYfugCOTQ==" saltValue="Iagu0xmBkUaabWXxCl5qbA=="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1816</v>
      </c>
      <c r="C1" t="s">
        <v>2108</v>
      </c>
      <c r="D1" t="s">
        <v>2765</v>
      </c>
      <c r="E1" t="s">
        <v>2108</v>
      </c>
    </row>
    <row r="2" spans="1:5" ht="13.2" x14ac:dyDescent="0.4">
      <c r="A2" s="12" t="s">
        <v>3378</v>
      </c>
      <c r="B2" s="13">
        <f>SUM(B3:B4)</f>
        <v>762</v>
      </c>
      <c r="C2" s="13">
        <f>10*B2/Gewicht</f>
        <v>76.2</v>
      </c>
      <c r="D2" s="13"/>
      <c r="E2" s="14"/>
    </row>
    <row r="3" spans="1:5" x14ac:dyDescent="0.35">
      <c r="A3" s="5" t="s">
        <v>2120</v>
      </c>
      <c r="B3">
        <f>ber_PO!O22</f>
        <v>30</v>
      </c>
    </row>
    <row r="4" spans="1:5" x14ac:dyDescent="0.35">
      <c r="A4" s="5" t="s">
        <v>2118</v>
      </c>
      <c r="B4">
        <f>(ber_IVmed!F46+ber_TPN!F23+Infusen!J15+ber_Med_disc!O23)</f>
        <v>732</v>
      </c>
    </row>
    <row r="5" spans="1:5" ht="13.2" x14ac:dyDescent="0.4">
      <c r="A5" s="12" t="s">
        <v>2107</v>
      </c>
      <c r="B5" s="13">
        <f>SUM(B6:B8)</f>
        <v>35.82</v>
      </c>
      <c r="C5" s="13">
        <f>B5/(Gewicht/10)</f>
        <v>3.5819999999999999</v>
      </c>
      <c r="D5" s="13">
        <f>SUM(D7:D7)</f>
        <v>0</v>
      </c>
      <c r="E5" s="14">
        <f>D5/(Gewicht/10)</f>
        <v>0</v>
      </c>
    </row>
    <row r="6" spans="1:5" ht="13.2" x14ac:dyDescent="0.4">
      <c r="A6" s="5" t="s">
        <v>2120</v>
      </c>
      <c r="B6">
        <f>ber_PO!K25</f>
        <v>2.2200000000000002</v>
      </c>
      <c r="C6" s="10" t="s">
        <v>2126</v>
      </c>
      <c r="D6" s="10" t="s">
        <v>2126</v>
      </c>
    </row>
    <row r="7" spans="1:5" x14ac:dyDescent="0.35">
      <c r="A7" s="5" t="s">
        <v>2125</v>
      </c>
      <c r="B7">
        <f>ber_Med_disc!S23+ber_IVmed!G46+ber_IVmed!H46</f>
        <v>0</v>
      </c>
      <c r="D7">
        <f>B7*4</f>
        <v>0</v>
      </c>
    </row>
    <row r="8" spans="1:5" ht="13.2" x14ac:dyDescent="0.4">
      <c r="A8" s="5" t="s">
        <v>2230</v>
      </c>
      <c r="B8">
        <f>ber_TPN!G23</f>
        <v>33.6</v>
      </c>
      <c r="C8" s="10" t="s">
        <v>2126</v>
      </c>
      <c r="D8" s="10" t="s">
        <v>2126</v>
      </c>
    </row>
    <row r="9" spans="1:5" ht="13.2" x14ac:dyDescent="0.4">
      <c r="A9" s="12" t="s">
        <v>2112</v>
      </c>
      <c r="B9" s="13">
        <f>SUM(B10:B12)</f>
        <v>0.41999999999999993</v>
      </c>
      <c r="C9" s="13">
        <f>B9/(Gewicht/10)</f>
        <v>4.1999999999999996E-2</v>
      </c>
      <c r="D9" s="13">
        <f>SUM(D10:D11)</f>
        <v>0</v>
      </c>
      <c r="E9" s="14">
        <f>D9/(Gewicht/10)</f>
        <v>0</v>
      </c>
    </row>
    <row r="10" spans="1:5" ht="13.2" x14ac:dyDescent="0.4">
      <c r="A10" s="5" t="s">
        <v>2120</v>
      </c>
      <c r="B10">
        <f>ber_PO!K24</f>
        <v>0.41999999999999993</v>
      </c>
      <c r="C10" s="10" t="s">
        <v>2126</v>
      </c>
      <c r="D10" s="10" t="s">
        <v>2126</v>
      </c>
    </row>
    <row r="11" spans="1:5" ht="13.2" x14ac:dyDescent="0.4">
      <c r="A11" s="5" t="s">
        <v>2118</v>
      </c>
      <c r="B11">
        <f>ber_TPN!H23</f>
        <v>0</v>
      </c>
      <c r="C11" s="10" t="s">
        <v>2126</v>
      </c>
      <c r="D11" s="10" t="s">
        <v>2126</v>
      </c>
    </row>
    <row r="12" spans="1:5" ht="13.2" x14ac:dyDescent="0.4">
      <c r="A12" s="5" t="s">
        <v>653</v>
      </c>
      <c r="B12">
        <f>ber_IVmed!L46</f>
        <v>0</v>
      </c>
      <c r="C12" s="10"/>
      <c r="D12" s="10"/>
    </row>
    <row r="13" spans="1:5" ht="13.2" x14ac:dyDescent="0.4">
      <c r="A13" s="12" t="s">
        <v>2113</v>
      </c>
      <c r="B13" s="13">
        <f>SUM(B14:B16)</f>
        <v>1.05</v>
      </c>
      <c r="C13" s="13">
        <f>SUM(C14:C16)</f>
        <v>0.10500000000000001</v>
      </c>
      <c r="D13" s="13">
        <f>SUM(D14:D15)</f>
        <v>0</v>
      </c>
      <c r="E13" s="14">
        <f>D13/(Gewicht/10)</f>
        <v>0</v>
      </c>
    </row>
    <row r="14" spans="1:5" ht="13.2" x14ac:dyDescent="0.4">
      <c r="A14" s="5" t="s">
        <v>2120</v>
      </c>
      <c r="B14">
        <f>ber_PO!K26</f>
        <v>1.05</v>
      </c>
      <c r="C14">
        <f>B14/(Gewicht/10)</f>
        <v>0.10500000000000001</v>
      </c>
      <c r="D14" s="10" t="s">
        <v>2126</v>
      </c>
    </row>
    <row r="15" spans="1:5" ht="13.2" x14ac:dyDescent="0.4">
      <c r="A15" s="5" t="s">
        <v>2118</v>
      </c>
      <c r="B15">
        <f>ber_TPN!O23</f>
        <v>0</v>
      </c>
      <c r="C15">
        <f>B15/(Gewicht/10)</f>
        <v>0</v>
      </c>
      <c r="D15" s="10" t="s">
        <v>2126</v>
      </c>
    </row>
    <row r="16" spans="1:5" x14ac:dyDescent="0.35">
      <c r="A16" s="5" t="s">
        <v>2119</v>
      </c>
      <c r="B16">
        <f>ber_IVmed!M46</f>
        <v>0</v>
      </c>
      <c r="D16">
        <f>B16*9</f>
        <v>0</v>
      </c>
    </row>
    <row r="17" spans="1:5" ht="13.2" x14ac:dyDescent="0.4">
      <c r="A17" s="12" t="s">
        <v>3379</v>
      </c>
      <c r="B17" s="13">
        <f>SUM(B18:B22)</f>
        <v>61.304867999999999</v>
      </c>
      <c r="C17" s="13">
        <f>SUM(C18:C22)</f>
        <v>6.1304867999999999</v>
      </c>
      <c r="D17" s="13"/>
      <c r="E17" s="14"/>
    </row>
    <row r="18" spans="1:5" x14ac:dyDescent="0.35">
      <c r="A18" s="5" t="s">
        <v>2120</v>
      </c>
      <c r="B18">
        <f>ber_PO!K27</f>
        <v>0.26086800000000004</v>
      </c>
      <c r="C18">
        <f>B18/(Gewicht/10)</f>
        <v>2.6086800000000004E-2</v>
      </c>
    </row>
    <row r="19" spans="1:5" x14ac:dyDescent="0.35">
      <c r="A19" s="5" t="s">
        <v>2340</v>
      </c>
      <c r="B19">
        <f>Infusen!I15</f>
        <v>0</v>
      </c>
      <c r="C19">
        <f>B19/(Gewicht/10)</f>
        <v>0</v>
      </c>
    </row>
    <row r="20" spans="1:5" x14ac:dyDescent="0.35">
      <c r="A20" s="5" t="s">
        <v>2125</v>
      </c>
      <c r="B20">
        <f>ber_Med_disc!Q23</f>
        <v>0</v>
      </c>
      <c r="C20">
        <f>B20/(Gewicht/10)</f>
        <v>0</v>
      </c>
    </row>
    <row r="21" spans="1:5" x14ac:dyDescent="0.35">
      <c r="A21" s="4">
        <v>8.9999999999999993E-3</v>
      </c>
      <c r="B21">
        <f>ber_IVmed!J46</f>
        <v>9.3000000000000007</v>
      </c>
      <c r="C21">
        <f>B21/(Gewicht/10)</f>
        <v>0.93</v>
      </c>
    </row>
    <row r="22" spans="1:5" x14ac:dyDescent="0.35">
      <c r="A22" s="4" t="s">
        <v>2230</v>
      </c>
      <c r="B22">
        <f>ber_TPN!I23</f>
        <v>51.744</v>
      </c>
      <c r="C22">
        <f>B22/(Gewicht/10)</f>
        <v>5.1744000000000003</v>
      </c>
    </row>
    <row r="23" spans="1:5" ht="13.2" x14ac:dyDescent="0.4">
      <c r="A23" s="12" t="s">
        <v>3380</v>
      </c>
      <c r="B23" s="13">
        <f>SUM(B24:B26)</f>
        <v>0.49999950000000004</v>
      </c>
      <c r="C23" s="13">
        <f>SUM(C24:C26)</f>
        <v>4.9999950000000001E-2</v>
      </c>
      <c r="D23" s="13"/>
      <c r="E23" s="14"/>
    </row>
    <row r="24" spans="1:5" x14ac:dyDescent="0.35">
      <c r="A24" s="5" t="s">
        <v>2120</v>
      </c>
      <c r="B24">
        <f>ber_PO!K28</f>
        <v>0.49999950000000004</v>
      </c>
      <c r="C24">
        <f>B24/(Gewicht/10)</f>
        <v>4.9999950000000001E-2</v>
      </c>
    </row>
    <row r="25" spans="1:5" x14ac:dyDescent="0.35">
      <c r="A25" s="5" t="s">
        <v>2230</v>
      </c>
      <c r="B25">
        <f>ber_TPN!J23</f>
        <v>0</v>
      </c>
      <c r="C25">
        <f>B25/(Gewicht/10)</f>
        <v>0</v>
      </c>
    </row>
    <row r="26" spans="1:5" x14ac:dyDescent="0.35">
      <c r="A26" s="5" t="s">
        <v>2125</v>
      </c>
      <c r="B26">
        <f>ber_IVmed!K46</f>
        <v>0</v>
      </c>
      <c r="C26">
        <f>B26/(Gewicht/10)</f>
        <v>0</v>
      </c>
    </row>
    <row r="27" spans="1:5" ht="13.2" x14ac:dyDescent="0.4">
      <c r="A27" s="12" t="s">
        <v>2109</v>
      </c>
      <c r="B27" s="13">
        <f>SUM(B28:B29)</f>
        <v>0.375</v>
      </c>
      <c r="C27" s="13">
        <f>SUM(C28:C29)</f>
        <v>3.7499999999999999E-2</v>
      </c>
      <c r="D27" s="13"/>
      <c r="E27" s="14"/>
    </row>
    <row r="28" spans="1:5" x14ac:dyDescent="0.35">
      <c r="A28" s="5" t="s">
        <v>2120</v>
      </c>
      <c r="B28">
        <f>ber_PO!K29</f>
        <v>0.375</v>
      </c>
      <c r="C28">
        <f>B28/(Gewicht/10)</f>
        <v>3.7499999999999999E-2</v>
      </c>
    </row>
    <row r="29" spans="1:5" x14ac:dyDescent="0.35">
      <c r="A29" s="5" t="s">
        <v>2230</v>
      </c>
      <c r="B29">
        <f>ber_TPN!K23</f>
        <v>0</v>
      </c>
      <c r="C29">
        <f>B29/(Gewicht/10)</f>
        <v>0</v>
      </c>
    </row>
    <row r="30" spans="1:5" ht="13.2" x14ac:dyDescent="0.4">
      <c r="A30" s="12" t="s">
        <v>2110</v>
      </c>
      <c r="B30" s="13">
        <f>SUM(B31:B32)</f>
        <v>0.290601</v>
      </c>
      <c r="C30" s="13">
        <f>SUM(C31:C32)</f>
        <v>2.9060099999999998E-2</v>
      </c>
      <c r="D30" s="13"/>
      <c r="E30" s="14"/>
    </row>
    <row r="31" spans="1:5" x14ac:dyDescent="0.35">
      <c r="A31" s="5" t="s">
        <v>2120</v>
      </c>
      <c r="B31">
        <f>ber_PO!K30</f>
        <v>0.290601</v>
      </c>
      <c r="C31">
        <f>B31/(Gewicht/10)</f>
        <v>2.9060099999999998E-2</v>
      </c>
    </row>
    <row r="32" spans="1:5" x14ac:dyDescent="0.35">
      <c r="A32" s="5" t="s">
        <v>2230</v>
      </c>
      <c r="B32">
        <f>ber_TPN!M23</f>
        <v>0</v>
      </c>
      <c r="C32">
        <f>B32/(Gewicht/10)</f>
        <v>0</v>
      </c>
    </row>
    <row r="33" spans="1:5" ht="13.2" x14ac:dyDescent="0.4">
      <c r="A33" s="12" t="s">
        <v>2111</v>
      </c>
      <c r="B33" s="13">
        <f>SUM(B34:B35)</f>
        <v>7.4053800000000003E-2</v>
      </c>
      <c r="C33" s="13">
        <f>SUM(C34:C35)</f>
        <v>7.4053800000000005E-3</v>
      </c>
      <c r="D33" s="13"/>
      <c r="E33" s="14"/>
    </row>
    <row r="34" spans="1:5" x14ac:dyDescent="0.35">
      <c r="A34" s="5" t="s">
        <v>2120</v>
      </c>
      <c r="B34">
        <f>ber_PO!K31</f>
        <v>7.4053800000000003E-2</v>
      </c>
      <c r="C34">
        <f>B34/(Gewicht/10)</f>
        <v>7.4053800000000005E-3</v>
      </c>
    </row>
    <row r="35" spans="1:5" x14ac:dyDescent="0.35">
      <c r="A35" s="5" t="s">
        <v>2118</v>
      </c>
      <c r="B35">
        <f>ber_TPN!L23</f>
        <v>0</v>
      </c>
      <c r="C35">
        <f>B35/(Gewicht/10)</f>
        <v>0</v>
      </c>
    </row>
    <row r="36" spans="1:5" ht="13.2" x14ac:dyDescent="0.4">
      <c r="A36" s="15" t="s">
        <v>2230</v>
      </c>
      <c r="B36" s="13"/>
      <c r="C36" s="13"/>
      <c r="D36" s="13">
        <f>ber_TPN!N23+ber_PO!K22</f>
        <v>154.5</v>
      </c>
      <c r="E36" s="14">
        <f>D36/(Gewicht/10)</f>
        <v>15.45</v>
      </c>
    </row>
    <row r="38" spans="1:5" x14ac:dyDescent="0.35">
      <c r="A38" s="5" t="s">
        <v>2216</v>
      </c>
      <c r="E38">
        <f>E5+E9+E13+E36</f>
        <v>15.45</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3621</v>
      </c>
      <c r="B1" t="s">
        <v>4236</v>
      </c>
      <c r="C1" t="s">
        <v>1350</v>
      </c>
      <c r="D1" t="s">
        <v>2180</v>
      </c>
      <c r="E1" t="s">
        <v>2892</v>
      </c>
      <c r="F1" t="s">
        <v>2127</v>
      </c>
      <c r="G1" t="s">
        <v>2891</v>
      </c>
      <c r="H1" t="s">
        <v>2138</v>
      </c>
      <c r="I1" t="s">
        <v>4965</v>
      </c>
      <c r="J1" t="s">
        <v>4966</v>
      </c>
      <c r="K1" t="s">
        <v>4497</v>
      </c>
    </row>
    <row r="2" spans="1:17" x14ac:dyDescent="0.35">
      <c r="A2" t="s">
        <v>3188</v>
      </c>
      <c r="B2" t="s">
        <v>3187</v>
      </c>
      <c r="D2" t="s">
        <v>3188</v>
      </c>
      <c r="E2" t="s">
        <v>2978</v>
      </c>
      <c r="H2" t="s">
        <v>2883</v>
      </c>
      <c r="I2" t="b">
        <v>0</v>
      </c>
      <c r="J2">
        <v>30</v>
      </c>
      <c r="K2">
        <v>3</v>
      </c>
    </row>
    <row r="3" spans="1:17" x14ac:dyDescent="0.35">
      <c r="A3" t="s">
        <v>3519</v>
      </c>
      <c r="B3" t="s">
        <v>1969</v>
      </c>
      <c r="C3" t="s">
        <v>4654</v>
      </c>
      <c r="D3" t="s">
        <v>2181</v>
      </c>
      <c r="E3" t="s">
        <v>2979</v>
      </c>
      <c r="F3" t="s">
        <v>2128</v>
      </c>
      <c r="G3" t="s">
        <v>3898</v>
      </c>
      <c r="H3" t="s">
        <v>2170</v>
      </c>
    </row>
    <row r="4" spans="1:17" x14ac:dyDescent="0.35">
      <c r="A4" t="s">
        <v>3622</v>
      </c>
      <c r="B4" t="s">
        <v>1970</v>
      </c>
      <c r="C4" t="s">
        <v>4655</v>
      </c>
      <c r="D4" t="s">
        <v>2182</v>
      </c>
      <c r="E4" t="s">
        <v>2980</v>
      </c>
      <c r="H4" t="s">
        <v>289</v>
      </c>
    </row>
    <row r="5" spans="1:17" x14ac:dyDescent="0.35">
      <c r="A5" t="s">
        <v>3065</v>
      </c>
      <c r="B5" t="s">
        <v>3185</v>
      </c>
      <c r="D5" t="s">
        <v>4964</v>
      </c>
      <c r="E5" t="s">
        <v>2981</v>
      </c>
      <c r="H5" t="s">
        <v>290</v>
      </c>
    </row>
    <row r="6" spans="1:17" x14ac:dyDescent="0.35">
      <c r="A6" t="s">
        <v>1345</v>
      </c>
      <c r="B6" t="s">
        <v>3186</v>
      </c>
      <c r="D6" t="s">
        <v>1338</v>
      </c>
      <c r="E6" t="s">
        <v>2982</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656</v>
      </c>
      <c r="E1" s="1" t="s">
        <v>1719</v>
      </c>
    </row>
    <row r="2" spans="3:8" x14ac:dyDescent="0.35">
      <c r="D2" t="s">
        <v>456</v>
      </c>
    </row>
    <row r="4" spans="3:8" x14ac:dyDescent="0.35">
      <c r="C4" s="6"/>
      <c r="D4" s="78" t="s">
        <v>2224</v>
      </c>
      <c r="E4" s="78">
        <v>4.3478000000000003E-2</v>
      </c>
      <c r="H4" s="78"/>
    </row>
    <row r="5" spans="3:8" x14ac:dyDescent="0.35">
      <c r="C5" s="6"/>
      <c r="D5" s="78" t="s">
        <v>2225</v>
      </c>
      <c r="E5" s="78">
        <v>2.5641000000000001E-2</v>
      </c>
      <c r="H5" s="78"/>
    </row>
    <row r="6" spans="3:8" x14ac:dyDescent="0.35">
      <c r="D6" s="78" t="s">
        <v>2226</v>
      </c>
      <c r="E6" s="78">
        <v>2.5000000000000001E-2</v>
      </c>
      <c r="H6" s="78"/>
    </row>
    <row r="7" spans="3:8" x14ac:dyDescent="0.35">
      <c r="D7" s="78" t="s">
        <v>2233</v>
      </c>
      <c r="E7" s="78">
        <v>3.2288999999999998E-2</v>
      </c>
      <c r="H7" s="78"/>
    </row>
    <row r="8" spans="3:8" x14ac:dyDescent="0.35">
      <c r="D8" s="78" t="s">
        <v>2227</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2</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35">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1277</v>
      </c>
      <c r="M21" t="s">
        <v>998</v>
      </c>
      <c r="O21" t="s">
        <v>2771</v>
      </c>
      <c r="P21" t="s">
        <v>2338</v>
      </c>
    </row>
    <row r="22" spans="1:49" x14ac:dyDescent="0.35">
      <c r="E22" s="38">
        <v>1</v>
      </c>
      <c r="F22" s="38" t="s">
        <v>2231</v>
      </c>
      <c r="G22" s="38">
        <f>IF(ber_PO!$O$22&lt;&gt;0,INDEX(tblBerPO,E22,KeuzePO_1-1)*ber_PO!$O$22,0)</f>
        <v>20.100000000000001</v>
      </c>
      <c r="H22" s="38">
        <f>IF(ber_PO!$O$23&lt;&gt;0,INDEX(tblBerPoeder,E22,ber_PO!$P$23-1)*ber_PO!$O$23,0)</f>
        <v>0</v>
      </c>
      <c r="I22" s="38">
        <f>IF(ber_PO!$O$24&lt;&gt;0,INDEX(tblBerPoeder,E22,ber_PO!$P$24-1)*ber_PO!$O$24,0)</f>
        <v>0</v>
      </c>
      <c r="J22" s="38">
        <f>IF(ber_PO!$O$25&lt;&gt;0,INDEX(tblBerPoeder,E22,ber_PO!$P$25-1)*ber_PO!$O$25,0)</f>
        <v>0</v>
      </c>
      <c r="K22">
        <f>SUM(G22:J22)</f>
        <v>20.100000000000001</v>
      </c>
      <c r="L22" s="38">
        <v>6</v>
      </c>
      <c r="M22" s="38">
        <v>50</v>
      </c>
      <c r="N22">
        <f>IF(M22&lt;51,M22/10,IF(M22&lt;66,(M22-49)+4,IF(M22&lt;82,(M22-61)*5,IF(M22&lt;122,(M22-71)*10,(M22-111)*50))))</f>
        <v>5</v>
      </c>
      <c r="O22" s="38">
        <f>IF(P22&gt;1,L22*N22,0)</f>
        <v>30</v>
      </c>
      <c r="P22">
        <v>3</v>
      </c>
    </row>
    <row r="23" spans="1:49" x14ac:dyDescent="0.35">
      <c r="A23" s="37" t="s">
        <v>1904</v>
      </c>
      <c r="B23" s="37" t="s">
        <v>492</v>
      </c>
      <c r="E23" s="38"/>
      <c r="F23" s="38"/>
      <c r="G23" s="38"/>
      <c r="H23" s="38"/>
      <c r="I23" s="38"/>
      <c r="J23" s="38"/>
      <c r="N23">
        <f>IF(M23&lt;51,M23/10,IF(M23&lt;66,(M23-49)+4,IF(M23&lt;82,(M23-61)*5,IF(M23&lt;122,(M23-71)*10,(M23-111)*50))))</f>
        <v>0</v>
      </c>
      <c r="O23" s="38">
        <f>IF(P23&gt;1,L23*N23,0)</f>
        <v>0</v>
      </c>
    </row>
    <row r="24" spans="1:49" x14ac:dyDescent="0.35">
      <c r="A24" s="37" t="s">
        <v>74</v>
      </c>
      <c r="B24" s="37" t="s">
        <v>493</v>
      </c>
      <c r="E24" s="38">
        <v>2</v>
      </c>
      <c r="F24" s="38" t="s">
        <v>2112</v>
      </c>
      <c r="G24" s="38">
        <f>IF(ber_PO!$O$22&lt;&gt;0,INDEX(tblBerPO,E24,KeuzePO_1-1)*ber_PO!$O$22,0)</f>
        <v>0.41999999999999993</v>
      </c>
      <c r="H24" s="38">
        <f>IF(ber_PO!$O$23&lt;&gt;0,INDEX(tblBerPoeder,E24,ber_PO!$P$23-1)*ber_PO!$O$23,0)</f>
        <v>0</v>
      </c>
      <c r="I24" s="38">
        <f>IF(ber_PO!$O$24&lt;&gt;0,INDEX(tblBerPoeder,E24,ber_PO!$P$24-1)*ber_PO!$O$24,0)</f>
        <v>0</v>
      </c>
      <c r="J24" s="38">
        <f>IF(ber_PO!$O$25&lt;&gt;0,INDEX(tblBerPoeder,E24,ber_PO!$P$25-1)*ber_PO!$O$25,0)</f>
        <v>0</v>
      </c>
      <c r="K24">
        <f t="shared" ref="K24:K31" si="16">SUM(G24:J24)</f>
        <v>0.41999999999999993</v>
      </c>
      <c r="N24">
        <f>IF(M24&lt;51,M24/10,IF(M24&lt;66,(M24-49)+4,IF(M24&lt;82,(M24-61)*5,IF(M24&lt;122,(M24-71)*10,(M24-111)*50))))</f>
        <v>0</v>
      </c>
      <c r="O24" s="38">
        <f>IF(P24&gt;1,L24*N24,0)</f>
        <v>0</v>
      </c>
    </row>
    <row r="25" spans="1:49" x14ac:dyDescent="0.35">
      <c r="A25" s="37" t="s">
        <v>73</v>
      </c>
      <c r="B25" s="37" t="s">
        <v>494</v>
      </c>
      <c r="C25">
        <f>3*4.4</f>
        <v>13.200000000000001</v>
      </c>
      <c r="E25" s="38">
        <v>3</v>
      </c>
      <c r="F25" s="38" t="s">
        <v>2232</v>
      </c>
      <c r="G25" s="38">
        <f>IF(ber_PO!$O$22&lt;&gt;0,INDEX(tblBerPO,E25,KeuzePO_1-1)*ber_PO!$O$22,0)</f>
        <v>2.2200000000000002</v>
      </c>
      <c r="H25" s="38">
        <f>IF(ber_PO!$O$23&lt;&gt;0,INDEX(tblBerPoeder,E25,ber_PO!$P$23-1)*ber_PO!$O$23,0)</f>
        <v>0</v>
      </c>
      <c r="I25" s="38">
        <f>IF(ber_PO!$O$24&lt;&gt;0,INDEX(tblBerPoeder,E25,ber_PO!$P$24-1)*ber_PO!$O$24,0)</f>
        <v>0</v>
      </c>
      <c r="J25" s="38">
        <f>IF(ber_PO!$O$25&lt;&gt;0,INDEX(tblBerPoeder,E25,ber_PO!$P$25-1)*ber_PO!$O$25,0)</f>
        <v>0</v>
      </c>
      <c r="K25">
        <f t="shared" si="16"/>
        <v>2.2200000000000002</v>
      </c>
      <c r="N25">
        <f>IF(M25&lt;51,M25/10,IF(M25&lt;66,(M25-49)+4,IF(M25&lt;82,(M25-61)*5,IF(M25&lt;122,(M25-71)*10,(M25-111)*50))))</f>
        <v>0</v>
      </c>
      <c r="O25" s="38">
        <f>IF(P25&gt;1,L25*N25,0)</f>
        <v>0</v>
      </c>
    </row>
    <row r="26" spans="1:49" x14ac:dyDescent="0.35">
      <c r="A26" s="37" t="s">
        <v>72</v>
      </c>
      <c r="B26" s="37" t="s">
        <v>495</v>
      </c>
      <c r="C26">
        <f>3*5.1</f>
        <v>15.299999999999999</v>
      </c>
      <c r="E26" s="38">
        <v>4</v>
      </c>
      <c r="F26" s="38" t="s">
        <v>2113</v>
      </c>
      <c r="G26" s="38">
        <f>IF(ber_PO!$O$22&lt;&gt;0,INDEX(tblBerPO,E26,KeuzePO_1-1)*ber_PO!$O$22,0)</f>
        <v>1.05</v>
      </c>
      <c r="H26" s="38">
        <f>IF(ber_PO!$O$23&lt;&gt;0,INDEX(tblBerPoeder,E26,ber_PO!$P$23-1)*ber_PO!$O$23,0)</f>
        <v>0</v>
      </c>
      <c r="I26" s="38">
        <f>IF(ber_PO!$O$24&lt;&gt;0,INDEX(tblBerPoeder,E26,ber_PO!$P$24-1)*ber_PO!$O$24,0)</f>
        <v>0</v>
      </c>
      <c r="J26" s="38">
        <f>IF(ber_PO!$O$25&lt;&gt;0,INDEX(tblBerPoeder,E26,ber_PO!$P$25-1)*ber_PO!$O$25,0)</f>
        <v>0</v>
      </c>
      <c r="K26">
        <f t="shared" si="16"/>
        <v>1.05</v>
      </c>
    </row>
    <row r="27" spans="1:49" x14ac:dyDescent="0.35">
      <c r="A27" s="37" t="s">
        <v>75</v>
      </c>
      <c r="B27" s="37" t="s">
        <v>496</v>
      </c>
      <c r="C27">
        <f>3*4.7</f>
        <v>14.100000000000001</v>
      </c>
      <c r="E27" s="38">
        <v>5</v>
      </c>
      <c r="F27" s="38" t="s">
        <v>2224</v>
      </c>
      <c r="G27" s="38">
        <f>IF(ber_PO!$O$22&lt;&gt;0,INDEX(tblBerPO,E27,KeuzePO_1-1)*ber_PO!$O$22,0)</f>
        <v>0.26086800000000004</v>
      </c>
      <c r="H27" s="38">
        <f>IF(ber_PO!$O$23&lt;&gt;0,INDEX(tblBerPoeder,E27,ber_PO!$P$23-1)*ber_PO!$O$23,0)</f>
        <v>0</v>
      </c>
      <c r="I27" s="38">
        <f>IF(ber_PO!$O$24&lt;&gt;0,INDEX(tblBerPoeder,E27,ber_PO!$P$24-1)*ber_PO!$O$24,0)</f>
        <v>0</v>
      </c>
      <c r="J27" s="38">
        <f>IF(ber_PO!$O$25&lt;&gt;0,INDEX(tblBerPoeder,E27,ber_PO!$P$25-1)*ber_PO!$O$25,0)</f>
        <v>0</v>
      </c>
      <c r="K27">
        <f t="shared" si="16"/>
        <v>0.26086800000000004</v>
      </c>
    </row>
    <row r="28" spans="1:49" x14ac:dyDescent="0.35">
      <c r="A28" s="37" t="s">
        <v>76</v>
      </c>
      <c r="B28" s="37" t="s">
        <v>497</v>
      </c>
      <c r="C28">
        <f>3*4.4</f>
        <v>13.200000000000001</v>
      </c>
      <c r="E28" s="38">
        <v>6</v>
      </c>
      <c r="F28" s="38" t="s">
        <v>2225</v>
      </c>
      <c r="G28" s="38">
        <f>IF(ber_PO!$O$22&lt;&gt;0,INDEX(tblBerPO,E28,KeuzePO_1-1)*ber_PO!$O$22,0)</f>
        <v>0.49999950000000004</v>
      </c>
      <c r="H28" s="38">
        <f>IF(ber_PO!$O$23&lt;&gt;0,INDEX(tblBerPoeder,E28,ber_PO!$P$23-1)*ber_PO!$O$23,0)</f>
        <v>0</v>
      </c>
      <c r="I28" s="38">
        <f>IF(ber_PO!$O$24&lt;&gt;0,INDEX(tblBerPoeder,E28,ber_PO!$P$24-1)*ber_PO!$O$24,0)</f>
        <v>0</v>
      </c>
      <c r="J28" s="38">
        <f>IF(ber_PO!$O$25&lt;&gt;0,INDEX(tblBerPoeder,E28,ber_PO!$P$25-1)*ber_PO!$O$25,0)</f>
        <v>0</v>
      </c>
      <c r="K28">
        <f t="shared" si="16"/>
        <v>0.49999950000000004</v>
      </c>
    </row>
    <row r="29" spans="1:49" x14ac:dyDescent="0.35">
      <c r="A29" s="37" t="s">
        <v>77</v>
      </c>
      <c r="B29" s="37" t="s">
        <v>498</v>
      </c>
      <c r="C29">
        <f>3*4.3</f>
        <v>12.899999999999999</v>
      </c>
      <c r="E29" s="38">
        <v>7</v>
      </c>
      <c r="F29" s="38" t="s">
        <v>2226</v>
      </c>
      <c r="G29" s="38">
        <f>IF(ber_PO!$O$22&lt;&gt;0,INDEX(tblBerPO,E29,KeuzePO_1-1)*ber_PO!$O$22,0)</f>
        <v>0.375</v>
      </c>
      <c r="H29" s="38">
        <f>IF(ber_PO!$O$23&lt;&gt;0,INDEX(tblBerPoeder,E29,ber_PO!$P$23-1)*ber_PO!$O$23,0)</f>
        <v>0</v>
      </c>
      <c r="I29" s="38">
        <f>IF(ber_PO!$O$24&lt;&gt;0,INDEX(tblBerPoeder,E29,ber_PO!$P$24-1)*ber_PO!$O$24,0)</f>
        <v>0</v>
      </c>
      <c r="J29" s="38">
        <f>IF(ber_PO!$O$25&lt;&gt;0,INDEX(tblBerPoeder,E29,ber_PO!$P$25-1)*ber_PO!$O$25,0)</f>
        <v>0</v>
      </c>
      <c r="K29">
        <f t="shared" si="16"/>
        <v>0.375</v>
      </c>
    </row>
    <row r="30" spans="1:49" x14ac:dyDescent="0.35">
      <c r="A30" s="37" t="s">
        <v>1905</v>
      </c>
      <c r="B30" s="37" t="s">
        <v>499</v>
      </c>
      <c r="C30">
        <f>3*4.2</f>
        <v>12.600000000000001</v>
      </c>
      <c r="E30" s="38">
        <v>8</v>
      </c>
      <c r="F30" s="38" t="s">
        <v>2233</v>
      </c>
      <c r="G30" s="38">
        <f>IF(ber_PO!$O$22&lt;&gt;0,INDEX(tblBerPO,E30,KeuzePO_1-1)*ber_PO!$O$22,0)</f>
        <v>0.290601</v>
      </c>
      <c r="H30" s="38">
        <f>IF(ber_PO!$O$23&lt;&gt;0,INDEX(tblBerPoeder,E30,ber_PO!$P$23-1)*ber_PO!$O$23,0)</f>
        <v>0</v>
      </c>
      <c r="I30" s="38">
        <f>IF(ber_PO!$O$24&lt;&gt;0,INDEX(tblBerPoeder,E30,ber_PO!$P$24-1)*ber_PO!$O$24,0)</f>
        <v>0</v>
      </c>
      <c r="J30" s="38">
        <f>IF(ber_PO!$O$25&lt;&gt;0,INDEX(tblBerPoeder,E30,ber_PO!$P$25-1)*ber_PO!$O$25,0)</f>
        <v>0</v>
      </c>
      <c r="K30">
        <f t="shared" si="16"/>
        <v>0.290601</v>
      </c>
    </row>
    <row r="31" spans="1:49" x14ac:dyDescent="0.35">
      <c r="A31" s="37" t="s">
        <v>78</v>
      </c>
      <c r="B31" s="37" t="s">
        <v>500</v>
      </c>
      <c r="C31">
        <f>3*4.3</f>
        <v>12.899999999999999</v>
      </c>
      <c r="E31" s="38">
        <v>9</v>
      </c>
      <c r="F31" s="38" t="s">
        <v>2227</v>
      </c>
      <c r="G31" s="38">
        <f>IF(ber_PO!$O$22&lt;&gt;0,INDEX(tblBerPO,E31,KeuzePO_1-1)*ber_PO!$O$22,0)</f>
        <v>7.4053800000000003E-2</v>
      </c>
      <c r="H31" s="38">
        <f>IF(ber_PO!$O$23&lt;&gt;0,INDEX(tblBerPoeder,E31,ber_PO!$P$23-1)*ber_PO!$O$23,0)</f>
        <v>0</v>
      </c>
      <c r="I31" s="38">
        <f>IF(ber_PO!$O$24&lt;&gt;0,INDEX(tblBerPoeder,E31,ber_PO!$P$24-1)*ber_PO!$O$24,0)</f>
        <v>0</v>
      </c>
      <c r="J31" s="38">
        <f>IF(ber_PO!$O$25&lt;&gt;0,INDEX(tblBerPoeder,E31,ber_PO!$P$25-1)*ber_PO!$O$25,0)</f>
        <v>0</v>
      </c>
      <c r="K31">
        <f t="shared" si="16"/>
        <v>7.4053800000000003E-2</v>
      </c>
    </row>
    <row r="32" spans="1:49" x14ac:dyDescent="0.35">
      <c r="A32" s="37" t="s">
        <v>79</v>
      </c>
      <c r="B32" s="37" t="s">
        <v>501</v>
      </c>
      <c r="C32">
        <f>3*4.3</f>
        <v>12.899999999999999</v>
      </c>
    </row>
    <row r="33" spans="1:3" x14ac:dyDescent="0.35">
      <c r="A33" s="37" t="s">
        <v>80</v>
      </c>
      <c r="B33" s="37" t="s">
        <v>502</v>
      </c>
      <c r="C33">
        <f>3*2.15</f>
        <v>6.4499999999999993</v>
      </c>
    </row>
    <row r="34" spans="1:3" x14ac:dyDescent="0.35">
      <c r="A34" s="37" t="s">
        <v>81</v>
      </c>
      <c r="B34" s="37" t="s">
        <v>503</v>
      </c>
    </row>
    <row r="35" spans="1:3" x14ac:dyDescent="0.35">
      <c r="A35" s="37" t="s">
        <v>82</v>
      </c>
      <c r="B35" s="37" t="s">
        <v>504</v>
      </c>
    </row>
    <row r="36" spans="1:3" x14ac:dyDescent="0.35">
      <c r="A36" s="37" t="s">
        <v>83</v>
      </c>
      <c r="B36" s="37" t="s">
        <v>505</v>
      </c>
    </row>
    <row r="37" spans="1:3" x14ac:dyDescent="0.35">
      <c r="A37" s="37" t="s">
        <v>84</v>
      </c>
      <c r="B37" s="37" t="s">
        <v>506</v>
      </c>
    </row>
    <row r="38" spans="1:3" x14ac:dyDescent="0.35">
      <c r="A38" s="37" t="s">
        <v>85</v>
      </c>
      <c r="B38" s="37" t="s">
        <v>507</v>
      </c>
    </row>
    <row r="39" spans="1:3" x14ac:dyDescent="0.35">
      <c r="A39" s="37" t="s">
        <v>86</v>
      </c>
      <c r="B39" s="37" t="s">
        <v>508</v>
      </c>
    </row>
    <row r="40" spans="1:3" x14ac:dyDescent="0.35">
      <c r="A40" s="37" t="s">
        <v>87</v>
      </c>
    </row>
    <row r="41" spans="1:3" x14ac:dyDescent="0.35">
      <c r="A41" s="37" t="s">
        <v>88</v>
      </c>
    </row>
    <row r="42" spans="1:3" x14ac:dyDescent="0.35">
      <c r="A42" s="37" t="s">
        <v>3006</v>
      </c>
    </row>
    <row r="43" spans="1:3" x14ac:dyDescent="0.35">
      <c r="A43" s="37" t="s">
        <v>89</v>
      </c>
    </row>
    <row r="44" spans="1:3" x14ac:dyDescent="0.35">
      <c r="A44" s="37" t="s">
        <v>3007</v>
      </c>
    </row>
    <row r="45" spans="1:3" x14ac:dyDescent="0.35">
      <c r="A45" s="37" t="s">
        <v>484</v>
      </c>
    </row>
    <row r="46" spans="1:3" x14ac:dyDescent="0.35">
      <c r="A46" s="37" t="s">
        <v>485</v>
      </c>
    </row>
    <row r="47" spans="1:3" x14ac:dyDescent="0.35">
      <c r="A47" s="37" t="s">
        <v>486</v>
      </c>
    </row>
    <row r="48" spans="1:3" x14ac:dyDescent="0.35">
      <c r="A48" s="37" t="s">
        <v>487</v>
      </c>
    </row>
    <row r="49" spans="1:1" x14ac:dyDescent="0.35">
      <c r="A49" s="37" t="s">
        <v>488</v>
      </c>
    </row>
    <row r="50" spans="1:1" x14ac:dyDescent="0.35">
      <c r="A50" s="37" t="s">
        <v>489</v>
      </c>
    </row>
    <row r="51" spans="1:1" x14ac:dyDescent="0.35">
      <c r="A51" s="37" t="s">
        <v>490</v>
      </c>
    </row>
    <row r="52" spans="1:1" x14ac:dyDescent="0.35">
      <c r="A52" s="37" t="s">
        <v>491</v>
      </c>
    </row>
    <row r="53" spans="1:1" x14ac:dyDescent="0.35">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581</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35">
      <c r="A15" s="451"/>
      <c r="B15" s="130" t="s">
        <v>4167</v>
      </c>
      <c r="C15" s="131"/>
      <c r="D15" s="131" t="s">
        <v>577</v>
      </c>
      <c r="E15" s="131" t="s">
        <v>942</v>
      </c>
      <c r="F15" s="132" t="s">
        <v>942</v>
      </c>
      <c r="G15" s="129" t="str">
        <f>IF(AND(TPN&lt;&gt;1,G16&lt;&gt;0,Gewicht/10&lt;=50),ROUND(ber_TPN!F8,0),"")</f>
        <v/>
      </c>
      <c r="H15" s="112"/>
    </row>
    <row r="16" spans="1:8" ht="20.100000000000001" customHeight="1" x14ac:dyDescent="0.35">
      <c r="A16" s="44"/>
      <c r="B16" s="130" t="s">
        <v>4168</v>
      </c>
      <c r="C16" s="131"/>
      <c r="D16" s="131" t="s">
        <v>1929</v>
      </c>
      <c r="E16" s="131" t="s">
        <v>578</v>
      </c>
      <c r="F16" s="132" t="s">
        <v>579</v>
      </c>
      <c r="G16" s="133" t="str">
        <f>IF(TPN&lt;&gt;1,ber_TPN!F4,"")</f>
        <v/>
      </c>
      <c r="H16" s="112"/>
    </row>
    <row r="17" spans="1:8" ht="20.100000000000001" customHeight="1" x14ac:dyDescent="0.35">
      <c r="A17" s="44"/>
      <c r="B17" s="130" t="s">
        <v>2989</v>
      </c>
      <c r="C17" s="131"/>
      <c r="D17" s="131" t="s">
        <v>580</v>
      </c>
      <c r="E17" s="131"/>
      <c r="F17" s="132"/>
      <c r="G17" s="133" t="str">
        <f>IF(AND(SSTglucose=2,TPN&lt;&gt;1,Gewicht/10&lt;=50),ROUND(ber_TPN!F6,0),"")</f>
        <v/>
      </c>
      <c r="H17" s="112"/>
    </row>
    <row r="18" spans="1:8" ht="20.100000000000001" customHeight="1" x14ac:dyDescent="0.35">
      <c r="A18" s="44"/>
      <c r="B18" s="130" t="s">
        <v>4169</v>
      </c>
      <c r="C18" s="131"/>
      <c r="D18" s="131"/>
      <c r="E18" s="131" t="s">
        <v>582</v>
      </c>
      <c r="F18" s="132"/>
      <c r="G18" s="133" t="str">
        <f>IF(AND(SSTglucose=3,TPN&lt;&gt;1,Gewicht/10&lt;=50),ROUND(ber_TPN!F6,0),"")</f>
        <v/>
      </c>
      <c r="H18" s="112"/>
    </row>
    <row r="19" spans="1:8" ht="20.100000000000001" customHeight="1" x14ac:dyDescent="0.35">
      <c r="A19" s="44"/>
      <c r="B19" s="130" t="s">
        <v>988</v>
      </c>
      <c r="C19" s="131"/>
      <c r="D19" s="131"/>
      <c r="E19" s="131"/>
      <c r="F19" s="132" t="s">
        <v>583</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4" t="s">
        <v>2212</v>
      </c>
      <c r="F21" s="454"/>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8" t="str">
        <f>IF(G26&gt;0,ROUND(G26/24,1)&amp;" ml/u","")</f>
        <v/>
      </c>
      <c r="B23" s="126" t="s">
        <v>2115</v>
      </c>
      <c r="C23" s="127"/>
      <c r="D23" s="127" t="s">
        <v>3970</v>
      </c>
      <c r="E23" s="127" t="s">
        <v>3971</v>
      </c>
      <c r="F23" s="128" t="s">
        <v>1929</v>
      </c>
      <c r="G23" s="129">
        <f>ROUND(ber_TPN!F13,0)</f>
        <v>0</v>
      </c>
      <c r="H23" s="50"/>
    </row>
    <row r="24" spans="1:8" ht="20.100000000000001" customHeight="1" x14ac:dyDescent="0.35">
      <c r="A24" s="449"/>
      <c r="B24" s="130" t="s">
        <v>2116</v>
      </c>
      <c r="C24" s="131"/>
      <c r="D24" s="131"/>
      <c r="E24" s="455" t="s">
        <v>2848</v>
      </c>
      <c r="F24" s="456"/>
      <c r="G24" s="133">
        <f>ROUND(ber_TPN!F14,0)</f>
        <v>0</v>
      </c>
      <c r="H24" s="45"/>
    </row>
    <row r="25" spans="1:8" ht="20.100000000000001" customHeight="1" x14ac:dyDescent="0.35">
      <c r="A25" s="44"/>
      <c r="B25" s="130"/>
      <c r="C25" s="131"/>
      <c r="D25" s="131"/>
      <c r="E25" s="455"/>
      <c r="F25" s="456"/>
      <c r="G25" s="133"/>
      <c r="H25" s="45"/>
    </row>
    <row r="26" spans="1:8" ht="15.95" customHeight="1" x14ac:dyDescent="0.35">
      <c r="A26" s="44"/>
      <c r="B26" s="110"/>
      <c r="C26" s="110"/>
      <c r="D26" s="110"/>
      <c r="E26" s="457" t="s">
        <v>2212</v>
      </c>
      <c r="F26" s="457"/>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2" t="s">
        <v>1280</v>
      </c>
      <c r="C28" s="453"/>
      <c r="D28" s="453"/>
      <c r="E28" s="453"/>
      <c r="F28" s="453"/>
      <c r="G28" s="103"/>
      <c r="H28" s="52"/>
    </row>
    <row r="29" spans="1:8" ht="20.100000000000001" customHeight="1" x14ac:dyDescent="0.35">
      <c r="A29" s="448" t="str">
        <f>IF(G36&gt;0,ROUND(G36/24,1)&amp;" ml/u","")</f>
        <v>28 ml/u</v>
      </c>
      <c r="B29" s="137" t="s">
        <v>419</v>
      </c>
      <c r="C29" s="139"/>
      <c r="D29" s="139"/>
      <c r="E29" s="139"/>
      <c r="F29" s="140"/>
      <c r="G29" s="129">
        <f>IF(AND(OR(TPN=1,AND(TPN=2,SSTglucose&gt;10),Gewicht/10&gt;50)),ROUND(ber_TPN!F7,0),0)</f>
        <v>0</v>
      </c>
      <c r="H29" s="45"/>
    </row>
    <row r="30" spans="1:8" ht="20.100000000000001" customHeight="1" x14ac:dyDescent="0.35">
      <c r="A30" s="449"/>
      <c r="B30" s="138" t="s">
        <v>4170</v>
      </c>
      <c r="C30" s="141"/>
      <c r="D30" s="141"/>
      <c r="E30" s="141"/>
      <c r="F30" s="142"/>
      <c r="G30" s="133">
        <f>IF(AND(OR(TPN=1,AND(TPN=2,SSTglucose&gt;10),Gewicht/10&gt;50)),ROUND(ber_TPN!F8,0),0)</f>
        <v>0</v>
      </c>
      <c r="H30" s="45"/>
    </row>
    <row r="31" spans="1:8" ht="20.100000000000001" customHeight="1" x14ac:dyDescent="0.35">
      <c r="A31" s="44"/>
      <c r="B31" s="138" t="s">
        <v>4226</v>
      </c>
      <c r="C31" s="141"/>
      <c r="D31" s="141"/>
      <c r="E31" s="141"/>
      <c r="F31" s="142"/>
      <c r="G31" s="133">
        <f>ber_TPN!F9</f>
        <v>0</v>
      </c>
      <c r="H31" s="45"/>
    </row>
    <row r="32" spans="1:8" ht="20.100000000000001" customHeight="1" x14ac:dyDescent="0.35">
      <c r="A32" s="44"/>
      <c r="B32" s="138" t="s">
        <v>4227</v>
      </c>
      <c r="C32" s="141"/>
      <c r="D32" s="141"/>
      <c r="E32" s="141"/>
      <c r="F32" s="142"/>
      <c r="G32" s="133">
        <f>ber_TPN!F10</f>
        <v>0</v>
      </c>
      <c r="H32" s="45"/>
    </row>
    <row r="33" spans="1:8" ht="20.100000000000001" customHeight="1" x14ac:dyDescent="0.35">
      <c r="A33" s="44"/>
      <c r="B33" s="138" t="s">
        <v>2989</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v>
      </c>
      <c r="C34" s="141"/>
      <c r="D34" s="141"/>
      <c r="E34" s="141"/>
      <c r="F34" s="142"/>
      <c r="G34" s="133" t="str">
        <f>IF(AND(OR(TPN=1,AND(TPN=2,SSTglucose&gt;10),Gewicht/10&gt;50),SSTglucose&lt;&gt;2,SSTglucose&lt;&gt;11),ROUND(ber_TPN!F6,0),"")</f>
        <v/>
      </c>
      <c r="H34" s="45"/>
    </row>
    <row r="35" spans="1:8" ht="20.100000000000001" customHeight="1" x14ac:dyDescent="0.35">
      <c r="A35" s="44"/>
      <c r="B35" s="137" t="s">
        <v>4171</v>
      </c>
      <c r="C35" s="139"/>
      <c r="D35" s="139"/>
      <c r="E35" s="139"/>
      <c r="F35" s="140"/>
      <c r="G35" s="133">
        <f>IF(AND(SSTglucose=11),ROUND(ber_TPN!F6,0),"")</f>
        <v>672</v>
      </c>
      <c r="H35" s="45"/>
    </row>
    <row r="36" spans="1:8" ht="15.95" customHeight="1" x14ac:dyDescent="0.35">
      <c r="A36" s="44"/>
      <c r="B36" s="110"/>
      <c r="C36" s="110"/>
      <c r="D36" s="110"/>
      <c r="E36" s="457" t="s">
        <v>2214</v>
      </c>
      <c r="F36" s="457"/>
      <c r="G36" s="114">
        <f>SUM(G29:G35)</f>
        <v>672</v>
      </c>
      <c r="H36" s="45"/>
    </row>
    <row r="37" spans="1:8" ht="15.95" customHeight="1" thickBot="1" x14ac:dyDescent="0.4">
      <c r="A37" s="44"/>
      <c r="B37" s="110"/>
      <c r="C37" s="110"/>
      <c r="D37" s="110"/>
      <c r="E37" s="110"/>
      <c r="F37" s="110"/>
      <c r="G37" s="49"/>
      <c r="H37" s="45"/>
    </row>
    <row r="38" spans="1:8" ht="15.95" customHeight="1" thickTop="1" x14ac:dyDescent="0.35">
      <c r="A38" s="51"/>
      <c r="B38" s="458" t="s">
        <v>2447</v>
      </c>
      <c r="C38" s="459"/>
      <c r="D38" s="459"/>
      <c r="E38" s="459"/>
      <c r="F38" s="460"/>
      <c r="G38" s="52" t="s">
        <v>2448</v>
      </c>
      <c r="H38" s="52"/>
    </row>
    <row r="39" spans="1:8" ht="15.95" customHeight="1" x14ac:dyDescent="0.35">
      <c r="A39" s="53"/>
      <c r="B39" s="445" t="s">
        <v>2449</v>
      </c>
      <c r="C39" s="446"/>
      <c r="D39" s="446"/>
      <c r="E39" s="446"/>
      <c r="F39" s="447"/>
      <c r="G39" s="47" t="s">
        <v>2450</v>
      </c>
      <c r="H39" s="45"/>
    </row>
    <row r="40" spans="1:8" ht="15.95" customHeight="1" x14ac:dyDescent="0.35">
      <c r="A40" s="53"/>
      <c r="B40" s="445" t="s">
        <v>2451</v>
      </c>
      <c r="C40" s="446"/>
      <c r="D40" s="446"/>
      <c r="E40" s="446"/>
      <c r="F40" s="447"/>
      <c r="G40" s="47" t="s">
        <v>2448</v>
      </c>
      <c r="H40" s="48"/>
    </row>
    <row r="42" spans="1:8" x14ac:dyDescent="0.35">
      <c r="A42" s="11" t="s">
        <v>2452</v>
      </c>
    </row>
    <row r="43" spans="1:8" x14ac:dyDescent="0.35">
      <c r="A43" s="11" t="s">
        <v>2213</v>
      </c>
    </row>
    <row r="45" spans="1:8" x14ac:dyDescent="0.35">
      <c r="A45" s="11" t="s">
        <v>2453</v>
      </c>
    </row>
    <row r="47" spans="1:8" x14ac:dyDescent="0.35">
      <c r="A47" s="11" t="s">
        <v>922</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1214</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ht="15" customHeight="1"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4173</v>
      </c>
      <c r="C16" s="131"/>
      <c r="D16" s="131" t="s">
        <v>3971</v>
      </c>
      <c r="E16" s="131" t="s">
        <v>4174</v>
      </c>
      <c r="F16" s="132" t="s">
        <v>578</v>
      </c>
      <c r="G16" s="133" t="str">
        <f>IF(TPN&lt;&gt;1,ber_TPN!F4,"")</f>
        <v/>
      </c>
      <c r="H16" s="45"/>
    </row>
    <row r="17" spans="1:8" ht="20.100000000000001" customHeight="1" x14ac:dyDescent="0.35">
      <c r="A17" s="44"/>
      <c r="B17" s="130" t="s">
        <v>2989</v>
      </c>
      <c r="C17" s="131"/>
      <c r="D17" s="131" t="s">
        <v>4175</v>
      </c>
      <c r="E17" s="131"/>
      <c r="F17" s="132"/>
      <c r="G17" s="133" t="str">
        <f>IF(AND(SSTglucose=2,TPN&lt;&gt;1),ROUND(ber_TPN!F6,0),"")</f>
        <v/>
      </c>
      <c r="H17" s="45"/>
    </row>
    <row r="18" spans="1:8" ht="20.100000000000001" customHeight="1" x14ac:dyDescent="0.35">
      <c r="A18" s="44"/>
      <c r="B18" s="130" t="s">
        <v>1038</v>
      </c>
      <c r="C18" s="131"/>
      <c r="D18" s="131"/>
      <c r="E18" s="131" t="s">
        <v>4176</v>
      </c>
      <c r="F18" s="132"/>
      <c r="G18" s="133" t="str">
        <f>IF(AND(SSTglucose=6,TPN&lt;&gt;1),ROUND(ber_TPN!F6,0),"")</f>
        <v/>
      </c>
      <c r="H18" s="45"/>
    </row>
    <row r="19" spans="1:8" ht="20.100000000000001" customHeight="1" x14ac:dyDescent="0.35">
      <c r="A19" s="44"/>
      <c r="B19" s="130" t="s">
        <v>4177</v>
      </c>
      <c r="C19" s="131"/>
      <c r="D19" s="131"/>
      <c r="E19" s="131"/>
      <c r="F19" s="132" t="s">
        <v>4178</v>
      </c>
      <c r="G19" s="133" t="str">
        <f>IF(AND(SSTglucose=8,TPN&lt;&gt;1,Gewicht/10&lt;=10),ROUND(ber_TPN!F6,0),"")</f>
        <v/>
      </c>
      <c r="H19" s="45"/>
    </row>
    <row r="20" spans="1:8" ht="20.100000000000001" customHeight="1" x14ac:dyDescent="0.35">
      <c r="A20" s="44"/>
      <c r="B20" s="130" t="s">
        <v>4179</v>
      </c>
      <c r="C20" s="131"/>
      <c r="D20" s="131"/>
      <c r="E20" s="131"/>
      <c r="F20" s="132" t="s">
        <v>4180</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4" t="s">
        <v>2212</v>
      </c>
      <c r="F22" s="454"/>
      <c r="G22" s="113">
        <f>SUM(G14:G21)</f>
        <v>0</v>
      </c>
      <c r="H22" s="111"/>
    </row>
    <row r="23" spans="1:8" ht="10.5" customHeight="1" x14ac:dyDescent="0.35">
      <c r="A23" s="44"/>
      <c r="B23" s="49"/>
      <c r="C23" s="49"/>
      <c r="D23" s="49"/>
      <c r="E23" s="49"/>
      <c r="F23" s="49"/>
      <c r="G23" s="49"/>
      <c r="H23" s="45"/>
    </row>
    <row r="24" spans="1:8" ht="20.100000000000001" customHeight="1" x14ac:dyDescent="0.35">
      <c r="A24" s="448" t="str">
        <f>IF(G27&gt;0,ROUND(G27/24,1)&amp;" ml/u","")</f>
        <v/>
      </c>
      <c r="B24" s="126" t="s">
        <v>2115</v>
      </c>
      <c r="C24" s="127"/>
      <c r="D24" s="127" t="s">
        <v>3970</v>
      </c>
      <c r="E24" s="127" t="s">
        <v>3971</v>
      </c>
      <c r="F24" s="128" t="s">
        <v>1929</v>
      </c>
      <c r="G24" s="129">
        <f>ROUND(ber_TPN!F13,0)</f>
        <v>0</v>
      </c>
      <c r="H24" s="50"/>
    </row>
    <row r="25" spans="1:8" ht="20.100000000000001" customHeight="1" x14ac:dyDescent="0.35">
      <c r="A25" s="449"/>
      <c r="B25" s="130" t="s">
        <v>2116</v>
      </c>
      <c r="C25" s="131"/>
      <c r="D25" s="131"/>
      <c r="E25" s="471" t="s">
        <v>3761</v>
      </c>
      <c r="F25" s="472"/>
      <c r="G25" s="129">
        <f>ROUND(ber_TPN!F14,0)</f>
        <v>0</v>
      </c>
      <c r="H25" s="45"/>
    </row>
    <row r="26" spans="1:8" ht="20.100000000000001" customHeight="1" x14ac:dyDescent="0.35">
      <c r="A26" s="44"/>
      <c r="B26" s="130" t="s">
        <v>2192</v>
      </c>
      <c r="C26" s="131"/>
      <c r="D26" s="131"/>
      <c r="E26" s="471" t="s">
        <v>3761</v>
      </c>
      <c r="F26" s="472"/>
      <c r="G26" s="129">
        <f>ROUND(ber_TPN!F15,0)</f>
        <v>0</v>
      </c>
      <c r="H26" s="45"/>
    </row>
    <row r="27" spans="1:8" ht="15.95" customHeight="1" x14ac:dyDescent="0.35">
      <c r="A27" s="44"/>
      <c r="B27" s="49"/>
      <c r="C27" s="49"/>
      <c r="D27" s="49"/>
      <c r="E27" s="454" t="s">
        <v>2212</v>
      </c>
      <c r="F27" s="454"/>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9" t="s">
        <v>1280</v>
      </c>
      <c r="C29" s="470"/>
      <c r="D29" s="470"/>
      <c r="E29" s="470"/>
      <c r="F29" s="470"/>
      <c r="G29" s="103"/>
      <c r="H29" s="52"/>
    </row>
    <row r="30" spans="1:8" ht="20.100000000000001" customHeight="1" x14ac:dyDescent="0.35">
      <c r="A30" s="448" t="str">
        <f>IF(G33&gt;0,ROUND(G39/24,1)&amp;" ml/u","")</f>
        <v/>
      </c>
      <c r="B30" s="137" t="s">
        <v>419</v>
      </c>
      <c r="C30" s="139"/>
      <c r="D30" s="139"/>
      <c r="E30" s="139"/>
      <c r="F30" s="143"/>
      <c r="G30" s="144">
        <f>IF(AND(OR(TPN=1,AND(TPN=2,SSTglucose&gt;10))),ROUND(ber_TPN!F7,0),0)</f>
        <v>0</v>
      </c>
      <c r="H30" s="45"/>
    </row>
    <row r="31" spans="1:8" ht="20.100000000000001" customHeight="1" x14ac:dyDescent="0.35">
      <c r="A31" s="449"/>
      <c r="B31" s="138" t="s">
        <v>4170</v>
      </c>
      <c r="C31" s="141"/>
      <c r="D31" s="141"/>
      <c r="E31" s="141"/>
      <c r="F31" s="145"/>
      <c r="G31" s="146">
        <f>IF(AND(OR(TPN=1,AND(TPN=2,SSTglucose&gt;10))),ROUND(ber_TPN!F8,0),0)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v>
      </c>
      <c r="C35" s="141"/>
      <c r="D35" s="141"/>
      <c r="E35" s="141"/>
      <c r="F35" s="145"/>
      <c r="G35" s="146" t="str">
        <f>IF(AND(OR(TPN=1,AND(TPN=2,SSTglucose&gt;10)),SSTglucose&lt;&gt;2,SSTglucose&lt;&gt;11,SSTglucose&lt;&gt;12,SSTglucose&lt;&gt;13),ROUND(ber_TPN!F6,0),"")</f>
        <v/>
      </c>
      <c r="H35" s="45"/>
    </row>
    <row r="36" spans="1:8" ht="20.100000000000001" customHeight="1" x14ac:dyDescent="0.35">
      <c r="A36" s="44"/>
      <c r="B36" s="467" t="s">
        <v>4171</v>
      </c>
      <c r="C36" s="468"/>
      <c r="D36" s="468"/>
      <c r="E36" s="468"/>
      <c r="F36" s="145"/>
      <c r="G36" s="146">
        <f>IF(OR(SSTglucose=11),ROUND(ber_TPN!F6,0),"")</f>
        <v>672</v>
      </c>
      <c r="H36" s="45"/>
    </row>
    <row r="37" spans="1:8" ht="20.100000000000001" customHeight="1" x14ac:dyDescent="0.35">
      <c r="A37" s="44"/>
      <c r="B37" s="467" t="s">
        <v>420</v>
      </c>
      <c r="C37" s="468"/>
      <c r="D37" s="468"/>
      <c r="E37" s="468"/>
      <c r="F37" s="145"/>
      <c r="G37" s="146" t="str">
        <f>IF(AND(SSTglucose=12),ROUND(ber_TPN!F6,0),"")</f>
        <v/>
      </c>
      <c r="H37" s="45"/>
    </row>
    <row r="38" spans="1:8" ht="20.100000000000001" customHeight="1" x14ac:dyDescent="0.35">
      <c r="A38" s="44"/>
      <c r="B38" s="467" t="s">
        <v>421</v>
      </c>
      <c r="C38" s="468"/>
      <c r="D38" s="468"/>
      <c r="E38" s="468"/>
      <c r="F38" s="143"/>
      <c r="G38" s="146" t="str">
        <f>IF(AND(SSTglucose=13),ROUND(ber_TPN!F6,0),"")</f>
        <v/>
      </c>
      <c r="H38" s="45"/>
    </row>
    <row r="39" spans="1:8" ht="15.95" customHeight="1" x14ac:dyDescent="0.35">
      <c r="A39" s="44"/>
      <c r="B39" s="49"/>
      <c r="C39" s="49"/>
      <c r="D39" s="49"/>
      <c r="E39" s="454" t="s">
        <v>2214</v>
      </c>
      <c r="F39" s="454"/>
      <c r="G39" s="114">
        <f>SUM(G30:G38)</f>
        <v>672</v>
      </c>
      <c r="H39" s="45"/>
    </row>
    <row r="40" spans="1:8" ht="10.5" customHeight="1" thickBot="1" x14ac:dyDescent="0.4">
      <c r="A40" s="44"/>
      <c r="B40" s="49"/>
      <c r="C40" s="49"/>
      <c r="D40" s="49"/>
      <c r="E40" s="49"/>
      <c r="F40" s="49"/>
      <c r="G40" s="49"/>
      <c r="H40" s="45"/>
    </row>
    <row r="41" spans="1:8" ht="15.95" customHeight="1" thickTop="1" x14ac:dyDescent="0.35">
      <c r="A41" s="51"/>
      <c r="B41" s="461" t="s">
        <v>2447</v>
      </c>
      <c r="C41" s="462"/>
      <c r="D41" s="462"/>
      <c r="E41" s="462"/>
      <c r="F41" s="463"/>
      <c r="G41" s="52" t="s">
        <v>2448</v>
      </c>
      <c r="H41" s="52"/>
    </row>
    <row r="42" spans="1:8" ht="15.95" customHeight="1" x14ac:dyDescent="0.35">
      <c r="A42" s="53"/>
      <c r="B42" s="464" t="s">
        <v>2449</v>
      </c>
      <c r="C42" s="465"/>
      <c r="D42" s="465"/>
      <c r="E42" s="465"/>
      <c r="F42" s="466"/>
      <c r="G42" s="47" t="s">
        <v>2450</v>
      </c>
      <c r="H42" s="45"/>
    </row>
    <row r="43" spans="1:8" ht="15.95" customHeight="1" x14ac:dyDescent="0.35">
      <c r="A43" s="53"/>
      <c r="B43" s="464" t="s">
        <v>2451</v>
      </c>
      <c r="C43" s="465"/>
      <c r="D43" s="465"/>
      <c r="E43" s="465"/>
      <c r="F43" s="466"/>
      <c r="G43" s="47" t="s">
        <v>2448</v>
      </c>
      <c r="H43" s="48"/>
    </row>
    <row r="45" spans="1:8" x14ac:dyDescent="0.35">
      <c r="A45" s="11" t="s">
        <v>2452</v>
      </c>
    </row>
    <row r="46" spans="1:8" x14ac:dyDescent="0.35">
      <c r="A46"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1215</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
        <v>3564</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4181</v>
      </c>
      <c r="C16" s="131"/>
      <c r="D16" s="131" t="s">
        <v>3971</v>
      </c>
      <c r="E16" s="131" t="s">
        <v>1929</v>
      </c>
      <c r="F16" s="132" t="s">
        <v>4174</v>
      </c>
      <c r="G16" s="133" t="str">
        <f>IF(TPN&lt;&gt;1,ber_TPN!F4,"")</f>
        <v/>
      </c>
      <c r="H16" s="45"/>
    </row>
    <row r="17" spans="1:8" ht="20.100000000000001" customHeight="1" x14ac:dyDescent="0.35">
      <c r="A17" s="44"/>
      <c r="B17" s="130" t="s">
        <v>3063</v>
      </c>
      <c r="C17" s="131"/>
      <c r="D17" s="131"/>
      <c r="E17" s="471" t="s">
        <v>1367</v>
      </c>
      <c r="F17" s="472"/>
      <c r="G17" s="133">
        <f>ROUND(ber_TPN!F5,0)</f>
        <v>0</v>
      </c>
      <c r="H17" s="45"/>
    </row>
    <row r="18" spans="1:8" ht="20.100000000000001" customHeight="1" x14ac:dyDescent="0.35">
      <c r="A18" s="44"/>
      <c r="B18" s="130" t="s">
        <v>2989</v>
      </c>
      <c r="C18" s="131"/>
      <c r="D18" s="131" t="s">
        <v>1368</v>
      </c>
      <c r="E18" s="131"/>
      <c r="F18" s="132"/>
      <c r="G18" s="133" t="str">
        <f>IF(AND(SSTglucose=2,TPN&lt;&gt;1),ROUND(ber_TPN!F6,0),"")</f>
        <v/>
      </c>
      <c r="H18" s="45"/>
    </row>
    <row r="19" spans="1:8" ht="20.100000000000001" customHeight="1" x14ac:dyDescent="0.35">
      <c r="A19" s="44"/>
      <c r="B19" s="130" t="s">
        <v>1038</v>
      </c>
      <c r="C19" s="131"/>
      <c r="D19" s="131"/>
      <c r="E19" s="131" t="s">
        <v>1369</v>
      </c>
      <c r="F19" s="132"/>
      <c r="G19" s="133" t="str">
        <f>IF(AND(SSTglucose=6,TPN&lt;&gt;1),ROUND(ber_TPN!F6,0),"")</f>
        <v/>
      </c>
      <c r="H19" s="45"/>
    </row>
    <row r="20" spans="1:8" ht="20.100000000000001" customHeight="1" x14ac:dyDescent="0.35">
      <c r="A20" s="44"/>
      <c r="B20" s="130" t="s">
        <v>2210</v>
      </c>
      <c r="C20" s="131"/>
      <c r="D20" s="131"/>
      <c r="E20" s="131"/>
      <c r="F20" s="132" t="s">
        <v>1370</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7" t="s">
        <v>2212</v>
      </c>
      <c r="F22" s="457"/>
      <c r="G22" s="113">
        <f>SUM(G14:G21)</f>
        <v>0</v>
      </c>
      <c r="H22" s="111"/>
    </row>
    <row r="23" spans="1:8" ht="10.5" customHeight="1" x14ac:dyDescent="0.35">
      <c r="A23" s="44"/>
      <c r="B23" s="110"/>
      <c r="C23" s="110"/>
      <c r="D23" s="110"/>
      <c r="E23" s="110"/>
      <c r="F23" s="110"/>
      <c r="G23" s="49"/>
      <c r="H23" s="45"/>
    </row>
    <row r="24" spans="1:8" ht="20.100000000000001" customHeight="1" x14ac:dyDescent="0.35">
      <c r="A24" s="450" t="str">
        <f>IF(TPN&lt;&gt;1,ROUND(G27/24,1)&amp;" ml/u","")</f>
        <v/>
      </c>
      <c r="B24" s="126" t="s">
        <v>2115</v>
      </c>
      <c r="C24" s="127"/>
      <c r="D24" s="127" t="s">
        <v>3970</v>
      </c>
      <c r="E24" s="127" t="s">
        <v>3971</v>
      </c>
      <c r="F24" s="128" t="s">
        <v>1929</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2" t="s">
        <v>1280</v>
      </c>
      <c r="C29" s="453"/>
      <c r="D29" s="453"/>
      <c r="E29" s="453"/>
      <c r="F29" s="453"/>
      <c r="G29" s="103"/>
      <c r="H29" s="52"/>
    </row>
    <row r="30" spans="1:8" ht="20.100000000000001" customHeight="1" x14ac:dyDescent="0.35">
      <c r="A30" s="450" t="str">
        <f>ROUND(G38/24,1)&amp;" ml/u"</f>
        <v>28 ml/u</v>
      </c>
      <c r="B30" s="137" t="s">
        <v>419</v>
      </c>
      <c r="C30" s="139"/>
      <c r="D30" s="139"/>
      <c r="E30" s="139"/>
      <c r="F30" s="140"/>
      <c r="G30" s="144">
        <f>IF(AND(OR(TPN=1,AND(TPN=2,SSTglucose&gt;10))),ROUND(ber_TPN!F7,0),"")</f>
        <v>0</v>
      </c>
      <c r="H30" s="45"/>
    </row>
    <row r="31" spans="1:8" ht="20.100000000000001" customHeight="1" x14ac:dyDescent="0.35">
      <c r="A31" s="451"/>
      <c r="B31" s="138" t="s">
        <v>4170</v>
      </c>
      <c r="C31" s="141"/>
      <c r="D31" s="141"/>
      <c r="E31" s="141"/>
      <c r="F31" s="142"/>
      <c r="G31" s="146">
        <f>IF(AND(OR(TPN=1,AND(TPN=2,SSTglucose&gt;10))),ROUND(ber_TPN!F8,0),"")</f>
        <v>0</v>
      </c>
      <c r="H31" s="45"/>
    </row>
    <row r="32" spans="1:8" ht="20.100000000000001" customHeight="1" x14ac:dyDescent="0.35">
      <c r="A32" s="108"/>
      <c r="B32" s="138" t="s">
        <v>4226</v>
      </c>
      <c r="C32" s="141"/>
      <c r="D32" s="141"/>
      <c r="E32" s="141"/>
      <c r="F32" s="142"/>
      <c r="G32" s="146">
        <f>ber_TPN!F9</f>
        <v>0</v>
      </c>
      <c r="H32" s="45"/>
    </row>
    <row r="33" spans="1:8" ht="20.100000000000001" customHeight="1" x14ac:dyDescent="0.35">
      <c r="A33" s="108"/>
      <c r="B33" s="138" t="s">
        <v>4227</v>
      </c>
      <c r="C33" s="141"/>
      <c r="D33" s="141"/>
      <c r="E33" s="141"/>
      <c r="F33" s="142"/>
      <c r="G33" s="146">
        <f>ber_TPN!F10</f>
        <v>0</v>
      </c>
      <c r="H33" s="45"/>
    </row>
    <row r="34" spans="1:8" ht="20.100000000000001" customHeight="1" x14ac:dyDescent="0.35">
      <c r="A34" s="108"/>
      <c r="B34" s="138" t="s">
        <v>2989</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2"/>
      <c r="G35" s="146">
        <f>IF(AND(OR(TPN=1,AND(TPN=2,SSTglucose&gt;10)),SSTglucose&lt;&gt;2,SSTglucose&lt;&gt;12,SSTglucose&lt;&gt;13),ROUND(ber_TPN!F6,0),"")</f>
        <v>672</v>
      </c>
      <c r="H35" s="45"/>
    </row>
    <row r="36" spans="1:8" ht="20.100000000000001" customHeight="1" x14ac:dyDescent="0.35">
      <c r="A36" s="108"/>
      <c r="B36" s="467" t="s">
        <v>420</v>
      </c>
      <c r="C36" s="468"/>
      <c r="D36" s="468"/>
      <c r="E36" s="468"/>
      <c r="F36" s="142"/>
      <c r="G36" s="146" t="str">
        <f>IF(AND(SSTglucose=12),ROUND(ber_TPN!F6,0),"")</f>
        <v/>
      </c>
      <c r="H36" s="45"/>
    </row>
    <row r="37" spans="1:8" ht="20.100000000000001" customHeight="1" x14ac:dyDescent="0.35">
      <c r="A37" s="44"/>
      <c r="B37" s="467" t="s">
        <v>421</v>
      </c>
      <c r="C37" s="468"/>
      <c r="D37" s="468"/>
      <c r="E37" s="468"/>
      <c r="F37" s="142"/>
      <c r="G37" s="146" t="str">
        <f>IF(AND(SSTglucose=13),ROUND(ber_TPN!F6,0),"")</f>
        <v/>
      </c>
      <c r="H37" s="45"/>
    </row>
    <row r="38" spans="1:8" ht="15.95" customHeight="1" x14ac:dyDescent="0.35">
      <c r="A38" s="44"/>
      <c r="B38" s="110"/>
      <c r="C38" s="110"/>
      <c r="D38" s="110"/>
      <c r="E38" s="457" t="s">
        <v>2214</v>
      </c>
      <c r="F38" s="457"/>
      <c r="G38" s="114">
        <f>SUM(G30:G37)</f>
        <v>672</v>
      </c>
      <c r="H38" s="45"/>
    </row>
    <row r="39" spans="1:8" ht="15.95" customHeight="1" thickBot="1" x14ac:dyDescent="0.4">
      <c r="A39" s="44"/>
      <c r="B39" s="110"/>
      <c r="C39" s="110"/>
      <c r="D39" s="110"/>
      <c r="E39" s="110"/>
      <c r="F39" s="110"/>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6" spans="1:8" x14ac:dyDescent="0.35">
      <c r="A46" s="11" t="s">
        <v>2453</v>
      </c>
    </row>
    <row r="48" spans="1:8" x14ac:dyDescent="0.35">
      <c r="A48" s="11" t="s">
        <v>922</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1216</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
        <v>3563</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450"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35">
      <c r="A14" s="451"/>
      <c r="B14" s="130" t="s">
        <v>4167</v>
      </c>
      <c r="C14" s="131"/>
      <c r="D14" s="131" t="s">
        <v>4172</v>
      </c>
      <c r="E14" s="131" t="s">
        <v>577</v>
      </c>
      <c r="F14" s="132" t="s">
        <v>577</v>
      </c>
      <c r="G14" s="129" t="str">
        <f>IF(AND(TPN&lt;&gt;1,G15&lt;&gt;0),ROUND(ber_TPN!F8,0),"")</f>
        <v/>
      </c>
      <c r="H14" s="45"/>
    </row>
    <row r="15" spans="1:8" ht="20.100000000000001" customHeight="1" x14ac:dyDescent="0.35">
      <c r="A15" s="44"/>
      <c r="B15" s="130" t="s">
        <v>1371</v>
      </c>
      <c r="C15" s="131"/>
      <c r="D15" s="131" t="s">
        <v>3970</v>
      </c>
      <c r="E15" s="131" t="s">
        <v>1372</v>
      </c>
      <c r="F15" s="132" t="s">
        <v>1377</v>
      </c>
      <c r="G15" s="133" t="str">
        <f>IF(TPN&lt;&gt;1,ber_TPN!F4,"")</f>
        <v/>
      </c>
      <c r="H15" s="45"/>
    </row>
    <row r="16" spans="1:8" ht="20.100000000000001" customHeight="1" x14ac:dyDescent="0.35">
      <c r="A16" s="44"/>
      <c r="B16" s="130" t="s">
        <v>3063</v>
      </c>
      <c r="C16" s="131"/>
      <c r="D16" s="131"/>
      <c r="E16" s="471" t="s">
        <v>1367</v>
      </c>
      <c r="F16" s="472"/>
      <c r="G16" s="133" t="str">
        <f>IF(AND(SSTglucose&lt;11,TPN&lt;&gt;1),ROUND(ber_TPN!F5,0),"")</f>
        <v/>
      </c>
      <c r="H16" s="45"/>
    </row>
    <row r="17" spans="1:8" ht="20.100000000000001" customHeight="1" x14ac:dyDescent="0.35">
      <c r="A17" s="44"/>
      <c r="B17" s="130" t="s">
        <v>2989</v>
      </c>
      <c r="C17" s="131"/>
      <c r="D17" s="131" t="s">
        <v>1373</v>
      </c>
      <c r="E17" s="131"/>
      <c r="F17" s="132"/>
      <c r="G17" s="133" t="str">
        <f>IF(AND(SSTglucose=2,TPN&lt;&gt;1),ROUND(ber_TPN!F6,0),"")</f>
        <v/>
      </c>
      <c r="H17" s="45"/>
    </row>
    <row r="18" spans="1:8" ht="20.100000000000001" customHeight="1" x14ac:dyDescent="0.35">
      <c r="A18" s="44"/>
      <c r="B18" s="130" t="s">
        <v>1038</v>
      </c>
      <c r="C18" s="131"/>
      <c r="D18" s="131"/>
      <c r="E18" s="131" t="s">
        <v>1374</v>
      </c>
      <c r="F18" s="132"/>
      <c r="G18" s="133" t="str">
        <f>IF(AND(SSTglucose=6,TPN&lt;&gt;1),ROUND(ber_TPN!F6,0),"")</f>
        <v/>
      </c>
      <c r="H18" s="45"/>
    </row>
    <row r="19" spans="1:8" ht="20.100000000000001" customHeight="1" x14ac:dyDescent="0.35">
      <c r="A19" s="44"/>
      <c r="B19" s="130" t="s">
        <v>1375</v>
      </c>
      <c r="C19" s="131" t="s">
        <v>2234</v>
      </c>
      <c r="D19" s="131"/>
      <c r="E19" s="131"/>
      <c r="F19" s="132" t="s">
        <v>4180</v>
      </c>
      <c r="G19" s="133" t="str">
        <f>IF(AND(SSTglucose=7,TPN&lt;&gt;1),ROUND(ber_TPN!F6,0),"")</f>
        <v/>
      </c>
      <c r="H19" s="45"/>
    </row>
    <row r="20" spans="1:8" ht="20.100000000000001" customHeight="1" x14ac:dyDescent="0.35">
      <c r="A20" s="44"/>
      <c r="B20" s="130" t="s">
        <v>1376</v>
      </c>
      <c r="C20" s="131"/>
      <c r="D20" s="131"/>
      <c r="E20" s="131"/>
      <c r="F20" s="132" t="s">
        <v>4174</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7" t="s">
        <v>2212</v>
      </c>
      <c r="F22" s="457"/>
      <c r="G22" s="113">
        <f>SUM(G13:G21)</f>
        <v>0</v>
      </c>
      <c r="H22" s="111"/>
    </row>
    <row r="23" spans="1:8" ht="10.5" customHeight="1" x14ac:dyDescent="0.35">
      <c r="A23" s="44"/>
      <c r="B23" s="110"/>
      <c r="C23" s="110"/>
      <c r="D23" s="110"/>
      <c r="E23" s="110"/>
      <c r="F23" s="110"/>
      <c r="G23" s="49"/>
      <c r="H23" s="45"/>
    </row>
    <row r="24" spans="1:8" ht="20.100000000000001" customHeight="1" x14ac:dyDescent="0.35">
      <c r="A24" s="450" t="str">
        <f>IF(G27&lt;&gt;0,ROUND(G27/24,1)&amp;" ml/u","")</f>
        <v/>
      </c>
      <c r="B24" s="126" t="s">
        <v>2115</v>
      </c>
      <c r="C24" s="127"/>
      <c r="D24" s="127" t="s">
        <v>3562</v>
      </c>
      <c r="E24" s="127" t="s">
        <v>1928</v>
      </c>
      <c r="F24" s="128" t="s">
        <v>3971</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9" t="s">
        <v>1280</v>
      </c>
      <c r="C29" s="470"/>
      <c r="D29" s="470"/>
      <c r="E29" s="470"/>
      <c r="F29" s="470"/>
      <c r="G29" s="103"/>
      <c r="H29" s="52"/>
    </row>
    <row r="30" spans="1:8" ht="20.100000000000001" customHeight="1" x14ac:dyDescent="0.35">
      <c r="A30" s="450" t="str">
        <f>IF(G38&lt;&gt;0,ROUND(G38/24,1)&amp;" ml/u","")</f>
        <v>28 ml/u</v>
      </c>
      <c r="B30" s="137" t="s">
        <v>419</v>
      </c>
      <c r="C30" s="139"/>
      <c r="D30" s="139"/>
      <c r="E30" s="139"/>
      <c r="F30" s="143"/>
      <c r="G30" s="144">
        <f>IF(AND(OR(TPN=1,AND(TPN=2,SSTglucose&gt;10))),ROUND(ber_TPN!F7,0),"")</f>
        <v>0</v>
      </c>
      <c r="H30" s="45"/>
    </row>
    <row r="31" spans="1:8" ht="20.100000000000001" customHeight="1" x14ac:dyDescent="0.35">
      <c r="A31" s="451"/>
      <c r="B31" s="138" t="s">
        <v>4170</v>
      </c>
      <c r="C31" s="141"/>
      <c r="D31" s="141"/>
      <c r="E31" s="141"/>
      <c r="F31" s="145"/>
      <c r="G31" s="146">
        <f>IF(AND(OR(TPN=1,AND(TPN=2,SSTglucose&gt;10))),ROUND(ber_TPN!F8,0),"")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5"/>
      <c r="G35" s="146">
        <f>IF(AND(OR(TPN=1,AND(TPN=2,SSTglucose&gt;10)),SSTglucose&lt;&gt;2,SSTglucose&lt;&gt;12,SSTglucose&lt;&gt;13),ber_TPN!F6,"")</f>
        <v>672</v>
      </c>
      <c r="H35" s="45"/>
    </row>
    <row r="36" spans="1:8" ht="20.100000000000001" customHeight="1" x14ac:dyDescent="0.35">
      <c r="A36" s="108"/>
      <c r="B36" s="467" t="s">
        <v>420</v>
      </c>
      <c r="C36" s="468"/>
      <c r="D36" s="468"/>
      <c r="E36" s="468"/>
      <c r="F36" s="145"/>
      <c r="G36" s="146" t="str">
        <f>IF(AND(SSTglucose=12),ROUND(ber_TPN!F6,0),"")</f>
        <v/>
      </c>
      <c r="H36" s="45"/>
    </row>
    <row r="37" spans="1:8" ht="20.100000000000001" customHeight="1" x14ac:dyDescent="0.35">
      <c r="A37" s="44"/>
      <c r="B37" s="467" t="s">
        <v>421</v>
      </c>
      <c r="C37" s="468"/>
      <c r="D37" s="468"/>
      <c r="E37" s="468"/>
      <c r="F37" s="145"/>
      <c r="G37" s="146" t="str">
        <f>IF(AND(SSTglucose=13),ROUND(ber_TPN!F6,0),"")</f>
        <v/>
      </c>
      <c r="H37" s="45"/>
    </row>
    <row r="38" spans="1:8" ht="15.95" customHeight="1" x14ac:dyDescent="0.35">
      <c r="A38" s="44"/>
      <c r="B38" s="49"/>
      <c r="C38" s="49"/>
      <c r="D38" s="49"/>
      <c r="E38" s="454" t="s">
        <v>2214</v>
      </c>
      <c r="F38" s="454"/>
      <c r="G38" s="114">
        <f>SUM(G30:G37)</f>
        <v>672</v>
      </c>
      <c r="H38" s="45"/>
    </row>
    <row r="39" spans="1:8" ht="10.5" customHeight="1" thickBot="1" x14ac:dyDescent="0.4">
      <c r="A39" s="44"/>
      <c r="B39" s="49"/>
      <c r="C39" s="49"/>
      <c r="D39" s="49"/>
      <c r="E39" s="49"/>
      <c r="F39" s="49"/>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3920</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tr">
        <f>IF(Gewicht/10&lt;7,"Tot. hoev. vocht* (150 ml/kg/24 uur):","Tot. hoev. vocht* (110-90 ml/kg/24 uur):")</f>
        <v>Tot. hoev. vocht* (110-90 ml/kg/24 uur):</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2214</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35">
      <c r="A18" s="44"/>
      <c r="B18" s="130" t="s">
        <v>2989</v>
      </c>
      <c r="C18" s="131"/>
      <c r="D18" s="131"/>
      <c r="E18" s="131"/>
      <c r="F18" s="132" t="s">
        <v>912</v>
      </c>
      <c r="G18" s="133">
        <f>IF(G17&gt;0,100,0)</f>
        <v>0</v>
      </c>
      <c r="H18" s="45"/>
    </row>
    <row r="19" spans="1:8" ht="20.100000000000001" customHeight="1" x14ac:dyDescent="0.35">
      <c r="A19" s="44"/>
      <c r="B19" s="116"/>
      <c r="C19" s="116"/>
      <c r="D19" s="116"/>
      <c r="E19" s="457" t="s">
        <v>2212</v>
      </c>
      <c r="F19" s="457"/>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2115</v>
      </c>
      <c r="C21" s="127"/>
      <c r="D21" s="127" t="s">
        <v>917</v>
      </c>
      <c r="E21" s="127" t="s">
        <v>918</v>
      </c>
      <c r="F21" s="128" t="s">
        <v>919</v>
      </c>
      <c r="G21" s="129">
        <f>ROUND(ber_TPN!F13,0)</f>
        <v>0</v>
      </c>
      <c r="H21" s="45"/>
    </row>
    <row r="22" spans="1:8" ht="20.100000000000001" customHeight="1" x14ac:dyDescent="0.35">
      <c r="A22" s="44"/>
      <c r="B22" s="130" t="s">
        <v>2116</v>
      </c>
      <c r="C22" s="131"/>
      <c r="D22" s="131"/>
      <c r="E22" s="127"/>
      <c r="F22" s="128" t="s">
        <v>920</v>
      </c>
      <c r="G22" s="133">
        <f>ROUND(ber_TPN!F14,0)</f>
        <v>0</v>
      </c>
      <c r="H22" s="45"/>
    </row>
    <row r="23" spans="1:8" ht="20.100000000000001" customHeight="1" x14ac:dyDescent="0.35">
      <c r="A23" s="44"/>
      <c r="B23" s="130" t="s">
        <v>2192</v>
      </c>
      <c r="C23" s="131"/>
      <c r="D23" s="131"/>
      <c r="E23" s="127"/>
      <c r="F23" s="128" t="s">
        <v>920</v>
      </c>
      <c r="G23" s="133">
        <f>ROUND(ber_TPN!F15,0)</f>
        <v>0</v>
      </c>
      <c r="H23" s="45"/>
    </row>
    <row r="24" spans="1:8" ht="20.100000000000001" customHeight="1" x14ac:dyDescent="0.35">
      <c r="A24" s="44"/>
      <c r="B24" s="110"/>
      <c r="C24" s="110"/>
      <c r="D24" s="110"/>
      <c r="E24" s="457" t="s">
        <v>2212</v>
      </c>
      <c r="F24" s="457"/>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9" t="s">
        <v>1280</v>
      </c>
      <c r="C26" s="470"/>
      <c r="D26" s="470"/>
      <c r="E26" s="470"/>
      <c r="F26" s="470"/>
      <c r="G26" s="103"/>
      <c r="H26" s="52"/>
    </row>
    <row r="27" spans="1:8" ht="20.100000000000001" customHeight="1" x14ac:dyDescent="0.35">
      <c r="A27" s="450" t="str">
        <f>IF(G35&lt;&gt;0,ROUND(G35/24,1)&amp;" ml/u","")</f>
        <v>28 ml/u</v>
      </c>
      <c r="B27" s="137" t="s">
        <v>419</v>
      </c>
      <c r="C27" s="139"/>
      <c r="D27" s="139"/>
      <c r="E27" s="139"/>
      <c r="F27" s="143"/>
      <c r="G27" s="144">
        <f>IF(AND(OR(TPN=1,Gewicht/10&gt;50,AND(TPN=2,SSTglucose&gt;10))),ROUND(ber_TPN!F7,0),"")</f>
        <v>0</v>
      </c>
      <c r="H27" s="45"/>
    </row>
    <row r="28" spans="1:8" ht="20.100000000000001" customHeight="1" x14ac:dyDescent="0.35">
      <c r="A28" s="451"/>
      <c r="B28" s="138" t="s">
        <v>4170</v>
      </c>
      <c r="C28" s="141"/>
      <c r="D28" s="141"/>
      <c r="E28" s="141"/>
      <c r="F28" s="145"/>
      <c r="G28" s="146">
        <f>IF(AND(OR(TPN=1,Gewicht/10&gt;50,AND(TPN=2,SSTglucose&gt;10))),ROUND(ber_TPN!F8,0),"")</f>
        <v>0</v>
      </c>
      <c r="H28" s="45"/>
    </row>
    <row r="29" spans="1:8" ht="15.95" customHeight="1" x14ac:dyDescent="0.35">
      <c r="A29" s="108"/>
      <c r="B29" s="138" t="s">
        <v>4226</v>
      </c>
      <c r="C29" s="141"/>
      <c r="D29" s="141"/>
      <c r="E29" s="141"/>
      <c r="F29" s="145"/>
      <c r="G29" s="146">
        <f>ber_TPN!F9</f>
        <v>0</v>
      </c>
      <c r="H29" s="45"/>
    </row>
    <row r="30" spans="1:8" ht="15.95" customHeight="1" x14ac:dyDescent="0.35">
      <c r="A30" s="108"/>
      <c r="B30" s="138" t="s">
        <v>4227</v>
      </c>
      <c r="C30" s="141"/>
      <c r="D30" s="141"/>
      <c r="E30" s="141"/>
      <c r="F30" s="145"/>
      <c r="G30" s="146">
        <f>ber_TPN!F10</f>
        <v>0</v>
      </c>
      <c r="H30" s="45"/>
    </row>
    <row r="31" spans="1:8" ht="15.95" customHeight="1" x14ac:dyDescent="0.35">
      <c r="A31" s="108"/>
      <c r="B31" s="138" t="s">
        <v>2989</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 + NaCl 0,45%</v>
      </c>
      <c r="C32" s="141"/>
      <c r="D32" s="141"/>
      <c r="E32" s="141"/>
      <c r="F32" s="145"/>
      <c r="G32" s="146">
        <f>IF(AND(SSTglucose&lt;&gt;2,SSTglucose&lt;&gt;12,SSTglucose&lt;&gt;13),ber_TPN!F6,"")</f>
        <v>672</v>
      </c>
      <c r="H32" s="45"/>
    </row>
    <row r="33" spans="1:8" ht="15.95" customHeight="1" x14ac:dyDescent="0.35">
      <c r="A33" s="108"/>
      <c r="B33" s="467" t="s">
        <v>420</v>
      </c>
      <c r="C33" s="468"/>
      <c r="D33" s="468"/>
      <c r="E33" s="468"/>
      <c r="F33" s="145"/>
      <c r="G33" s="146" t="str">
        <f>IF(AND(SSTglucose=12),ROUND(ber_TPN!F6,0),"")</f>
        <v/>
      </c>
      <c r="H33" s="45"/>
    </row>
    <row r="34" spans="1:8" ht="20.100000000000001" customHeight="1" x14ac:dyDescent="0.35">
      <c r="A34" s="44"/>
      <c r="B34" s="467" t="s">
        <v>421</v>
      </c>
      <c r="C34" s="468"/>
      <c r="D34" s="468"/>
      <c r="E34" s="468"/>
      <c r="F34" s="145"/>
      <c r="G34" s="146" t="str">
        <f>IF(AND(SSTglucose=13),ROUND(ber_TPN!F6,0),"")</f>
        <v/>
      </c>
      <c r="H34" s="45"/>
    </row>
    <row r="35" spans="1:8" ht="20.100000000000001" customHeight="1" x14ac:dyDescent="0.35">
      <c r="A35" s="44"/>
      <c r="B35" s="49"/>
      <c r="C35" s="49"/>
      <c r="D35" s="49"/>
      <c r="E35" s="454" t="s">
        <v>2214</v>
      </c>
      <c r="F35" s="454"/>
      <c r="G35" s="114">
        <f>SUM(G27:G34)</f>
        <v>672</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8" t="s">
        <v>2447</v>
      </c>
      <c r="C37" s="459"/>
      <c r="D37" s="459"/>
      <c r="E37" s="459"/>
      <c r="F37" s="460"/>
      <c r="G37" s="52" t="s">
        <v>2448</v>
      </c>
      <c r="H37" s="52"/>
    </row>
    <row r="38" spans="1:8" ht="20.100000000000001" customHeight="1" x14ac:dyDescent="0.35">
      <c r="A38" s="53"/>
      <c r="B38" s="445" t="s">
        <v>2449</v>
      </c>
      <c r="C38" s="446"/>
      <c r="D38" s="446"/>
      <c r="E38" s="446"/>
      <c r="F38" s="447"/>
      <c r="G38" s="47" t="s">
        <v>2450</v>
      </c>
      <c r="H38" s="45"/>
    </row>
    <row r="39" spans="1:8" ht="20.100000000000001" customHeight="1" x14ac:dyDescent="0.35">
      <c r="A39" s="53"/>
      <c r="B39" s="445" t="s">
        <v>2451</v>
      </c>
      <c r="C39" s="446"/>
      <c r="D39" s="446"/>
      <c r="E39" s="446"/>
      <c r="F39" s="447"/>
      <c r="G39" s="47" t="s">
        <v>2448</v>
      </c>
      <c r="H39" s="48"/>
    </row>
    <row r="40" spans="1:8" ht="20.100000000000001" customHeight="1" x14ac:dyDescent="0.35"/>
    <row r="41" spans="1:8" ht="15.95" customHeight="1" x14ac:dyDescent="0.35">
      <c r="A41" s="11" t="s">
        <v>2452</v>
      </c>
    </row>
    <row r="42" spans="1:8" ht="10.5" customHeight="1" x14ac:dyDescent="0.35">
      <c r="A42" s="11" t="s">
        <v>2213</v>
      </c>
    </row>
    <row r="43" spans="1:8" ht="15.95" customHeight="1" x14ac:dyDescent="0.35"/>
    <row r="44" spans="1:8" ht="15.95" customHeight="1" x14ac:dyDescent="0.35">
      <c r="A44" s="11" t="s">
        <v>2453</v>
      </c>
    </row>
    <row r="45" spans="1:8" ht="15.95" customHeight="1" x14ac:dyDescent="0.35"/>
    <row r="46" spans="1:8" x14ac:dyDescent="0.35">
      <c r="A46" s="11" t="s">
        <v>922</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2015-07-01T12:00:33Z</dcterms:modified>
</cp:coreProperties>
</file>