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K33" i="25"/>
  <c r="J33" i="25"/>
  <c r="J31" i="25"/>
  <c r="J29" i="25"/>
  <c r="J27" i="25"/>
  <c r="J25" i="25"/>
  <c r="J23"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C10" i="25" l="1"/>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L96" i="15"/>
  <c r="E96" i="15"/>
  <c r="C95" i="58"/>
  <c r="E95" i="58" s="1"/>
  <c r="L95" i="59"/>
  <c r="G21" i="2"/>
  <c r="C94" i="58"/>
  <c r="C94" i="59"/>
  <c r="E20" i="2"/>
  <c r="G20" i="2"/>
  <c r="L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L95" i="58"/>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Z14" i="28" l="1"/>
  <c r="Q12" i="28"/>
  <c r="W2" i="34"/>
  <c r="E95" i="15"/>
  <c r="J14" i="28"/>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H129" i="58"/>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30" i="15" l="1"/>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<sst xmlns="http://schemas.openxmlformats.org/spreadsheetml/2006/main" count="28319" uniqueCount="5134">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</sst>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7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7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7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7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5" val="18"/>
</file>

<file path=xl/ctrlProps/ctrlProp72.xml><?xml version="1.0" encoding="utf-8"?>
<formControlPr xmlns="http://schemas.microsoft.com/office/spreadsheetml/2009/9/main" objectType="Drop" dropStyle="combo" dx="16" fmlaLink="ber_IVmed!$B$32" fmlaRange="tblDoseringen" sel="17"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1" val="0"/>
</file>

<file path=xl/ctrlProps/ctrlProp81.xml><?xml version="1.0" encoding="utf-8"?>
<formControlPr xmlns="http://schemas.microsoft.com/office/spreadsheetml/2009/9/main" objectType="Drop" dropStyle="combo" dx="16" fmlaLink="ber_IVmed!$D$32" fmlaRange="tblOplossing" sel="1"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val="15"/>
</file>

<file path=xl/ctrlProps/ctrlProp109.xml><?xml version="1.0" encoding="utf-8"?>
<formControlPr xmlns="http://schemas.microsoft.com/office/spreadsheetml/2009/9/main" objectType="Spin" dx="15" fmlaLink="ber_IVmed!$E$32" max="1000" page="10" val="1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7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4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val="7"/>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5"/>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1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val="4"/>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7"/>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val="4"/>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70"/>
</file>

<file path=xl/ctrlProps/ctrlProp334.xml><?xml version="1.0" encoding="utf-8"?>
<formControlPr xmlns="http://schemas.microsoft.com/office/spreadsheetml/2009/9/main" objectType="Drop" dropStyle="combo" dx="16" fmlaLink="ber_Infusen!$E$2" fmlaRange="tblInfusen" sel="24" val="0"/>
</file>

<file path=xl/ctrlProps/ctrlProp335.xml><?xml version="1.0" encoding="utf-8"?>
<formControlPr xmlns="http://schemas.microsoft.com/office/spreadsheetml/2009/9/main" objectType="Drop" dropStyle="combo" dx="16" fmlaLink="ber_Infusen!$E$3" fmlaRange="tblInfusen" sel="29"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7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val="6"/>
</file>

<file path=xl/ctrlProps/ctrlProp361.xml><?xml version="1.0" encoding="utf-8"?>
<formControlPr xmlns="http://schemas.microsoft.com/office/spreadsheetml/2009/9/main" objectType="Spin" dx="15" fmlaLink="ber_PO!$M$22" max="10000" min="1" page="10" val="50"/>
</file>

<file path=xl/ctrlProps/ctrlProp362.xml><?xml version="1.0" encoding="utf-8"?>
<formControlPr xmlns="http://schemas.microsoft.com/office/spreadsheetml/2009/9/main" objectType="Drop" dropStyle="combo" dx="16" fmlaLink="ber_PO!$P$22" fmlaRange="tblVoedingPO" sel="3" val="0"/>
</file>

<file path=xl/ctrlProps/ctrlProp363.xml><?xml version="1.0" encoding="utf-8"?>
<formControlPr xmlns="http://schemas.microsoft.com/office/spreadsheetml/2009/9/main" objectType="Spin" dx="15" fmlaLink="ber_TPN!$D$3" max="300" page="10" val="73"/>
</file>

<file path=xl/ctrlProps/ctrlProp364.xml><?xml version="1.0" encoding="utf-8"?>
<formControlPr xmlns="http://schemas.microsoft.com/office/spreadsheetml/2009/9/main" objectType="Spin" dx="15" fmlaLink="ber_TPN!$E$7" max="5000" min="1" page="10" val="2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checked="Checked"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2"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7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checked="Checked" fmlaLink="Ber_Lab!$E$5" lockText="1"/>
</file>

<file path=xl/ctrlProps/ctrlProp466.xml><?xml version="1.0" encoding="utf-8"?>
<formControlPr xmlns="http://schemas.microsoft.com/office/spreadsheetml/2009/9/main" objectType="CheckBox" checked="Checked" fmlaLink="Ber_Lab!E6" lockText="1"/>
</file>

<file path=xl/ctrlProps/ctrlProp467.xml><?xml version="1.0" encoding="utf-8"?>
<formControlPr xmlns="http://schemas.microsoft.com/office/spreadsheetml/2009/9/main" objectType="CheckBox" checked="Checked"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RSV, Bronchio</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70</v>
      </c>
      <c r="G5" s="261">
        <f>ROUND(POWER(E5,0.425)*POWER(((F5/100)*100),0.725)*0.007184,2)</f>
        <v>0.42</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41827</v>
      </c>
      <c r="E2" s="87" t="str">
        <f>BeademingCV!$C$3</f>
        <v>Naam:</v>
      </c>
      <c r="F2" s="398" t="str">
        <f>BeademingCV!$H$3</f>
        <v>RSV, Bronchio</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70 cm</v>
      </c>
      <c r="J3" s="57"/>
      <c r="L3" s="104"/>
    </row>
    <row r="4" spans="1:19" ht="12" customHeight="1" x14ac:dyDescent="0.35">
      <c r="D4" s="57"/>
      <c r="F4" s="57"/>
      <c r="H4" s="88" t="s">
        <v>1361</v>
      </c>
      <c r="I4" s="58" t="str">
        <f>ROUND(POWER(Gewicht/10,0.425)*POWER(((Lengte/100)*100),0.725)*0.007184,2)&amp;" m2"</f>
        <v>0.42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Sondevoeding</v>
      </c>
      <c r="K32" s="61"/>
      <c r="L32" s="104"/>
    </row>
    <row r="33" spans="1:12" ht="14.15" customHeight="1" x14ac:dyDescent="0.35">
      <c r="C33" s="58" t="str">
        <f>IF(E33&lt;&gt;"",INDEX(tblVoedingPO,KeuzePO_1,1),)</f>
        <v>Friso 1 normaal</v>
      </c>
      <c r="D33" s="58" t="str">
        <f>Intake!G8</f>
        <v/>
      </c>
      <c r="E33" s="58" t="str">
        <f>Intake!C8&amp;" "&amp;Intake!D8</f>
        <v>6 dd 5 ml</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41827</v>
      </c>
      <c r="E67" s="87" t="str">
        <f>BeademingCV!$C$3</f>
        <v>Naam:</v>
      </c>
      <c r="F67" s="398" t="str">
        <f>BeademingCV!$H$3</f>
        <v>RSV, Bronchio</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70 cm</v>
      </c>
      <c r="J68" s="57"/>
      <c r="L68" s="104"/>
    </row>
    <row r="69" spans="1:12" ht="12.65" customHeight="1" x14ac:dyDescent="0.35">
      <c r="D69" s="57"/>
      <c r="F69" s="57"/>
      <c r="H69" s="88" t="s">
        <v>1361</v>
      </c>
      <c r="I69" s="58" t="str">
        <f>ROUND(POWER(Gewicht/10,0.425)*POWER(((Lengte/100)*100),0.725)*0.007184,2)&amp;" m2"</f>
        <v>0.42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t="str">
        <f>INDEX(tblInfusen,ber_Infusen!E2,1)</f>
        <v>Perifeer infuus 1: SST 1</v>
      </c>
      <c r="H72" s="62"/>
      <c r="I72" s="62"/>
      <c r="J72" s="62"/>
      <c r="L72" s="104" t="str">
        <f t="shared" ref="L72:L77" si="0">IF(C72=0,"D","")</f>
        <v/>
      </c>
    </row>
    <row r="73" spans="1:12" ht="12.65" customHeight="1" x14ac:dyDescent="0.35">
      <c r="B73" s="61">
        <v>2</v>
      </c>
      <c r="C73" s="58" t="str">
        <f>INDEX(tblInfusen,ber_Infusen!E3,1)</f>
        <v>Perifeer infuus 2: SST 2</v>
      </c>
      <c r="H73" s="62"/>
      <c r="I73" s="62"/>
      <c r="J73" s="62"/>
      <c r="L73" s="104" t="str">
        <f t="shared" si="0"/>
        <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t="str">
        <f>MedicatieIV!C8</f>
        <v>midazolam</v>
      </c>
      <c r="E84" s="58" t="str">
        <f>IF(C84&lt;&gt;0,MedicatieIV!D8&amp;" in "&amp;MedicatieIV!E8&amp;IF(AND(ber_IVmed!D5&lt;&gt;4,MedicatieIV!F8&lt;&gt;0)," "&amp;MedicatieIV!F8,""),"")</f>
        <v>50 mg in 50 ml FZ</v>
      </c>
      <c r="G84" s="58" t="str">
        <f>IF(C84&lt;&gt;0,MedicatieIV!G8&amp;" (="&amp;MedicatieIV!H8&amp;")","")</f>
        <v>1.5 ml/uur (=0.15 mg/kg/uur)</v>
      </c>
      <c r="J84" s="58" t="str">
        <f>MedicatieIV!I8</f>
        <v>36 ml</v>
      </c>
      <c r="L84" s="104" t="str">
        <f t="shared" ref="L84:L98" si="1">IF(C84=0,"D","")</f>
        <v/>
      </c>
    </row>
    <row r="85" spans="1:12" ht="12.65" customHeight="1" x14ac:dyDescent="0.35">
      <c r="B85" s="61">
        <v>2</v>
      </c>
      <c r="C85" s="58" t="str">
        <f>MedicatieIV!C9</f>
        <v>morfine</v>
      </c>
      <c r="E85" s="58" t="str">
        <f>IF(C85&lt;&gt;0,MedicatieIV!D9&amp;" in "&amp;MedicatieIV!E9&amp;IF(AND(ber_IVmed!D6&lt;&gt;4,MedicatieIV!F9&lt;&gt;0)," "&amp;MedicatieIV!F9,""),"")</f>
        <v>5 mg in 50 ml FZ</v>
      </c>
      <c r="G85" s="58" t="str">
        <f>IF(C85&lt;&gt;0,MedicatieIV!G9&amp;" (="&amp;MedicatieIV!H9&amp;")","")</f>
        <v>1 ml/uur (=0.24 mg/kg/dag)</v>
      </c>
      <c r="J85" s="58" t="str">
        <f>MedicatieIV!I9</f>
        <v>24 ml</v>
      </c>
      <c r="L85" s="104" t="str">
        <f t="shared" si="1"/>
        <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Electrolyt/Glucose mengsel</v>
      </c>
      <c r="E110" s="66" t="str">
        <f>IF(AND(Gewicht/10&gt;50,TPNboven50kg!A27&lt;&gt;""),TPNboven50kg!A27,TPN2tot6kg!A29)</f>
        <v>28 ml/u</v>
      </c>
      <c r="F110" s="66" t="str">
        <f>IF(AND(Gewicht/10&gt;50,TPNboven50kg!G35&lt;&gt;0),TPNboven50kg!G35&amp;" ml",IF(TPN2tot6kg!G36&lt;&gt;0,TPN2tot6kg!G36&amp;" ml",""))</f>
        <v>672 ml</v>
      </c>
      <c r="G110" s="66"/>
      <c r="H110" s="121"/>
      <c r="I110" s="66"/>
      <c r="J110" s="66"/>
      <c r="L110" s="104"/>
    </row>
    <row r="111" spans="1:12" ht="12.65" customHeight="1" x14ac:dyDescent="0.35">
      <c r="B111" s="86"/>
      <c r="C111" s="88"/>
      <c r="D111" s="87" t="str">
        <f>IF(F111&lt;&gt;"",INDEX(tblSSTGlucose,SSTglucose,1),)</f>
        <v>Glucose 5% + NaCl 0,45%</v>
      </c>
      <c r="E111" s="117"/>
      <c r="F111" s="58" t="str">
        <f>IF(AND(OR(TPN=1,AND(TPN=2,SSTglucose&gt;10),Gewicht/10&gt;50),ROUND(ber_TPN!F6,0)&lt;&gt;0,SSTglucose&lt;&gt;2),ROUND(ber_TPN!F6,0)&amp;" ml","")</f>
        <v>672 ml</v>
      </c>
      <c r="L111" s="104" t="str">
        <f>IF(D111=0,"D","")</f>
        <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76 ml/kg</v>
      </c>
      <c r="E129" s="87" t="str">
        <f>Intake!B32</f>
        <v>Calorieen</v>
      </c>
      <c r="F129" s="58" t="str">
        <f>Intake!D32</f>
        <v>15 kCal/kg</v>
      </c>
      <c r="G129" s="87" t="str">
        <f>Intake!B35</f>
        <v>Kalium</v>
      </c>
      <c r="H129" s="58" t="str">
        <f>Intake!D35</f>
        <v>0 mmol/kg</v>
      </c>
      <c r="I129" s="87" t="str">
        <f>Intake!B34</f>
        <v xml:space="preserve">Natrium </v>
      </c>
      <c r="J129" s="58" t="str">
        <f>Intake!D34</f>
        <v>6.1 mmol/kg</v>
      </c>
      <c r="L129" s="104"/>
    </row>
    <row r="130" spans="1:12" ht="12.65" customHeight="1" x14ac:dyDescent="0.35">
      <c r="B130" s="86"/>
      <c r="C130" s="87" t="str">
        <f>Intake!H31</f>
        <v>Eiwit</v>
      </c>
      <c r="D130" s="58" t="str">
        <f>Intake!I31</f>
        <v>0  gram/kg</v>
      </c>
      <c r="E130" s="87" t="str">
        <f>Intake!H32</f>
        <v>Vet</v>
      </c>
      <c r="F130" s="58" t="str">
        <f>Intake!I32</f>
        <v>0.1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3.6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41827</v>
      </c>
      <c r="E132" s="87" t="str">
        <f>BeademingCV!$C$3</f>
        <v>Naam:</v>
      </c>
      <c r="F132" s="398" t="str">
        <f>BeademingCV!$H$3</f>
        <v>RSV, Bronchio</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70 cm</v>
      </c>
      <c r="J133" s="57"/>
      <c r="L133" s="104"/>
    </row>
    <row r="134" spans="1:12" ht="12.65" customHeight="1" x14ac:dyDescent="0.35">
      <c r="D134" s="57"/>
      <c r="F134" s="57"/>
      <c r="H134" s="88" t="s">
        <v>1361</v>
      </c>
      <c r="I134" s="58" t="str">
        <f>ROUND(POWER(Gewicht/10,0.425)*POWER(((Lengte/100)*100),0.725)*0.007184,2)&amp;" m2"</f>
        <v>0.42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row>
    <row r="4" spans="1:10" x14ac:dyDescent="0.35">
      <c r="A4" s="58"/>
      <c r="B4" s="61"/>
      <c r="C4" s="58"/>
      <c r="D4" s="57"/>
      <c r="E4" s="58"/>
      <c r="F4" s="57"/>
      <c r="G4" s="58"/>
      <c r="H4" s="88" t="s">
        <v>1361</v>
      </c>
      <c r="I4" s="58" t="str">
        <f>ROUND(POWER(Gewicht/10,0.425)*POWER(((Lengte/100)*100),0.725)*0.007184,2)&amp;" m2"</f>
        <v>0.42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c r="K3" s="58"/>
    </row>
    <row r="4" spans="1:11" x14ac:dyDescent="0.35">
      <c r="A4" s="58"/>
      <c r="B4" s="61"/>
      <c r="C4" s="58"/>
      <c r="D4" s="57"/>
      <c r="E4" s="58"/>
      <c r="F4" s="57"/>
      <c r="G4" s="58"/>
      <c r="H4" s="88" t="s">
        <v>1361</v>
      </c>
      <c r="I4" s="58" t="str">
        <f>ROUND(POWER(Gewicht/10,0.425)*POWER(((Lengte/100)*100),0.725)*0.007184,2)&amp;" m2"</f>
        <v>0.42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A2">
        <v>123456</v>
      </c>
      <c r="B2" s="42" t="e">
        <f ca="1">VANDAAG()</f>
        <v>#NAME?</v>
      </c>
      <c r="C2" s="42">
        <v>41827</v>
      </c>
      <c r="D2" t="s">
        <v>5127</v>
      </c>
      <c r="E2" t="s">
        <v>5128</v>
      </c>
      <c r="F2" s="42">
        <v>40909</v>
      </c>
      <c r="G2">
        <v>100</v>
      </c>
      <c r="H2">
        <v>70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v>42178.894502314812</v>
      </c>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2" x14ac:dyDescent="0.35">
      <c r="A17" t="s">
        <v>4640</v>
      </c>
      <c r="B17">
        <v>5</v>
      </c>
    </row>
    <row r="18" spans="1:2" x14ac:dyDescent="0.35">
      <c r="A18" t="s">
        <v>4641</v>
      </c>
      <c r="B18">
        <v>500</v>
      </c>
    </row>
    <row r="19" spans="1:2" x14ac:dyDescent="0.35">
      <c r="A19" t="s">
        <v>3821</v>
      </c>
      <c r="B19">
        <v>10</v>
      </c>
    </row>
    <row r="20" spans="1:2" x14ac:dyDescent="0.35">
      <c r="A20" t="s">
        <v>3822</v>
      </c>
      <c r="B20">
        <v>50</v>
      </c>
    </row>
    <row r="21" spans="1:2" x14ac:dyDescent="0.35">
      <c r="A21" t="s">
        <v>3823</v>
      </c>
      <c r="B21">
        <v>150</v>
      </c>
    </row>
    <row r="22" spans="1:2" x14ac:dyDescent="0.35">
      <c r="A22" t="s">
        <v>3824</v>
      </c>
      <c r="B22">
        <v>2500</v>
      </c>
    </row>
    <row r="23" spans="1:2" x14ac:dyDescent="0.35">
      <c r="A23" t="s">
        <v>3825</v>
      </c>
      <c r="B23">
        <v>200</v>
      </c>
    </row>
    <row r="24" spans="1:2" x14ac:dyDescent="0.35">
      <c r="A24" t="s">
        <v>3826</v>
      </c>
      <c r="B24">
        <v>50</v>
      </c>
    </row>
    <row r="25" spans="1:2" x14ac:dyDescent="0.35">
      <c r="A25" t="s">
        <v>3827</v>
      </c>
      <c r="B25">
        <v>100</v>
      </c>
    </row>
    <row r="26" spans="1:2" x14ac:dyDescent="0.35">
      <c r="A26" t="s">
        <v>2687</v>
      </c>
      <c r="B26">
        <v>1</v>
      </c>
    </row>
    <row r="27" spans="1:2" x14ac:dyDescent="0.35">
      <c r="A27" t="s">
        <v>1173</v>
      </c>
      <c r="B27" t="s">
        <v>3508</v>
      </c>
    </row>
    <row r="28" spans="1:2" x14ac:dyDescent="0.35">
      <c r="A28" t="s">
        <v>3719</v>
      </c>
      <c r="B28" t="b">
        <v>0</v>
      </c>
    </row>
    <row r="29" spans="1:2" x14ac:dyDescent="0.35">
      <c r="A29" t="s">
        <v>3720</v>
      </c>
    </row>
    <row r="30" spans="1:2" x14ac:dyDescent="0.35">
      <c r="A30" t="s">
        <v>2130</v>
      </c>
    </row>
    <row r="31" spans="1:2" x14ac:dyDescent="0.35">
      <c r="A31" t="s">
        <v>2696</v>
      </c>
      <c r="B31" t="b">
        <v>1</v>
      </c>
    </row>
    <row r="32" spans="1:2"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2.9</v>
      </c>
    </row>
    <row r="2" spans="1:20" x14ac:dyDescent="0.35">
      <c r="A2" s="25" t="s">
        <v>2174</v>
      </c>
      <c r="B2" s="78" t="s">
        <v>2674</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10</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row>
    <row r="56" spans="1:3" x14ac:dyDescent="0.35">
      <c r="A56" s="25" t="s">
        <v>2196</v>
      </c>
      <c r="B56" s="78"/>
    </row>
    <row r="57" spans="1:3" x14ac:dyDescent="0.35">
      <c r="A57" s="25" t="s">
        <v>2197</v>
      </c>
      <c r="B57" s="78"/>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row>
    <row r="79" spans="1:3" x14ac:dyDescent="0.35">
      <c r="A79" s="25" t="s">
        <v>859</v>
      </c>
      <c r="B79" s="78"/>
    </row>
    <row r="80" spans="1:3" x14ac:dyDescent="0.35">
      <c r="A80" s="25" t="s">
        <v>860</v>
      </c>
      <c r="B80" s="78"/>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1</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1</v>
      </c>
      <c r="C98" s="78">
        <v>1</v>
      </c>
    </row>
    <row r="99" spans="1:3" x14ac:dyDescent="0.35">
      <c r="A99" s="25" t="s">
        <v>1571</v>
      </c>
      <c r="B99" s="78">
        <v>1</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250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0</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1</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c r="G161" s="25"/>
      <c r="H161" s="25"/>
    </row>
    <row r="162" spans="1:8" x14ac:dyDescent="0.35">
      <c r="A162" s="25" t="s">
        <v>3836</v>
      </c>
      <c r="B162" s="78"/>
      <c r="G162" s="25"/>
      <c r="H162" s="25"/>
    </row>
    <row r="163" spans="1:8" x14ac:dyDescent="0.35">
      <c r="A163" s="25" t="s">
        <v>3837</v>
      </c>
      <c r="B163" s="78"/>
      <c r="G163" s="25"/>
      <c r="H163" s="25"/>
    </row>
    <row r="164" spans="1:8" x14ac:dyDescent="0.35">
      <c r="A164" s="25" t="s">
        <v>1566</v>
      </c>
      <c r="B164" s="78"/>
      <c r="G164" s="25"/>
      <c r="H164" s="25"/>
    </row>
    <row r="165" spans="1:8" x14ac:dyDescent="0.35">
      <c r="A165" s="25" t="s">
        <v>1567</v>
      </c>
      <c r="B165" s="78"/>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c r="G188" s="25"/>
      <c r="H188" s="25"/>
    </row>
    <row r="189" spans="1:8" x14ac:dyDescent="0.35">
      <c r="A189" s="25" t="s">
        <v>1157</v>
      </c>
      <c r="B189" s="78"/>
      <c r="G189" s="25"/>
      <c r="H189" s="25"/>
    </row>
    <row r="190" spans="1:8" x14ac:dyDescent="0.35">
      <c r="A190" s="25" t="s">
        <v>1158</v>
      </c>
      <c r="B190" s="78"/>
      <c r="G190" s="25"/>
      <c r="H190" s="25"/>
    </row>
    <row r="191" spans="1:8" x14ac:dyDescent="0.35">
      <c r="A191" s="25" t="s">
        <v>1159</v>
      </c>
      <c r="B191" s="78"/>
      <c r="G191" s="25"/>
      <c r="H191" s="25"/>
    </row>
    <row r="192" spans="1:8" x14ac:dyDescent="0.35">
      <c r="A192" s="25" t="s">
        <v>1160</v>
      </c>
      <c r="B192" s="78"/>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80</v>
      </c>
      <c r="C350" s="78">
        <v>80</v>
      </c>
      <c r="G350" s="25"/>
      <c r="H350" s="25"/>
    </row>
    <row r="351" spans="1:8" x14ac:dyDescent="0.35">
      <c r="A351" s="25" t="s">
        <v>3403</v>
      </c>
      <c r="B351" s="78">
        <v>0</v>
      </c>
      <c r="C351" s="78">
        <v>0</v>
      </c>
      <c r="G351" s="25"/>
      <c r="H351" s="25"/>
    </row>
    <row r="352" spans="1:8" x14ac:dyDescent="0.35">
      <c r="A352" s="25" t="s">
        <v>453</v>
      </c>
      <c r="B352" s="78"/>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c r="G363" s="25"/>
      <c r="H363" s="25"/>
    </row>
    <row r="364" spans="1:8" x14ac:dyDescent="0.35">
      <c r="A364" s="25" t="s">
        <v>3327</v>
      </c>
      <c r="B364" s="78"/>
      <c r="G364" s="25"/>
      <c r="H364" s="25"/>
    </row>
    <row r="365" spans="1:8" x14ac:dyDescent="0.35">
      <c r="A365" s="25" t="s">
        <v>3328</v>
      </c>
      <c r="B365" s="78"/>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4</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4</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c r="D482" s="78">
        <v>50</v>
      </c>
      <c r="G482" s="25"/>
      <c r="H482" s="25"/>
    </row>
    <row r="483" spans="1:8" x14ac:dyDescent="0.35">
      <c r="A483" s="25" t="s">
        <v>1951</v>
      </c>
      <c r="B483" s="78"/>
      <c r="D483" s="78">
        <v>50</v>
      </c>
      <c r="G483" s="25"/>
      <c r="H483" s="25"/>
    </row>
    <row r="484" spans="1:8" x14ac:dyDescent="0.35">
      <c r="A484" s="25" t="s">
        <v>1952</v>
      </c>
      <c r="B484" s="78"/>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1</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1</v>
      </c>
      <c r="C562" s="78">
        <v>1</v>
      </c>
      <c r="G562" s="25"/>
      <c r="H562" s="25"/>
    </row>
    <row r="563" spans="1:8" x14ac:dyDescent="0.35">
      <c r="A563" s="73" t="s">
        <v>3991</v>
      </c>
      <c r="B563" s="78">
        <v>1</v>
      </c>
      <c r="C563" s="78">
        <v>1</v>
      </c>
      <c r="G563" s="25"/>
      <c r="H563" s="25"/>
    </row>
    <row r="564" spans="1:8" x14ac:dyDescent="0.35">
      <c r="A564" s="73" t="s">
        <v>3992</v>
      </c>
      <c r="B564" s="78">
        <v>1</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c r="G582" s="25"/>
      <c r="H582" s="25"/>
    </row>
    <row r="583" spans="1:8" x14ac:dyDescent="0.35">
      <c r="A583" s="25" t="s">
        <v>3471</v>
      </c>
      <c r="B583" s="78"/>
      <c r="G583" s="25"/>
      <c r="H583" s="25"/>
    </row>
    <row r="584" spans="1:8" x14ac:dyDescent="0.35">
      <c r="A584" s="25" t="s">
        <v>3472</v>
      </c>
      <c r="B584" s="78"/>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41363</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c r="G664" s="25"/>
      <c r="H664" s="25"/>
    </row>
    <row r="665" spans="1:8" x14ac:dyDescent="0.35">
      <c r="A665" t="s">
        <v>2281</v>
      </c>
      <c r="B665" s="78"/>
      <c r="G665" s="25"/>
      <c r="H665" s="25"/>
    </row>
    <row r="666" spans="1:8" x14ac:dyDescent="0.35">
      <c r="A666" t="s">
        <v>2283</v>
      </c>
      <c r="B666" s="78"/>
      <c r="G666" s="25"/>
      <c r="H666" s="25"/>
    </row>
    <row r="667" spans="1:8" x14ac:dyDescent="0.35">
      <c r="A667" t="s">
        <v>2285</v>
      </c>
      <c r="B667" s="78"/>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1</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v>
      </c>
      <c r="C687" s="78">
        <v>1</v>
      </c>
      <c r="G687" s="25"/>
      <c r="H687" s="25"/>
    </row>
    <row r="688" spans="1:8" x14ac:dyDescent="0.35">
      <c r="A688" s="25" t="s">
        <v>4128</v>
      </c>
      <c r="B688" s="78">
        <v>1</v>
      </c>
      <c r="C688" s="78">
        <v>1</v>
      </c>
      <c r="G688" s="25"/>
      <c r="H688" s="25"/>
    </row>
    <row r="689" spans="1:8" x14ac:dyDescent="0.35">
      <c r="A689" s="25" t="s">
        <v>3907</v>
      </c>
      <c r="B689" s="78"/>
      <c r="G689" s="25"/>
      <c r="H689" s="25"/>
    </row>
    <row r="690" spans="1:8" x14ac:dyDescent="0.35">
      <c r="A690" s="25" t="s">
        <v>1737</v>
      </c>
      <c r="B690" s="78"/>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2675</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42178.894502314812</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41827</v>
      </c>
      <c r="W2" s="422"/>
      <c r="X2" s="422"/>
      <c r="Y2" s="422"/>
      <c r="Z2" s="201" t="e">
        <f ca="1">"ICU-dag: "&amp;AfspraakDatum-OpnDatum+1</f>
        <v>#NAME?</v>
      </c>
      <c r="AA2" s="282"/>
      <c r="AB2" s="217"/>
      <c r="AI2" s="219" t="s">
        <v>2001</v>
      </c>
      <c r="AK2" s="374">
        <f>TRUNC(BedNummer)</f>
        <v>2</v>
      </c>
      <c r="AM2" s="219" t="s">
        <v>3278</v>
      </c>
      <c r="AN2" s="219"/>
      <c r="AO2" s="352">
        <f>(BedNummer - TRUNC(BedNummer))*10</f>
        <v>9</v>
      </c>
      <c r="AP2" s="219"/>
      <c r="AQ2" s="219"/>
      <c r="AR2" s="219"/>
      <c r="AS2" s="219"/>
      <c r="AT2" s="219"/>
      <c r="FIO2" s="291">
        <v>30</v>
      </c>
    </row>
    <row r="3" spans="1:55 4305:4305" ht="17.25" customHeight="1" x14ac:dyDescent="0.4">
      <c r="A3" s="291"/>
      <c r="B3" s="201"/>
      <c r="C3" s="216" t="s">
        <v>288</v>
      </c>
      <c r="H3" s="222" t="str">
        <f>AchterNaam&amp;", "&amp;VoorNaam</f>
        <v>RSV, Bronchio</v>
      </c>
      <c r="I3" s="280"/>
      <c r="Q3" s="280" t="s">
        <v>3097</v>
      </c>
      <c r="V3" s="422">
        <f>GebDatum</f>
        <v>40909</v>
      </c>
      <c r="W3" s="422"/>
      <c r="X3" s="422"/>
      <c r="Y3" s="422"/>
      <c r="Z3" s="281" t="str">
        <f>"Gewicht: "&amp;Gewicht/10&amp;" kg"</f>
        <v>Gewicht: 10 kg</v>
      </c>
      <c r="AA3" s="282"/>
      <c r="AI3" s="222" t="str">
        <f>"Lengte: "&amp;Lengte&amp;" cm"</f>
        <v>Lengte: 70 cm</v>
      </c>
    </row>
    <row r="4" spans="1:55 4305:4305" ht="17.25" customHeight="1" x14ac:dyDescent="0.4">
      <c r="A4" s="291"/>
      <c r="B4" s="223"/>
      <c r="C4" s="223" t="s">
        <v>3468</v>
      </c>
      <c r="H4" s="423">
        <f>PatNummer</f>
        <v>123456</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0.42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RSV, Bronchio geb: 01-jan-12. Gewicht: 10 kg</v>
      </c>
    </row>
    <row r="2" spans="1:3" x14ac:dyDescent="0.35">
      <c r="A2" t="s">
        <v>2942</v>
      </c>
      <c r="B2" s="373" t="s">
        <v>4886</v>
      </c>
      <c r="C2" s="371" t="str">
        <f>AchterNaam</f>
        <v>RSV</v>
      </c>
    </row>
    <row r="3" spans="1:3" x14ac:dyDescent="0.35">
      <c r="A3" t="s">
        <v>2942</v>
      </c>
      <c r="B3" s="373" t="s">
        <v>4887</v>
      </c>
      <c r="C3" s="371" t="str">
        <f>VoorNaam</f>
        <v>Bronchio</v>
      </c>
    </row>
    <row r="4" spans="1:3" x14ac:dyDescent="0.35">
      <c r="A4" t="s">
        <v>2942</v>
      </c>
      <c r="B4" s="373" t="s">
        <v>4888</v>
      </c>
      <c r="C4" s="371" t="str">
        <f>TEXT(AfsprakenCMV!F3,"dd-mmm-jj")</f>
        <v>01-jan-12</v>
      </c>
    </row>
    <row r="5" spans="1:3" x14ac:dyDescent="0.35">
      <c r="A5" t="s">
        <v>2942</v>
      </c>
      <c r="B5" s="373" t="s">
        <v>4889</v>
      </c>
      <c r="C5" s="25">
        <f>PatNummer</f>
        <v>123456</v>
      </c>
    </row>
    <row r="6" spans="1:3" x14ac:dyDescent="0.35">
      <c r="A6" t="s">
        <v>5105</v>
      </c>
      <c r="B6" s="373" t="s">
        <v>4885</v>
      </c>
      <c r="C6" t="str">
        <f>IF(AfsprakenCMV!C84&lt;&gt;0,AfsprakenCMV!C84&amp;" "&amp;AfsprakenCMV!E84&amp;" "&amp;AfsprakenCMV!F84&amp;" "&amp;AfsprakenCMV!G84&amp;", totaal "&amp;AfsprakenCMV!J84&amp;" "&amp;AfsprakenCMV!I84,"")</f>
        <v xml:space="preserve">midazolam 50 mg in 50 ml FZ  1.5 ml/uur (=0.15 mg/kg/uur), totaal 36 ml </v>
      </c>
    </row>
    <row r="7" spans="1:3" x14ac:dyDescent="0.35">
      <c r="A7" t="s">
        <v>5105</v>
      </c>
      <c r="B7" s="373" t="s">
        <v>4886</v>
      </c>
      <c r="C7" t="str">
        <f>IF(AfsprakenCMV!C85&lt;&gt;0,AfsprakenCMV!C85&amp;" "&amp;AfsprakenCMV!E85&amp;" "&amp;AfsprakenCMV!F85&amp;" "&amp;AfsprakenCMV!G85&amp;", totaal "&amp;AfsprakenCMV!J85&amp;" "&amp;AfsprakenCMV!I85,"")</f>
        <v xml:space="preserve">morfine 5 mg in 50 ml FZ  1 ml/uur (=0.24 mg/kg/dag), totaal 24 ml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amoxicilline+clavulaanzuur||4 dd||250 mg (100 mg/kg/dag)||iv||||||</v>
      </c>
    </row>
    <row r="23" spans="1:3" x14ac:dyDescent="0.35">
      <c r="A23" t="s">
        <v>5106</v>
      </c>
      <c r="B23" s="372" t="s">
        <v>4886</v>
      </c>
      <c r="C23" t="str">
        <f>ber_Med_disc!AB3</f>
        <v>colecalciferol||1 dd||400 IE (40 IE/kg/dag)||or||||||</v>
      </c>
    </row>
    <row r="24" spans="1:3" x14ac:dyDescent="0.35">
      <c r="A24" t="s">
        <v>5106</v>
      </c>
      <c r="B24" s="372" t="s">
        <v>4887</v>
      </c>
      <c r="C24" t="str">
        <f>ber_Med_disc!AB4</f>
        <v>gentamicine||1 dd||70 mg (7 mg/kg/dag)||iv||||||</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Perifeer infuus 1: SST 1</v>
      </c>
    </row>
    <row r="50" spans="1:3" x14ac:dyDescent="0.35">
      <c r="A50" t="s">
        <v>5108</v>
      </c>
      <c r="B50" s="372" t="s">
        <v>4886</v>
      </c>
      <c r="C50" t="str">
        <f>IF(AfsprakenCMV!C73&lt;&gt;0,AfsprakenCMV!C73,"")</f>
        <v>Perifeer infuus 2: SST 2</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Sondevoeding: Friso 1 normaal 6 dd 5 ml</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Electrolyt/Glucose mengsel: 28 ml/u, Glucose 5% + NaCl 0,45% 672 ml</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14:00 uur: A Na K Gluc</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76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3.6 g/kg</v>
      </c>
    </row>
    <row r="73" spans="1:3" x14ac:dyDescent="0.35">
      <c r="A73" t="s">
        <v>3527</v>
      </c>
      <c r="B73" s="372" t="s">
        <v>4888</v>
      </c>
      <c r="C73" t="str">
        <f>AfsprakenCMV!E129&amp;": "&amp;AfsprakenCMV!F129</f>
        <v>Calorieen: 15 kCal/kg</v>
      </c>
    </row>
    <row r="74" spans="1:3" x14ac:dyDescent="0.35">
      <c r="A74" t="s">
        <v>3527</v>
      </c>
      <c r="B74" s="372" t="s">
        <v>4889</v>
      </c>
      <c r="C74" t="str">
        <f>AfsprakenCMV!E130&amp;": "&amp;AfsprakenCMV!F130</f>
        <v>Vet: 0.1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6.1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41827</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RSV, Bronchio</v>
      </c>
      <c r="E3" s="221"/>
      <c r="F3" s="217" t="s">
        <v>3097</v>
      </c>
      <c r="G3" s="201"/>
      <c r="H3" s="220">
        <f>GebDatum</f>
        <v>40909</v>
      </c>
      <c r="I3" s="222" t="str">
        <f>"Gewicht: "&amp;Gewicht/10&amp;" kg"</f>
        <v>Gewicht: 10 kg</v>
      </c>
      <c r="J3" s="217"/>
      <c r="K3" s="222" t="str">
        <f>"Lengte: "&amp;Lengte&amp;" cm"</f>
        <v>Lengte: 70 cm</v>
      </c>
      <c r="L3" s="217"/>
      <c r="M3" s="201"/>
      <c r="N3" s="201"/>
      <c r="O3" s="201"/>
      <c r="P3" s="201"/>
      <c r="Q3" s="201"/>
      <c r="R3" s="201"/>
      <c r="S3" s="201"/>
      <c r="T3" s="201"/>
      <c r="U3" s="201"/>
      <c r="V3" s="201"/>
      <c r="W3" s="201"/>
      <c r="X3" s="201"/>
    </row>
    <row r="4" spans="1:81" ht="17.25" customHeight="1" x14ac:dyDescent="0.4">
      <c r="A4" s="223"/>
      <c r="B4" s="223"/>
      <c r="C4" s="217" t="s">
        <v>3468</v>
      </c>
      <c r="D4" s="222">
        <f>PatNummer</f>
        <v>123456</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0.42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t="str">
        <f>INDEX(tblDoseringen,ber_IVmed!$B31,1)</f>
        <v>midazolam</v>
      </c>
      <c r="D8" s="244" t="str">
        <f>INDEX(tblDoseringen,ber_IVmed!$B31,2)&amp;" "&amp;INDEX(tblDoseringen,ber_IVmed!$B31,9)</f>
        <v>50 mg</v>
      </c>
      <c r="E8" s="232" t="str">
        <f>IF(AND(C8&lt;&gt;0,INDEX(tblDoseringen,ber_IVmed!$B31,3)&lt;&gt;""),INDEX(tblDoseringen,ber_IVmed!$B31,3)&amp;" ml","")</f>
        <v>50 ml</v>
      </c>
      <c r="F8" s="225" t="str">
        <f>INDEX(tblOplossing,ber_IVmed!D31,1)</f>
        <v>FZ</v>
      </c>
      <c r="G8" s="232" t="str">
        <f>IF(C8&lt;&gt;0,ber_IVmed!E31/10&amp;" ml/uur","")</f>
        <v>1.5 ml/uur</v>
      </c>
      <c r="H8" s="232" t="str">
        <f>IF(C8&lt;&gt;0,AC8&amp;" "&amp;INDEX(tblDoseringen,ber_IVmed!$B31,7),"")</f>
        <v>0.15 mg/kg/uur</v>
      </c>
      <c r="I8" s="233" t="str">
        <f>IF(C8&lt;&gt;0,24*ber_IVmed!E31/10&amp;" ml","")</f>
        <v>36 ml</v>
      </c>
      <c r="J8" s="256" t="str">
        <f>INDEX(tblDoseringen,ber_IVmed!$B31,8)</f>
        <v>0,05-0,5 mg/kg/uur</v>
      </c>
      <c r="K8" s="233"/>
      <c r="L8" s="233"/>
      <c r="M8" s="81"/>
      <c r="N8" s="81"/>
      <c r="O8" s="81"/>
      <c r="P8" s="81"/>
      <c r="Q8" s="81"/>
      <c r="R8" s="81"/>
      <c r="S8" s="81"/>
      <c r="T8" s="81"/>
      <c r="U8" s="81"/>
      <c r="V8" s="81"/>
      <c r="W8" s="81"/>
      <c r="X8" s="81"/>
      <c r="Z8" s="22"/>
      <c r="AA8" s="20">
        <f>IF(C8&lt;&gt;0,INDEX(tblDoseringen,ber_IVmed!$B31,6)*(ber_IVmed!E31/10))</f>
        <v>0.15000000000000002</v>
      </c>
      <c r="AB8" s="20">
        <f>IF(AA8&gt;=10,0,IF(AA8&gt;=1,1,IF(AA8&gt;=0,2,IF(AA8&gt;=0.1,3,IF(AA8&gt;=0.01,4,5)))))</f>
        <v>2</v>
      </c>
      <c r="AC8" s="20">
        <f>ROUND(AA8,AB8)</f>
        <v>0.15</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t="str">
        <f>INDEX(tblDoseringen,ber_IVmed!$B32,1)</f>
        <v>morfine</v>
      </c>
      <c r="D9" s="244" t="str">
        <f>INDEX(tblDoseringen,ber_IVmed!$B32,2)&amp;" "&amp;INDEX(tblDoseringen,ber_IVmed!$B32,9)</f>
        <v>5 mg</v>
      </c>
      <c r="E9" s="234" t="str">
        <f>IF(AND(C9&lt;&gt;0,INDEX(tblDoseringen,ber_IVmed!$B32,3)&lt;&gt;""),INDEX(tblDoseringen,ber_IVmed!$B32,3)&amp;" ml","")</f>
        <v>50 ml</v>
      </c>
      <c r="F9" s="225" t="str">
        <f>INDEX(tblOplossing,ber_IVmed!D32,1)</f>
        <v>FZ</v>
      </c>
      <c r="G9" s="234" t="str">
        <f>IF(C9&lt;&gt;0,ber_IVmed!E32/10&amp;" ml/uur","")</f>
        <v>1 ml/uur</v>
      </c>
      <c r="H9" s="232" t="str">
        <f>IF(C9&lt;&gt;0,AC9&amp;" "&amp;INDEX(tblDoseringen,ber_IVmed!$B32,7),"")</f>
        <v>0.24 mg/kg/dag</v>
      </c>
      <c r="I9" s="235" t="str">
        <f>IF(C9&lt;&gt;0,24*ber_IVmed!E32/10&amp;" ml","")</f>
        <v>24 ml</v>
      </c>
      <c r="J9" s="257" t="str">
        <f>INDEX(tblDoseringen,ber_IVmed!$B32,8)</f>
        <v>0,125-0,25 mg/kg/dag</v>
      </c>
      <c r="K9" s="235"/>
      <c r="L9" s="235"/>
      <c r="M9" s="81"/>
      <c r="N9" s="81"/>
      <c r="O9" s="81"/>
      <c r="P9" s="81"/>
      <c r="Q9" s="81"/>
      <c r="R9" s="81"/>
      <c r="S9" s="81"/>
      <c r="T9" s="81"/>
      <c r="U9" s="81"/>
      <c r="V9" s="81"/>
      <c r="W9" s="81"/>
      <c r="X9" s="81"/>
      <c r="Z9" s="22"/>
      <c r="AA9" s="20">
        <f>IF(C9&lt;&gt;0,INDEX(tblDoseringen,ber_IVmed!$B32,6)*(ber_IVmed!E32/10))</f>
        <v>0.24</v>
      </c>
      <c r="AB9" s="20">
        <f t="shared" ref="AB9:AB17" si="0">IF(AA9&gt;=10,0,IF(AA9&gt;=1,1,IF(AA9&gt;=0,2,IF(AA9&gt;=0.1,3,IF(AA9&gt;=0.01,4,5)))))</f>
        <v>2</v>
      </c>
      <c r="AC9" s="20">
        <f t="shared" ref="AC9:AC17" si="1">ROUND(AA9,AB9)</f>
        <v>0.24</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76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15 kCal/kg</v>
      </c>
      <c r="E26" s="253" t="str">
        <f ca="1">Intake!E32</f>
        <v>90 kCal/kg</v>
      </c>
      <c r="F26" s="253"/>
      <c r="G26" s="253" t="str">
        <f>Intake!H32</f>
        <v>Vet</v>
      </c>
      <c r="H26" s="254" t="str">
        <f>Intake!I32</f>
        <v>0.1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3.6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6.1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5</v>
      </c>
      <c r="D18" s="26">
        <v>50</v>
      </c>
      <c r="E18" s="26">
        <v>10</v>
      </c>
      <c r="F18" s="26">
        <v>240</v>
      </c>
      <c r="G18" s="26">
        <f>ROUND(24*C18/D18/(Gewicht/10),4)</f>
        <v>0.24</v>
      </c>
      <c r="H18" s="26" t="s">
        <v>3566</v>
      </c>
      <c r="I18" s="26" t="s">
        <v>1285</v>
      </c>
      <c r="J18" s="26" t="s">
        <v>1844</v>
      </c>
      <c r="K18" s="26">
        <v>1</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15</v>
      </c>
      <c r="D31" s="26">
        <v>1</v>
      </c>
      <c r="E31" s="33">
        <v>15</v>
      </c>
      <c r="F31" s="33">
        <f>IF(MedicatieIV!C8&lt;&gt;0,24*E31/10,0)</f>
        <v>36</v>
      </c>
      <c r="G31" s="33">
        <f>IF(ber_IVmed!$D31=2,ber_IVmed!F31*0.05,0)</f>
        <v>0</v>
      </c>
      <c r="H31" s="33">
        <f>IF(ber_IVmed!$D31=3,ber_IVmed!F31*0.1,0)</f>
        <v>0</v>
      </c>
      <c r="I31" s="33">
        <f>IF(ber_IVmed!$D31=1,ber_IVmed!F31*0.155,0)</f>
        <v>5.58</v>
      </c>
      <c r="J31" s="26">
        <f>IF(OR($B31=18),0.5*$F31,IF(B31=4,F31*145/1000,0))</f>
        <v>0</v>
      </c>
      <c r="K31" s="26">
        <f>IF(OR($B31=19),0,0)</f>
        <v>0</v>
      </c>
      <c r="L31" s="26">
        <f>IF(OR($B31=4),0.2*$F31,0)</f>
        <v>0</v>
      </c>
      <c r="M31" s="26">
        <f>IF(OR(B31=20,B31=21),0.1*F31,0)</f>
        <v>0</v>
      </c>
    </row>
    <row r="32" spans="1:14" x14ac:dyDescent="0.35">
      <c r="A32" s="26">
        <v>2</v>
      </c>
      <c r="B32" s="26">
        <v>17</v>
      </c>
      <c r="D32" s="26">
        <v>1</v>
      </c>
      <c r="E32" s="33">
        <v>10</v>
      </c>
      <c r="F32" s="33">
        <f>IF(MedicatieIV!C9&lt;&gt;0,24*E32/10,0)</f>
        <v>24</v>
      </c>
      <c r="G32" s="33">
        <f>IF(ber_IVmed!$D32=2,ber_IVmed!F32*0.05,0)</f>
        <v>0</v>
      </c>
      <c r="H32" s="33">
        <f>IF(ber_IVmed!$D32=3,ber_IVmed!F32*0.1,0)</f>
        <v>0</v>
      </c>
      <c r="I32" s="33">
        <f>IF(ber_IVmed!$D32=1,ber_IVmed!F32*0.155,0)</f>
        <v>3.7199999999999998</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60</v>
      </c>
      <c r="G46" s="33">
        <f>SUM(G31:G45)</f>
        <v>0</v>
      </c>
      <c r="H46" s="33">
        <f>SUM(H31:H45)</f>
        <v>0</v>
      </c>
      <c r="I46" s="33"/>
      <c r="J46" s="26">
        <f>SUM(J31:J45)+SUM(I31:I45)</f>
        <v>9.3000000000000007</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5 mg</v>
      </c>
      <c r="D18" s="205" t="str">
        <f>ber_IVmed!D18&amp;" ml"</f>
        <v>50 ml</v>
      </c>
      <c r="E18" s="206" t="str">
        <f>ber_IVmed!E18/10&amp;" ml/uur"</f>
        <v>1 ml/uur</v>
      </c>
      <c r="F18" s="207" t="str">
        <f>ber_IVmed!F18/1000&amp;" "&amp;ber_IVmed!H18</f>
        <v>0.24 mg/kg/dag</v>
      </c>
      <c r="G18" s="208" t="str">
        <f>ber_IVmed!I18</f>
        <v>0,125-0,25 mg/kg/dag</v>
      </c>
      <c r="H18" s="209">
        <f>ber_IVmed!K18</f>
        <v>1</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41827</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RSV, Bronchio</v>
      </c>
      <c r="F3" s="182"/>
      <c r="G3" s="177"/>
      <c r="H3" s="178" t="s">
        <v>3097</v>
      </c>
      <c r="I3" s="177"/>
      <c r="J3" s="181">
        <f>GebDatum</f>
        <v>40909</v>
      </c>
      <c r="K3" s="183" t="str">
        <f>"Gewicht: "&amp;Gewicht/10&amp;" kg"</f>
        <v>Gewicht: 10 kg</v>
      </c>
      <c r="L3" s="178"/>
      <c r="M3" s="177"/>
      <c r="N3" s="183" t="str">
        <f>"Lengte: "&amp;Lengte&amp;" cm"</f>
        <v>Lengte: 70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123456</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0.42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f>IF(ber_Med_disc!C2&gt;1,BeademingCV!V2-1500+ber_Med_disc!B2,"")</f>
        <v>41827</v>
      </c>
      <c r="D6" s="430" t="str">
        <f>ber_Med_disc!C2</f>
        <v>Augmentin (comb.prep.) (amoxicilline + clavulaanzuur)</v>
      </c>
      <c r="E6" s="430"/>
      <c r="F6" s="430"/>
      <c r="G6" s="430"/>
      <c r="H6" s="190" t="str">
        <f>IF(INDEX(ber_Med_disc!$D$27:$D$38,ber_Med_disc!H2,1)=0,"",INDEX(ber_Med_disc!$D$27:$D$38,ber_Med_disc!H2,1))</f>
        <v>4 dd</v>
      </c>
      <c r="I6" s="191">
        <f>IF(ber_Med_disc!C2&gt;1,ber_Med_disc!G2,"")</f>
        <v>250</v>
      </c>
      <c r="J6" s="192" t="str">
        <f>IF(ber_Med_disc!C2&gt;1,ber_Med_disc!E2,"")</f>
        <v>mg</v>
      </c>
      <c r="K6" s="193" t="str">
        <f>ber_Med_disc!K2</f>
        <v xml:space="preserve">iv                            </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xml:space="preserve">Dosering/kg/dag: </v>
      </c>
      <c r="I7" s="195"/>
      <c r="J7" s="197">
        <f>IF(ber_Med_disc!C2&gt;1,ber_Med_disc!L2,"")</f>
        <v>100</v>
      </c>
      <c r="K7" s="195" t="str">
        <f>IF(AND(ber_Med_disc!C2&gt;1),J6&amp;"/kg/dag ","")</f>
        <v xml:space="preserve">mg/kg/dag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f>IF(ber_Med_disc!C3&gt;1,BeademingCV!V2-1500+ber_Med_disc!B3,"")</f>
        <v>41827</v>
      </c>
      <c r="D8" s="430" t="str">
        <f>ber_Med_disc!C3</f>
        <v xml:space="preserve">colecalciferol 40 IE/dr          </v>
      </c>
      <c r="E8" s="430"/>
      <c r="F8" s="430"/>
      <c r="G8" s="430"/>
      <c r="H8" s="190" t="str">
        <f>IF(INDEX(ber_Med_disc!$D$27:$D$38,ber_Med_disc!H3,1)=0,"",INDEX(ber_Med_disc!$D$27:$D$38,ber_Med_disc!H3,1))</f>
        <v>1 dd</v>
      </c>
      <c r="I8" s="191">
        <f>IF(ber_Med_disc!C3&gt;1,ber_Med_disc!G3,"")</f>
        <v>400</v>
      </c>
      <c r="J8" s="192" t="str">
        <f>IF(ber_Med_disc!C3&gt;1,ber_Med_disc!E3,"")</f>
        <v>IE</v>
      </c>
      <c r="K8" s="193" t="str">
        <f>ber_Med_disc!K3</f>
        <v xml:space="preserve">or                            </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xml:space="preserve">Dosering/kg/dag: </v>
      </c>
      <c r="I9" s="195"/>
      <c r="J9" s="197">
        <f>IF(ber_Med_disc!C3&gt;1,ber_Med_disc!L3,"")</f>
        <v>40</v>
      </c>
      <c r="K9" s="195" t="str">
        <f>IF(AND(ber_Med_disc!C3&gt;1,H8&lt;&gt;"STOP"),J8&amp;"/kg/dag ","")</f>
        <v xml:space="preserve">IE/kg/dag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f>IF(ber_Med_disc!C4&gt;1,BeademingCV!V2-1500+ber_Med_disc!B4,"")</f>
        <v>41827</v>
      </c>
      <c r="D10" s="430" t="str">
        <f>ber_Med_disc!C4</f>
        <v xml:space="preserve">gentamicine 40 mg/ml          </v>
      </c>
      <c r="E10" s="430"/>
      <c r="F10" s="430"/>
      <c r="G10" s="430"/>
      <c r="H10" s="190" t="str">
        <f>IF(INDEX(ber_Med_disc!$D$27:$D$38,ber_Med_disc!H4,1)=0,"",INDEX(ber_Med_disc!$D$27:$D$38,ber_Med_disc!H4,1))</f>
        <v>1 dd</v>
      </c>
      <c r="I10" s="191">
        <f>IF(ber_Med_disc!C4&gt;1,ber_Med_disc!G4,"")</f>
        <v>70</v>
      </c>
      <c r="J10" s="192" t="str">
        <f>IF(ber_Med_disc!C4&gt;1,ber_Med_disc!E4,"")</f>
        <v>mg</v>
      </c>
      <c r="K10" s="193" t="str">
        <f>ber_Med_disc!K4</f>
        <v xml:space="preserve">iv                            </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xml:space="preserve">Dosering/kg/dag: </v>
      </c>
      <c r="I11" s="195"/>
      <c r="J11" s="197">
        <f>IF(ber_Med_disc!C4&gt;1,ber_Med_disc!L4,"")</f>
        <v>7</v>
      </c>
      <c r="K11" s="195" t="str">
        <f>IF(AND(ber_Med_disc!C4&gt;1,H10&lt;&gt;"STOP"),J10&amp;"/kg/dag ","")</f>
        <v xml:space="preserve">mg/kg/dag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C2" t="s">
        <v>4932</v>
      </c>
      <c r="D2" s="23">
        <v>50</v>
      </c>
      <c r="E2" t="s">
        <v>1844</v>
      </c>
      <c r="F2">
        <v>5</v>
      </c>
      <c r="G2">
        <f t="shared" ref="G2:G21" si="0">D2*F2</f>
        <v>250</v>
      </c>
      <c r="H2">
        <v>7</v>
      </c>
      <c r="I2">
        <f t="shared" ref="I2:I21" si="1">IF(AND(H2&gt;2,H2&lt;12),INDEX($C$27:$C$38,H2,1),)</f>
        <v>4</v>
      </c>
      <c r="J2">
        <f t="shared" ref="J2:J21" si="2">I2*G2</f>
        <v>1000</v>
      </c>
      <c r="K2" t="s">
        <v>1111</v>
      </c>
      <c r="L2">
        <f t="shared" ref="L2:L21" si="3">IF(ROUND(10*J2/Gewicht,1) = 0,ROUND(10*J2/Gewicht,2),ROUND(10*J2/Gewicht,1) )</f>
        <v>100</v>
      </c>
      <c r="O2">
        <f>IF(N2&gt;1,M2*I2,0)</f>
        <v>0</v>
      </c>
      <c r="Q2">
        <f t="shared" ref="Q2:Q21" si="4">IF(N2=2,O2*0.155,0)</f>
        <v>0</v>
      </c>
      <c r="R2">
        <f t="shared" ref="R2:R21" si="5">IF(N2=3,O2*0.05,0)</f>
        <v>0</v>
      </c>
      <c r="S2">
        <f t="shared" ref="S2:S21" si="6">IF(N2=4,O2*0.1,0)</f>
        <v>0</v>
      </c>
      <c r="T2">
        <v>168</v>
      </c>
      <c r="U2" t="str">
        <f t="shared" ref="U2:U21" si="7">IF(T2=0,"",IF(T2=-1,C2,INDEX(tblDBFormularium,T2+1,4)))</f>
        <v>amoxicilline+clavulaanzuur</v>
      </c>
      <c r="V2" t="str">
        <f>IF(U2="","",INDEX($C$27:$D$38,H2,2))</f>
        <v>4 dd</v>
      </c>
      <c r="W2" t="str">
        <f t="shared" ref="W2:W21" si="8">IF(U2="","",G2&amp;" "&amp;E2&amp;" ("&amp;ROUND(J2*10/Gewicht,AC2)&amp;" "&amp;E2&amp;"/kg/dag)")</f>
        <v>250 mg (100 mg/kg/dag)</v>
      </c>
      <c r="X2" t="str">
        <f>IF(U2="","",TRIM(K2))</f>
        <v>iv</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amoxicilline+clavulaanzuur||4 dd||250 mg (100 mg/kg/dag)||iv||||||</v>
      </c>
      <c r="AC2">
        <f>IF(AD2&gt;=10,0,IF(AD2&gt;=1,1,IF(AD2&gt;=0,2,IF(AD2&gt;=0.1,3,IF(AD2&gt;=0.01,4,5)))))</f>
        <v>0</v>
      </c>
      <c r="AD2">
        <f t="shared" ref="AD2:AD21" si="9">J2*10/Gewicht</f>
        <v>100</v>
      </c>
    </row>
    <row r="3" spans="1:30" x14ac:dyDescent="0.35">
      <c r="A3">
        <v>2</v>
      </c>
      <c r="B3">
        <v>1500</v>
      </c>
      <c r="C3" t="s">
        <v>5129</v>
      </c>
      <c r="D3" s="23">
        <v>40</v>
      </c>
      <c r="E3" t="s">
        <v>2039</v>
      </c>
      <c r="F3">
        <v>10</v>
      </c>
      <c r="G3">
        <f t="shared" si="0"/>
        <v>400</v>
      </c>
      <c r="H3">
        <v>4</v>
      </c>
      <c r="I3">
        <f t="shared" si="1"/>
        <v>1</v>
      </c>
      <c r="J3">
        <f t="shared" si="2"/>
        <v>400</v>
      </c>
      <c r="K3" t="s">
        <v>2141</v>
      </c>
      <c r="L3">
        <f t="shared" si="3"/>
        <v>40</v>
      </c>
      <c r="M3">
        <v>0</v>
      </c>
      <c r="N3">
        <v>0</v>
      </c>
      <c r="O3">
        <f t="shared" ref="O3:O21" si="10">IF(N3&gt;1,M3*I3,0)</f>
        <v>0</v>
      </c>
      <c r="P3">
        <v>0</v>
      </c>
      <c r="Q3">
        <f t="shared" si="4"/>
        <v>0</v>
      </c>
      <c r="R3">
        <f t="shared" si="5"/>
        <v>0</v>
      </c>
      <c r="S3">
        <f t="shared" si="6"/>
        <v>0</v>
      </c>
      <c r="T3">
        <v>441</v>
      </c>
      <c r="U3" t="str">
        <f t="shared" si="7"/>
        <v>colecalciferol</v>
      </c>
      <c r="V3" t="str">
        <f t="shared" ref="V3:V21" si="11">IF(U3="","",INDEX($C$27:$D$38,H3,2))</f>
        <v>1 dd</v>
      </c>
      <c r="W3" t="str">
        <f t="shared" si="8"/>
        <v>400 IE (40 IE/kg/dag)</v>
      </c>
      <c r="X3" t="str">
        <f t="shared" ref="X3:X21" si="12">IF(U3="","",TRIM(K3))</f>
        <v>or</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colecalciferol||1 dd||400 IE (40 IE/kg/dag)||or||||||</v>
      </c>
      <c r="AC3">
        <f t="shared" ref="AC3:AC21" si="15">IF(AD3&gt;=10,0,IF(AD3&gt;=1,1,IF(AD3&gt;=0,2,IF(AD3&gt;=0.1,3,IF(AD3&gt;=0.01,4,5)))))</f>
        <v>0</v>
      </c>
      <c r="AD3">
        <f t="shared" si="9"/>
        <v>40</v>
      </c>
    </row>
    <row r="4" spans="1:30" x14ac:dyDescent="0.35">
      <c r="A4">
        <v>3</v>
      </c>
      <c r="B4">
        <v>1500</v>
      </c>
      <c r="C4" t="s">
        <v>5130</v>
      </c>
      <c r="D4" s="23">
        <v>10</v>
      </c>
      <c r="E4" t="s">
        <v>1844</v>
      </c>
      <c r="F4">
        <v>7</v>
      </c>
      <c r="G4">
        <f t="shared" si="0"/>
        <v>70</v>
      </c>
      <c r="H4">
        <v>4</v>
      </c>
      <c r="I4">
        <f t="shared" si="1"/>
        <v>1</v>
      </c>
      <c r="J4">
        <f t="shared" si="2"/>
        <v>70</v>
      </c>
      <c r="K4" t="s">
        <v>1111</v>
      </c>
      <c r="L4">
        <f t="shared" si="3"/>
        <v>7</v>
      </c>
      <c r="O4">
        <f t="shared" si="10"/>
        <v>0</v>
      </c>
      <c r="Q4">
        <f t="shared" si="4"/>
        <v>0</v>
      </c>
      <c r="R4">
        <f t="shared" si="5"/>
        <v>0</v>
      </c>
      <c r="S4">
        <f t="shared" si="6"/>
        <v>0</v>
      </c>
      <c r="T4">
        <v>920</v>
      </c>
      <c r="U4" t="str">
        <f t="shared" si="7"/>
        <v>gentamicine</v>
      </c>
      <c r="V4" t="str">
        <f t="shared" si="11"/>
        <v>1 dd</v>
      </c>
      <c r="W4" t="str">
        <f t="shared" si="8"/>
        <v>70 mg (7 mg/kg/dag)</v>
      </c>
      <c r="X4" t="str">
        <f t="shared" si="12"/>
        <v>iv</v>
      </c>
      <c r="Y4" t="str">
        <f>IF(O4=0,"","opl: "&amp;M4&amp;" mL "&amp;INDEX(B$27:B$38,N4,1)&amp;" "&amp;IF(P4=0,"","("&amp;ROUND(ber_Med_disc!G4/ber_Med_disc!M4,2)&amp;" "&amp;ber_Med_disc!E4&amp;"/ml)"))</f>
        <v/>
      </c>
      <c r="Z4" t="str">
        <f t="shared" si="13"/>
        <v/>
      </c>
      <c r="AA4" t="str">
        <f>IF(ber_Opm!C18=0,"",ber_Opm!C18)</f>
        <v/>
      </c>
      <c r="AB4" t="str">
        <f t="shared" si="14"/>
        <v>gentamicine||1 dd||70 mg (7 mg/kg/dag)||iv||||||</v>
      </c>
      <c r="AC4">
        <f t="shared" si="15"/>
        <v>1</v>
      </c>
      <c r="AD4">
        <f t="shared" si="9"/>
        <v>7</v>
      </c>
    </row>
    <row r="5" spans="1:30" x14ac:dyDescent="0.35">
      <c r="A5">
        <v>4</v>
      </c>
      <c r="B5">
        <v>1500</v>
      </c>
      <c r="D5" s="23"/>
      <c r="G5">
        <f t="shared" si="0"/>
        <v>0</v>
      </c>
      <c r="H5">
        <v>1</v>
      </c>
      <c r="I5">
        <f t="shared" si="1"/>
        <v>0</v>
      </c>
      <c r="J5">
        <f t="shared" si="2"/>
        <v>0</v>
      </c>
      <c r="L5">
        <f t="shared" si="3"/>
        <v>0</v>
      </c>
      <c r="M5">
        <v>0</v>
      </c>
      <c r="N5">
        <v>0</v>
      </c>
      <c r="O5">
        <f t="shared" si="10"/>
        <v>0</v>
      </c>
      <c r="P5">
        <v>0</v>
      </c>
      <c r="Q5">
        <f t="shared" si="4"/>
        <v>0</v>
      </c>
      <c r="R5">
        <f t="shared" si="5"/>
        <v>0</v>
      </c>
      <c r="S5">
        <f t="shared" si="6"/>
        <v>0</v>
      </c>
      <c r="T5">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RSV, Bronchio</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42186</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f>IF(C3&lt;&gt;" ",Med_disc!C6,"")</f>
        <v>41827</v>
      </c>
      <c r="C3" s="368" t="str">
        <f>IF(ber_Med_disc!C2&lt;&gt;"",IF(ber_Med_disc!C2&gt;1,TRIM(ber_Med_disc!C2)&amp;", "&amp;ber_Opm!C16&amp;" ("&amp;ber_Med_disc!L2&amp;" "&amp;ber_Med_disc!E2&amp;"/kg/dag)",TRIM(ber_Med_disc!C2)&amp;", "&amp;ber_Opm!C16),"")</f>
        <v>Augmentin (comb.prep.) (amoxicilline + clavulaanzuur),  (100 mg/kg/dag)</v>
      </c>
      <c r="D3" s="369" t="str">
        <f>IF(Med_disc!H6&lt;&gt;"",Med_disc!H6,"")</f>
        <v>4 dd</v>
      </c>
      <c r="E3" s="370" t="str">
        <f>IF(AND(D3&lt;&gt;"",D3&lt;&gt;"STOP"),ber_Med_disc!G2&amp;" "&amp;ber_Med_disc!E2,"")</f>
        <v>250 mg</v>
      </c>
      <c r="F3" s="370" t="str">
        <f>IF(AND(D3&lt;&gt;"",D3&lt;&gt;"STOP"),ber_Med_disc!K2," ")</f>
        <v xml:space="preserve">iv                            </v>
      </c>
      <c r="G3" s="370" t="str">
        <f>IF(Med_disc!L6&lt;&gt;"",Med_disc!L6&amp;" "&amp;Med_disc!M6&amp;" "&amp;INDEX(ber_Med_disc!$B$27:$B$30,ber_Med_disc!N2,1)&amp;" in "&amp;Med_disc!$O$6,"")</f>
        <v/>
      </c>
      <c r="H3" s="174">
        <f>IF(OR($D3="1 dd",$D3="2 dd",$D3="3 dd",$D3="4 dd",$D3="6 dd",$D3="8 dd",$D3="12 dd",$D3="an",$D3="1 X"),VLOOKUP($D3,ber_tijden!$A$16:$X$25,ber_tijden!B$14,FALSE),"")</f>
        <v>0</v>
      </c>
      <c r="I3" s="17">
        <f>IF(OR($D3="1 dd",$D3="2 dd",$D3="3 dd",$D3="4 dd",$D3="6 dd",$D3="8 dd",$D3="12 dd",$D3="an",$D3="1 X"),VLOOKUP($D3,ber_tijden!$A$16:$X$25,ber_tijden!C$14,FALSE),"")</f>
        <v>0</v>
      </c>
      <c r="J3" s="174" t="str">
        <f>IF(OR($D3="1 dd",$D3="2 dd",$D3="3 dd",$D3="4 dd",$D3="6 dd",$D3="8 dd",$D3="12 dd",$D3="an",$D3="1 X"),VLOOKUP($D3,ber_tijden!$A$16:$X$25,ber_tijden!D$14,FALSE),"")</f>
        <v>x</v>
      </c>
      <c r="K3" s="17">
        <f>IF(OR($D3="1 dd",$D3="2 dd",$D3="3 dd",$D3="4 dd",$D3="6 dd",$D3="8 dd",$D3="12 dd",$D3="an",$D3="1 X"),VLOOKUP($D3,ber_tijden!$A$16:$X$25,ber_tijden!E$14,FALSE),"")</f>
        <v>0</v>
      </c>
      <c r="L3" s="174">
        <f>IF(OR($D3="1 dd",$D3="2 dd",$D3="3 dd",$D3="4 dd",$D3="6 dd",$D3="8 dd",$D3="12 dd",$D3="an",$D3="1 X"),VLOOKUP($D3,ber_tijden!$A$16:$X$25,ber_tijden!F$14,FALSE),"")</f>
        <v>0</v>
      </c>
      <c r="M3" s="17">
        <f>IF(OR($D3="1 dd",$D3="2 dd",$D3="3 dd",$D3="4 dd",$D3="6 dd",$D3="8 dd",$D3="12 dd",$D3="an",$D3="1 X"),VLOOKUP($D3,ber_tijden!$A$16:$X$25,ber_tijden!G$14,FALSE),"")</f>
        <v>0</v>
      </c>
      <c r="N3" s="174">
        <f>IF(OR($D3="1 dd",$D3="2 dd",$D3="3 dd",$D3="4 dd",$D3="6 dd",$D3="8 dd",$D3="12 dd",$D3="an",$D3="1 X"),VLOOKUP($D3,ber_tijden!$A$16:$X$25,ber_tijden!H$14,FALSE),"")</f>
        <v>0</v>
      </c>
      <c r="O3" s="17">
        <f>IF(OR($D3="1 dd",$D3="2 dd",$D3="3 dd",$D3="4 dd",$D3="6 dd",$D3="8 dd",$D3="12 dd",$D3="an",$D3="1 X"),VLOOKUP($D3,ber_tijden!$A$16:$X$25,ber_tijden!I$14,FALSE),"")</f>
        <v>0</v>
      </c>
      <c r="P3" s="174" t="str">
        <f>IF(OR($D3="1 dd",$D3="2 dd",$D3="3 dd",$D3="4 dd",$D3="6 dd",$D3="8 dd",$D3="12 dd",$D3="an",$D3="1 X"),VLOOKUP($D3,ber_tijden!$A$16:$X$25,ber_tijden!J$14,FALSE),"")</f>
        <v>x</v>
      </c>
      <c r="Q3" s="17">
        <f>IF(OR($D3="1 dd",$D3="2 dd",$D3="3 dd",$D3="4 dd",$D3="6 dd",$D3="8 dd",$D3="12 dd",$D3="an",$D3="1 X"),VLOOKUP($D3,ber_tijden!$A$16:$X$25,ber_tijden!K$14,FALSE),"")</f>
        <v>0</v>
      </c>
      <c r="R3" s="174">
        <f>IF(OR($D3="1 dd",$D3="2 dd",$D3="3 dd",$D3="4 dd",$D3="6 dd",$D3="8 dd",$D3="12 dd",$D3="an",$D3="1 X"),VLOOKUP($D3,ber_tijden!$A$16:$X$25,ber_tijden!L$14,FALSE),"")</f>
        <v>0</v>
      </c>
      <c r="S3" s="17">
        <f>IF(OR($D3="1 dd",$D3="2 dd",$D3="3 dd",$D3="4 dd",$D3="6 dd",$D3="8 dd",$D3="12 dd",$D3="an",$D3="1 X"),VLOOKUP($D3,ber_tijden!$A$16:$X$25,ber_tijden!M$14,FALSE),"")</f>
        <v>0</v>
      </c>
      <c r="T3" s="174">
        <f>IF(OR($D3="1 dd",$D3="2 dd",$D3="3 dd",$D3="4 dd",$D3="6 dd",$D3="8 dd",$D3="12 dd",$D3="an",$D3="1 X"),VLOOKUP($D3,ber_tijden!$A$16:$X$25,ber_tijden!N$14,FALSE),"")</f>
        <v>0</v>
      </c>
      <c r="U3" s="17">
        <f>IF(OR($D3="1 dd",$D3="2 dd",$D3="3 dd",$D3="4 dd",$D3="6 dd",$D3="8 dd",$D3="12 dd",$D3="an",$D3="1 X"),VLOOKUP($D3,ber_tijden!$A$16:$X$25,ber_tijden!O$14,FALSE),"")</f>
        <v>0</v>
      </c>
      <c r="V3" s="174" t="str">
        <f>IF(OR($D3="1 dd",$D3="2 dd",$D3="3 dd",$D3="4 dd",$D3="6 dd",$D3="8 dd",$D3="12 dd",$D3="an",$D3="1 X"),VLOOKUP($D3,ber_tijden!$A$16:$X$25,ber_tijden!P$14,FALSE),"")</f>
        <v>x</v>
      </c>
      <c r="W3" s="17">
        <f>IF(OR($D3="1 dd",$D3="2 dd",$D3="3 dd",$D3="4 dd",$D3="6 dd",$D3="8 dd",$D3="12 dd",$D3="an",$D3="1 X"),VLOOKUP($D3,ber_tijden!$A$16:$X$25,ber_tijden!Q$14,FALSE),"")</f>
        <v>0</v>
      </c>
      <c r="X3" s="174">
        <f>IF(OR($D3="1 dd",$D3="2 dd",$D3="3 dd",$D3="4 dd",$D3="6 dd",$D3="8 dd",$D3="12 dd",$D3="an",$D3="1 X"),VLOOKUP($D3,ber_tijden!$A$16:$X$25,ber_tijden!R$14,FALSE),"")</f>
        <v>0</v>
      </c>
      <c r="Y3" s="17">
        <f>IF(OR($D3="1 dd",$D3="2 dd",$D3="3 dd",$D3="4 dd",$D3="6 dd",$D3="8 dd",$D3="12 dd",$D3="an",$D3="1 X"),VLOOKUP($D3,ber_tijden!$A$16:$X$25,ber_tijden!S$14,FALSE),"")</f>
        <v>0</v>
      </c>
      <c r="Z3" s="174">
        <f>IF(OR($D3="1 dd",$D3="2 dd",$D3="3 dd",$D3="4 dd",$D3="6 dd",$D3="8 dd",$D3="12 dd",$D3="an",$D3="1 X"),VLOOKUP($D3,ber_tijden!$A$16:$X$25,ber_tijden!T$14,FALSE),"")</f>
        <v>0</v>
      </c>
      <c r="AA3" s="17">
        <f>IF(OR($D3="1 dd",$D3="2 dd",$D3="3 dd",$D3="4 dd",$D3="6 dd",$D3="8 dd",$D3="12 dd",$D3="an",$D3="1 X"),VLOOKUP($D3,ber_tijden!$A$16:$X$25,ber_tijden!U$14,FALSE),"")</f>
        <v>0</v>
      </c>
      <c r="AB3" s="174" t="str">
        <f>IF(OR($D3="1 dd",$D3="2 dd",$D3="3 dd",$D3="4 dd",$D3="6 dd",$D3="8 dd",$D3="12 dd",$D3="an",$D3="1 X"),VLOOKUP($D3,ber_tijden!$A$16:$X$25,ber_tijden!V$14,FALSE),"")</f>
        <v>x</v>
      </c>
      <c r="AC3" s="17">
        <f>IF(OR($D3="1 dd",$D3="2 dd",$D3="3 dd",$D3="4 dd",$D3="6 dd",$D3="8 dd",$D3="12 dd",$D3="an",$D3="1 X"),VLOOKUP($D3,ber_tijden!$A$16:$X$25,ber_tijden!W$14,FALSE),"")</f>
        <v>0</v>
      </c>
      <c r="AD3" s="174">
        <f>IF(OR($D3="1 dd",$D3="2 dd",$D3="3 dd",$D3="4 dd",$D3="6 dd",$D3="8 dd",$D3="12 dd",$D3="an",$D3="1 X"),VLOOKUP($D3,ber_tijden!$A$16:$X$25,ber_tijden!X$14,FALSE),"")</f>
        <v>0</v>
      </c>
      <c r="AE3" s="19"/>
      <c r="AF3" s="173"/>
      <c r="AG3" s="19"/>
    </row>
    <row r="4" spans="2:33" ht="26.1" customHeight="1" x14ac:dyDescent="0.35">
      <c r="B4" s="175">
        <f>IF(C4&lt;&gt;" ",Med_disc!C8,"")</f>
        <v>41827</v>
      </c>
      <c r="C4" s="368" t="str">
        <f>IF(ber_Med_disc!C3&lt;&gt;"",IF(ber_Med_disc!C3&gt;1,TRIM(ber_Med_disc!C3)&amp;", "&amp;ber_Opm!C17&amp;" ("&amp;ber_Med_disc!L3&amp;" "&amp;ber_Med_disc!E3&amp;"/kg/dag)",TRIM(ber_Med_disc!C3)&amp;", "&amp;ber_Opm!C17),"")</f>
        <v>colecalciferol 40 IE/dr,  (40 IE/kg/dag)</v>
      </c>
      <c r="D4" s="369" t="str">
        <f>IF(Med_disc!H8&lt;&gt;"",Med_disc!H8,"")</f>
        <v>1 dd</v>
      </c>
      <c r="E4" s="370" t="str">
        <f>IF(AND(D4&lt;&gt;"",D4&lt;&gt;"STOP"),ber_Med_disc!G3&amp;" "&amp;ber_Med_disc!E3,"")</f>
        <v>400 IE</v>
      </c>
      <c r="F4" s="370" t="str">
        <f>IF(AND(D4&lt;&gt;"",D4&lt;&gt;"STOP"),ber_Med_disc!K3," ")</f>
        <v xml:space="preserve">or                            </v>
      </c>
      <c r="G4" s="370" t="str">
        <f>IF(Med_disc!L8&lt;&gt;"",Med_disc!L8&amp;" "&amp;Med_disc!M8&amp;" "&amp;INDEX(ber_Med_disc!$B$27:$B$30,ber_Med_disc!N3,1)&amp;" in "&amp;Med_disc!$O$8,"")</f>
        <v/>
      </c>
      <c r="H4" s="174" t="str">
        <f>IF(OR($D4="1 dd",$D4="2 dd",$D4="3 dd",$D4="4 dd",$D4="6 dd",$D4="8 dd",$D4="12 dd",$D4="an",$D4="1 X"),VLOOKUP($D4,ber_tijden!$A$16:$X$25,ber_tijden!B$14,FALSE),"")</f>
        <v>x</v>
      </c>
      <c r="I4" s="17">
        <f>IF(OR($D4="1 dd",$D4="2 dd",$D4="3 dd",$D4="4 dd",$D4="6 dd",$D4="8 dd",$D4="12 dd",$D4="an",$D4="1 X"),VLOOKUP($D4,ber_tijden!$A$16:$X$25,ber_tijden!C$14,FALSE),"")</f>
        <v>0</v>
      </c>
      <c r="J4" s="174">
        <f>IF(OR($D4="1 dd",$D4="2 dd",$D4="3 dd",$D4="4 dd",$D4="6 dd",$D4="8 dd",$D4="12 dd",$D4="an",$D4="1 X"),VLOOKUP($D4,ber_tijden!$A$16:$X$25,ber_tijden!D$14,FALSE),"")</f>
        <v>0</v>
      </c>
      <c r="K4" s="17">
        <f>IF(OR($D4="1 dd",$D4="2 dd",$D4="3 dd",$D4="4 dd",$D4="6 dd",$D4="8 dd",$D4="12 dd",$D4="an",$D4="1 X"),VLOOKUP($D4,ber_tijden!$A$16:$X$25,ber_tijden!E$14,FALSE),"")</f>
        <v>0</v>
      </c>
      <c r="L4" s="174">
        <f>IF(OR($D4="1 dd",$D4="2 dd",$D4="3 dd",$D4="4 dd",$D4="6 dd",$D4="8 dd",$D4="12 dd",$D4="an",$D4="1 X"),VLOOKUP($D4,ber_tijden!$A$16:$X$25,ber_tijden!F$14,FALSE),"")</f>
        <v>0</v>
      </c>
      <c r="M4" s="17">
        <f>IF(OR($D4="1 dd",$D4="2 dd",$D4="3 dd",$D4="4 dd",$D4="6 dd",$D4="8 dd",$D4="12 dd",$D4="an",$D4="1 X"),VLOOKUP($D4,ber_tijden!$A$16:$X$25,ber_tijden!G$14,FALSE),"")</f>
        <v>0</v>
      </c>
      <c r="N4" s="174">
        <f>IF(OR($D4="1 dd",$D4="2 dd",$D4="3 dd",$D4="4 dd",$D4="6 dd",$D4="8 dd",$D4="12 dd",$D4="an",$D4="1 X"),VLOOKUP($D4,ber_tijden!$A$16:$X$25,ber_tijden!H$14,FALSE),"")</f>
        <v>0</v>
      </c>
      <c r="O4" s="17">
        <f>IF(OR($D4="1 dd",$D4="2 dd",$D4="3 dd",$D4="4 dd",$D4="6 dd",$D4="8 dd",$D4="12 dd",$D4="an",$D4="1 X"),VLOOKUP($D4,ber_tijden!$A$16:$X$25,ber_tijden!I$14,FALSE),"")</f>
        <v>0</v>
      </c>
      <c r="P4" s="174">
        <f>IF(OR($D4="1 dd",$D4="2 dd",$D4="3 dd",$D4="4 dd",$D4="6 dd",$D4="8 dd",$D4="12 dd",$D4="an",$D4="1 X"),VLOOKUP($D4,ber_tijden!$A$16:$X$25,ber_tijden!J$14,FALSE),"")</f>
        <v>0</v>
      </c>
      <c r="Q4" s="17">
        <f>IF(OR($D4="1 dd",$D4="2 dd",$D4="3 dd",$D4="4 dd",$D4="6 dd",$D4="8 dd",$D4="12 dd",$D4="an",$D4="1 X"),VLOOKUP($D4,ber_tijden!$A$16:$X$25,ber_tijden!K$14,FALSE),"")</f>
        <v>0</v>
      </c>
      <c r="R4" s="174">
        <f>IF(OR($D4="1 dd",$D4="2 dd",$D4="3 dd",$D4="4 dd",$D4="6 dd",$D4="8 dd",$D4="12 dd",$D4="an",$D4="1 X"),VLOOKUP($D4,ber_tijden!$A$16:$X$25,ber_tijden!L$14,FALSE),"")</f>
        <v>0</v>
      </c>
      <c r="S4" s="17">
        <f>IF(OR($D4="1 dd",$D4="2 dd",$D4="3 dd",$D4="4 dd",$D4="6 dd",$D4="8 dd",$D4="12 dd",$D4="an",$D4="1 X"),VLOOKUP($D4,ber_tijden!$A$16:$X$25,ber_tijden!M$14,FALSE),"")</f>
        <v>0</v>
      </c>
      <c r="T4" s="174">
        <f>IF(OR($D4="1 dd",$D4="2 dd",$D4="3 dd",$D4="4 dd",$D4="6 dd",$D4="8 dd",$D4="12 dd",$D4="an",$D4="1 X"),VLOOKUP($D4,ber_tijden!$A$16:$X$25,ber_tijden!N$14,FALSE),"")</f>
        <v>0</v>
      </c>
      <c r="U4" s="17">
        <f>IF(OR($D4="1 dd",$D4="2 dd",$D4="3 dd",$D4="4 dd",$D4="6 dd",$D4="8 dd",$D4="12 dd",$D4="an",$D4="1 X"),VLOOKUP($D4,ber_tijden!$A$16:$X$25,ber_tijden!O$14,FALSE),"")</f>
        <v>0</v>
      </c>
      <c r="V4" s="174">
        <f>IF(OR($D4="1 dd",$D4="2 dd",$D4="3 dd",$D4="4 dd",$D4="6 dd",$D4="8 dd",$D4="12 dd",$D4="an",$D4="1 X"),VLOOKUP($D4,ber_tijden!$A$16:$X$25,ber_tijden!P$14,FALSE),"")</f>
        <v>0</v>
      </c>
      <c r="W4" s="17">
        <f>IF(OR($D4="1 dd",$D4="2 dd",$D4="3 dd",$D4="4 dd",$D4="6 dd",$D4="8 dd",$D4="12 dd",$D4="an",$D4="1 X"),VLOOKUP($D4,ber_tijden!$A$16:$X$25,ber_tijden!Q$14,FALSE),"")</f>
        <v>0</v>
      </c>
      <c r="X4" s="174">
        <f>IF(OR($D4="1 dd",$D4="2 dd",$D4="3 dd",$D4="4 dd",$D4="6 dd",$D4="8 dd",$D4="12 dd",$D4="an",$D4="1 X"),VLOOKUP($D4,ber_tijden!$A$16:$X$25,ber_tijden!R$14,FALSE),"")</f>
        <v>0</v>
      </c>
      <c r="Y4" s="17">
        <f>IF(OR($D4="1 dd",$D4="2 dd",$D4="3 dd",$D4="4 dd",$D4="6 dd",$D4="8 dd",$D4="12 dd",$D4="an",$D4="1 X"),VLOOKUP($D4,ber_tijden!$A$16:$X$25,ber_tijden!S$14,FALSE),"")</f>
        <v>0</v>
      </c>
      <c r="Z4" s="174">
        <f>IF(OR($D4="1 dd",$D4="2 dd",$D4="3 dd",$D4="4 dd",$D4="6 dd",$D4="8 dd",$D4="12 dd",$D4="an",$D4="1 X"),VLOOKUP($D4,ber_tijden!$A$16:$X$25,ber_tijden!T$14,FALSE),"")</f>
        <v>0</v>
      </c>
      <c r="AA4" s="17">
        <f>IF(OR($D4="1 dd",$D4="2 dd",$D4="3 dd",$D4="4 dd",$D4="6 dd",$D4="8 dd",$D4="12 dd",$D4="an",$D4="1 X"),VLOOKUP($D4,ber_tijden!$A$16:$X$25,ber_tijden!U$14,FALSE),"")</f>
        <v>0</v>
      </c>
      <c r="AB4" s="174">
        <f>IF(OR($D4="1 dd",$D4="2 dd",$D4="3 dd",$D4="4 dd",$D4="6 dd",$D4="8 dd",$D4="12 dd",$D4="an",$D4="1 X"),VLOOKUP($D4,ber_tijden!$A$16:$X$25,ber_tijden!V$14,FALSE),"")</f>
        <v>0</v>
      </c>
      <c r="AC4" s="17">
        <f>IF(OR($D4="1 dd",$D4="2 dd",$D4="3 dd",$D4="4 dd",$D4="6 dd",$D4="8 dd",$D4="12 dd",$D4="an",$D4="1 X"),VLOOKUP($D4,ber_tijden!$A$16:$X$25,ber_tijden!W$14,FALSE),"")</f>
        <v>0</v>
      </c>
      <c r="AD4" s="174">
        <f>IF(OR($D4="1 dd",$D4="2 dd",$D4="3 dd",$D4="4 dd",$D4="6 dd",$D4="8 dd",$D4="12 dd",$D4="an",$D4="1 X"),VLOOKUP($D4,ber_tijden!$A$16:$X$25,ber_tijden!X$14,FALSE),"")</f>
        <v>0</v>
      </c>
      <c r="AE4" s="19"/>
      <c r="AF4" s="173"/>
      <c r="AG4" s="19"/>
    </row>
    <row r="5" spans="2:33" ht="26.1" customHeight="1" x14ac:dyDescent="0.35">
      <c r="B5" s="175">
        <f>IF(C5&lt;&gt;" ",Med_disc!C10,"")</f>
        <v>41827</v>
      </c>
      <c r="C5" s="368" t="str">
        <f>IF(ber_Med_disc!C4&lt;&gt;"",IF(ber_Med_disc!C4&gt;1,TRIM(ber_Med_disc!C4)&amp;", "&amp;ber_Opm!C18&amp;" ("&amp;ber_Med_disc!L4&amp;" "&amp;ber_Med_disc!E4&amp;"/kg/dag)",TRIM(ber_Med_disc!C4)&amp;", "&amp;ber_Opm!C18),"")</f>
        <v>gentamicine 40 mg/ml,  (7 mg/kg/dag)</v>
      </c>
      <c r="D5" s="369" t="str">
        <f>IF(Med_disc!H10&lt;&gt;"",Med_disc!H10,"")</f>
        <v>1 dd</v>
      </c>
      <c r="E5" s="370" t="str">
        <f>IF(AND(D5&lt;&gt;"",D5&lt;&gt;"STOP"),ber_Med_disc!G4&amp;" "&amp;ber_Med_disc!E4,"")</f>
        <v>70 mg</v>
      </c>
      <c r="F5" s="370" t="str">
        <f>IF(AND(D5&lt;&gt;"",D5&lt;&gt;"STOP"),ber_Med_disc!K4," ")</f>
        <v xml:space="preserve">iv                            </v>
      </c>
      <c r="G5" s="370" t="str">
        <f>IF(Med_disc!L10&lt;&gt;"",Med_disc!L10&amp;" "&amp;Med_disc!M10&amp;" "&amp;INDEX(ber_Med_disc!$B$27:$B$30,ber_Med_disc!N4,1)&amp;" in "&amp;Med_disc!$O$10,"")</f>
        <v/>
      </c>
      <c r="H5" s="174" t="str">
        <f>IF(OR($D5="1 dd",$D5="2 dd",$D5="3 dd",$D5="4 dd",$D5="6 dd",$D5="8 dd",$D5="12 dd",$D5="an",$D5="1 X"),VLOOKUP($D5,ber_tijden!$A$16:$X$25,ber_tijden!B$14,FALSE),"")</f>
        <v>x</v>
      </c>
      <c r="I5" s="17">
        <f>IF(OR($D5="1 dd",$D5="2 dd",$D5="3 dd",$D5="4 dd",$D5="6 dd",$D5="8 dd",$D5="12 dd",$D5="an",$D5="1 X"),VLOOKUP($D5,ber_tijden!$A$16:$X$25,ber_tijden!C$14,FALSE),"")</f>
        <v>0</v>
      </c>
      <c r="J5" s="174">
        <f>IF(OR($D5="1 dd",$D5="2 dd",$D5="3 dd",$D5="4 dd",$D5="6 dd",$D5="8 dd",$D5="12 dd",$D5="an",$D5="1 X"),VLOOKUP($D5,ber_tijden!$A$16:$X$25,ber_tijden!D$14,FALSE),"")</f>
        <v>0</v>
      </c>
      <c r="K5" s="17">
        <f>IF(OR($D5="1 dd",$D5="2 dd",$D5="3 dd",$D5="4 dd",$D5="6 dd",$D5="8 dd",$D5="12 dd",$D5="an",$D5="1 X"),VLOOKUP($D5,ber_tijden!$A$16:$X$25,ber_tijden!E$14,FALSE),"")</f>
        <v>0</v>
      </c>
      <c r="L5" s="174">
        <f>IF(OR($D5="1 dd",$D5="2 dd",$D5="3 dd",$D5="4 dd",$D5="6 dd",$D5="8 dd",$D5="12 dd",$D5="an",$D5="1 X"),VLOOKUP($D5,ber_tijden!$A$16:$X$25,ber_tijden!F$14,FALSE),"")</f>
        <v>0</v>
      </c>
      <c r="M5" s="17">
        <f>IF(OR($D5="1 dd",$D5="2 dd",$D5="3 dd",$D5="4 dd",$D5="6 dd",$D5="8 dd",$D5="12 dd",$D5="an",$D5="1 X"),VLOOKUP($D5,ber_tijden!$A$16:$X$25,ber_tijden!G$14,FALSE),"")</f>
        <v>0</v>
      </c>
      <c r="N5" s="174">
        <f>IF(OR($D5="1 dd",$D5="2 dd",$D5="3 dd",$D5="4 dd",$D5="6 dd",$D5="8 dd",$D5="12 dd",$D5="an",$D5="1 X"),VLOOKUP($D5,ber_tijden!$A$16:$X$25,ber_tijden!H$14,FALSE),"")</f>
        <v>0</v>
      </c>
      <c r="O5" s="17">
        <f>IF(OR($D5="1 dd",$D5="2 dd",$D5="3 dd",$D5="4 dd",$D5="6 dd",$D5="8 dd",$D5="12 dd",$D5="an",$D5="1 X"),VLOOKUP($D5,ber_tijden!$A$16:$X$25,ber_tijden!I$14,FALSE),"")</f>
        <v>0</v>
      </c>
      <c r="P5" s="174">
        <f>IF(OR($D5="1 dd",$D5="2 dd",$D5="3 dd",$D5="4 dd",$D5="6 dd",$D5="8 dd",$D5="12 dd",$D5="an",$D5="1 X"),VLOOKUP($D5,ber_tijden!$A$16:$X$25,ber_tijden!J$14,FALSE),"")</f>
        <v>0</v>
      </c>
      <c r="Q5" s="17">
        <f>IF(OR($D5="1 dd",$D5="2 dd",$D5="3 dd",$D5="4 dd",$D5="6 dd",$D5="8 dd",$D5="12 dd",$D5="an",$D5="1 X"),VLOOKUP($D5,ber_tijden!$A$16:$X$25,ber_tijden!K$14,FALSE),"")</f>
        <v>0</v>
      </c>
      <c r="R5" s="174">
        <f>IF(OR($D5="1 dd",$D5="2 dd",$D5="3 dd",$D5="4 dd",$D5="6 dd",$D5="8 dd",$D5="12 dd",$D5="an",$D5="1 X"),VLOOKUP($D5,ber_tijden!$A$16:$X$25,ber_tijden!L$14,FALSE),"")</f>
        <v>0</v>
      </c>
      <c r="S5" s="17">
        <f>IF(OR($D5="1 dd",$D5="2 dd",$D5="3 dd",$D5="4 dd",$D5="6 dd",$D5="8 dd",$D5="12 dd",$D5="an",$D5="1 X"),VLOOKUP($D5,ber_tijden!$A$16:$X$25,ber_tijden!M$14,FALSE),"")</f>
        <v>0</v>
      </c>
      <c r="T5" s="174">
        <f>IF(OR($D5="1 dd",$D5="2 dd",$D5="3 dd",$D5="4 dd",$D5="6 dd",$D5="8 dd",$D5="12 dd",$D5="an",$D5="1 X"),VLOOKUP($D5,ber_tijden!$A$16:$X$25,ber_tijden!N$14,FALSE),"")</f>
        <v>0</v>
      </c>
      <c r="U5" s="17">
        <f>IF(OR($D5="1 dd",$D5="2 dd",$D5="3 dd",$D5="4 dd",$D5="6 dd",$D5="8 dd",$D5="12 dd",$D5="an",$D5="1 X"),VLOOKUP($D5,ber_tijden!$A$16:$X$25,ber_tijden!O$14,FALSE),"")</f>
        <v>0</v>
      </c>
      <c r="V5" s="174">
        <f>IF(OR($D5="1 dd",$D5="2 dd",$D5="3 dd",$D5="4 dd",$D5="6 dd",$D5="8 dd",$D5="12 dd",$D5="an",$D5="1 X"),VLOOKUP($D5,ber_tijden!$A$16:$X$25,ber_tijden!P$14,FALSE),"")</f>
        <v>0</v>
      </c>
      <c r="W5" s="17">
        <f>IF(OR($D5="1 dd",$D5="2 dd",$D5="3 dd",$D5="4 dd",$D5="6 dd",$D5="8 dd",$D5="12 dd",$D5="an",$D5="1 X"),VLOOKUP($D5,ber_tijden!$A$16:$X$25,ber_tijden!Q$14,FALSE),"")</f>
        <v>0</v>
      </c>
      <c r="X5" s="174">
        <f>IF(OR($D5="1 dd",$D5="2 dd",$D5="3 dd",$D5="4 dd",$D5="6 dd",$D5="8 dd",$D5="12 dd",$D5="an",$D5="1 X"),VLOOKUP($D5,ber_tijden!$A$16:$X$25,ber_tijden!R$14,FALSE),"")</f>
        <v>0</v>
      </c>
      <c r="Y5" s="17">
        <f>IF(OR($D5="1 dd",$D5="2 dd",$D5="3 dd",$D5="4 dd",$D5="6 dd",$D5="8 dd",$D5="12 dd",$D5="an",$D5="1 X"),VLOOKUP($D5,ber_tijden!$A$16:$X$25,ber_tijden!S$14,FALSE),"")</f>
        <v>0</v>
      </c>
      <c r="Z5" s="174">
        <f>IF(OR($D5="1 dd",$D5="2 dd",$D5="3 dd",$D5="4 dd",$D5="6 dd",$D5="8 dd",$D5="12 dd",$D5="an",$D5="1 X"),VLOOKUP($D5,ber_tijden!$A$16:$X$25,ber_tijden!T$14,FALSE),"")</f>
        <v>0</v>
      </c>
      <c r="AA5" s="17">
        <f>IF(OR($D5="1 dd",$D5="2 dd",$D5="3 dd",$D5="4 dd",$D5="6 dd",$D5="8 dd",$D5="12 dd",$D5="an",$D5="1 X"),VLOOKUP($D5,ber_tijden!$A$16:$X$25,ber_tijden!U$14,FALSE),"")</f>
        <v>0</v>
      </c>
      <c r="AB5" s="174">
        <f>IF(OR($D5="1 dd",$D5="2 dd",$D5="3 dd",$D5="4 dd",$D5="6 dd",$D5="8 dd",$D5="12 dd",$D5="an",$D5="1 X"),VLOOKUP($D5,ber_tijden!$A$16:$X$25,ber_tijden!V$14,FALSE),"")</f>
        <v>0</v>
      </c>
      <c r="AC5" s="17">
        <f>IF(OR($D5="1 dd",$D5="2 dd",$D5="3 dd",$D5="4 dd",$D5="6 dd",$D5="8 dd",$D5="12 dd",$D5="an",$D5="1 X"),VLOOKUP($D5,ber_tijden!$A$16:$X$25,ber_tijden!W$14,FALSE),"")</f>
        <v>0</v>
      </c>
      <c r="AD5" s="174">
        <f>IF(OR($D5="1 dd",$D5="2 dd",$D5="3 dd",$D5="4 dd",$D5="6 dd",$D5="8 dd",$D5="12 dd",$D5="an",$D5="1 X"),VLOOKUP($D5,ber_tijden!$A$16:$X$25,ber_tijden!X$14,FALSE),"")</f>
        <v>0</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41827</v>
      </c>
      <c r="G2" s="217" t="e">
        <f ca="1">"ICU-dag: "&amp;AfspraakDatum-OpnDatum+1</f>
        <v>#NAME?</v>
      </c>
      <c r="H2" s="217"/>
      <c r="I2" s="217"/>
      <c r="J2" s="217"/>
    </row>
    <row r="3" spans="1:10" s="216" customFormat="1" ht="17.25" customHeight="1" x14ac:dyDescent="0.4">
      <c r="B3" s="217" t="s">
        <v>288</v>
      </c>
      <c r="C3" s="221" t="str">
        <f>AchterNaam&amp;", "&amp;VoorNaam</f>
        <v>RSV, Bronchio</v>
      </c>
      <c r="D3" s="221"/>
      <c r="E3" s="217" t="s">
        <v>3097</v>
      </c>
      <c r="F3" s="220">
        <f>GebDatum</f>
        <v>40909</v>
      </c>
      <c r="G3" s="222" t="str">
        <f>"Gewicht: "&amp;Gewicht/10&amp;" kg"</f>
        <v>Gewicht: 10 kg</v>
      </c>
      <c r="H3" s="217"/>
      <c r="I3" s="222" t="str">
        <f>"Lengte: "&amp;Lengte&amp;" cm"</f>
        <v>Lengte: 70 cm</v>
      </c>
      <c r="J3" s="217"/>
    </row>
    <row r="4" spans="1:10" s="216" customFormat="1" ht="17.25" customHeight="1" x14ac:dyDescent="0.4">
      <c r="A4" s="252"/>
      <c r="B4" s="217" t="s">
        <v>3468</v>
      </c>
      <c r="C4" s="222">
        <f>PatNummer</f>
        <v>123456</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0.42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24</v>
      </c>
      <c r="G2" s="8" t="s">
        <v>1301</v>
      </c>
      <c r="J2" t="s">
        <v>4121</v>
      </c>
      <c r="L2">
        <v>2</v>
      </c>
      <c r="M2">
        <v>1</v>
      </c>
      <c r="Q2" t="s">
        <v>2540</v>
      </c>
      <c r="S2">
        <v>10</v>
      </c>
    </row>
    <row r="3" spans="1:19" x14ac:dyDescent="0.35">
      <c r="A3" s="11" t="s">
        <v>2106</v>
      </c>
      <c r="B3">
        <v>12</v>
      </c>
      <c r="C3">
        <f>B3*0.155</f>
        <v>1.8599999999999999</v>
      </c>
      <c r="D3">
        <v>2</v>
      </c>
      <c r="E3">
        <v>29</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1278</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41827</v>
      </c>
      <c r="H2" s="217" t="e">
        <f ca="1">"ICU-dag: "&amp;AfspraakDatum-OpnDatum+1</f>
        <v>#NAME?</v>
      </c>
      <c r="I2" s="217"/>
      <c r="J2" s="217"/>
      <c r="K2" s="217"/>
    </row>
    <row r="3" spans="1:22" s="216" customFormat="1" ht="13.2" x14ac:dyDescent="0.4">
      <c r="A3" s="252"/>
      <c r="B3" s="217" t="s">
        <v>288</v>
      </c>
      <c r="D3" s="221" t="str">
        <f>AchterNaam&amp;", "&amp;VoorNaam</f>
        <v>RSV, Bronchio</v>
      </c>
      <c r="E3" s="221"/>
      <c r="F3" s="217" t="s">
        <v>3097</v>
      </c>
      <c r="G3" s="220">
        <f>GebDatum</f>
        <v>40909</v>
      </c>
      <c r="H3" s="222" t="str">
        <f>"Gewicht: "&amp;Gewicht/10&amp;" kg"</f>
        <v>Gewicht: 10 kg</v>
      </c>
      <c r="I3" s="217"/>
      <c r="J3" s="222" t="str">
        <f>"Lengte: "&amp;Lengte&amp;" cm"</f>
        <v>Lengte: 70 cm</v>
      </c>
      <c r="K3" s="217"/>
    </row>
    <row r="4" spans="1:22" s="216" customFormat="1" ht="13.2" x14ac:dyDescent="0.4">
      <c r="A4" s="252"/>
      <c r="B4" s="217" t="s">
        <v>3468</v>
      </c>
      <c r="D4" s="222">
        <f>PatNummer</f>
        <v>123456</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0.42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Hevelen</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6 dd</v>
      </c>
      <c r="D8" s="313" t="str">
        <f>IF(ber_PO!O22&lt;&gt;0,ber_PO!N22&amp;" ml","")</f>
        <v>5 ml</v>
      </c>
      <c r="E8" s="304"/>
      <c r="F8" s="304"/>
      <c r="G8" s="304" t="str">
        <f>IF(C8="24 dd","continue drip","")</f>
        <v/>
      </c>
      <c r="H8" s="304" t="str">
        <f>IF(ber_PO!P22&gt;1,ber_PO!O22&amp;" ml per dag","")</f>
        <v>30 ml per dag</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28 ml/uur</v>
      </c>
      <c r="E15" s="122" t="str">
        <f>IF(D15&lt;&gt;"",ber_TPN!F3&amp;" ml per dag","")</f>
        <v>672 ml per dag</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672 ml</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0 ml</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76 ml/kg</v>
      </c>
      <c r="E31" s="330" t="str">
        <f ca="1">ROUND(ber_normaal!$A$18,0)&amp;" ml/kg"</f>
        <v>100 ml/kg</v>
      </c>
      <c r="F31" s="330" t="str">
        <f>"= "&amp;ROUND(ber_totalen!C2*Gewicht/10,0)&amp;" ml/dag"</f>
        <v>= 762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15 kCal/kg</v>
      </c>
      <c r="E32" s="330" t="str">
        <f ca="1">ber_normaal!$A$21&amp;" kCal/kg"</f>
        <v>90 kCal/kg</v>
      </c>
      <c r="F32" s="330"/>
      <c r="G32" s="330"/>
      <c r="H32" s="330" t="s">
        <v>2218</v>
      </c>
      <c r="I32" s="331" t="str">
        <f>ROUND(ber_totalen!$C$13,1)&amp;" gram/kg"</f>
        <v>0.1 gram/kg</v>
      </c>
      <c r="J32" s="330" t="str">
        <f>IF(Gewicht/10&lt;30,"4 g/kg","2 g/kg")</f>
        <v>4 g/kg</v>
      </c>
      <c r="K32" s="330"/>
      <c r="L32" s="366"/>
      <c r="M32" s="367"/>
      <c r="N32" s="367"/>
      <c r="O32" s="367"/>
      <c r="P32" s="367"/>
    </row>
    <row r="33" spans="2:16" ht="13.2" x14ac:dyDescent="0.4">
      <c r="B33" s="330" t="s">
        <v>2329</v>
      </c>
      <c r="C33" s="330"/>
      <c r="D33" s="331" t="str">
        <f>ROUND(ber_totalen!C5,1)&amp;" g/kg"</f>
        <v>3.6 g/kg</v>
      </c>
      <c r="E33" s="330" t="s">
        <v>3506</v>
      </c>
      <c r="F33" s="330" t="str">
        <f>"= "&amp;ROUND(ber_totalen!C5/1.4,1)&amp;" mg/kg/min"</f>
        <v>= 2.6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6.1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D3">
        <v>73</v>
      </c>
      <c r="E3">
        <f>IF(D3&lt;50,D3/10,IF(D3&lt;146,D3-45,(D3-125)*5))</f>
        <v>28</v>
      </c>
      <c r="F3">
        <f>ROUND(E3*24+ROUND(IF(AND(TPN=2,Gewicht/10&lt;=50,SSTglucose&lt;11),F4*2+2*(F7+F8),2*(F7+F8)+4*(F9+F10))/24,0)*24,0)</f>
        <v>672</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11</v>
      </c>
      <c r="F6">
        <f>IF(Gewicht/10&gt;50,F3-F7-F8-F9-F10,IF(OR(TPN=1,SSTglucose&gt;=11),F3-F7-F8-F9-F10,F3-F4-F5-F7-F8))</f>
        <v>672</v>
      </c>
      <c r="G6">
        <f>INDEX(J26:L39,B6,3)*F6</f>
        <v>33.6</v>
      </c>
      <c r="I6">
        <f>INDEX(J26:M39,B6,4)*F6</f>
        <v>51.744</v>
      </c>
      <c r="J6">
        <f>INDEX(J26:N39,B6,5)*F6</f>
        <v>0</v>
      </c>
      <c r="N6">
        <f>4*G6</f>
        <v>134.4</v>
      </c>
    </row>
    <row r="7" spans="1:15" x14ac:dyDescent="0.35">
      <c r="A7" t="s">
        <v>3376</v>
      </c>
      <c r="C7" t="b">
        <v>0</v>
      </c>
      <c r="D7">
        <f>IF(E7&lt;50,E7/10,E7-45)</f>
        <v>2</v>
      </c>
      <c r="E7">
        <v>20</v>
      </c>
      <c r="F7">
        <f>ROUND(IF(C7,E7,0),0)</f>
        <v>0</v>
      </c>
      <c r="I7">
        <f>F7*0.5</f>
        <v>0</v>
      </c>
    </row>
    <row r="8" spans="1:15" x14ac:dyDescent="0.35">
      <c r="A8" t="s">
        <v>2221</v>
      </c>
      <c r="C8" t="b">
        <v>1</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672</v>
      </c>
      <c r="G23">
        <f t="shared" ref="G23:N23" si="1">SUM(G3:G21)</f>
        <v>33.6</v>
      </c>
      <c r="H23">
        <f t="shared" si="1"/>
        <v>0</v>
      </c>
      <c r="I23">
        <f t="shared" si="1"/>
        <v>51.744</v>
      </c>
      <c r="J23">
        <f t="shared" si="1"/>
        <v>0</v>
      </c>
      <c r="K23">
        <f t="shared" si="1"/>
        <v>0</v>
      </c>
      <c r="L23">
        <f t="shared" si="1"/>
        <v>0</v>
      </c>
      <c r="M23">
        <f t="shared" si="1"/>
        <v>0</v>
      </c>
      <c r="N23">
        <f t="shared" si="1"/>
        <v>134.4</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C5" t="b">
        <v>0</v>
      </c>
      <c r="D5" t="str">
        <f>IF(E5,"A","")</f>
        <v>A</v>
      </c>
      <c r="E5" t="b">
        <v>1</v>
      </c>
      <c r="F5" t="str">
        <f>IF(G5,"A","")</f>
        <v/>
      </c>
      <c r="H5" t="str">
        <f>IF(I5,"A","")</f>
        <v/>
      </c>
      <c r="J5" t="str">
        <f>IF(K5,"A","")</f>
        <v/>
      </c>
      <c r="L5" t="str">
        <f>IF(M5,"A","")</f>
        <v/>
      </c>
      <c r="N5" t="str">
        <f>IF(O5,"A","")</f>
        <v/>
      </c>
      <c r="P5" t="str">
        <f>IF(Q5,"A","")</f>
        <v/>
      </c>
    </row>
    <row r="6" spans="2:16" x14ac:dyDescent="0.35">
      <c r="B6" t="str">
        <f>IF(C6,"Na K","")</f>
        <v/>
      </c>
      <c r="C6" t="b">
        <v>0</v>
      </c>
      <c r="D6" t="str">
        <f>IF(E6,"Na K","")</f>
        <v>Na K</v>
      </c>
      <c r="E6" t="b">
        <v>1</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C8" t="b">
        <v>0</v>
      </c>
      <c r="D8" t="str">
        <f>IF(E8,"Gluc","")</f>
        <v>Gluc</v>
      </c>
      <c r="E8" t="b">
        <v>1</v>
      </c>
      <c r="F8" t="str">
        <f>IF(G8,"Gluc","")</f>
        <v/>
      </c>
      <c r="H8" t="str">
        <f>IF(I8,"Gluc","")</f>
        <v/>
      </c>
      <c r="J8" t="str">
        <f>IF(K8,"Gluc","")</f>
        <v/>
      </c>
      <c r="L8" t="str">
        <f>IF(M8,"Gluc","")</f>
        <v/>
      </c>
      <c r="N8" t="str">
        <f>IF(O8,"Gluc","")</f>
        <v/>
      </c>
      <c r="P8" t="str">
        <f>IF(Q8,"Gluc","")</f>
        <v/>
      </c>
    </row>
    <row r="9" spans="2:16" x14ac:dyDescent="0.35">
      <c r="B9" t="str">
        <f>IF(C9,"Hb Ht","")</f>
        <v/>
      </c>
      <c r="C9" t="b">
        <v>0</v>
      </c>
      <c r="D9" t="str">
        <f>IF(E9,"Hb Ht","")</f>
        <v/>
      </c>
      <c r="E9" t="b">
        <v>0</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algorithmName="SHA-512" hashValue="Y0GWUaCsBHPXp64n0YdNPNzJGISgP/SDNgBpSkVesxjbLl8HMWzAV+8a9XRzLnV947atYLwxvsAfm/dEyq5mbQ==" saltValue="cqrd50c40kmmmn/ibI0Gv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762</v>
      </c>
      <c r="C2" s="13">
        <f>10*B2/Gewicht</f>
        <v>76.2</v>
      </c>
      <c r="D2" s="13"/>
      <c r="E2" s="14"/>
    </row>
    <row r="3" spans="1:5" x14ac:dyDescent="0.35">
      <c r="A3" s="5" t="s">
        <v>2120</v>
      </c>
      <c r="B3">
        <f>ber_PO!O22</f>
        <v>30</v>
      </c>
    </row>
    <row r="4" spans="1:5" x14ac:dyDescent="0.35">
      <c r="A4" s="5" t="s">
        <v>2118</v>
      </c>
      <c r="B4">
        <f>(ber_IVmed!F46+ber_TPN!F23+Infusen!J15+ber_Med_disc!O23)</f>
        <v>732</v>
      </c>
    </row>
    <row r="5" spans="1:5" ht="13.2" x14ac:dyDescent="0.4">
      <c r="A5" s="12" t="s">
        <v>2107</v>
      </c>
      <c r="B5" s="13">
        <f>SUM(B6:B8)</f>
        <v>35.82</v>
      </c>
      <c r="C5" s="13">
        <f>B5/(Gewicht/10)</f>
        <v>3.5819999999999999</v>
      </c>
      <c r="D5" s="13">
        <f>SUM(D7:D7)</f>
        <v>0</v>
      </c>
      <c r="E5" s="14">
        <f>D5/(Gewicht/10)</f>
        <v>0</v>
      </c>
    </row>
    <row r="6" spans="1:5" ht="13.2" x14ac:dyDescent="0.4">
      <c r="A6" s="5" t="s">
        <v>2120</v>
      </c>
      <c r="B6">
        <f>ber_PO!K25</f>
        <v>2.2200000000000002</v>
      </c>
      <c r="C6" s="10" t="s">
        <v>2126</v>
      </c>
      <c r="D6" s="10" t="s">
        <v>2126</v>
      </c>
    </row>
    <row r="7" spans="1:5" x14ac:dyDescent="0.35">
      <c r="A7" s="5" t="s">
        <v>2125</v>
      </c>
      <c r="B7">
        <f>ber_Med_disc!S23+ber_IVmed!G46+ber_IVmed!H46</f>
        <v>0</v>
      </c>
      <c r="D7">
        <f>B7*4</f>
        <v>0</v>
      </c>
    </row>
    <row r="8" spans="1:5" ht="13.2" x14ac:dyDescent="0.4">
      <c r="A8" s="5" t="s">
        <v>2230</v>
      </c>
      <c r="B8">
        <f>ber_TPN!G23</f>
        <v>33.6</v>
      </c>
      <c r="C8" s="10" t="s">
        <v>2126</v>
      </c>
      <c r="D8" s="10" t="s">
        <v>2126</v>
      </c>
    </row>
    <row r="9" spans="1:5" ht="13.2" x14ac:dyDescent="0.4">
      <c r="A9" s="12" t="s">
        <v>2112</v>
      </c>
      <c r="B9" s="13">
        <f>SUM(B10:B12)</f>
        <v>0.41999999999999993</v>
      </c>
      <c r="C9" s="13">
        <f>B9/(Gewicht/10)</f>
        <v>4.1999999999999996E-2</v>
      </c>
      <c r="D9" s="13">
        <f>SUM(D10:D11)</f>
        <v>0</v>
      </c>
      <c r="E9" s="14">
        <f>D9/(Gewicht/10)</f>
        <v>0</v>
      </c>
    </row>
    <row r="10" spans="1:5" ht="13.2" x14ac:dyDescent="0.4">
      <c r="A10" s="5" t="s">
        <v>2120</v>
      </c>
      <c r="B10">
        <f>ber_PO!K24</f>
        <v>0.41999999999999993</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1.05</v>
      </c>
      <c r="C13" s="13">
        <f>SUM(C14:C16)</f>
        <v>0.10500000000000001</v>
      </c>
      <c r="D13" s="13">
        <f>SUM(D14:D15)</f>
        <v>0</v>
      </c>
      <c r="E13" s="14">
        <f>D13/(Gewicht/10)</f>
        <v>0</v>
      </c>
    </row>
    <row r="14" spans="1:5" ht="13.2" x14ac:dyDescent="0.4">
      <c r="A14" s="5" t="s">
        <v>2120</v>
      </c>
      <c r="B14">
        <f>ber_PO!K26</f>
        <v>1.05</v>
      </c>
      <c r="C14">
        <f>B14/(Gewicht/10)</f>
        <v>0.10500000000000001</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61.304867999999999</v>
      </c>
      <c r="C17" s="13">
        <f>SUM(C18:C22)</f>
        <v>6.1304867999999999</v>
      </c>
      <c r="D17" s="13"/>
      <c r="E17" s="14"/>
    </row>
    <row r="18" spans="1:5" x14ac:dyDescent="0.35">
      <c r="A18" s="5" t="s">
        <v>2120</v>
      </c>
      <c r="B18">
        <f>ber_PO!K27</f>
        <v>0.26086800000000004</v>
      </c>
      <c r="C18">
        <f>B18/(Gewicht/10)</f>
        <v>2.6086800000000004E-2</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9.3000000000000007</v>
      </c>
      <c r="C21">
        <f>B21/(Gewicht/10)</f>
        <v>0.93</v>
      </c>
    </row>
    <row r="22" spans="1:5" x14ac:dyDescent="0.35">
      <c r="A22" s="4" t="s">
        <v>2230</v>
      </c>
      <c r="B22">
        <f>ber_TPN!I23</f>
        <v>51.744</v>
      </c>
      <c r="C22">
        <f>B22/(Gewicht/10)</f>
        <v>5.1744000000000003</v>
      </c>
    </row>
    <row r="23" spans="1:5" ht="13.2" x14ac:dyDescent="0.4">
      <c r="A23" s="12" t="s">
        <v>3380</v>
      </c>
      <c r="B23" s="13">
        <f>SUM(B24:B26)</f>
        <v>0.49999950000000004</v>
      </c>
      <c r="C23" s="13">
        <f>SUM(C24:C26)</f>
        <v>4.9999950000000001E-2</v>
      </c>
      <c r="D23" s="13"/>
      <c r="E23" s="14"/>
    </row>
    <row r="24" spans="1:5" x14ac:dyDescent="0.35">
      <c r="A24" s="5" t="s">
        <v>2120</v>
      </c>
      <c r="B24">
        <f>ber_PO!K28</f>
        <v>0.49999950000000004</v>
      </c>
      <c r="C24">
        <f>B24/(Gewicht/10)</f>
        <v>4.9999950000000001E-2</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0.375</v>
      </c>
      <c r="C27" s="13">
        <f>SUM(C28:C29)</f>
        <v>3.7499999999999999E-2</v>
      </c>
      <c r="D27" s="13"/>
      <c r="E27" s="14"/>
    </row>
    <row r="28" spans="1:5" x14ac:dyDescent="0.35">
      <c r="A28" s="5" t="s">
        <v>2120</v>
      </c>
      <c r="B28">
        <f>ber_PO!K29</f>
        <v>0.375</v>
      </c>
      <c r="C28">
        <f>B28/(Gewicht/10)</f>
        <v>3.7499999999999999E-2</v>
      </c>
    </row>
    <row r="29" spans="1:5" x14ac:dyDescent="0.35">
      <c r="A29" s="5" t="s">
        <v>2230</v>
      </c>
      <c r="B29">
        <f>ber_TPN!K23</f>
        <v>0</v>
      </c>
      <c r="C29">
        <f>B29/(Gewicht/10)</f>
        <v>0</v>
      </c>
    </row>
    <row r="30" spans="1:5" ht="13.2" x14ac:dyDescent="0.4">
      <c r="A30" s="12" t="s">
        <v>2110</v>
      </c>
      <c r="B30" s="13">
        <f>SUM(B31:B32)</f>
        <v>0.290601</v>
      </c>
      <c r="C30" s="13">
        <f>SUM(C31:C32)</f>
        <v>2.9060099999999998E-2</v>
      </c>
      <c r="D30" s="13"/>
      <c r="E30" s="14"/>
    </row>
    <row r="31" spans="1:5" x14ac:dyDescent="0.35">
      <c r="A31" s="5" t="s">
        <v>2120</v>
      </c>
      <c r="B31">
        <f>ber_PO!K30</f>
        <v>0.290601</v>
      </c>
      <c r="C31">
        <f>B31/(Gewicht/10)</f>
        <v>2.9060099999999998E-2</v>
      </c>
    </row>
    <row r="32" spans="1:5" x14ac:dyDescent="0.35">
      <c r="A32" s="5" t="s">
        <v>2230</v>
      </c>
      <c r="B32">
        <f>ber_TPN!M23</f>
        <v>0</v>
      </c>
      <c r="C32">
        <f>B32/(Gewicht/10)</f>
        <v>0</v>
      </c>
    </row>
    <row r="33" spans="1:5" ht="13.2" x14ac:dyDescent="0.4">
      <c r="A33" s="12" t="s">
        <v>2111</v>
      </c>
      <c r="B33" s="13">
        <f>SUM(B34:B35)</f>
        <v>7.4053800000000003E-2</v>
      </c>
      <c r="C33" s="13">
        <f>SUM(C34:C35)</f>
        <v>7.4053800000000005E-3</v>
      </c>
      <c r="D33" s="13"/>
      <c r="E33" s="14"/>
    </row>
    <row r="34" spans="1:5" x14ac:dyDescent="0.35">
      <c r="A34" s="5" t="s">
        <v>2120</v>
      </c>
      <c r="B34">
        <f>ber_PO!K31</f>
        <v>7.4053800000000003E-2</v>
      </c>
      <c r="C34">
        <f>B34/(Gewicht/10)</f>
        <v>7.4053800000000005E-3</v>
      </c>
    </row>
    <row r="35" spans="1:5" x14ac:dyDescent="0.35">
      <c r="A35" s="5" t="s">
        <v>2118</v>
      </c>
      <c r="B35">
        <f>ber_TPN!L23</f>
        <v>0</v>
      </c>
      <c r="C35">
        <f>B35/(Gewicht/10)</f>
        <v>0</v>
      </c>
    </row>
    <row r="36" spans="1:5" ht="13.2" x14ac:dyDescent="0.4">
      <c r="A36" s="15" t="s">
        <v>2230</v>
      </c>
      <c r="B36" s="13"/>
      <c r="C36" s="13"/>
      <c r="D36" s="13">
        <f>ber_TPN!N23+ber_PO!K22</f>
        <v>154.5</v>
      </c>
      <c r="E36" s="14">
        <f>D36/(Gewicht/10)</f>
        <v>15.45</v>
      </c>
    </row>
    <row r="38" spans="1:5" x14ac:dyDescent="0.35">
      <c r="A38" s="5" t="s">
        <v>2216</v>
      </c>
      <c r="E38">
        <f>E5+E9+E13+E36</f>
        <v>15.45</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2</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20.100000000000001</v>
      </c>
      <c r="H22" s="38">
        <f>IF(ber_PO!$O$23&lt;&gt;0,INDEX(tblBerPoeder,E22,ber_PO!$P$23-1)*ber_PO!$O$23,0)</f>
        <v>0</v>
      </c>
      <c r="I22" s="38">
        <f>IF(ber_PO!$O$24&lt;&gt;0,INDEX(tblBerPoeder,E22,ber_PO!$P$24-1)*ber_PO!$O$24,0)</f>
        <v>0</v>
      </c>
      <c r="J22" s="38">
        <f>IF(ber_PO!$O$25&lt;&gt;0,INDEX(tblBerPoeder,E22,ber_PO!$P$25-1)*ber_PO!$O$25,0)</f>
        <v>0</v>
      </c>
      <c r="K22">
        <f>SUM(G22:J22)</f>
        <v>20.100000000000001</v>
      </c>
      <c r="L22" s="38">
        <v>6</v>
      </c>
      <c r="M22" s="38">
        <v>50</v>
      </c>
      <c r="N22">
        <f>IF(M22&lt;51,M22/10,IF(M22&lt;66,(M22-49)+4,IF(M22&lt;82,(M22-61)*5,IF(M22&lt;122,(M22-71)*10,(M22-111)*50))))</f>
        <v>5</v>
      </c>
      <c r="O22" s="38">
        <f>IF(P22&gt;1,L22*N22,0)</f>
        <v>30</v>
      </c>
      <c r="P22">
        <v>3</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0.41999999999999993</v>
      </c>
      <c r="H24" s="38">
        <f>IF(ber_PO!$O$23&lt;&gt;0,INDEX(tblBerPoeder,E24,ber_PO!$P$23-1)*ber_PO!$O$23,0)</f>
        <v>0</v>
      </c>
      <c r="I24" s="38">
        <f>IF(ber_PO!$O$24&lt;&gt;0,INDEX(tblBerPoeder,E24,ber_PO!$P$24-1)*ber_PO!$O$24,0)</f>
        <v>0</v>
      </c>
      <c r="J24" s="38">
        <f>IF(ber_PO!$O$25&lt;&gt;0,INDEX(tblBerPoeder,E24,ber_PO!$P$25-1)*ber_PO!$O$25,0)</f>
        <v>0</v>
      </c>
      <c r="K24">
        <f t="shared" ref="K24:K31" si="16">SUM(G24:J24)</f>
        <v>0.41999999999999993</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2.2200000000000002</v>
      </c>
      <c r="H25" s="38">
        <f>IF(ber_PO!$O$23&lt;&gt;0,INDEX(tblBerPoeder,E25,ber_PO!$P$23-1)*ber_PO!$O$23,0)</f>
        <v>0</v>
      </c>
      <c r="I25" s="38">
        <f>IF(ber_PO!$O$24&lt;&gt;0,INDEX(tblBerPoeder,E25,ber_PO!$P$24-1)*ber_PO!$O$24,0)</f>
        <v>0</v>
      </c>
      <c r="J25" s="38">
        <f>IF(ber_PO!$O$25&lt;&gt;0,INDEX(tblBerPoeder,E25,ber_PO!$P$25-1)*ber_PO!$O$25,0)</f>
        <v>0</v>
      </c>
      <c r="K25">
        <f t="shared" si="16"/>
        <v>2.2200000000000002</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1.05</v>
      </c>
      <c r="H26" s="38">
        <f>IF(ber_PO!$O$23&lt;&gt;0,INDEX(tblBerPoeder,E26,ber_PO!$P$23-1)*ber_PO!$O$23,0)</f>
        <v>0</v>
      </c>
      <c r="I26" s="38">
        <f>IF(ber_PO!$O$24&lt;&gt;0,INDEX(tblBerPoeder,E26,ber_PO!$P$24-1)*ber_PO!$O$24,0)</f>
        <v>0</v>
      </c>
      <c r="J26" s="38">
        <f>IF(ber_PO!$O$25&lt;&gt;0,INDEX(tblBerPoeder,E26,ber_PO!$P$25-1)*ber_PO!$O$25,0)</f>
        <v>0</v>
      </c>
      <c r="K26">
        <f t="shared" si="16"/>
        <v>1.05</v>
      </c>
    </row>
    <row r="27" spans="1:49" x14ac:dyDescent="0.35">
      <c r="A27" s="37" t="s">
        <v>75</v>
      </c>
      <c r="B27" s="37" t="s">
        <v>496</v>
      </c>
      <c r="C27">
        <f>3*4.7</f>
        <v>14.100000000000001</v>
      </c>
      <c r="E27" s="38">
        <v>5</v>
      </c>
      <c r="F27" s="38" t="s">
        <v>2224</v>
      </c>
      <c r="G27" s="38">
        <f>IF(ber_PO!$O$22&lt;&gt;0,INDEX(tblBerPO,E27,KeuzePO_1-1)*ber_PO!$O$22,0)</f>
        <v>0.26086800000000004</v>
      </c>
      <c r="H27" s="38">
        <f>IF(ber_PO!$O$23&lt;&gt;0,INDEX(tblBerPoeder,E27,ber_PO!$P$23-1)*ber_PO!$O$23,0)</f>
        <v>0</v>
      </c>
      <c r="I27" s="38">
        <f>IF(ber_PO!$O$24&lt;&gt;0,INDEX(tblBerPoeder,E27,ber_PO!$P$24-1)*ber_PO!$O$24,0)</f>
        <v>0</v>
      </c>
      <c r="J27" s="38">
        <f>IF(ber_PO!$O$25&lt;&gt;0,INDEX(tblBerPoeder,E27,ber_PO!$P$25-1)*ber_PO!$O$25,0)</f>
        <v>0</v>
      </c>
      <c r="K27">
        <f t="shared" si="16"/>
        <v>0.26086800000000004</v>
      </c>
    </row>
    <row r="28" spans="1:49" x14ac:dyDescent="0.35">
      <c r="A28" s="37" t="s">
        <v>76</v>
      </c>
      <c r="B28" s="37" t="s">
        <v>497</v>
      </c>
      <c r="C28">
        <f>3*4.4</f>
        <v>13.200000000000001</v>
      </c>
      <c r="E28" s="38">
        <v>6</v>
      </c>
      <c r="F28" s="38" t="s">
        <v>2225</v>
      </c>
      <c r="G28" s="38">
        <f>IF(ber_PO!$O$22&lt;&gt;0,INDEX(tblBerPO,E28,KeuzePO_1-1)*ber_PO!$O$22,0)</f>
        <v>0.49999950000000004</v>
      </c>
      <c r="H28" s="38">
        <f>IF(ber_PO!$O$23&lt;&gt;0,INDEX(tblBerPoeder,E28,ber_PO!$P$23-1)*ber_PO!$O$23,0)</f>
        <v>0</v>
      </c>
      <c r="I28" s="38">
        <f>IF(ber_PO!$O$24&lt;&gt;0,INDEX(tblBerPoeder,E28,ber_PO!$P$24-1)*ber_PO!$O$24,0)</f>
        <v>0</v>
      </c>
      <c r="J28" s="38">
        <f>IF(ber_PO!$O$25&lt;&gt;0,INDEX(tblBerPoeder,E28,ber_PO!$P$25-1)*ber_PO!$O$25,0)</f>
        <v>0</v>
      </c>
      <c r="K28">
        <f t="shared" si="16"/>
        <v>0.49999950000000004</v>
      </c>
    </row>
    <row r="29" spans="1:49" x14ac:dyDescent="0.35">
      <c r="A29" s="37" t="s">
        <v>77</v>
      </c>
      <c r="B29" s="37" t="s">
        <v>498</v>
      </c>
      <c r="C29">
        <f>3*4.3</f>
        <v>12.899999999999999</v>
      </c>
      <c r="E29" s="38">
        <v>7</v>
      </c>
      <c r="F29" s="38" t="s">
        <v>2226</v>
      </c>
      <c r="G29" s="38">
        <f>IF(ber_PO!$O$22&lt;&gt;0,INDEX(tblBerPO,E29,KeuzePO_1-1)*ber_PO!$O$22,0)</f>
        <v>0.375</v>
      </c>
      <c r="H29" s="38">
        <f>IF(ber_PO!$O$23&lt;&gt;0,INDEX(tblBerPoeder,E29,ber_PO!$P$23-1)*ber_PO!$O$23,0)</f>
        <v>0</v>
      </c>
      <c r="I29" s="38">
        <f>IF(ber_PO!$O$24&lt;&gt;0,INDEX(tblBerPoeder,E29,ber_PO!$P$24-1)*ber_PO!$O$24,0)</f>
        <v>0</v>
      </c>
      <c r="J29" s="38">
        <f>IF(ber_PO!$O$25&lt;&gt;0,INDEX(tblBerPoeder,E29,ber_PO!$P$25-1)*ber_PO!$O$25,0)</f>
        <v>0</v>
      </c>
      <c r="K29">
        <f t="shared" si="16"/>
        <v>0.375</v>
      </c>
    </row>
    <row r="30" spans="1:49" x14ac:dyDescent="0.35">
      <c r="A30" s="37" t="s">
        <v>1905</v>
      </c>
      <c r="B30" s="37" t="s">
        <v>499</v>
      </c>
      <c r="C30">
        <f>3*4.2</f>
        <v>12.600000000000001</v>
      </c>
      <c r="E30" s="38">
        <v>8</v>
      </c>
      <c r="F30" s="38" t="s">
        <v>2233</v>
      </c>
      <c r="G30" s="38">
        <f>IF(ber_PO!$O$22&lt;&gt;0,INDEX(tblBerPO,E30,KeuzePO_1-1)*ber_PO!$O$22,0)</f>
        <v>0.290601</v>
      </c>
      <c r="H30" s="38">
        <f>IF(ber_PO!$O$23&lt;&gt;0,INDEX(tblBerPoeder,E30,ber_PO!$P$23-1)*ber_PO!$O$23,0)</f>
        <v>0</v>
      </c>
      <c r="I30" s="38">
        <f>IF(ber_PO!$O$24&lt;&gt;0,INDEX(tblBerPoeder,E30,ber_PO!$P$24-1)*ber_PO!$O$24,0)</f>
        <v>0</v>
      </c>
      <c r="J30" s="38">
        <f>IF(ber_PO!$O$25&lt;&gt;0,INDEX(tblBerPoeder,E30,ber_PO!$P$25-1)*ber_PO!$O$25,0)</f>
        <v>0</v>
      </c>
      <c r="K30">
        <f t="shared" si="16"/>
        <v>0.290601</v>
      </c>
    </row>
    <row r="31" spans="1:49" x14ac:dyDescent="0.35">
      <c r="A31" s="37" t="s">
        <v>78</v>
      </c>
      <c r="B31" s="37" t="s">
        <v>500</v>
      </c>
      <c r="C31">
        <f>3*4.3</f>
        <v>12.899999999999999</v>
      </c>
      <c r="E31" s="38">
        <v>9</v>
      </c>
      <c r="F31" s="38" t="s">
        <v>2227</v>
      </c>
      <c r="G31" s="38">
        <f>IF(ber_PO!$O$22&lt;&gt;0,INDEX(tblBerPO,E31,KeuzePO_1-1)*ber_PO!$O$22,0)</f>
        <v>7.4053800000000003E-2</v>
      </c>
      <c r="H31" s="38">
        <f>IF(ber_PO!$O$23&lt;&gt;0,INDEX(tblBerPoeder,E31,ber_PO!$P$23-1)*ber_PO!$O$23,0)</f>
        <v>0</v>
      </c>
      <c r="I31" s="38">
        <f>IF(ber_PO!$O$24&lt;&gt;0,INDEX(tblBerPoeder,E31,ber_PO!$P$24-1)*ber_PO!$O$24,0)</f>
        <v>0</v>
      </c>
      <c r="J31" s="38">
        <f>IF(ber_PO!$O$25&lt;&gt;0,INDEX(tblBerPoeder,E31,ber_PO!$P$25-1)*ber_PO!$O$25,0)</f>
        <v>0</v>
      </c>
      <c r="K31">
        <f t="shared" si="16"/>
        <v>7.4053800000000003E-2</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28 ml/u</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v>
      </c>
      <c r="C34" s="141"/>
      <c r="D34" s="141"/>
      <c r="E34" s="141"/>
      <c r="F34" s="142"/>
      <c r="G34" s="133" t="str">
        <f>IF(AND(OR(TPN=1,AND(TPN=2,SSTglucose&gt;10),Gewicht/10&gt;50),SSTglucose&lt;&gt;2,SSTglucose&lt;&gt;11),ROUND(ber_TPN!F6,0),"")</f>
        <v/>
      </c>
      <c r="H34" s="45"/>
    </row>
    <row r="35" spans="1:8" ht="20.100000000000001" customHeight="1" x14ac:dyDescent="0.35">
      <c r="A35" s="44"/>
      <c r="B35" s="137" t="s">
        <v>4171</v>
      </c>
      <c r="C35" s="139"/>
      <c r="D35" s="139"/>
      <c r="E35" s="139"/>
      <c r="F35" s="140"/>
      <c r="G35" s="133">
        <f>IF(AND(SSTglucose=11),ROUND(ber_TPN!F6,0),"")</f>
        <v>672</v>
      </c>
      <c r="H35" s="45"/>
    </row>
    <row r="36" spans="1:8" ht="15.95" customHeight="1" x14ac:dyDescent="0.35">
      <c r="A36" s="44"/>
      <c r="B36" s="110"/>
      <c r="C36" s="110"/>
      <c r="D36" s="110"/>
      <c r="E36" s="457" t="s">
        <v>2214</v>
      </c>
      <c r="F36" s="457"/>
      <c r="G36" s="114">
        <f>SUM(G29:G35)</f>
        <v>672</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v>
      </c>
      <c r="C35" s="141"/>
      <c r="D35" s="141"/>
      <c r="E35" s="141"/>
      <c r="F35" s="145"/>
      <c r="G35" s="146" t="str">
        <f>IF(AND(OR(TPN=1,AND(TPN=2,SSTglucose&gt;10)),SSTglucose&lt;&gt;2,SSTglucose&lt;&gt;11,SSTglucose&lt;&gt;12,SSTglucose&lt;&gt;13),ROUND(ber_TPN!F6,0),"")</f>
        <v/>
      </c>
      <c r="H35" s="45"/>
    </row>
    <row r="36" spans="1:8" ht="20.100000000000001" customHeight="1" x14ac:dyDescent="0.35">
      <c r="A36" s="44"/>
      <c r="B36" s="467" t="s">
        <v>4171</v>
      </c>
      <c r="C36" s="468"/>
      <c r="D36" s="468"/>
      <c r="E36" s="468"/>
      <c r="F36" s="145"/>
      <c r="G36" s="146">
        <f>IF(OR(SSTglucose=11),ROUND(ber_TPN!F6,0),"")</f>
        <v>672</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672</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28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2"/>
      <c r="G35" s="146">
        <f>IF(AND(OR(TPN=1,AND(TPN=2,SSTglucose&gt;10)),SSTglucose&lt;&gt;2,SSTglucose&lt;&gt;12,SSTglucose&lt;&gt;13),ROUND(ber_TPN!F6,0),"")</f>
        <v>672</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672</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28 ml/u</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5"/>
      <c r="G35" s="146">
        <f>IF(AND(OR(TPN=1,AND(TPN=2,SSTglucose&gt;10)),SSTglucose&lt;&gt;2,SSTglucose&lt;&gt;12,SSTglucose&lt;&gt;13),ber_TPN!F6,"")</f>
        <v>672</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672</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28 ml/u</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 + NaCl 0,45%</v>
      </c>
      <c r="C32" s="141"/>
      <c r="D32" s="141"/>
      <c r="E32" s="141"/>
      <c r="F32" s="145"/>
      <c r="G32" s="146">
        <f>IF(AND(SSTglucose&lt;&gt;2,SSTglucose&lt;&gt;12,SSTglucose&lt;&gt;13),ber_TPN!F6,"")</f>
        <v>672</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672</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2015-07-01T11:33:21Z</dcterms:modified>
</cp:coreProperties>
</file>